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ocumenttasks/documenttask1.xml" ContentType="application/vnd.ms-excel.documenttask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mergy.sharepoint.com/sites/Emergent_Energy/Shared Documents/Emergent Energy Team Folder/04 - Operations/4. Projects/2_Project Cashflow/"/>
    </mc:Choice>
  </mc:AlternateContent>
  <xr:revisionPtr revIDLastSave="5915" documentId="122_{B5278ED9-65AA-4AD5-BF59-10A749C6227C}" xr6:coauthVersionLast="47" xr6:coauthVersionMax="47" xr10:uidLastSave="{B22A2EF9-339D-4483-A8EB-8C9F0AA79F3B}"/>
  <bookViews>
    <workbookView xWindow="19090" yWindow="-110" windowWidth="19420" windowHeight="10300" tabRatio="813" activeTab="6" xr2:uid="{93CEBA4F-6B8F-473E-8D32-02F969CDBB82}"/>
  </bookViews>
  <sheets>
    <sheet name="Program Dashboard" sheetId="64" r:id="rId1"/>
    <sheet name="Report Template" sheetId="89" r:id="rId2"/>
    <sheet name="Sheet1" sheetId="87" state="hidden" r:id="rId3"/>
    <sheet name="Projects Summary 2026" sheetId="73" r:id="rId4"/>
    <sheet name="Cashflow 2026" sheetId="29" r:id="rId5"/>
    <sheet name="REV Tracker 26" sheetId="72" r:id="rId6"/>
    <sheet name="COS Tracker 26" sheetId="70" r:id="rId7"/>
    <sheet name="Construction Dashboard 2026" sheetId="88" state="hidden" r:id="rId8"/>
    <sheet name="Task Register" sheetId="86" r:id="rId9"/>
    <sheet name="Procurement 2026" sheetId="80" state="hidden" r:id="rId10"/>
    <sheet name="Compliance 2026" sheetId="81" state="hidden" r:id="rId11"/>
    <sheet name="ProjectInfo" sheetId="85" state="hidden" r:id="rId12"/>
    <sheet name="ProgramPlan" sheetId="84" state="hidden" r:id="rId13"/>
    <sheet name="ProgramExpense" sheetId="82" state="hidden" r:id="rId14"/>
    <sheet name="ProgramInflows" sheetId="83" state="hidden" r:id="rId15"/>
    <sheet name="Meta Data" sheetId="36" state="hidden" r:id="rId16"/>
  </sheets>
  <functionGroups builtInGroupCount="19"/>
  <externalReferences>
    <externalReference r:id="rId17"/>
  </externalReferences>
  <definedNames>
    <definedName name="_xlnm._FilterDatabase" localSheetId="4" hidden="1">'Cashflow 2026'!$B$17:$O$321</definedName>
    <definedName name="_xlnm._FilterDatabase" localSheetId="7" hidden="1">'Construction Dashboard 2026'!$A$1:$L$36</definedName>
    <definedName name="_xlnm._FilterDatabase" localSheetId="6" hidden="1">'COS Tracker 26'!$B$24:$G$379</definedName>
    <definedName name="_xlnm._FilterDatabase" localSheetId="3">'Projects Summary 2026'!$A$1:$R$1</definedName>
    <definedName name="_xlnm._FilterDatabase" localSheetId="5" hidden="1">'REV Tracker 26'!$B$24:$G$302</definedName>
    <definedName name="_xleta.COS" hidden="1" xlm="1">#NAME?</definedName>
    <definedName name="_xleta.COUNTIF" hidden="1" xlm="1">#NAME?</definedName>
    <definedName name="_xleta.COUNTIFS" hidden="1" xlm="1">#NAME?</definedName>
    <definedName name="_xleta.DATE" hidden="1" xlm="1">#NAME?</definedName>
    <definedName name="_xleta.DCOUNT" hidden="1" xlm="1">#NAME?</definedName>
    <definedName name="_xleta.INFO" hidden="1" xlm="1">#NAME?</definedName>
    <definedName name="_xleta.N" hidden="1" xlm="1">#NAME?</definedName>
    <definedName name="_xleta.OR" hidden="1" xlm="1">#NAME?</definedName>
    <definedName name="_xleta.SORT" hidden="1" xlm="1">#NAME?</definedName>
    <definedName name="_xleta.SUM" hidden="1" xlm="1">#NAME?</definedName>
    <definedName name="_xleta.SUMIFS" hidden="1" xlm="1">#NAME?</definedName>
    <definedName name="_xleta.SUMPRODUCT" hidden="1" xlm="1">#NAME?</definedName>
    <definedName name="_xleta.T" hidden="1" xlm="1">#NAME?</definedName>
    <definedName name="_xleta.TODAY" hidden="1" xlm="1">#NAME?</definedName>
    <definedName name="_xlpm.act" hidden="1" xlm="1">#NAME?</definedName>
    <definedName name="_xlpm.ad" hidden="1" xlm="1">#NAME?</definedName>
    <definedName name="_xlpm.amt" hidden="1" xlm="1">#NAME?</definedName>
    <definedName name="_xlpm.as" hidden="1" xlm="1">#NAME?</definedName>
    <definedName name="_xlpm.asd" hidden="1" xlm="1">#NAME?</definedName>
    <definedName name="_xlpm.ask" hidden="1" xlm="1">#NAME?</definedName>
    <definedName name="_xlpm.bot" hidden="1" xlm="1">#NAME?</definedName>
    <definedName name="_xlpm.byAmt" hidden="1" xlm="1">#NAME?</definedName>
    <definedName name="_xlpm.byCat" hidden="1" xlm="1">#NAME?</definedName>
    <definedName name="_xlpm.byProj" hidden="1" xlm="1">#NAME?</definedName>
    <definedName name="_xlpm.bySearch" hidden="1" xlm="1">#NAME?</definedName>
    <definedName name="_xlpm.c" hidden="1" xlm="1">#NAME?</definedName>
    <definedName name="_xlpm.cat" hidden="1" xlm="1">#NAME?</definedName>
    <definedName name="_xlpm.catF" hidden="1" xlm="1">#NAME?</definedName>
    <definedName name="_xlpm.cc" hidden="1" xlm="1">#NAME?</definedName>
    <definedName name="_xlpm.ccs" hidden="1" xlm="1">#NAME?</definedName>
    <definedName name="_xlpm.col" hidden="1" xlm="1">#NAME?</definedName>
    <definedName name="_xlpm.comp" hidden="1" xlm="1">#NAME?</definedName>
    <definedName name="_xlpm.cos" hidden="1" xlm="1">#NAME?</definedName>
    <definedName name="_xlpm.cosN" hidden="1" xlm="1">#NAME?</definedName>
    <definedName name="_xlpm.cur" hidden="1" xlm="1">#NAME?</definedName>
    <definedName name="_xlpm.d" hidden="1" xlm="1">#NAME?</definedName>
    <definedName name="_xlpm.data" hidden="1" xlm="1">#NAME?</definedName>
    <definedName name="_xlpm.delta" hidden="1" xlm="1">#NAME?</definedName>
    <definedName name="_xlpm.den" hidden="1" xlm="1">#NAME?</definedName>
    <definedName name="_xlpm.dur" hidden="1" xlm="1">#NAME?</definedName>
    <definedName name="_xlpm.ec" hidden="1" xlm="1">#NAME?</definedName>
    <definedName name="_xlpm.end" hidden="1" xlm="1">#NAME?</definedName>
    <definedName name="_xlpm.endd" hidden="1" xlm="1">#NAME?</definedName>
    <definedName name="_xlpm.ex" hidden="1" xlm="1">#NAME?</definedName>
    <definedName name="_xlpm.filtered" hidden="1" xlm="1">#NAME?</definedName>
    <definedName name="_xlpm.fn" hidden="1" xlm="1">#NAME?</definedName>
    <definedName name="_xlpm.grid" hidden="1" xlm="1">#NAME?</definedName>
    <definedName name="_xlpm.H" hidden="1" xlm="1">#NAME?</definedName>
    <definedName name="_xlpm.hdr" hidden="1" xlm="1">#NAME?</definedName>
    <definedName name="_xlpm.hit" hidden="1" xlm="1">#NAME?</definedName>
    <definedName name="_xlpm.idx" hidden="1" xlm="1">#NAME?</definedName>
    <definedName name="_xlpm.inMonth" hidden="1" xlm="1">#NAME?</definedName>
    <definedName name="_xlpm.inv" hidden="1" xlm="1">#NAME?</definedName>
    <definedName name="_xlpm.inWeek" hidden="1" xlm="1">#NAME?</definedName>
    <definedName name="_xlpm.ir" hidden="1" xlm="1">#NAME?</definedName>
    <definedName name="_xlpm.it" hidden="1" xlm="1">#NAME?</definedName>
    <definedName name="_xlpm.k" hidden="1" xlm="1">#NAME?</definedName>
    <definedName name="_xlpm.key" hidden="1" xlm="1">#NAME?</definedName>
    <definedName name="_xlpm.labels" hidden="1" xlm="1">#NAME?</definedName>
    <definedName name="_xlpm.last" hidden="1" xlm="1">#NAME?</definedName>
    <definedName name="_xlpm.list" hidden="1" xlm="1">#NAME?</definedName>
    <definedName name="_xlpm.loc" hidden="1" xlm="1">#NAME?</definedName>
    <definedName name="_xlpm.lvl" hidden="1" xlm="1">#NAME?</definedName>
    <definedName name="_xlpm.m" hidden="1" xlm="1">#NAME?</definedName>
    <definedName name="_xlpm.mask" hidden="1" xlm="1">#NAME?</definedName>
    <definedName name="_xlpm.mile" hidden="1" xlm="1">#NAME?</definedName>
    <definedName name="_xlpm.minA" hidden="1" xlm="1">#NAME?</definedName>
    <definedName name="_xlpm.ms" hidden="1" xlm="1">#NAME?</definedName>
    <definedName name="_xlpm.n" hidden="1" xlm="1">#NAME?</definedName>
    <definedName name="_xlpm.names" hidden="1" xlm="1">#NAME?</definedName>
    <definedName name="_xlpm.norm" hidden="1" xlm="1">#NAME?</definedName>
    <definedName name="_xlpm.num" hidden="1" xlm="1">#NAME?</definedName>
    <definedName name="_xlpm.numNZ" hidden="1" xlm="1">#NAME?</definedName>
    <definedName name="_xlpm.nxt" hidden="1" xlm="1">#NAME?</definedName>
    <definedName name="_xlpm.ok" hidden="1" xlm="1">#NAME?</definedName>
    <definedName name="_xlpm.oo" hidden="1" xlm="1">#NAME?</definedName>
    <definedName name="_xlpm.ord" hidden="1" xlm="1">#NAME?</definedName>
    <definedName name="_xlpm.order" hidden="1" xlm="1">#NAME?</definedName>
    <definedName name="_xlpm.p" hidden="1" xlm="1">#NAME?</definedName>
    <definedName name="_xlpm.pay" hidden="1" xlm="1">#NAME?</definedName>
    <definedName name="_xlpm.pc" hidden="1" xlm="1">#NAME?</definedName>
    <definedName name="_xlpm.pc_raw" hidden="1" xlm="1">#NAME?</definedName>
    <definedName name="_xlpm.pd" hidden="1" xlm="1">#NAME?</definedName>
    <definedName name="_xlpm.ph" hidden="1" xlm="1">#NAME?</definedName>
    <definedName name="_xlpm.phases" hidden="1" xlm="1">#NAME?</definedName>
    <definedName name="_xlpm.phTbl" hidden="1" xlm="1">#NAME?</definedName>
    <definedName name="_xlpm.plan" hidden="1" xlm="1">#NAME?</definedName>
    <definedName name="_xlpm.pm" hidden="1" xlm="1">#NAME?</definedName>
    <definedName name="_xlpm.pos" hidden="1" xlm="1">#NAME?</definedName>
    <definedName name="_xlpm.proj" hidden="1" xlm="1">#NAME?</definedName>
    <definedName name="_xlpm.projF" hidden="1" xlm="1">#NAME?</definedName>
    <definedName name="_xlpm.q" hidden="1" xlm="1">#NAME?</definedName>
    <definedName name="_xlpm.r" hidden="1" xlm="1">#NAME?</definedName>
    <definedName name="_xlpm.raw" hidden="1" xlm="1">#NAME?</definedName>
    <definedName name="_xlpm.req" hidden="1" xlm="1">#NAME?</definedName>
    <definedName name="_xlpm.reqcom" hidden="1" xlm="1">#NAME?</definedName>
    <definedName name="_xlpm.rk" hidden="1" xlm="1">#NAME?</definedName>
    <definedName name="_xlpm.rng" hidden="1" xlm="1">#NAME?</definedName>
    <definedName name="_xlpm.row" hidden="1" xlm="1">#NAME?</definedName>
    <definedName name="_xlpm.rowKey" hidden="1" xlm="1">#NAME?</definedName>
    <definedName name="_xlpm.rows" hidden="1" xlm="1">#NAME?</definedName>
    <definedName name="_xlpm.rowVals" hidden="1" xlm="1">#NAME?</definedName>
    <definedName name="_xlpm.s" hidden="1" xlm="1">#NAME?</definedName>
    <definedName name="_xlpm.sd" hidden="1" xlm="1">#NAME?</definedName>
    <definedName name="_xlpm.sh" hidden="1" xlm="1">#NAME?</definedName>
    <definedName name="_xlpm.sn" hidden="1" xlm="1">#NAME?</definedName>
    <definedName name="_xlpm.sorted" hidden="1" xlm="1">#NAME?</definedName>
    <definedName name="_xlpm.sortK" hidden="1" xlm="1">#NAME?</definedName>
    <definedName name="_xlpm.src" hidden="1" xlm="1">#NAME?</definedName>
    <definedName name="_xlpm.st" hidden="1" xlm="1">#NAME?</definedName>
    <definedName name="_xlpm.start" hidden="1" xlm="1">#NAME?</definedName>
    <definedName name="_xlpm.sz" hidden="1" xlm="1">#NAME?</definedName>
    <definedName name="_xlpm.t" hidden="1" xlm="1">#NAME?</definedName>
    <definedName name="_xlpm.top" hidden="1" xlm="1">#NAME?</definedName>
    <definedName name="_xlpm.tt" hidden="1" xlm="1">#NAME?</definedName>
    <definedName name="_xlpm.tts" hidden="1" xlm="1">#NAME?</definedName>
    <definedName name="_xlpm.u" hidden="1" xlm="1">#NAME?</definedName>
    <definedName name="_xlpm.uKey" hidden="1" xlm="1">#NAME?</definedName>
    <definedName name="_xlpm.V" hidden="1" xlm="1">#NAME?</definedName>
    <definedName name="_xlpm.var" hidden="1" xlm="1">#NAME?</definedName>
    <definedName name="_xlpm.w" hidden="1" xlm="1">#NAME?</definedName>
    <definedName name="_xlpm.wk" hidden="1" xlm="1">#NAME?</definedName>
    <definedName name="_xlpm.x" hidden="1" xlm="1">#NAME?</definedName>
    <definedName name="ExternalData_1" localSheetId="13" hidden="1">ProgramExpense!$A$1:$N$4326</definedName>
    <definedName name="ExternalData_1" localSheetId="14" hidden="1">ProgramInflows!$A$1:$I$391</definedName>
    <definedName name="ExternalData_1" localSheetId="12" hidden="1">ProgramPlan!$A$1:$H$2176</definedName>
    <definedName name="ExternalData_1" localSheetId="11" hidden="1">ProjectInfo!$A$1:$C$286</definedName>
    <definedName name="nmFYName">'Meta Data'!$A$19</definedName>
    <definedName name="nmStartFY">'Meta Data'!$A$18</definedName>
    <definedName name="nmStartWeek">'Meta Data'!$A$17</definedName>
    <definedName name="_xlnm.Print_Area" localSheetId="1">'Report Template'!$A$1:$K$111</definedName>
  </definedNames>
  <calcPr calcId="191028"/>
  <pivotCaches>
    <pivotCache cacheId="35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99" i="73" l="1" a="1"/>
  <c r="A399" i="73" s="1"/>
  <c r="A398" i="73" a="1"/>
  <c r="A398" i="73" s="1"/>
  <c r="A397" i="73" a="1"/>
  <c r="A397" i="73" s="1"/>
  <c r="A396" i="73" a="1"/>
  <c r="A396" i="73" s="1"/>
  <c r="D396" i="73" s="1" a="1"/>
  <c r="D396" i="73" s="1"/>
  <c r="A395" i="73" a="1"/>
  <c r="A395" i="73" s="1"/>
  <c r="C395" i="73" s="1" a="1"/>
  <c r="C395" i="73" s="1"/>
  <c r="A394" i="73" a="1"/>
  <c r="A394" i="73" s="1"/>
  <c r="D394" i="73" s="1" a="1"/>
  <c r="D394" i="73" s="1"/>
  <c r="A393" i="73" a="1"/>
  <c r="A393" i="73" s="1"/>
  <c r="A392" i="73" a="1"/>
  <c r="A392" i="73" s="1"/>
  <c r="A391" i="73" a="1"/>
  <c r="A391" i="73" s="1"/>
  <c r="A390" i="73" a="1"/>
  <c r="A390" i="73" s="1"/>
  <c r="D390" i="73" s="1" a="1"/>
  <c r="D390" i="73" s="1"/>
  <c r="A389" i="73" a="1"/>
  <c r="A389" i="73" s="1"/>
  <c r="D389" i="73" s="1" a="1"/>
  <c r="D389" i="73" s="1"/>
  <c r="A388" i="73" a="1"/>
  <c r="A388" i="73" s="1"/>
  <c r="B388" i="73" a="1"/>
  <c r="B388" i="73" s="1"/>
  <c r="A387" i="73" a="1"/>
  <c r="A387" i="73" s="1"/>
  <c r="D387" i="73" s="1" a="1"/>
  <c r="D387" i="73" s="1"/>
  <c r="H387" i="73" a="1"/>
  <c r="H387" i="73" s="1"/>
  <c r="A386" i="73" a="1"/>
  <c r="A386" i="73" s="1"/>
  <c r="A385" i="73" a="1"/>
  <c r="A385" i="73" s="1"/>
  <c r="A384" i="73" a="1"/>
  <c r="A384" i="73" s="1"/>
  <c r="A383" i="73" a="1"/>
  <c r="A383" i="73" s="1"/>
  <c r="A382" i="73" a="1"/>
  <c r="A382" i="73" s="1"/>
  <c r="D382" i="73" s="1" a="1"/>
  <c r="D382" i="73" s="1"/>
  <c r="A381" i="73" a="1"/>
  <c r="A381" i="73" s="1"/>
  <c r="H381" i="73" s="1" a="1"/>
  <c r="H381" i="73" s="1"/>
  <c r="A380" i="73" a="1"/>
  <c r="A380" i="73" s="1"/>
  <c r="B380" i="73" s="1" a="1"/>
  <c r="B380" i="73" s="1"/>
  <c r="A379" i="73" a="1"/>
  <c r="A379" i="73" s="1"/>
  <c r="H379" i="73" s="1" a="1"/>
  <c r="H379" i="73" s="1"/>
  <c r="A378" i="73" a="1"/>
  <c r="A378" i="73" s="1"/>
  <c r="H378" i="73" s="1" a="1"/>
  <c r="H378" i="73" s="1"/>
  <c r="A377" i="73" a="1"/>
  <c r="A377" i="73" s="1"/>
  <c r="D377" i="73" s="1" a="1"/>
  <c r="D377" i="73" s="1"/>
  <c r="A376" i="73" a="1"/>
  <c r="A376" i="73" s="1"/>
  <c r="D376" i="73" s="1" a="1"/>
  <c r="D376" i="73" s="1"/>
  <c r="A375" i="73" a="1"/>
  <c r="A375" i="73" s="1"/>
  <c r="B375" i="73" s="1" a="1"/>
  <c r="B375" i="73" s="1"/>
  <c r="A374" i="73" a="1"/>
  <c r="A374" i="73" s="1"/>
  <c r="A373" i="73" a="1"/>
  <c r="A373" i="73" s="1"/>
  <c r="A372" i="73" a="1"/>
  <c r="A372" i="73" s="1"/>
  <c r="C372" i="73" s="1" a="1"/>
  <c r="C372" i="73" s="1"/>
  <c r="A371" i="73" a="1"/>
  <c r="A371" i="73" s="1"/>
  <c r="D371" i="73" s="1" a="1"/>
  <c r="D371" i="73" s="1"/>
  <c r="A370" i="73" a="1"/>
  <c r="A370" i="73" s="1"/>
  <c r="B370" i="73" s="1" a="1"/>
  <c r="B370" i="73" s="1"/>
  <c r="A369" i="73" a="1"/>
  <c r="A369" i="73" s="1"/>
  <c r="C369" i="73" s="1" a="1"/>
  <c r="C369" i="73" s="1"/>
  <c r="A368" i="73" a="1"/>
  <c r="A368" i="73" s="1"/>
  <c r="D368" i="73" s="1" a="1"/>
  <c r="D368" i="73" s="1"/>
  <c r="A367" i="73" a="1"/>
  <c r="A367" i="73" s="1"/>
  <c r="B367" i="73" s="1" a="1"/>
  <c r="B367" i="73" s="1"/>
  <c r="A366" i="73" a="1"/>
  <c r="A366" i="73" s="1"/>
  <c r="A365" i="73" a="1"/>
  <c r="A365" i="73" s="1"/>
  <c r="A364" i="73" a="1"/>
  <c r="A364" i="73" s="1"/>
  <c r="H364" i="73" s="1" a="1"/>
  <c r="H364" i="73" s="1"/>
  <c r="A363" i="73" a="1"/>
  <c r="A363" i="73" s="1"/>
  <c r="H363" i="73" s="1" a="1"/>
  <c r="H363" i="73" s="1"/>
  <c r="A362" i="73" a="1"/>
  <c r="A362" i="73" s="1"/>
  <c r="B362" i="73" s="1" a="1"/>
  <c r="A361" i="73" a="1"/>
  <c r="A361" i="73" s="1"/>
  <c r="C361" i="73" a="1"/>
  <c r="C361" i="73" s="1"/>
  <c r="A360" i="73" a="1"/>
  <c r="A360" i="73" s="1"/>
  <c r="A359" i="73" a="1"/>
  <c r="A359" i="73" s="1"/>
  <c r="H359" i="73" s="1" a="1"/>
  <c r="H359" i="73" s="1"/>
  <c r="A358" i="73" a="1"/>
  <c r="A358" i="73" s="1"/>
  <c r="B358" i="73" s="1" a="1"/>
  <c r="B358" i="73" s="1"/>
  <c r="A357" i="73" a="1"/>
  <c r="A357" i="73" s="1"/>
  <c r="B357" i="73" s="1" a="1"/>
  <c r="B357" i="73" s="1"/>
  <c r="A356" i="73" a="1"/>
  <c r="A356" i="73" s="1"/>
  <c r="H356" i="73" s="1" a="1"/>
  <c r="H356" i="73" s="1"/>
  <c r="A355" i="73" a="1"/>
  <c r="A355" i="73" s="1"/>
  <c r="H355" i="73" a="1"/>
  <c r="H355" i="73" s="1"/>
  <c r="A354" i="73" a="1"/>
  <c r="A354" i="73" s="1"/>
  <c r="H354" i="73" s="1" a="1"/>
  <c r="H354" i="73" s="1"/>
  <c r="A353" i="73" a="1"/>
  <c r="A353" i="73" s="1"/>
  <c r="B353" i="73" s="1" a="1"/>
  <c r="B353" i="73" s="1"/>
  <c r="A352" i="73" a="1"/>
  <c r="A352" i="73" s="1"/>
  <c r="B352" i="73" s="1" a="1"/>
  <c r="B352" i="73" s="1"/>
  <c r="A351" i="73" a="1"/>
  <c r="A351" i="73" s="1"/>
  <c r="C351" i="73" s="1" a="1"/>
  <c r="C351" i="73" s="1"/>
  <c r="A350" i="73" a="1"/>
  <c r="A350" i="73" s="1"/>
  <c r="B350" i="73" s="1" a="1"/>
  <c r="B350" i="73" s="1"/>
  <c r="A349" i="73" a="1"/>
  <c r="A349" i="73" s="1"/>
  <c r="D349" i="73" s="1" a="1"/>
  <c r="D349" i="73" s="1"/>
  <c r="A348" i="73" a="1"/>
  <c r="A348" i="73" s="1"/>
  <c r="A347" i="73" a="1"/>
  <c r="A347" i="73" s="1"/>
  <c r="A346" i="73" a="1"/>
  <c r="A346" i="73" s="1"/>
  <c r="D346" i="73" s="1" a="1"/>
  <c r="D346" i="73" s="1"/>
  <c r="A345" i="73" a="1"/>
  <c r="A345" i="73" s="1"/>
  <c r="H345" i="73" s="1" a="1"/>
  <c r="H345" i="73" s="1"/>
  <c r="A344" i="73" a="1"/>
  <c r="A344" i="73" s="1"/>
  <c r="A343" i="73" a="1"/>
  <c r="A343" i="73" s="1"/>
  <c r="A342" i="73" a="1"/>
  <c r="A342" i="73" s="1"/>
  <c r="B342" i="73" s="1" a="1"/>
  <c r="A341" i="73" a="1"/>
  <c r="A341" i="73" s="1"/>
  <c r="B341" i="73" s="1" a="1"/>
  <c r="B341" i="73" s="1"/>
  <c r="A340" i="73" a="1"/>
  <c r="A340" i="73" s="1"/>
  <c r="A339" i="73" a="1"/>
  <c r="A339" i="73" s="1"/>
  <c r="H339" i="73" s="1" a="1"/>
  <c r="H339" i="73" s="1"/>
  <c r="A338" i="73" a="1"/>
  <c r="A338" i="73" s="1"/>
  <c r="H338" i="73" s="1" a="1"/>
  <c r="H338" i="73" s="1"/>
  <c r="A337" i="73" a="1"/>
  <c r="A337" i="73" s="1"/>
  <c r="D337" i="73" s="1" a="1"/>
  <c r="A336" i="73" a="1"/>
  <c r="A336" i="73" s="1"/>
  <c r="A335" i="73" a="1"/>
  <c r="A335" i="73" s="1"/>
  <c r="H335" i="73" a="1"/>
  <c r="H335" i="73" s="1"/>
  <c r="A334" i="73" a="1"/>
  <c r="A334" i="73" s="1"/>
  <c r="D334" i="73" s="1" a="1"/>
  <c r="D334" i="73" s="1"/>
  <c r="A333" i="73" a="1"/>
  <c r="A333" i="73" s="1"/>
  <c r="H333" i="73" a="1"/>
  <c r="H333" i="73" s="1"/>
  <c r="A332" i="73" a="1"/>
  <c r="A332" i="73" s="1"/>
  <c r="D332" i="73" s="1" a="1"/>
  <c r="D332" i="73" s="1"/>
  <c r="A331" i="73" a="1"/>
  <c r="A331" i="73" s="1"/>
  <c r="A330" i="73" a="1"/>
  <c r="A330" i="73" s="1"/>
  <c r="C330" i="73" s="1" a="1"/>
  <c r="C330" i="73" s="1"/>
  <c r="A329" i="73" a="1"/>
  <c r="A329" i="73" s="1"/>
  <c r="A328" i="73" a="1"/>
  <c r="A328" i="73" s="1"/>
  <c r="B328" i="73" s="1" a="1"/>
  <c r="B328" i="73" s="1"/>
  <c r="A327" i="73" a="1"/>
  <c r="A327" i="73" s="1"/>
  <c r="C327" i="73" s="1" a="1"/>
  <c r="C327" i="73" s="1"/>
  <c r="A326" i="73" a="1"/>
  <c r="A326" i="73" s="1"/>
  <c r="H326" i="73" s="1" a="1"/>
  <c r="H326" i="73" s="1"/>
  <c r="A325" i="73" a="1"/>
  <c r="A325" i="73" s="1"/>
  <c r="B325" i="73" a="1"/>
  <c r="B325" i="73" s="1"/>
  <c r="A324" i="73" a="1"/>
  <c r="A324" i="73" s="1"/>
  <c r="A323" i="73" a="1"/>
  <c r="A323" i="73" s="1"/>
  <c r="D323" i="73" s="1" a="1"/>
  <c r="A322" i="73" a="1"/>
  <c r="A322" i="73" s="1"/>
  <c r="B322" i="73" s="1" a="1"/>
  <c r="B322" i="73" s="1"/>
  <c r="A321" i="73" a="1"/>
  <c r="A321" i="73" s="1"/>
  <c r="B321" i="73" s="1" a="1"/>
  <c r="B321" i="73" s="1"/>
  <c r="A320" i="73" a="1"/>
  <c r="A320" i="73" s="1"/>
  <c r="A319" i="73" a="1"/>
  <c r="A319" i="73" s="1"/>
  <c r="H319" i="73" a="1"/>
  <c r="H319" i="73" s="1"/>
  <c r="A318" i="73" a="1"/>
  <c r="A318" i="73" s="1"/>
  <c r="H318" i="73" s="1" a="1"/>
  <c r="H318" i="73" s="1"/>
  <c r="A317" i="73" a="1"/>
  <c r="A317" i="73" s="1"/>
  <c r="D317" i="73" s="1" a="1"/>
  <c r="A316" i="73" a="1"/>
  <c r="A316" i="73" s="1"/>
  <c r="B316" i="73" s="1" a="1"/>
  <c r="B316" i="73" s="1"/>
  <c r="A315" i="73" a="1"/>
  <c r="A315" i="73" s="1"/>
  <c r="D315" i="73" s="1" a="1"/>
  <c r="D315" i="73" s="1"/>
  <c r="A314" i="73" a="1"/>
  <c r="A314" i="73" s="1"/>
  <c r="D314" i="73" s="1" a="1"/>
  <c r="A313" i="73" a="1"/>
  <c r="A313" i="73" s="1"/>
  <c r="D313" i="73" s="1" a="1"/>
  <c r="D313" i="73" s="1"/>
  <c r="A312" i="73" a="1"/>
  <c r="A312" i="73" s="1"/>
  <c r="A311" i="73" a="1"/>
  <c r="A311" i="73" s="1"/>
  <c r="C311" i="73" s="1" a="1"/>
  <c r="C311" i="73" s="1"/>
  <c r="A310" i="73" a="1"/>
  <c r="A310" i="73" s="1"/>
  <c r="A309" i="73" a="1"/>
  <c r="A309" i="73" s="1"/>
  <c r="A308" i="73" a="1"/>
  <c r="A308" i="73" s="1"/>
  <c r="A307" i="73" a="1"/>
  <c r="A307" i="73" s="1"/>
  <c r="B307" i="73" s="1" a="1"/>
  <c r="B307" i="73" s="1"/>
  <c r="A306" i="73" a="1"/>
  <c r="A306" i="73" s="1"/>
  <c r="A305" i="73" a="1"/>
  <c r="A305" i="73" s="1"/>
  <c r="C305" i="73" a="1"/>
  <c r="C305" i="73" s="1"/>
  <c r="A304" i="73" a="1"/>
  <c r="A304" i="73" s="1"/>
  <c r="A303" i="73" a="1"/>
  <c r="A303" i="73" s="1"/>
  <c r="A302" i="73" a="1"/>
  <c r="A302" i="73" s="1"/>
  <c r="A301" i="73" a="1"/>
  <c r="A301" i="73" s="1"/>
  <c r="A300" i="73" a="1"/>
  <c r="A300" i="73" s="1"/>
  <c r="A299" i="73" a="1"/>
  <c r="A299" i="73" s="1"/>
  <c r="A298" i="73" a="1"/>
  <c r="A298" i="73" s="1"/>
  <c r="D298" i="73" s="1" a="1"/>
  <c r="D298" i="73" s="1"/>
  <c r="A297" i="73" a="1"/>
  <c r="A297" i="73" s="1"/>
  <c r="C297" i="73" s="1" a="1"/>
  <c r="C297" i="73" s="1"/>
  <c r="A296" i="73" a="1"/>
  <c r="A296" i="73" s="1"/>
  <c r="H296" i="73" a="1"/>
  <c r="H296" i="73" s="1"/>
  <c r="A295" i="73" a="1"/>
  <c r="A295" i="73" s="1"/>
  <c r="A294" i="73" a="1"/>
  <c r="A294" i="73" s="1"/>
  <c r="H294" i="73" s="1" a="1"/>
  <c r="H294" i="73" s="1"/>
  <c r="A293" i="73" a="1"/>
  <c r="A293" i="73" s="1"/>
  <c r="B293" i="73" s="1" a="1"/>
  <c r="B293" i="73" s="1"/>
  <c r="A292" i="73" a="1"/>
  <c r="A292" i="73" s="1"/>
  <c r="D292" i="73" s="1" a="1"/>
  <c r="D292" i="73" s="1"/>
  <c r="A291" i="73" a="1"/>
  <c r="A291" i="73" s="1"/>
  <c r="C291" i="73" s="1" a="1"/>
  <c r="C291" i="73" s="1"/>
  <c r="A290" i="73" a="1"/>
  <c r="A290" i="73" s="1"/>
  <c r="D290" i="73" a="1"/>
  <c r="D290" i="73" s="1"/>
  <c r="A289" i="73" a="1"/>
  <c r="A289" i="73" s="1"/>
  <c r="H289" i="73" s="1" a="1"/>
  <c r="A288" i="73" a="1"/>
  <c r="A288" i="73" s="1"/>
  <c r="A287" i="73" a="1"/>
  <c r="A287" i="73" s="1"/>
  <c r="A286" i="73" a="1"/>
  <c r="A286" i="73" s="1"/>
  <c r="A285" i="73" a="1"/>
  <c r="A285" i="73" s="1"/>
  <c r="B285" i="73" a="1"/>
  <c r="B285" i="73" s="1"/>
  <c r="A284" i="73" a="1"/>
  <c r="A284" i="73" s="1"/>
  <c r="B284" i="73" s="1" a="1"/>
  <c r="B284" i="73" s="1"/>
  <c r="A283" i="73" a="1"/>
  <c r="A283" i="73" s="1"/>
  <c r="A282" i="73" a="1"/>
  <c r="A282" i="73" s="1"/>
  <c r="D282" i="73" s="1" a="1"/>
  <c r="D282" i="73" s="1"/>
  <c r="A281" i="73" a="1"/>
  <c r="A281" i="73" s="1"/>
  <c r="D281" i="73" s="1" a="1"/>
  <c r="D281" i="73" s="1"/>
  <c r="A280" i="73" a="1"/>
  <c r="A280" i="73" s="1"/>
  <c r="H280" i="73" s="1" a="1"/>
  <c r="H280" i="73" s="1"/>
  <c r="A279" i="73" a="1"/>
  <c r="A279" i="73" s="1"/>
  <c r="A278" i="73" a="1"/>
  <c r="A278" i="73" s="1"/>
  <c r="D278" i="73" s="1" a="1"/>
  <c r="D278" i="73" s="1"/>
  <c r="A277" i="73" a="1"/>
  <c r="A277" i="73" s="1"/>
  <c r="A276" i="73" a="1"/>
  <c r="A276" i="73" s="1"/>
  <c r="A275" i="73" a="1"/>
  <c r="A275" i="73" s="1"/>
  <c r="A274" i="73" a="1"/>
  <c r="A274" i="73" s="1"/>
  <c r="C274" i="73" s="1" a="1"/>
  <c r="A273" i="73" a="1"/>
  <c r="A273" i="73" s="1"/>
  <c r="C273" i="73" s="1" a="1"/>
  <c r="C273" i="73" s="1"/>
  <c r="A272" i="73" a="1"/>
  <c r="A272" i="73" s="1"/>
  <c r="D272" i="73" s="1" a="1"/>
  <c r="D272" i="73" s="1"/>
  <c r="A271" i="73" a="1"/>
  <c r="A271" i="73" s="1"/>
  <c r="D271" i="73" s="1" a="1"/>
  <c r="A270" i="73" a="1"/>
  <c r="A270" i="73" s="1"/>
  <c r="C270" i="73" s="1" a="1"/>
  <c r="A269" i="73" a="1"/>
  <c r="A269" i="73" s="1"/>
  <c r="H269" i="73" s="1" a="1"/>
  <c r="H269" i="73" s="1"/>
  <c r="A268" i="73" a="1"/>
  <c r="A268" i="73" s="1"/>
  <c r="D268" i="73" s="1" a="1"/>
  <c r="D268" i="73" s="1"/>
  <c r="A267" i="73" a="1"/>
  <c r="A267" i="73" s="1"/>
  <c r="D267" i="73" a="1"/>
  <c r="D267" i="73" s="1"/>
  <c r="A266" i="73" a="1"/>
  <c r="A266" i="73" s="1"/>
  <c r="B266" i="73" s="1" a="1"/>
  <c r="B266" i="73" s="1"/>
  <c r="A265" i="73" a="1"/>
  <c r="A265" i="73" s="1"/>
  <c r="D265" i="73" a="1"/>
  <c r="D265" i="73" s="1"/>
  <c r="A264" i="73" a="1"/>
  <c r="A264" i="73" s="1"/>
  <c r="A263" i="73" a="1"/>
  <c r="A263" i="73" s="1"/>
  <c r="C263" i="73" s="1" a="1"/>
  <c r="A262" i="73" a="1"/>
  <c r="A262" i="73" s="1"/>
  <c r="A261" i="73" a="1"/>
  <c r="A261" i="73" s="1"/>
  <c r="H261" i="73" s="1" a="1"/>
  <c r="H261" i="73" s="1"/>
  <c r="C261" i="73" a="1"/>
  <c r="C261" i="73" s="1"/>
  <c r="A260" i="73" a="1"/>
  <c r="A260" i="73" s="1"/>
  <c r="A259" i="73" a="1"/>
  <c r="A259" i="73" s="1"/>
  <c r="A258" i="73" a="1"/>
  <c r="A258" i="73" s="1"/>
  <c r="A257" i="73" a="1"/>
  <c r="A257" i="73" s="1"/>
  <c r="A256" i="73" a="1"/>
  <c r="A256" i="73" s="1"/>
  <c r="H256" i="73" s="1" a="1"/>
  <c r="H256" i="73" s="1"/>
  <c r="A255" i="73" a="1"/>
  <c r="A255" i="73" s="1"/>
  <c r="A254" i="73" a="1"/>
  <c r="A254" i="73" s="1"/>
  <c r="H254" i="73" s="1" a="1"/>
  <c r="H254" i="73" s="1"/>
  <c r="A253" i="73" a="1"/>
  <c r="A253" i="73" s="1"/>
  <c r="A252" i="73" a="1"/>
  <c r="A252" i="73" s="1"/>
  <c r="B252" i="73" s="1" a="1"/>
  <c r="B252" i="73" s="1"/>
  <c r="A251" i="73" a="1"/>
  <c r="A251" i="73" s="1"/>
  <c r="C251" i="73" s="1" a="1"/>
  <c r="C251" i="73" s="1"/>
  <c r="A250" i="73" a="1"/>
  <c r="A250" i="73" s="1"/>
  <c r="B250" i="73" s="1" a="1"/>
  <c r="B250" i="73" s="1"/>
  <c r="A249" i="73" a="1"/>
  <c r="A249" i="73" s="1"/>
  <c r="D249" i="73" s="1" a="1"/>
  <c r="D249" i="73" s="1"/>
  <c r="A248" i="73" a="1"/>
  <c r="A248" i="73" s="1"/>
  <c r="A247" i="73" a="1"/>
  <c r="A247" i="73" s="1"/>
  <c r="H247" i="73" a="1"/>
  <c r="H247" i="73" s="1"/>
  <c r="A246" i="73" a="1"/>
  <c r="A246" i="73" s="1"/>
  <c r="H246" i="73" a="1"/>
  <c r="H246" i="73" s="1"/>
  <c r="A245" i="73" a="1"/>
  <c r="A245" i="73" s="1"/>
  <c r="A244" i="73" a="1"/>
  <c r="A244" i="73" s="1"/>
  <c r="A243" i="73" a="1"/>
  <c r="A243" i="73" s="1"/>
  <c r="D243" i="73" s="1" a="1"/>
  <c r="D243" i="73" s="1"/>
  <c r="H243" i="73" a="1"/>
  <c r="H243" i="73" s="1"/>
  <c r="A242" i="73" a="1"/>
  <c r="A242" i="73" s="1"/>
  <c r="A241" i="73" a="1"/>
  <c r="A241" i="73" s="1"/>
  <c r="B241" i="73" s="1" a="1"/>
  <c r="B241" i="73" s="1"/>
  <c r="A240" i="73" a="1"/>
  <c r="A240" i="73" s="1"/>
  <c r="A239" i="73" a="1"/>
  <c r="A239" i="73" s="1"/>
  <c r="A238" i="73" a="1"/>
  <c r="A238" i="73" s="1"/>
  <c r="A237" i="73" a="1"/>
  <c r="A237" i="73" s="1"/>
  <c r="C237" i="73" s="1" a="1"/>
  <c r="C237" i="73" s="1"/>
  <c r="A236" i="73" a="1"/>
  <c r="A236" i="73" s="1"/>
  <c r="A235" i="73" a="1"/>
  <c r="A235" i="73" s="1"/>
  <c r="A234" i="73" a="1"/>
  <c r="A234" i="73" s="1"/>
  <c r="H234" i="73" s="1" a="1"/>
  <c r="H234" i="73" s="1"/>
  <c r="A233" i="73" a="1"/>
  <c r="A233" i="73" s="1"/>
  <c r="A232" i="73" a="1"/>
  <c r="A232" i="73" s="1"/>
  <c r="D232" i="73" s="1" a="1"/>
  <c r="D232" i="73" s="1"/>
  <c r="A231" i="73" a="1"/>
  <c r="A231" i="73" s="1"/>
  <c r="B231" i="73" s="1" a="1"/>
  <c r="B231" i="73" s="1"/>
  <c r="A230" i="73" a="1"/>
  <c r="A230" i="73" s="1"/>
  <c r="C230" i="73" s="1" a="1"/>
  <c r="C230" i="73" s="1"/>
  <c r="A229" i="73" a="1"/>
  <c r="A229" i="73" s="1"/>
  <c r="D229" i="73" s="1" a="1"/>
  <c r="D229" i="73" s="1"/>
  <c r="A228" i="73" a="1"/>
  <c r="A228" i="73" s="1"/>
  <c r="D228" i="73" s="1" a="1"/>
  <c r="D228" i="73" s="1"/>
  <c r="A227" i="73" a="1"/>
  <c r="A227" i="73" s="1"/>
  <c r="C227" i="73" s="1" a="1"/>
  <c r="C227" i="73" s="1"/>
  <c r="A226" i="73" a="1"/>
  <c r="A226" i="73" s="1"/>
  <c r="A225" i="73" a="1"/>
  <c r="A225" i="73" s="1"/>
  <c r="D225" i="73" s="1" a="1"/>
  <c r="D225" i="73" s="1"/>
  <c r="A224" i="73" a="1"/>
  <c r="A224" i="73" s="1"/>
  <c r="D224" i="73" s="1" a="1"/>
  <c r="D224" i="73" s="1"/>
  <c r="A223" i="73" a="1"/>
  <c r="A223" i="73" s="1"/>
  <c r="B223" i="73" s="1" a="1"/>
  <c r="B223" i="73" s="1"/>
  <c r="D223" i="73" a="1"/>
  <c r="D223" i="73" s="1"/>
  <c r="A222" i="73" a="1"/>
  <c r="A222" i="73" s="1"/>
  <c r="A221" i="73" a="1"/>
  <c r="A221" i="73" s="1"/>
  <c r="A220" i="73" a="1"/>
  <c r="A220" i="73" s="1"/>
  <c r="A219" i="73" a="1"/>
  <c r="A219" i="73" s="1"/>
  <c r="A218" i="73" a="1"/>
  <c r="A218" i="73" s="1"/>
  <c r="B218" i="73" s="1" a="1"/>
  <c r="B218" i="73" s="1"/>
  <c r="A217" i="73" a="1"/>
  <c r="A217" i="73" s="1"/>
  <c r="D217" i="73" s="1" a="1"/>
  <c r="D217" i="73" s="1"/>
  <c r="A216" i="73" a="1"/>
  <c r="A216" i="73" s="1"/>
  <c r="A215" i="73" a="1"/>
  <c r="A215" i="73" s="1"/>
  <c r="H215" i="73" a="1"/>
  <c r="H215" i="73" s="1"/>
  <c r="A214" i="73" a="1"/>
  <c r="A214" i="73" s="1"/>
  <c r="H214" i="73" s="1" a="1"/>
  <c r="H214" i="73" s="1"/>
  <c r="A213" i="73" a="1"/>
  <c r="A213" i="73" s="1"/>
  <c r="B213" i="73" a="1"/>
  <c r="B213" i="73" s="1"/>
  <c r="A212" i="73" a="1"/>
  <c r="A212" i="73" s="1"/>
  <c r="C212" i="73" s="1" a="1"/>
  <c r="C212" i="73" s="1"/>
  <c r="A211" i="73" a="1"/>
  <c r="A211" i="73" s="1"/>
  <c r="A210" i="73" a="1"/>
  <c r="A210" i="73" s="1"/>
  <c r="A209" i="73" a="1"/>
  <c r="A209" i="73" s="1"/>
  <c r="B209" i="73" a="1"/>
  <c r="B209" i="73" s="1"/>
  <c r="A208" i="73" a="1"/>
  <c r="A208" i="73" s="1"/>
  <c r="A207" i="73" a="1"/>
  <c r="A207" i="73" s="1"/>
  <c r="D207" i="73" s="1" a="1"/>
  <c r="D207" i="73" s="1"/>
  <c r="A206" i="73" a="1"/>
  <c r="A206" i="73" s="1"/>
  <c r="H206" i="73" a="1"/>
  <c r="H206" i="73" s="1"/>
  <c r="A205" i="73" a="1"/>
  <c r="A205" i="73" s="1"/>
  <c r="C205" i="73" s="1" a="1"/>
  <c r="C205" i="73" s="1"/>
  <c r="H205" i="73" a="1"/>
  <c r="H205" i="73" s="1"/>
  <c r="A204" i="73" a="1"/>
  <c r="A204" i="73" s="1"/>
  <c r="B204" i="73" s="1" a="1"/>
  <c r="B204" i="73" s="1"/>
  <c r="A203" i="73" a="1"/>
  <c r="A203" i="73" s="1"/>
  <c r="C203" i="73" a="1"/>
  <c r="C203" i="73" s="1"/>
  <c r="A202" i="73" a="1"/>
  <c r="A202" i="73" s="1"/>
  <c r="A201" i="73" a="1"/>
  <c r="A201" i="73" s="1"/>
  <c r="A200" i="73" a="1"/>
  <c r="A200" i="73" s="1"/>
  <c r="C200" i="73" s="1" a="1"/>
  <c r="C200" i="73" s="1"/>
  <c r="A199" i="73" a="1"/>
  <c r="A199" i="73" s="1"/>
  <c r="A198" i="73" a="1"/>
  <c r="A198" i="73" s="1"/>
  <c r="C198" i="73" s="1" a="1"/>
  <c r="C198" i="73" s="1"/>
  <c r="A197" i="73" a="1"/>
  <c r="A197" i="73" s="1"/>
  <c r="A196" i="73" a="1"/>
  <c r="A196" i="73" s="1"/>
  <c r="A195" i="73" a="1"/>
  <c r="A195" i="73" s="1"/>
  <c r="A194" i="73" a="1"/>
  <c r="A194" i="73" s="1"/>
  <c r="A193" i="73" a="1"/>
  <c r="A193" i="73" s="1"/>
  <c r="A192" i="73" a="1"/>
  <c r="A192" i="73" s="1"/>
  <c r="A191" i="73" a="1"/>
  <c r="A191" i="73" s="1"/>
  <c r="A190" i="73" a="1"/>
  <c r="A190" i="73" s="1"/>
  <c r="H190" i="73" s="1" a="1"/>
  <c r="H190" i="73" s="1"/>
  <c r="A189" i="73" a="1"/>
  <c r="A189" i="73" s="1"/>
  <c r="A188" i="73" a="1"/>
  <c r="A188" i="73" s="1"/>
  <c r="A187" i="73" a="1"/>
  <c r="A187" i="73" s="1"/>
  <c r="D187" i="73" s="1" a="1"/>
  <c r="D187" i="73" s="1"/>
  <c r="A186" i="73" a="1"/>
  <c r="A186" i="73" s="1"/>
  <c r="H186" i="73" s="1" a="1"/>
  <c r="H186" i="73" s="1"/>
  <c r="A185" i="73" a="1"/>
  <c r="A185" i="73" s="1"/>
  <c r="C185" i="73" a="1"/>
  <c r="C185" i="73" s="1"/>
  <c r="A184" i="73" a="1"/>
  <c r="A184" i="73" s="1"/>
  <c r="D184" i="73" s="1" a="1"/>
  <c r="D184" i="73" s="1"/>
  <c r="A183" i="73" a="1"/>
  <c r="A183" i="73" s="1"/>
  <c r="D183" i="73" a="1"/>
  <c r="D183" i="73" s="1"/>
  <c r="A182" i="73" a="1"/>
  <c r="A182" i="73" s="1"/>
  <c r="A181" i="73" a="1"/>
  <c r="A181" i="73" s="1"/>
  <c r="A180" i="73" a="1"/>
  <c r="A180" i="73" s="1"/>
  <c r="D180" i="73" s="1" a="1"/>
  <c r="D180" i="73" s="1"/>
  <c r="A179" i="73" a="1"/>
  <c r="A179" i="73" s="1"/>
  <c r="H179" i="73" s="1" a="1"/>
  <c r="H179" i="73" s="1"/>
  <c r="A178" i="73" a="1"/>
  <c r="A178" i="73" s="1"/>
  <c r="A177" i="73" a="1"/>
  <c r="A177" i="73" s="1"/>
  <c r="A176" i="73" a="1"/>
  <c r="A176" i="73" s="1"/>
  <c r="A175" i="73" a="1"/>
  <c r="A175" i="73" s="1"/>
  <c r="H175" i="73" s="1" a="1"/>
  <c r="H175" i="73" s="1"/>
  <c r="A174" i="73" a="1"/>
  <c r="A174" i="73" s="1"/>
  <c r="A173" i="73" a="1"/>
  <c r="A173" i="73" s="1"/>
  <c r="A172" i="73" a="1"/>
  <c r="A172" i="73" s="1"/>
  <c r="D172" i="73" s="1" a="1"/>
  <c r="D172" i="73" s="1"/>
  <c r="A171" i="73" a="1"/>
  <c r="A171" i="73" s="1"/>
  <c r="A170" i="73" a="1"/>
  <c r="A170" i="73" s="1"/>
  <c r="A169" i="73" a="1"/>
  <c r="A169" i="73" s="1"/>
  <c r="C169" i="73" s="1" a="1"/>
  <c r="A168" i="73" a="1"/>
  <c r="A168" i="73" s="1"/>
  <c r="A167" i="73" a="1"/>
  <c r="A167" i="73" s="1"/>
  <c r="D167" i="73" s="1" a="1"/>
  <c r="D167" i="73" s="1"/>
  <c r="A166" i="73" a="1"/>
  <c r="A166" i="73" s="1"/>
  <c r="B166" i="73" s="1" a="1"/>
  <c r="B166" i="73" s="1"/>
  <c r="A165" i="73" a="1"/>
  <c r="A165" i="73" s="1"/>
  <c r="A164" i="73" a="1"/>
  <c r="A164" i="73" s="1"/>
  <c r="H164" i="73" s="1" a="1"/>
  <c r="H164" i="73" s="1"/>
  <c r="A163" i="73" a="1"/>
  <c r="A163" i="73" s="1"/>
  <c r="D163" i="73" s="1" a="1"/>
  <c r="D163" i="73" s="1"/>
  <c r="A162" i="73" a="1"/>
  <c r="A162" i="73" s="1"/>
  <c r="B162" i="73" s="1" a="1"/>
  <c r="A161" i="73" a="1"/>
  <c r="A161" i="73" s="1"/>
  <c r="H161" i="73" s="1" a="1"/>
  <c r="H161" i="73" s="1"/>
  <c r="A160" i="73" a="1"/>
  <c r="A160" i="73" s="1"/>
  <c r="B160" i="73" s="1" a="1"/>
  <c r="B160" i="73" s="1"/>
  <c r="A159" i="73" a="1"/>
  <c r="A159" i="73" s="1"/>
  <c r="A158" i="73" a="1"/>
  <c r="A158" i="73" s="1"/>
  <c r="B158" i="73" s="1" a="1"/>
  <c r="B158" i="73" s="1"/>
  <c r="A157" i="73" a="1"/>
  <c r="A157" i="73" s="1"/>
  <c r="A156" i="73" a="1"/>
  <c r="A156" i="73" s="1"/>
  <c r="A155" i="73" a="1"/>
  <c r="A155" i="73" s="1"/>
  <c r="B155" i="73" s="1" a="1"/>
  <c r="A154" i="73" a="1"/>
  <c r="A154" i="73" s="1"/>
  <c r="A153" i="73" a="1"/>
  <c r="A153" i="73" s="1"/>
  <c r="C153" i="73" s="1" a="1"/>
  <c r="C153" i="73" s="1"/>
  <c r="A152" i="73" a="1"/>
  <c r="A152" i="73" s="1"/>
  <c r="B152" i="73" s="1" a="1"/>
  <c r="B152" i="73" s="1"/>
  <c r="A151" i="73" a="1"/>
  <c r="A151" i="73" s="1"/>
  <c r="A150" i="73" a="1"/>
  <c r="A150" i="73" s="1"/>
  <c r="A149" i="73" a="1"/>
  <c r="A149" i="73" s="1"/>
  <c r="B149" i="73" s="1" a="1"/>
  <c r="B149" i="73" s="1"/>
  <c r="A148" i="73" a="1"/>
  <c r="A148" i="73" s="1"/>
  <c r="D148" i="73" s="1" a="1"/>
  <c r="D148" i="73" s="1"/>
  <c r="A147" i="73" a="1"/>
  <c r="A147" i="73" s="1"/>
  <c r="A146" i="73" a="1"/>
  <c r="A146" i="73" s="1"/>
  <c r="A145" i="73" a="1"/>
  <c r="A145" i="73" s="1"/>
  <c r="A144" i="73" a="1"/>
  <c r="A144" i="73" s="1"/>
  <c r="D144" i="73" s="1" a="1"/>
  <c r="A143" i="73" a="1"/>
  <c r="A143" i="73" s="1"/>
  <c r="C143" i="73" s="1" a="1"/>
  <c r="C143" i="73" s="1"/>
  <c r="A142" i="73" a="1"/>
  <c r="A142" i="73" s="1"/>
  <c r="A141" i="73" a="1"/>
  <c r="A141" i="73" s="1"/>
  <c r="H141" i="73" s="1" a="1"/>
  <c r="H141" i="73" s="1"/>
  <c r="A140" i="73" a="1"/>
  <c r="A140" i="73" s="1"/>
  <c r="H140" i="73" s="1" a="1"/>
  <c r="H140" i="73" s="1"/>
  <c r="A139" i="73" a="1"/>
  <c r="A139" i="73" s="1"/>
  <c r="H139" i="73" a="1"/>
  <c r="H139" i="73" s="1"/>
  <c r="A138" i="73" a="1"/>
  <c r="A138" i="73" s="1"/>
  <c r="A137" i="73" a="1"/>
  <c r="A137" i="73" s="1"/>
  <c r="A136" i="73" a="1"/>
  <c r="A136" i="73" s="1"/>
  <c r="H136" i="73" s="1" a="1"/>
  <c r="H136" i="73" s="1"/>
  <c r="A135" i="73" a="1"/>
  <c r="A135" i="73" s="1"/>
  <c r="A134" i="73" a="1"/>
  <c r="A134" i="73" s="1"/>
  <c r="A133" i="73" a="1"/>
  <c r="A133" i="73" s="1"/>
  <c r="A132" i="73" a="1"/>
  <c r="A132" i="73" s="1"/>
  <c r="A131" i="73" a="1"/>
  <c r="A131" i="73" s="1"/>
  <c r="B131" i="73" s="1" a="1"/>
  <c r="B131" i="73" s="1"/>
  <c r="A130" i="73" a="1"/>
  <c r="A130" i="73" s="1"/>
  <c r="D130" i="73" s="1" a="1"/>
  <c r="D130" i="73" s="1"/>
  <c r="A129" i="73" a="1"/>
  <c r="A129" i="73" s="1"/>
  <c r="C129" i="73" s="1" a="1"/>
  <c r="A128" i="73" a="1"/>
  <c r="A128" i="73" s="1"/>
  <c r="B128" i="73" s="1" a="1"/>
  <c r="B128" i="73" s="1"/>
  <c r="A127" i="73" a="1"/>
  <c r="A127" i="73" s="1"/>
  <c r="A126" i="73" a="1"/>
  <c r="A126" i="73" s="1"/>
  <c r="A125" i="73" a="1"/>
  <c r="A125" i="73" s="1"/>
  <c r="A124" i="73" a="1"/>
  <c r="A124" i="73" s="1"/>
  <c r="H124" i="73" s="1" a="1"/>
  <c r="H124" i="73" s="1"/>
  <c r="A123" i="73" a="1"/>
  <c r="A123" i="73" s="1"/>
  <c r="H123" i="73" s="1" a="1"/>
  <c r="H123" i="73" s="1"/>
  <c r="A122" i="73" a="1"/>
  <c r="A122" i="73" s="1"/>
  <c r="D122" i="73" s="1" a="1"/>
  <c r="D122" i="73" s="1"/>
  <c r="A121" i="73" a="1"/>
  <c r="A121" i="73" s="1"/>
  <c r="D121" i="73" a="1"/>
  <c r="D121" i="73" s="1"/>
  <c r="A120" i="73" a="1"/>
  <c r="A120" i="73" s="1"/>
  <c r="A119" i="73" a="1"/>
  <c r="A119" i="73" s="1"/>
  <c r="C119" i="73" s="1" a="1"/>
  <c r="C119" i="73" s="1"/>
  <c r="A118" i="73" a="1"/>
  <c r="A118" i="73" s="1"/>
  <c r="H118" i="73" s="1" a="1"/>
  <c r="H118" i="73" s="1"/>
  <c r="A117" i="73" a="1"/>
  <c r="A117" i="73" s="1"/>
  <c r="H117" i="73" s="1" a="1"/>
  <c r="H117" i="73" s="1"/>
  <c r="A116" i="73" a="1"/>
  <c r="A116" i="73" s="1"/>
  <c r="H116" i="73" s="1" a="1"/>
  <c r="A115" i="73" a="1"/>
  <c r="A115" i="73" s="1"/>
  <c r="C115" i="73" s="1" a="1"/>
  <c r="C115" i="73" s="1"/>
  <c r="A114" i="73" a="1"/>
  <c r="A114" i="73" s="1"/>
  <c r="A113" i="73" a="1"/>
  <c r="A113" i="73" s="1"/>
  <c r="A112" i="73" a="1"/>
  <c r="A112" i="73" s="1"/>
  <c r="C112" i="73" s="1" a="1"/>
  <c r="C112" i="73" s="1"/>
  <c r="A111" i="73" a="1"/>
  <c r="A111" i="73" s="1"/>
  <c r="H111" i="73" s="1" a="1"/>
  <c r="H111" i="73" s="1"/>
  <c r="A110" i="73" a="1"/>
  <c r="A110" i="73" s="1"/>
  <c r="H110" i="73" s="1" a="1"/>
  <c r="H110" i="73" s="1"/>
  <c r="A109" i="73" a="1"/>
  <c r="A109" i="73" s="1"/>
  <c r="A108" i="73" a="1"/>
  <c r="A108" i="73" s="1"/>
  <c r="A107" i="73" a="1"/>
  <c r="A107" i="73" s="1"/>
  <c r="B107" i="73" s="1" a="1"/>
  <c r="B107" i="73" s="1"/>
  <c r="A106" i="73" a="1"/>
  <c r="A106" i="73" s="1"/>
  <c r="D106" i="73" s="1" a="1"/>
  <c r="D106" i="73" s="1"/>
  <c r="A105" i="73" a="1"/>
  <c r="A105" i="73" s="1"/>
  <c r="A104" i="73" a="1"/>
  <c r="A104" i="73" s="1"/>
  <c r="A103" i="73" a="1"/>
  <c r="A103" i="73" s="1"/>
  <c r="A102" i="73" a="1"/>
  <c r="A102" i="73" s="1"/>
  <c r="B102" i="73" s="1" a="1"/>
  <c r="B102" i="73" s="1"/>
  <c r="A101" i="73" a="1"/>
  <c r="A101" i="73" s="1"/>
  <c r="A100" i="73" a="1"/>
  <c r="A100" i="73" s="1"/>
  <c r="D100" i="73" s="1" a="1"/>
  <c r="A99" i="73" a="1"/>
  <c r="A99" i="73" s="1"/>
  <c r="H99" i="73" s="1" a="1"/>
  <c r="H99" i="73" s="1"/>
  <c r="A98" i="73" a="1"/>
  <c r="A98" i="73" s="1"/>
  <c r="H98" i="73" a="1"/>
  <c r="H98" i="73" s="1"/>
  <c r="A97" i="73" a="1"/>
  <c r="A97" i="73" s="1"/>
  <c r="C97" i="73" s="1" a="1"/>
  <c r="C97" i="73" s="1"/>
  <c r="A96" i="73" a="1"/>
  <c r="A96" i="73" s="1"/>
  <c r="C96" i="73" s="1" a="1"/>
  <c r="C96" i="73" s="1"/>
  <c r="A95" i="73" a="1"/>
  <c r="A95" i="73" s="1"/>
  <c r="H95" i="73" a="1"/>
  <c r="H95" i="73" s="1"/>
  <c r="A94" i="73" a="1"/>
  <c r="A94" i="73" s="1"/>
  <c r="B94" i="73" s="1" a="1"/>
  <c r="B94" i="73" s="1"/>
  <c r="A93" i="73" a="1"/>
  <c r="A93" i="73" s="1"/>
  <c r="A92" i="73" a="1"/>
  <c r="A92" i="73" s="1"/>
  <c r="C92" i="73" s="1" a="1"/>
  <c r="C92" i="73" s="1"/>
  <c r="A91" i="73" a="1"/>
  <c r="A91" i="73" s="1"/>
  <c r="C91" i="73" a="1"/>
  <c r="C91" i="73" s="1"/>
  <c r="A90" i="73" a="1"/>
  <c r="A90" i="73" s="1"/>
  <c r="A89" i="73" a="1"/>
  <c r="A89" i="73" s="1"/>
  <c r="H89" i="73" s="1" a="1"/>
  <c r="H89" i="73" s="1"/>
  <c r="A88" i="73" a="1"/>
  <c r="A88" i="73" s="1"/>
  <c r="H88" i="73" a="1"/>
  <c r="H88" i="73" s="1"/>
  <c r="A87" i="73" a="1"/>
  <c r="A87" i="73" s="1"/>
  <c r="A86" i="73" a="1"/>
  <c r="A86" i="73" s="1"/>
  <c r="C86" i="73" s="1" a="1"/>
  <c r="A85" i="73" a="1"/>
  <c r="A85" i="73" s="1"/>
  <c r="C85" i="73" s="1" a="1"/>
  <c r="A84" i="73" a="1"/>
  <c r="A84" i="73" s="1"/>
  <c r="D84" i="73" a="1"/>
  <c r="D84" i="73" s="1"/>
  <c r="A83" i="73" a="1"/>
  <c r="A83" i="73" s="1"/>
  <c r="A82" i="73" a="1"/>
  <c r="A82" i="73" s="1"/>
  <c r="A81" i="73" a="1"/>
  <c r="A81" i="73" s="1"/>
  <c r="A80" i="73" a="1"/>
  <c r="A80" i="73" s="1"/>
  <c r="A79" i="73" a="1"/>
  <c r="A79" i="73" s="1"/>
  <c r="A78" i="73" a="1"/>
  <c r="A78" i="73" s="1"/>
  <c r="A77" i="73" a="1"/>
  <c r="A77" i="73" s="1"/>
  <c r="C77" i="73" a="1"/>
  <c r="C77" i="73" s="1"/>
  <c r="A76" i="73" a="1"/>
  <c r="A76" i="73" s="1"/>
  <c r="A75" i="73" a="1"/>
  <c r="A75" i="73" s="1"/>
  <c r="B75" i="73" s="1" a="1"/>
  <c r="B75" i="73" s="1"/>
  <c r="A74" i="73" a="1"/>
  <c r="A74" i="73" s="1"/>
  <c r="B74" i="73" s="1" a="1"/>
  <c r="B74" i="73" s="1"/>
  <c r="D74" i="73" a="1"/>
  <c r="D74" i="73" s="1"/>
  <c r="A73" i="73" a="1"/>
  <c r="A73" i="73" s="1"/>
  <c r="B73" i="73" s="1" a="1"/>
  <c r="B73" i="73" s="1"/>
  <c r="A72" i="73" a="1"/>
  <c r="A72" i="73" s="1"/>
  <c r="H72" i="73" s="1" a="1"/>
  <c r="A71" i="73" a="1"/>
  <c r="A71" i="73" s="1"/>
  <c r="A70" i="73" a="1"/>
  <c r="A70" i="73" s="1"/>
  <c r="H70" i="73" s="1" a="1"/>
  <c r="A69" i="73" a="1"/>
  <c r="A69" i="73" s="1"/>
  <c r="D69" i="73" s="1" a="1"/>
  <c r="D69" i="73" s="1"/>
  <c r="A68" i="73" a="1"/>
  <c r="A68" i="73" s="1"/>
  <c r="A67" i="73" a="1"/>
  <c r="A67" i="73" s="1"/>
  <c r="D67" i="73" s="1" a="1"/>
  <c r="D67" i="73" s="1"/>
  <c r="A66" i="73" a="1"/>
  <c r="A66" i="73" s="1"/>
  <c r="B66" i="73" s="1" a="1"/>
  <c r="B66" i="73" s="1"/>
  <c r="A65" i="73" a="1"/>
  <c r="A65" i="73" s="1"/>
  <c r="D65" i="73" s="1" a="1"/>
  <c r="D65" i="73" s="1"/>
  <c r="A64" i="73" a="1"/>
  <c r="A64" i="73" s="1"/>
  <c r="D64" i="73" s="1" a="1"/>
  <c r="D64" i="73" s="1"/>
  <c r="A63" i="73" a="1"/>
  <c r="A63" i="73" s="1"/>
  <c r="A62" i="73" a="1"/>
  <c r="A62" i="73" s="1"/>
  <c r="B62" i="73" s="1" a="1"/>
  <c r="H62" i="73" a="1"/>
  <c r="H62" i="73" s="1"/>
  <c r="A61" i="73" a="1"/>
  <c r="A61" i="73" s="1"/>
  <c r="A60" i="73" a="1"/>
  <c r="A60" i="73" s="1"/>
  <c r="A36" i="73" a="1"/>
  <c r="A36" i="73" s="1"/>
  <c r="A54" i="73" a="1"/>
  <c r="A54" i="73" s="1"/>
  <c r="S54" i="73" s="1"/>
  <c r="A40" i="73" a="1"/>
  <c r="A40" i="73" s="1"/>
  <c r="J40" i="73" s="1"/>
  <c r="A21" i="73" a="1"/>
  <c r="A21" i="73" s="1"/>
  <c r="N21" i="73" s="1"/>
  <c r="A58" i="73" a="1"/>
  <c r="A58" i="73" s="1"/>
  <c r="Q58" i="73" s="1"/>
  <c r="D58" i="73" a="1"/>
  <c r="D58" i="73" s="1"/>
  <c r="A42" i="73" a="1"/>
  <c r="A42" i="73" s="1"/>
  <c r="H42" i="73" s="1" a="1"/>
  <c r="H42" i="73" s="1"/>
  <c r="A24" i="73" a="1"/>
  <c r="A24" i="73" s="1"/>
  <c r="W24" i="73" s="1"/>
  <c r="A28" i="73" a="1"/>
  <c r="A28" i="73" s="1"/>
  <c r="A6" i="73" a="1"/>
  <c r="A6" i="73" s="1"/>
  <c r="C6" i="73" s="1" a="1"/>
  <c r="C6" i="73" s="1"/>
  <c r="A45" i="73" a="1"/>
  <c r="A45" i="73" s="1"/>
  <c r="W45" i="73" s="1"/>
  <c r="A49" i="73" a="1"/>
  <c r="A49" i="73" s="1"/>
  <c r="N49" i="73" s="1"/>
  <c r="A4" i="73" a="1"/>
  <c r="A4" i="73" s="1"/>
  <c r="W4" i="73" s="1"/>
  <c r="A25" i="73" a="1"/>
  <c r="A25" i="73" s="1"/>
  <c r="A7" i="73" a="1"/>
  <c r="A7" i="73"/>
  <c r="M7" i="73" s="1"/>
  <c r="A8" i="73" a="1"/>
  <c r="A8" i="73" s="1"/>
  <c r="V8" i="73" s="1"/>
  <c r="A48" i="73" a="1"/>
  <c r="A48" i="73"/>
  <c r="M48" i="73" s="1"/>
  <c r="A26" i="73" a="1"/>
  <c r="A26" i="73" s="1"/>
  <c r="A56" i="73" a="1"/>
  <c r="A56" i="73" s="1"/>
  <c r="B56" i="73" s="1" a="1"/>
  <c r="B56" i="73" s="1"/>
  <c r="A31" i="73" a="1"/>
  <c r="A31" i="73" s="1"/>
  <c r="N31" i="73"/>
  <c r="A35" i="73" a="1"/>
  <c r="A35" i="73" s="1"/>
  <c r="M35" i="73" s="1"/>
  <c r="A41" i="73" a="1"/>
  <c r="A41" i="73" s="1"/>
  <c r="C41" i="73" s="1" a="1"/>
  <c r="C41" i="73" s="1"/>
  <c r="A37" i="73" a="1"/>
  <c r="A37" i="73"/>
  <c r="H37" i="73" s="1" a="1"/>
  <c r="H37" i="73" s="1"/>
  <c r="A22" i="73" a="1"/>
  <c r="A22" i="73" s="1"/>
  <c r="A32" i="73" a="1"/>
  <c r="A32" i="73"/>
  <c r="I32" i="73" s="1" a="1"/>
  <c r="I32" i="73" s="1"/>
  <c r="A14" i="73" a="1"/>
  <c r="A14" i="73"/>
  <c r="A30" i="73" a="1"/>
  <c r="A30" i="73" s="1"/>
  <c r="A29" i="73" a="1"/>
  <c r="A29" i="73" s="1"/>
  <c r="B29" i="73" s="1" a="1"/>
  <c r="B29" i="73" s="1"/>
  <c r="A13" i="73" a="1"/>
  <c r="A13" i="73" s="1"/>
  <c r="A19" i="73" a="1"/>
  <c r="A19" i="73" s="1"/>
  <c r="M19" i="73" s="1"/>
  <c r="T19" i="73"/>
  <c r="A15" i="73" a="1"/>
  <c r="A15" i="73" s="1"/>
  <c r="P15" i="73" s="1"/>
  <c r="A33" i="73" a="1"/>
  <c r="A33" i="73" s="1"/>
  <c r="S33" i="73" s="1"/>
  <c r="A10" i="73" a="1"/>
  <c r="A10" i="73" s="1"/>
  <c r="A11" i="73" a="1"/>
  <c r="A11" i="73" s="1"/>
  <c r="M11" i="73" s="1"/>
  <c r="A27" i="73" a="1"/>
  <c r="A27" i="73" s="1"/>
  <c r="C27" i="73" s="1" a="1"/>
  <c r="C27" i="73" s="1"/>
  <c r="A16" i="73" a="1"/>
  <c r="A16" i="73" s="1"/>
  <c r="Q16" i="73" s="1"/>
  <c r="A12" i="73" a="1"/>
  <c r="A12" i="73"/>
  <c r="T12" i="73" s="1"/>
  <c r="A47" i="73" a="1"/>
  <c r="A47" i="73"/>
  <c r="J47" i="73" s="1"/>
  <c r="C47" i="73" a="1"/>
  <c r="C47" i="73"/>
  <c r="A52" i="73" a="1"/>
  <c r="A52" i="73"/>
  <c r="D52" i="73" s="1" a="1"/>
  <c r="A44" i="73" a="1"/>
  <c r="A44" i="73" s="1"/>
  <c r="J44" i="73" s="1"/>
  <c r="A59" i="73" a="1"/>
  <c r="A59" i="73"/>
  <c r="D59" i="73" s="1" a="1"/>
  <c r="D59" i="73" s="1"/>
  <c r="A9" i="73" a="1"/>
  <c r="A9" i="73" s="1"/>
  <c r="P9" i="73" s="1"/>
  <c r="A23" i="73" a="1"/>
  <c r="A23" i="73"/>
  <c r="M23" i="73" s="1"/>
  <c r="A17" i="73" a="1"/>
  <c r="A17" i="73"/>
  <c r="H17" i="73" s="1" a="1"/>
  <c r="H17" i="73" s="1"/>
  <c r="A50" i="73" a="1"/>
  <c r="A50" i="73"/>
  <c r="D50" i="73" s="1" a="1"/>
  <c r="D50" i="73" s="1"/>
  <c r="A3" i="73" a="1"/>
  <c r="A3" i="73" s="1"/>
  <c r="M3" i="73" s="1"/>
  <c r="Q19" i="73"/>
  <c r="B117" i="73" a="1"/>
  <c r="B117" i="73"/>
  <c r="C206" i="73" a="1"/>
  <c r="C206" i="73" s="1"/>
  <c r="C246" i="73" a="1"/>
  <c r="C246" i="73" s="1"/>
  <c r="C274" i="73"/>
  <c r="C352" i="73" a="1"/>
  <c r="C352" i="73" s="1"/>
  <c r="H131" i="73" a="1"/>
  <c r="H131" i="73" s="1"/>
  <c r="H268" i="73" a="1"/>
  <c r="H268" i="73"/>
  <c r="H376" i="73" a="1"/>
  <c r="H376" i="73" s="1"/>
  <c r="C117" i="73" a="1"/>
  <c r="C117" i="73" s="1"/>
  <c r="D161" i="73" a="1"/>
  <c r="D161" i="73" s="1"/>
  <c r="D206" i="73" a="1"/>
  <c r="D206" i="73" s="1"/>
  <c r="D246" i="73" a="1"/>
  <c r="D246" i="73" s="1"/>
  <c r="D316" i="73" a="1"/>
  <c r="D316" i="73" s="1"/>
  <c r="D352" i="73" a="1"/>
  <c r="D352" i="73"/>
  <c r="B381" i="73" a="1"/>
  <c r="B381" i="73"/>
  <c r="H274" i="73" a="1"/>
  <c r="H274" i="73" s="1"/>
  <c r="H377" i="73" a="1"/>
  <c r="H377" i="73" s="1"/>
  <c r="C69" i="73" a="1"/>
  <c r="C69" i="73" s="1"/>
  <c r="D118" i="73" a="1"/>
  <c r="D118" i="73" s="1"/>
  <c r="B162" i="73"/>
  <c r="B207" i="73" a="1"/>
  <c r="B207" i="73" s="1"/>
  <c r="B247" i="73" a="1"/>
  <c r="B247" i="73" s="1"/>
  <c r="B317" i="73" a="1"/>
  <c r="B317" i="73"/>
  <c r="H289" i="73"/>
  <c r="B289" i="73" a="1"/>
  <c r="B289" i="73" s="1"/>
  <c r="C317" i="73" a="1"/>
  <c r="C317" i="73" s="1"/>
  <c r="B387" i="73" a="1"/>
  <c r="B387" i="73" s="1"/>
  <c r="H290" i="73" a="1"/>
  <c r="H290" i="73" s="1"/>
  <c r="H380" i="73" a="1"/>
  <c r="H380" i="73" s="1"/>
  <c r="D119" i="73" a="1"/>
  <c r="D119" i="73" s="1"/>
  <c r="C247" i="73" a="1"/>
  <c r="C247" i="73" s="1"/>
  <c r="D317" i="73"/>
  <c r="B389" i="73" a="1"/>
  <c r="B389" i="73" s="1"/>
  <c r="H291" i="73" a="1"/>
  <c r="H291" i="73" s="1"/>
  <c r="B222" i="73" a="1"/>
  <c r="B222" i="73" s="1"/>
  <c r="D247" i="73" a="1"/>
  <c r="D247" i="73" s="1"/>
  <c r="D289" i="73" a="1"/>
  <c r="D289" i="73" s="1"/>
  <c r="D319" i="73" a="1"/>
  <c r="D319" i="73" s="1"/>
  <c r="D353" i="73" a="1"/>
  <c r="D353" i="73"/>
  <c r="H393" i="73" a="1"/>
  <c r="H393" i="73" s="1"/>
  <c r="B249" i="73" a="1"/>
  <c r="B249" i="73" s="1"/>
  <c r="B290" i="73" a="1"/>
  <c r="B290" i="73" s="1"/>
  <c r="C355" i="73" a="1"/>
  <c r="C355" i="73" s="1"/>
  <c r="H183" i="73" a="1"/>
  <c r="H183" i="73" s="1"/>
  <c r="H396" i="73" a="1"/>
  <c r="H396" i="73"/>
  <c r="C249" i="73" a="1"/>
  <c r="C249" i="73"/>
  <c r="C290" i="73" a="1"/>
  <c r="C290" i="73" s="1"/>
  <c r="D328" i="73" a="1"/>
  <c r="D328" i="73" s="1"/>
  <c r="B356" i="73" a="1"/>
  <c r="B356" i="73" s="1"/>
  <c r="D393" i="73" a="1"/>
  <c r="D393" i="73" s="1"/>
  <c r="H313" i="73" a="1"/>
  <c r="H313" i="73" s="1"/>
  <c r="D31" i="73" a="1"/>
  <c r="D31" i="73" s="1"/>
  <c r="B183" i="73" a="1"/>
  <c r="B183" i="73" s="1"/>
  <c r="C256" i="73" a="1"/>
  <c r="C256" i="73" s="1"/>
  <c r="C333" i="73" a="1"/>
  <c r="C333" i="73" s="1"/>
  <c r="C356" i="73" a="1"/>
  <c r="C356" i="73" s="1"/>
  <c r="B136" i="73" a="1"/>
  <c r="B136" i="73" s="1"/>
  <c r="C183" i="73" a="1"/>
  <c r="C183" i="73" s="1"/>
  <c r="D256" i="73" a="1"/>
  <c r="D256" i="73" s="1"/>
  <c r="B291" i="73" a="1"/>
  <c r="B291" i="73" s="1"/>
  <c r="D333" i="73" a="1"/>
  <c r="D333" i="73" s="1"/>
  <c r="B395" i="73" a="1"/>
  <c r="B395" i="73"/>
  <c r="H207" i="73" a="1"/>
  <c r="H207" i="73" s="1"/>
  <c r="D8" i="73" a="1"/>
  <c r="D8" i="73" s="1"/>
  <c r="C86" i="73"/>
  <c r="C136" i="73" a="1"/>
  <c r="C136" i="73" s="1"/>
  <c r="B224" i="73" a="1"/>
  <c r="B224" i="73"/>
  <c r="C265" i="73" a="1"/>
  <c r="C265" i="73" s="1"/>
  <c r="D291" i="73" a="1"/>
  <c r="D291" i="73" s="1"/>
  <c r="B334" i="73" a="1"/>
  <c r="B334" i="73" s="1"/>
  <c r="D356" i="73" a="1"/>
  <c r="D356" i="73" s="1"/>
  <c r="D395" i="73" a="1"/>
  <c r="D395" i="73"/>
  <c r="H316" i="73" a="1"/>
  <c r="H316" i="73" s="1"/>
  <c r="D136" i="73" a="1"/>
  <c r="D136" i="73" s="1"/>
  <c r="C224" i="73" a="1"/>
  <c r="C224" i="73" s="1"/>
  <c r="C358" i="73" a="1"/>
  <c r="C358" i="73" s="1"/>
  <c r="B396" i="73" a="1"/>
  <c r="B396" i="73" s="1"/>
  <c r="H223" i="73" a="1"/>
  <c r="H223" i="73" s="1"/>
  <c r="C184" i="73" a="1"/>
  <c r="C184" i="73" s="1"/>
  <c r="B225" i="73" a="1"/>
  <c r="B225" i="73" s="1"/>
  <c r="C266" i="73" a="1"/>
  <c r="C266" i="73"/>
  <c r="B335" i="73" a="1"/>
  <c r="B335" i="73" s="1"/>
  <c r="D359" i="73" a="1"/>
  <c r="D359" i="73" s="1"/>
  <c r="C396" i="73" a="1"/>
  <c r="C396" i="73" s="1"/>
  <c r="H224" i="73" a="1"/>
  <c r="H224" i="73"/>
  <c r="H328" i="73" a="1"/>
  <c r="H328" i="73" s="1"/>
  <c r="J33" i="73"/>
  <c r="Q28" i="73"/>
  <c r="B95" i="73" a="1"/>
  <c r="B95" i="73"/>
  <c r="C225" i="73" a="1"/>
  <c r="C225" i="73" s="1"/>
  <c r="B267" i="73" a="1"/>
  <c r="B267" i="73" s="1"/>
  <c r="C298" i="73" a="1"/>
  <c r="C298" i="73" s="1"/>
  <c r="C335" i="73" a="1"/>
  <c r="C335" i="73" s="1"/>
  <c r="B363" i="73" a="1"/>
  <c r="B363" i="73"/>
  <c r="H225" i="73" a="1"/>
  <c r="H225" i="73" s="1"/>
  <c r="H337" i="73" a="1"/>
  <c r="H337" i="73" s="1"/>
  <c r="C270" i="73"/>
  <c r="D335" i="73" a="1"/>
  <c r="D335" i="73"/>
  <c r="B372" i="73" a="1"/>
  <c r="B372" i="73" s="1"/>
  <c r="H13" i="73" a="1"/>
  <c r="H13" i="73" s="1"/>
  <c r="H229" i="73" a="1"/>
  <c r="H229" i="73"/>
  <c r="Q33" i="73"/>
  <c r="C95" i="73" a="1"/>
  <c r="C95" i="73" s="1"/>
  <c r="B186" i="73" a="1"/>
  <c r="B186" i="73" s="1"/>
  <c r="B311" i="73" a="1"/>
  <c r="B311" i="73" s="1"/>
  <c r="C337" i="73" a="1"/>
  <c r="C337" i="73"/>
  <c r="H352" i="73" a="1"/>
  <c r="H352" i="73"/>
  <c r="D95" i="73" a="1"/>
  <c r="D95" i="73"/>
  <c r="C142" i="73" a="1"/>
  <c r="C142" i="73" s="1"/>
  <c r="B229" i="73" a="1"/>
  <c r="B229" i="73" s="1"/>
  <c r="B271" i="73" a="1"/>
  <c r="B271" i="73" s="1"/>
  <c r="D337" i="73"/>
  <c r="B52" i="73" a="1"/>
  <c r="B52" i="73" s="1"/>
  <c r="C229" i="73" a="1"/>
  <c r="C229" i="73" s="1"/>
  <c r="B338" i="73" a="1"/>
  <c r="B338" i="73" s="1"/>
  <c r="B376" i="73" a="1"/>
  <c r="B376" i="73" s="1"/>
  <c r="P19" i="73"/>
  <c r="I42" i="73" a="1"/>
  <c r="I42" i="73" s="1"/>
  <c r="C52" i="73" a="1"/>
  <c r="C52" i="73" s="1"/>
  <c r="D100" i="73"/>
  <c r="D271" i="73"/>
  <c r="C338" i="73" a="1"/>
  <c r="C338" i="73" s="1"/>
  <c r="C376" i="73" a="1"/>
  <c r="C376" i="73" s="1"/>
  <c r="H70" i="73"/>
  <c r="H249" i="73" a="1"/>
  <c r="H249" i="73" s="1"/>
  <c r="S19" i="73"/>
  <c r="D52" i="73"/>
  <c r="D338" i="73" a="1"/>
  <c r="D338" i="73" s="1"/>
  <c r="H250" i="73" a="1"/>
  <c r="H250" i="73" s="1"/>
  <c r="H357" i="73" a="1"/>
  <c r="H357" i="73" s="1"/>
  <c r="M42" i="73"/>
  <c r="C106" i="73" a="1"/>
  <c r="C106" i="73" s="1"/>
  <c r="C158" i="73" a="1"/>
  <c r="C158" i="73"/>
  <c r="B273" i="73" a="1"/>
  <c r="B273" i="73" s="1"/>
  <c r="D339" i="73" a="1"/>
  <c r="D339" i="73" s="1"/>
  <c r="H251" i="73" a="1"/>
  <c r="H251" i="73" s="1"/>
  <c r="D158" i="73" a="1"/>
  <c r="D158" i="73" s="1"/>
  <c r="B206" i="73" a="1"/>
  <c r="B206" i="73" s="1"/>
  <c r="B246" i="73" a="1"/>
  <c r="B246" i="73" s="1"/>
  <c r="D273" i="73" a="1"/>
  <c r="D273" i="73"/>
  <c r="D380" i="73" a="1"/>
  <c r="D380" i="73" s="1"/>
  <c r="H119" i="73" a="1"/>
  <c r="H119" i="73" s="1"/>
  <c r="H267" i="73" a="1"/>
  <c r="H267" i="73" s="1"/>
  <c r="H362" i="73" a="1"/>
  <c r="H362" i="73" s="1"/>
  <c r="B362" i="73"/>
  <c r="C362" i="73" a="1"/>
  <c r="C362" i="73" s="1"/>
  <c r="D362" i="73" a="1"/>
  <c r="D362" i="73" s="1"/>
  <c r="D347" i="73" a="1"/>
  <c r="D347" i="73" s="1"/>
  <c r="C347" i="73" a="1"/>
  <c r="C347" i="73" s="1"/>
  <c r="H347" i="73" a="1"/>
  <c r="H347" i="73" s="1"/>
  <c r="B347" i="73" a="1"/>
  <c r="B347" i="73" s="1"/>
  <c r="B351" i="73" a="1"/>
  <c r="B351" i="73"/>
  <c r="H72" i="73"/>
  <c r="D72" i="73" a="1"/>
  <c r="D72" i="73" s="1"/>
  <c r="B72" i="73" a="1"/>
  <c r="B72" i="73"/>
  <c r="H301" i="73" a="1"/>
  <c r="H301" i="73" s="1"/>
  <c r="C301" i="73" a="1"/>
  <c r="C301" i="73" s="1"/>
  <c r="D301" i="73" a="1"/>
  <c r="D301" i="73" s="1"/>
  <c r="H323" i="73" a="1"/>
  <c r="H323" i="73" s="1"/>
  <c r="D323" i="73"/>
  <c r="C323" i="73" a="1"/>
  <c r="C323" i="73"/>
  <c r="H344" i="73" a="1"/>
  <c r="H344" i="73" s="1"/>
  <c r="B344" i="73" a="1"/>
  <c r="B344" i="73"/>
  <c r="D344" i="73" a="1"/>
  <c r="D344" i="73" s="1"/>
  <c r="C344" i="73" a="1"/>
  <c r="C344" i="73" s="1"/>
  <c r="C31" i="73" a="1"/>
  <c r="C31" i="73" s="1"/>
  <c r="H171" i="73" a="1"/>
  <c r="H171" i="73" s="1"/>
  <c r="D171" i="73" a="1"/>
  <c r="D171" i="73" s="1"/>
  <c r="B171" i="73" a="1"/>
  <c r="B171" i="73"/>
  <c r="D194" i="73" a="1"/>
  <c r="D194" i="73" s="1"/>
  <c r="C194" i="73" a="1"/>
  <c r="C194" i="73" s="1"/>
  <c r="B194" i="73" a="1"/>
  <c r="B194" i="73" s="1"/>
  <c r="H194" i="73" a="1"/>
  <c r="H194" i="73" s="1"/>
  <c r="H173" i="73" a="1"/>
  <c r="H173" i="73" s="1"/>
  <c r="C191" i="73" a="1"/>
  <c r="C191" i="73" s="1"/>
  <c r="B191" i="73" a="1"/>
  <c r="B191" i="73" s="1"/>
  <c r="D191" i="73" a="1"/>
  <c r="D191" i="73" s="1"/>
  <c r="H302" i="73" a="1"/>
  <c r="H302" i="73" s="1"/>
  <c r="D302" i="73" a="1"/>
  <c r="D302" i="73" s="1"/>
  <c r="B302" i="73" a="1"/>
  <c r="B302" i="73" s="1"/>
  <c r="C302" i="73" a="1"/>
  <c r="C302" i="73" s="1"/>
  <c r="D193" i="73" a="1"/>
  <c r="D193" i="73" s="1"/>
  <c r="H193" i="73" a="1"/>
  <c r="H193" i="73"/>
  <c r="B193" i="73" a="1"/>
  <c r="B193" i="73" s="1"/>
  <c r="H216" i="73" a="1"/>
  <c r="H216" i="73" s="1"/>
  <c r="D216" i="73" a="1"/>
  <c r="D216" i="73"/>
  <c r="C216" i="73" a="1"/>
  <c r="C216" i="73" s="1"/>
  <c r="B216" i="73" a="1"/>
  <c r="B216" i="73" s="1"/>
  <c r="H151" i="73" a="1"/>
  <c r="H151" i="73" s="1"/>
  <c r="D151" i="73" a="1"/>
  <c r="D151" i="73"/>
  <c r="C151" i="73" a="1"/>
  <c r="C151" i="73" s="1"/>
  <c r="C174" i="73" a="1"/>
  <c r="C174" i="73" s="1"/>
  <c r="H174" i="73" a="1"/>
  <c r="H174" i="73"/>
  <c r="D174" i="73" a="1"/>
  <c r="D174" i="73" s="1"/>
  <c r="B174" i="73" a="1"/>
  <c r="B174" i="73" s="1"/>
  <c r="C196" i="73" a="1"/>
  <c r="C196" i="73" s="1"/>
  <c r="B196" i="73" a="1"/>
  <c r="B196" i="73" s="1"/>
  <c r="H196" i="73" a="1"/>
  <c r="H196" i="73" s="1"/>
  <c r="D196" i="73" a="1"/>
  <c r="D196" i="73" s="1"/>
  <c r="D218" i="73" a="1"/>
  <c r="D218" i="73"/>
  <c r="C218" i="73" a="1"/>
  <c r="C218" i="73" s="1"/>
  <c r="H240" i="73" a="1"/>
  <c r="H240" i="73" s="1"/>
  <c r="D240" i="73" a="1"/>
  <c r="D240" i="73" s="1"/>
  <c r="C240" i="73" a="1"/>
  <c r="C240" i="73" s="1"/>
  <c r="B240" i="73" a="1"/>
  <c r="B240" i="73" s="1"/>
  <c r="H262" i="73" a="1"/>
  <c r="H262" i="73" s="1"/>
  <c r="D262" i="73" a="1"/>
  <c r="D262" i="73"/>
  <c r="B262" i="73" a="1"/>
  <c r="B262" i="73"/>
  <c r="D284" i="73" a="1"/>
  <c r="D284" i="73" s="1"/>
  <c r="C284" i="73" a="1"/>
  <c r="C284" i="73" s="1"/>
  <c r="H284" i="73" a="1"/>
  <c r="H284" i="73" s="1"/>
  <c r="B368" i="73" a="1"/>
  <c r="B368" i="73" s="1"/>
  <c r="C368" i="73" a="1"/>
  <c r="C368" i="73" s="1"/>
  <c r="C390" i="73" a="1"/>
  <c r="C390" i="73" s="1"/>
  <c r="C262" i="73" a="1"/>
  <c r="C262" i="73" s="1"/>
  <c r="H69" i="73" a="1"/>
  <c r="H69" i="73" s="1"/>
  <c r="H152" i="73" a="1"/>
  <c r="H152" i="73" s="1"/>
  <c r="D170" i="73" a="1"/>
  <c r="D170" i="73" s="1"/>
  <c r="T35" i="73"/>
  <c r="W35" i="73"/>
  <c r="S35" i="73"/>
  <c r="N35" i="73"/>
  <c r="I35" i="73" a="1"/>
  <c r="I35" i="73" s="1"/>
  <c r="H35" i="73" a="1"/>
  <c r="H35" i="73" s="1"/>
  <c r="D35" i="73" a="1"/>
  <c r="D35" i="73"/>
  <c r="C35" i="73" a="1"/>
  <c r="C35" i="73" s="1"/>
  <c r="H263" i="73" a="1"/>
  <c r="H263" i="73"/>
  <c r="D263" i="73" a="1"/>
  <c r="D263" i="73" s="1"/>
  <c r="C263" i="73"/>
  <c r="B263" i="73" a="1"/>
  <c r="B263" i="73" s="1"/>
  <c r="H308" i="73" a="1"/>
  <c r="H308" i="73" s="1"/>
  <c r="B308" i="73" a="1"/>
  <c r="B308" i="73" s="1"/>
  <c r="H199" i="73" a="1"/>
  <c r="H199" i="73" s="1"/>
  <c r="D199" i="73" a="1"/>
  <c r="D199" i="73" s="1"/>
  <c r="B199" i="73" a="1"/>
  <c r="B199" i="73"/>
  <c r="S16" i="73"/>
  <c r="B16" i="73" a="1"/>
  <c r="B16" i="73" s="1"/>
  <c r="C288" i="73" a="1"/>
  <c r="C288" i="73"/>
  <c r="B288" i="73" a="1"/>
  <c r="B288" i="73" s="1"/>
  <c r="D288" i="73" a="1"/>
  <c r="D288" i="73" s="1"/>
  <c r="D310" i="73" a="1"/>
  <c r="D310" i="73" s="1"/>
  <c r="H310" i="73" a="1"/>
  <c r="H310" i="73" s="1"/>
  <c r="B310" i="73" a="1"/>
  <c r="B310" i="73" s="1"/>
  <c r="H394" i="73" a="1"/>
  <c r="H394" i="73" s="1"/>
  <c r="C394" i="73" a="1"/>
  <c r="C394" i="73" s="1"/>
  <c r="B394" i="73" a="1"/>
  <c r="B394" i="73"/>
  <c r="B129" i="73" a="1"/>
  <c r="B129" i="73" s="1"/>
  <c r="C189" i="73" a="1"/>
  <c r="C189" i="73" s="1"/>
  <c r="D266" i="73" a="1"/>
  <c r="D266" i="73" s="1"/>
  <c r="C308" i="73" a="1"/>
  <c r="C308" i="73" s="1"/>
  <c r="B326" i="73" a="1"/>
  <c r="B326" i="73" s="1"/>
  <c r="D345" i="73" a="1"/>
  <c r="D345" i="73" s="1"/>
  <c r="B364" i="73" a="1"/>
  <c r="B364" i="73" s="1"/>
  <c r="H81" i="73" a="1"/>
  <c r="H81" i="73" s="1"/>
  <c r="D81" i="73" a="1"/>
  <c r="D81" i="73" s="1"/>
  <c r="C81" i="73" a="1"/>
  <c r="C81" i="73" s="1"/>
  <c r="B81" i="73" a="1"/>
  <c r="B81" i="73" s="1"/>
  <c r="B169" i="73" a="1"/>
  <c r="B169" i="73" s="1"/>
  <c r="C169" i="73"/>
  <c r="D82" i="73" a="1"/>
  <c r="D82" i="73" s="1"/>
  <c r="H82" i="73" a="1"/>
  <c r="H82" i="73" s="1"/>
  <c r="C82" i="73" a="1"/>
  <c r="C82" i="73" s="1"/>
  <c r="B82" i="73" a="1"/>
  <c r="B82" i="73"/>
  <c r="D386" i="73" a="1"/>
  <c r="D386" i="73" s="1"/>
  <c r="C386" i="73" a="1"/>
  <c r="C386" i="73"/>
  <c r="B386" i="73" a="1"/>
  <c r="B386" i="73" s="1"/>
  <c r="H386" i="73" a="1"/>
  <c r="H386" i="73" s="1"/>
  <c r="B148" i="73" a="1"/>
  <c r="B148" i="73" s="1"/>
  <c r="S23" i="73"/>
  <c r="Q23" i="73"/>
  <c r="P23" i="73"/>
  <c r="H23" i="73" a="1"/>
  <c r="H23" i="73" s="1"/>
  <c r="O23" i="73"/>
  <c r="N23" i="73"/>
  <c r="J23" i="73"/>
  <c r="I23" i="73" a="1"/>
  <c r="I23" i="73" s="1"/>
  <c r="H257" i="73" a="1"/>
  <c r="H257" i="73" s="1"/>
  <c r="C192" i="73" a="1"/>
  <c r="C192" i="73" s="1"/>
  <c r="D192" i="73" a="1"/>
  <c r="D192" i="73" s="1"/>
  <c r="B192" i="73" a="1"/>
  <c r="B192" i="73" s="1"/>
  <c r="H192" i="73" a="1"/>
  <c r="H192" i="73" s="1"/>
  <c r="D105" i="73" a="1"/>
  <c r="D105" i="73" s="1"/>
  <c r="C105" i="73" a="1"/>
  <c r="C105" i="73" s="1"/>
  <c r="B105" i="73" a="1"/>
  <c r="B105" i="73" s="1"/>
  <c r="H105" i="73" a="1"/>
  <c r="H105" i="73"/>
  <c r="H303" i="73" a="1"/>
  <c r="H303" i="73"/>
  <c r="C303" i="73" a="1"/>
  <c r="C303" i="73" s="1"/>
  <c r="D303" i="73" a="1"/>
  <c r="D303" i="73" s="1"/>
  <c r="B303" i="73" a="1"/>
  <c r="B303" i="73" s="1"/>
  <c r="B150" i="73" a="1"/>
  <c r="B150" i="73" s="1"/>
  <c r="D239" i="73" a="1"/>
  <c r="D239" i="73" s="1"/>
  <c r="B239" i="73" a="1"/>
  <c r="B239" i="73" s="1"/>
  <c r="H239" i="73" a="1"/>
  <c r="H239" i="73" s="1"/>
  <c r="C239" i="73" a="1"/>
  <c r="C239" i="73" s="1"/>
  <c r="S26" i="73"/>
  <c r="D26" i="73" a="1"/>
  <c r="D26" i="73" s="1"/>
  <c r="C66" i="73" a="1"/>
  <c r="C66" i="73" s="1"/>
  <c r="H66" i="73" a="1"/>
  <c r="H66" i="73" s="1"/>
  <c r="B197" i="73" a="1"/>
  <c r="B197" i="73"/>
  <c r="H197" i="73" a="1"/>
  <c r="H197" i="73" s="1"/>
  <c r="C197" i="73" a="1"/>
  <c r="C197" i="73" s="1"/>
  <c r="D350" i="73" a="1"/>
  <c r="D350" i="73" s="1"/>
  <c r="C350" i="73" a="1"/>
  <c r="C350" i="73" s="1"/>
  <c r="H350" i="73" a="1"/>
  <c r="H350" i="73" s="1"/>
  <c r="C325" i="73" a="1"/>
  <c r="C325" i="73"/>
  <c r="C345" i="73" a="1"/>
  <c r="C345" i="73" s="1"/>
  <c r="V12" i="73"/>
  <c r="B12" i="73" a="1"/>
  <c r="B12" i="73" s="1"/>
  <c r="O12" i="73"/>
  <c r="H12" i="73" a="1"/>
  <c r="H12" i="73" s="1"/>
  <c r="C12" i="73" a="1"/>
  <c r="C12" i="73" s="1"/>
  <c r="D12" i="73" a="1"/>
  <c r="D12" i="73" s="1"/>
  <c r="D133" i="73" a="1"/>
  <c r="D133" i="73"/>
  <c r="C133" i="73" a="1"/>
  <c r="C133" i="73"/>
  <c r="B133" i="73" a="1"/>
  <c r="B133" i="73" s="1"/>
  <c r="H133" i="73" a="1"/>
  <c r="H133" i="73" s="1"/>
  <c r="B331" i="73" a="1"/>
  <c r="B331" i="73" s="1"/>
  <c r="D331" i="73" a="1"/>
  <c r="D331" i="73" s="1"/>
  <c r="C307" i="73" a="1"/>
  <c r="C307" i="73" s="1"/>
  <c r="D325" i="73" a="1"/>
  <c r="D325" i="73" s="1"/>
  <c r="H156" i="73" a="1"/>
  <c r="H156" i="73" s="1"/>
  <c r="C156" i="73" a="1"/>
  <c r="C156" i="73" s="1"/>
  <c r="B156" i="73" a="1"/>
  <c r="B156" i="73" s="1"/>
  <c r="T27" i="73"/>
  <c r="S27" i="73"/>
  <c r="Q27" i="73"/>
  <c r="J27" i="73"/>
  <c r="I27" i="73" a="1"/>
  <c r="I27" i="73" s="1"/>
  <c r="W27" i="73"/>
  <c r="D27" i="73" a="1"/>
  <c r="D27" i="73" s="1"/>
  <c r="V27" i="73"/>
  <c r="N27" i="73"/>
  <c r="H113" i="73" a="1"/>
  <c r="H113" i="73"/>
  <c r="D113" i="73" a="1"/>
  <c r="D113" i="73"/>
  <c r="B113" i="73" a="1"/>
  <c r="B113" i="73" s="1"/>
  <c r="C373" i="73" a="1"/>
  <c r="C373" i="73" s="1"/>
  <c r="B373" i="73" a="1"/>
  <c r="B373" i="73" s="1"/>
  <c r="H373" i="73" a="1"/>
  <c r="H373" i="73" s="1"/>
  <c r="D373" i="73" a="1"/>
  <c r="D373" i="73" s="1"/>
  <c r="C129" i="73"/>
  <c r="C171" i="73" a="1"/>
  <c r="C171" i="73"/>
  <c r="D308" i="73" a="1"/>
  <c r="D308" i="73"/>
  <c r="C364" i="73" a="1"/>
  <c r="C364" i="73" s="1"/>
  <c r="D129" i="73" a="1"/>
  <c r="D129" i="73"/>
  <c r="D190" i="73" a="1"/>
  <c r="D190" i="73" s="1"/>
  <c r="D364" i="73" a="1"/>
  <c r="D364" i="73" s="1"/>
  <c r="Q10" i="73"/>
  <c r="O10" i="73"/>
  <c r="W10" i="73"/>
  <c r="C10" i="73" a="1"/>
  <c r="C10" i="73" s="1"/>
  <c r="H93" i="73" a="1"/>
  <c r="H93" i="73" s="1"/>
  <c r="H115" i="73" a="1"/>
  <c r="H115" i="73" s="1"/>
  <c r="H137" i="73" a="1"/>
  <c r="H137" i="73" s="1"/>
  <c r="C137" i="73" a="1"/>
  <c r="C137" i="73" s="1"/>
  <c r="D137" i="73" a="1"/>
  <c r="D137" i="73"/>
  <c r="C181" i="73" a="1"/>
  <c r="C181" i="73" s="1"/>
  <c r="B181" i="73" a="1"/>
  <c r="B181" i="73"/>
  <c r="H181" i="73" a="1"/>
  <c r="H181" i="73" s="1"/>
  <c r="D181" i="73" a="1"/>
  <c r="D181" i="73" s="1"/>
  <c r="C113" i="73" a="1"/>
  <c r="C113" i="73" s="1"/>
  <c r="D209" i="73" a="1"/>
  <c r="D209" i="73" s="1"/>
  <c r="C310" i="73" a="1"/>
  <c r="C310" i="73"/>
  <c r="I58" i="73" a="1"/>
  <c r="I58" i="73" s="1"/>
  <c r="H281" i="73" a="1"/>
  <c r="H281" i="73" s="1"/>
  <c r="H282" i="73" a="1"/>
  <c r="H282" i="73"/>
  <c r="C282" i="73" a="1"/>
  <c r="C282" i="73" s="1"/>
  <c r="B282" i="73" a="1"/>
  <c r="B282" i="73" s="1"/>
  <c r="I44" i="73" a="1"/>
  <c r="I44" i="73" s="1"/>
  <c r="H285" i="73" a="1"/>
  <c r="H285" i="73" s="1"/>
  <c r="D285" i="73" a="1"/>
  <c r="D285" i="73"/>
  <c r="C285" i="73" a="1"/>
  <c r="C285" i="73" s="1"/>
  <c r="D264" i="73" a="1"/>
  <c r="D264" i="73" s="1"/>
  <c r="W7" i="73"/>
  <c r="V7" i="73"/>
  <c r="T7" i="73"/>
  <c r="B7" i="73" a="1"/>
  <c r="B7" i="73" s="1"/>
  <c r="H7" i="73" a="1"/>
  <c r="H7" i="73" s="1"/>
  <c r="P7" i="73"/>
  <c r="N7" i="73"/>
  <c r="H309" i="73" a="1"/>
  <c r="H309" i="73" s="1"/>
  <c r="D309" i="73" a="1"/>
  <c r="D309" i="73" s="1"/>
  <c r="C309" i="73" a="1"/>
  <c r="C309" i="73" s="1"/>
  <c r="D112" i="73" a="1"/>
  <c r="D112" i="73" s="1"/>
  <c r="B91" i="73" a="1"/>
  <c r="B91" i="73"/>
  <c r="D91" i="73" a="1"/>
  <c r="D91" i="73"/>
  <c r="H91" i="73" a="1"/>
  <c r="H91" i="73" s="1"/>
  <c r="D189" i="73" a="1"/>
  <c r="D189" i="73" s="1"/>
  <c r="I6" i="73" a="1"/>
  <c r="I6" i="73" s="1"/>
  <c r="D6" i="73" a="1"/>
  <c r="D6" i="73"/>
  <c r="N6" i="73"/>
  <c r="H6" i="73" a="1"/>
  <c r="H6" i="73"/>
  <c r="M6" i="73"/>
  <c r="J6" i="73"/>
  <c r="S6" i="73"/>
  <c r="D160" i="73" a="1"/>
  <c r="D160" i="73" s="1"/>
  <c r="H160" i="73" a="1"/>
  <c r="H160" i="73" s="1"/>
  <c r="C160" i="73" a="1"/>
  <c r="C160" i="73" s="1"/>
  <c r="H325" i="73" a="1"/>
  <c r="H325" i="73" s="1"/>
  <c r="Q52" i="73"/>
  <c r="M41" i="73"/>
  <c r="D104" i="73" a="1"/>
  <c r="D104" i="73" s="1"/>
  <c r="C104" i="73" a="1"/>
  <c r="C104" i="73"/>
  <c r="B104" i="73" a="1"/>
  <c r="B104" i="73" s="1"/>
  <c r="B215" i="73" a="1"/>
  <c r="B215" i="73" s="1"/>
  <c r="D215" i="73" a="1"/>
  <c r="D215" i="73" s="1"/>
  <c r="C215" i="73" a="1"/>
  <c r="C215" i="73" s="1"/>
  <c r="D238" i="73" a="1"/>
  <c r="D238" i="73" s="1"/>
  <c r="H238" i="73" a="1"/>
  <c r="H238" i="73" s="1"/>
  <c r="C238" i="73" a="1"/>
  <c r="C238" i="73" s="1"/>
  <c r="B238" i="73" a="1"/>
  <c r="B238" i="73"/>
  <c r="D195" i="73" a="1"/>
  <c r="D195" i="73" s="1"/>
  <c r="C195" i="73" a="1"/>
  <c r="C195" i="73" s="1"/>
  <c r="B195" i="73" a="1"/>
  <c r="B195" i="73"/>
  <c r="B301" i="73" a="1"/>
  <c r="B301" i="73" s="1"/>
  <c r="H219" i="73" a="1"/>
  <c r="H219" i="73"/>
  <c r="D219" i="73" a="1"/>
  <c r="D219" i="73" s="1"/>
  <c r="C219" i="73" a="1"/>
  <c r="C219" i="73" s="1"/>
  <c r="B219" i="73" a="1"/>
  <c r="B219" i="73"/>
  <c r="H286" i="73" a="1"/>
  <c r="H286" i="73" s="1"/>
  <c r="D286" i="73" a="1"/>
  <c r="D286" i="73" s="1"/>
  <c r="C286" i="73" a="1"/>
  <c r="C286" i="73" s="1"/>
  <c r="B286" i="73" a="1"/>
  <c r="B286" i="73" s="1"/>
  <c r="H68" i="73" a="1"/>
  <c r="H68" i="73" s="1"/>
  <c r="D68" i="73" a="1"/>
  <c r="D68" i="73"/>
  <c r="C68" i="73" a="1"/>
  <c r="C68" i="73" s="1"/>
  <c r="B68" i="73" a="1"/>
  <c r="B68" i="73" s="1"/>
  <c r="D287" i="73" a="1"/>
  <c r="D287" i="73" s="1"/>
  <c r="C287" i="73" a="1"/>
  <c r="C287" i="73"/>
  <c r="B287" i="73" a="1"/>
  <c r="B287" i="73" s="1"/>
  <c r="H287" i="73" a="1"/>
  <c r="H287" i="73" s="1"/>
  <c r="H178" i="73" a="1"/>
  <c r="H178" i="73" s="1"/>
  <c r="C178" i="73" a="1"/>
  <c r="C178" i="73"/>
  <c r="B178" i="73" a="1"/>
  <c r="B178" i="73"/>
  <c r="H157" i="73" a="1"/>
  <c r="H157" i="73" s="1"/>
  <c r="D157" i="73" a="1"/>
  <c r="D157" i="73" s="1"/>
  <c r="C157" i="73" a="1"/>
  <c r="C157" i="73" s="1"/>
  <c r="B157" i="73" a="1"/>
  <c r="B157" i="73" s="1"/>
  <c r="C179" i="73" a="1"/>
  <c r="C179" i="73"/>
  <c r="V45" i="73"/>
  <c r="T45" i="73"/>
  <c r="H138" i="73" a="1"/>
  <c r="H138" i="73" s="1"/>
  <c r="D138" i="73" a="1"/>
  <c r="D138" i="73" s="1"/>
  <c r="C138" i="73" a="1"/>
  <c r="C138" i="73" s="1"/>
  <c r="B138" i="73" a="1"/>
  <c r="B138" i="73"/>
  <c r="B115" i="73" a="1"/>
  <c r="B115" i="73" s="1"/>
  <c r="B151" i="73" a="1"/>
  <c r="B151" i="73" s="1"/>
  <c r="C175" i="73" a="1"/>
  <c r="C175" i="73"/>
  <c r="D212" i="73" a="1"/>
  <c r="D212" i="73" s="1"/>
  <c r="H264" i="73" a="1"/>
  <c r="H264" i="73" s="1"/>
  <c r="S47" i="73"/>
  <c r="M58" i="73"/>
  <c r="D60" i="73" a="1"/>
  <c r="D60" i="73" s="1"/>
  <c r="H60" i="73" a="1"/>
  <c r="H60" i="73" s="1"/>
  <c r="O17" i="73"/>
  <c r="W17" i="73"/>
  <c r="J17" i="73"/>
  <c r="I17" i="73" a="1"/>
  <c r="I17" i="73" s="1"/>
  <c r="C280" i="73" a="1"/>
  <c r="C280" i="73" s="1"/>
  <c r="N50" i="73"/>
  <c r="H50" i="73" a="1"/>
  <c r="H50" i="73" s="1"/>
  <c r="M50" i="73"/>
  <c r="W50" i="73"/>
  <c r="O50" i="73"/>
  <c r="J50" i="73"/>
  <c r="B147" i="73" a="1"/>
  <c r="B147" i="73" s="1"/>
  <c r="C147" i="73" a="1"/>
  <c r="C147" i="73" s="1"/>
  <c r="C61" i="73" a="1"/>
  <c r="C61" i="73" s="1"/>
  <c r="C236" i="73" a="1"/>
  <c r="C236" i="73" s="1"/>
  <c r="B236" i="73" a="1"/>
  <c r="B236" i="73"/>
  <c r="D236" i="73" a="1"/>
  <c r="D236" i="73"/>
  <c r="H236" i="73" a="1"/>
  <c r="H236" i="73" s="1"/>
  <c r="C127" i="73" a="1"/>
  <c r="C127" i="73" s="1"/>
  <c r="H127" i="73" a="1"/>
  <c r="H127" i="73" s="1"/>
  <c r="B346" i="73" a="1"/>
  <c r="B346" i="73" s="1"/>
  <c r="H346" i="73" a="1"/>
  <c r="H346" i="73" s="1"/>
  <c r="C346" i="73" a="1"/>
  <c r="C346" i="73" s="1"/>
  <c r="H9" i="73" a="1"/>
  <c r="H9" i="73" s="1"/>
  <c r="B9" i="73" a="1"/>
  <c r="B9" i="73" s="1"/>
  <c r="D128" i="73" a="1"/>
  <c r="D128" i="73" s="1"/>
  <c r="C128" i="73" a="1"/>
  <c r="C128" i="73" s="1"/>
  <c r="D326" i="73" a="1"/>
  <c r="D326" i="73" s="1"/>
  <c r="C326" i="73" a="1"/>
  <c r="C326" i="73"/>
  <c r="C367" i="73" a="1"/>
  <c r="C367" i="73" s="1"/>
  <c r="C108" i="73" a="1"/>
  <c r="C108" i="73" s="1"/>
  <c r="H108" i="73" a="1"/>
  <c r="H108" i="73"/>
  <c r="D108" i="73" a="1"/>
  <c r="D108" i="73" s="1"/>
  <c r="C109" i="73" a="1"/>
  <c r="C109" i="73" s="1"/>
  <c r="B109" i="73" a="1"/>
  <c r="B109" i="73" s="1"/>
  <c r="H109" i="73" a="1"/>
  <c r="H109" i="73" s="1"/>
  <c r="D109" i="73" a="1"/>
  <c r="D109" i="73" s="1"/>
  <c r="D329" i="73" a="1"/>
  <c r="D329" i="73" s="1"/>
  <c r="C329" i="73" a="1"/>
  <c r="C329" i="73"/>
  <c r="B329" i="73" a="1"/>
  <c r="B329" i="73" s="1"/>
  <c r="H329" i="73" a="1"/>
  <c r="H329" i="73" s="1"/>
  <c r="H67" i="73" a="1"/>
  <c r="H67" i="73"/>
  <c r="C67" i="73" a="1"/>
  <c r="C67" i="73"/>
  <c r="B67" i="73" a="1"/>
  <c r="B67" i="73" s="1"/>
  <c r="H176" i="73" a="1"/>
  <c r="H176" i="73" s="1"/>
  <c r="D176" i="73" a="1"/>
  <c r="D176" i="73" s="1"/>
  <c r="C176" i="73" a="1"/>
  <c r="C176" i="73" s="1"/>
  <c r="B176" i="73" a="1"/>
  <c r="B176" i="73" s="1"/>
  <c r="I7" i="73" a="1"/>
  <c r="I7" i="73" s="1"/>
  <c r="H177" i="73" a="1"/>
  <c r="H177" i="73" s="1"/>
  <c r="D177" i="73" a="1"/>
  <c r="D177" i="73"/>
  <c r="C177" i="73" a="1"/>
  <c r="C177" i="73"/>
  <c r="B265" i="73" a="1"/>
  <c r="B265" i="73" s="1"/>
  <c r="H265" i="73" a="1"/>
  <c r="H265" i="73" s="1"/>
  <c r="C89" i="73" a="1"/>
  <c r="C89" i="73" s="1"/>
  <c r="B108" i="73" a="1"/>
  <c r="B108" i="73" s="1"/>
  <c r="H134" i="73" a="1"/>
  <c r="H134" i="73" s="1"/>
  <c r="D134" i="73" a="1"/>
  <c r="D134" i="73" s="1"/>
  <c r="C134" i="73" a="1"/>
  <c r="C134" i="73" s="1"/>
  <c r="B134" i="73" a="1"/>
  <c r="B134" i="73" s="1"/>
  <c r="C244" i="73" a="1"/>
  <c r="C244" i="73" s="1"/>
  <c r="D244" i="73" a="1"/>
  <c r="D244" i="73" s="1"/>
  <c r="B244" i="73" a="1"/>
  <c r="B244" i="73" s="1"/>
  <c r="H244" i="73" a="1"/>
  <c r="H244" i="73" s="1"/>
  <c r="H135" i="73" a="1"/>
  <c r="H135" i="73" s="1"/>
  <c r="D135" i="73" a="1"/>
  <c r="D135" i="73" s="1"/>
  <c r="C135" i="73" a="1"/>
  <c r="C135" i="73" s="1"/>
  <c r="B135" i="73" a="1"/>
  <c r="B135" i="73" s="1"/>
  <c r="H165" i="73" a="1"/>
  <c r="H165" i="73" s="1"/>
  <c r="B309" i="73" a="1"/>
  <c r="B309" i="73" s="1"/>
  <c r="I33" i="73" a="1"/>
  <c r="I33" i="73" s="1"/>
  <c r="W33" i="73"/>
  <c r="T33" i="73"/>
  <c r="N33" i="73"/>
  <c r="O33" i="73"/>
  <c r="H33" i="73" a="1"/>
  <c r="H33" i="73" s="1"/>
  <c r="H116" i="73"/>
  <c r="D116" i="73" a="1"/>
  <c r="D116" i="73" s="1"/>
  <c r="B116" i="73" a="1"/>
  <c r="B116" i="73"/>
  <c r="B182" i="73" a="1"/>
  <c r="B182" i="73"/>
  <c r="H182" i="73" a="1"/>
  <c r="H182" i="73"/>
  <c r="C182" i="73" a="1"/>
  <c r="C182" i="73" s="1"/>
  <c r="D204" i="73" a="1"/>
  <c r="D204" i="73" s="1"/>
  <c r="H226" i="73" a="1"/>
  <c r="H226" i="73" s="1"/>
  <c r="B226" i="73" a="1"/>
  <c r="B226" i="73" s="1"/>
  <c r="C248" i="73" a="1"/>
  <c r="C248" i="73" s="1"/>
  <c r="H248" i="73" a="1"/>
  <c r="H248" i="73" s="1"/>
  <c r="D248" i="73" a="1"/>
  <c r="D248" i="73"/>
  <c r="B248" i="73" a="1"/>
  <c r="B248" i="73" s="1"/>
  <c r="B175" i="73" a="1"/>
  <c r="B175" i="73" s="1"/>
  <c r="C193" i="73" a="1"/>
  <c r="C193" i="73" s="1"/>
  <c r="B58" i="73" a="1"/>
  <c r="B58" i="73" s="1"/>
  <c r="D3" i="73" a="1"/>
  <c r="D3" i="73" s="1"/>
  <c r="C58" i="73" a="1"/>
  <c r="C58" i="73" s="1"/>
  <c r="B77" i="73" a="1"/>
  <c r="B77" i="73" s="1"/>
  <c r="D115" i="73" a="1"/>
  <c r="D115" i="73"/>
  <c r="C152" i="73" a="1"/>
  <c r="C152" i="73" s="1"/>
  <c r="D175" i="73" a="1"/>
  <c r="D175" i="73"/>
  <c r="H104" i="73" a="1"/>
  <c r="H104" i="73"/>
  <c r="H266" i="73" a="1"/>
  <c r="H266" i="73"/>
  <c r="V3" i="73"/>
  <c r="N58" i="73"/>
  <c r="B50" i="73" a="1"/>
  <c r="B50" i="73" s="1"/>
  <c r="C116" i="73" a="1"/>
  <c r="C116" i="73" s="1"/>
  <c r="D152" i="73" a="1"/>
  <c r="D152" i="73" s="1"/>
  <c r="D197" i="73" a="1"/>
  <c r="D197" i="73" s="1"/>
  <c r="P12" i="73"/>
  <c r="H107" i="73" a="1"/>
  <c r="H107" i="73" s="1"/>
  <c r="H327" i="73" a="1"/>
  <c r="H327" i="73"/>
  <c r="D327" i="73" a="1"/>
  <c r="D327" i="73" s="1"/>
  <c r="B327" i="73" a="1"/>
  <c r="B327" i="73"/>
  <c r="H86" i="73" a="1"/>
  <c r="H86" i="73" s="1"/>
  <c r="B86" i="73" a="1"/>
  <c r="B86" i="73" s="1"/>
  <c r="D391" i="73" a="1"/>
  <c r="D391" i="73"/>
  <c r="C391" i="73" a="1"/>
  <c r="C391" i="73"/>
  <c r="H391" i="73" a="1"/>
  <c r="H391" i="73" s="1"/>
  <c r="B391" i="73" a="1"/>
  <c r="B391" i="73" s="1"/>
  <c r="B323" i="73" a="1"/>
  <c r="B323" i="73" s="1"/>
  <c r="B345" i="73" a="1"/>
  <c r="B345" i="73"/>
  <c r="D132" i="73" a="1"/>
  <c r="D132" i="73" s="1"/>
  <c r="C132" i="73" a="1"/>
  <c r="C132" i="73" s="1"/>
  <c r="B132" i="73" a="1"/>
  <c r="B132" i="73" s="1"/>
  <c r="H132" i="73" a="1"/>
  <c r="H132" i="73" s="1"/>
  <c r="D242" i="73" a="1"/>
  <c r="D242" i="73" s="1"/>
  <c r="C242" i="73" a="1"/>
  <c r="C242" i="73" s="1"/>
  <c r="H370" i="73" a="1"/>
  <c r="H370" i="73" s="1"/>
  <c r="C370" i="73" a="1"/>
  <c r="C370" i="73" s="1"/>
  <c r="D370" i="73" a="1"/>
  <c r="D370" i="73" s="1"/>
  <c r="D126" i="73" a="1"/>
  <c r="D126" i="73" s="1"/>
  <c r="D89" i="73" a="1"/>
  <c r="D89" i="73" s="1"/>
  <c r="B89" i="73" a="1"/>
  <c r="B89" i="73" s="1"/>
  <c r="C155" i="73" a="1"/>
  <c r="C155" i="73" s="1"/>
  <c r="H155" i="73" a="1"/>
  <c r="H155" i="73" s="1"/>
  <c r="D155" i="73" a="1"/>
  <c r="D155" i="73" s="1"/>
  <c r="B155" i="73"/>
  <c r="B243" i="73" a="1"/>
  <c r="B243" i="73" s="1"/>
  <c r="C243" i="73" a="1"/>
  <c r="C243" i="73"/>
  <c r="H371" i="73" a="1"/>
  <c r="H371" i="73" s="1"/>
  <c r="C371" i="73" a="1"/>
  <c r="C371" i="73" s="1"/>
  <c r="B371" i="73" a="1"/>
  <c r="B371" i="73" s="1"/>
  <c r="J7" i="73"/>
  <c r="D90" i="73" a="1"/>
  <c r="D90" i="73" s="1"/>
  <c r="C90" i="73" a="1"/>
  <c r="C90" i="73" s="1"/>
  <c r="B90" i="73" a="1"/>
  <c r="B90" i="73" s="1"/>
  <c r="H90" i="73" a="1"/>
  <c r="H90" i="73" s="1"/>
  <c r="H200" i="73" a="1"/>
  <c r="H200" i="73" s="1"/>
  <c r="D200" i="73" a="1"/>
  <c r="D200" i="73" s="1"/>
  <c r="C70" i="73" a="1"/>
  <c r="C70" i="73" s="1"/>
  <c r="H29" i="73" a="1"/>
  <c r="H29" i="73"/>
  <c r="Q29" i="73"/>
  <c r="O29" i="73"/>
  <c r="N29" i="73"/>
  <c r="J29" i="73"/>
  <c r="D29" i="73" a="1"/>
  <c r="D29" i="73" s="1"/>
  <c r="S29" i="73"/>
  <c r="H58" i="73" a="1"/>
  <c r="H58" i="73"/>
  <c r="J58" i="73"/>
  <c r="V58" i="73"/>
  <c r="T58" i="73"/>
  <c r="O58" i="73"/>
  <c r="P58" i="73"/>
  <c r="C98" i="73" a="1"/>
  <c r="C98" i="73"/>
  <c r="D98" i="73" a="1"/>
  <c r="D98" i="73" s="1"/>
  <c r="B98" i="73" a="1"/>
  <c r="B98" i="73" s="1"/>
  <c r="H142" i="73" a="1"/>
  <c r="H142" i="73"/>
  <c r="B164" i="73" a="1"/>
  <c r="B164" i="73" s="1"/>
  <c r="D164" i="73" a="1"/>
  <c r="D164" i="73"/>
  <c r="C164" i="73" a="1"/>
  <c r="C164" i="73" s="1"/>
  <c r="C208" i="73" a="1"/>
  <c r="C208" i="73" s="1"/>
  <c r="D230" i="73" a="1"/>
  <c r="D230" i="73"/>
  <c r="H230" i="73" a="1"/>
  <c r="H230" i="73"/>
  <c r="B230" i="73" a="1"/>
  <c r="B230" i="73" s="1"/>
  <c r="H252" i="73" a="1"/>
  <c r="H252" i="73" s="1"/>
  <c r="D252" i="73" a="1"/>
  <c r="D252" i="73" s="1"/>
  <c r="C50" i="73" a="1"/>
  <c r="C50" i="73" s="1"/>
  <c r="B99" i="73" a="1"/>
  <c r="B99" i="73" s="1"/>
  <c r="B198" i="73" a="1"/>
  <c r="B198" i="73" s="1"/>
  <c r="C217" i="73" a="1"/>
  <c r="C217" i="73"/>
  <c r="B232" i="73" a="1"/>
  <c r="B232" i="73" s="1"/>
  <c r="B254" i="73" a="1"/>
  <c r="B254" i="73" s="1"/>
  <c r="H27" i="73" a="1"/>
  <c r="H27" i="73" s="1"/>
  <c r="H120" i="73" a="1"/>
  <c r="H120" i="73" s="1"/>
  <c r="I50" i="73" a="1"/>
  <c r="I50" i="73" s="1"/>
  <c r="W12" i="73"/>
  <c r="J31" i="73"/>
  <c r="I45" i="73" a="1"/>
  <c r="I45" i="73" s="1"/>
  <c r="S58" i="73"/>
  <c r="D237" i="73" a="1"/>
  <c r="D237" i="73" s="1"/>
  <c r="H237" i="73" a="1"/>
  <c r="H237" i="73" s="1"/>
  <c r="H260" i="73" a="1"/>
  <c r="H260" i="73" s="1"/>
  <c r="D305" i="73" a="1"/>
  <c r="D305" i="73" s="1"/>
  <c r="B305" i="73" a="1"/>
  <c r="B305" i="73" s="1"/>
  <c r="H305" i="73" a="1"/>
  <c r="H305" i="73" s="1"/>
  <c r="H241" i="73" a="1"/>
  <c r="H241" i="73" s="1"/>
  <c r="I30" i="73" a="1"/>
  <c r="I30" i="73" s="1"/>
  <c r="H30" i="73" a="1"/>
  <c r="H30" i="73" s="1"/>
  <c r="C30" i="73" a="1"/>
  <c r="C30" i="73"/>
  <c r="W30" i="73"/>
  <c r="Q30" i="73"/>
  <c r="H231" i="73" a="1"/>
  <c r="H231" i="73" s="1"/>
  <c r="D231" i="73" a="1"/>
  <c r="D231" i="73" s="1"/>
  <c r="C231" i="73" a="1"/>
  <c r="C231" i="73" s="1"/>
  <c r="H297" i="73" a="1"/>
  <c r="H297" i="73" s="1"/>
  <c r="C319" i="73" a="1"/>
  <c r="C319" i="73" s="1"/>
  <c r="B319" i="73" a="1"/>
  <c r="B319" i="73" s="1"/>
  <c r="H340" i="73" a="1"/>
  <c r="H340" i="73"/>
  <c r="D340" i="73" a="1"/>
  <c r="D340" i="73"/>
  <c r="C340" i="73" a="1"/>
  <c r="C340" i="73" s="1"/>
  <c r="B340" i="73" a="1"/>
  <c r="B340" i="73" s="1"/>
  <c r="D360" i="73" a="1"/>
  <c r="D360" i="73" s="1"/>
  <c r="C360" i="73" a="1"/>
  <c r="C360" i="73"/>
  <c r="B360" i="73" a="1"/>
  <c r="B360" i="73"/>
  <c r="H360" i="73" a="1"/>
  <c r="H360" i="73" s="1"/>
  <c r="D381" i="73" a="1"/>
  <c r="D381" i="73"/>
  <c r="C381" i="73" a="1"/>
  <c r="C381" i="73"/>
  <c r="C99" i="73" a="1"/>
  <c r="C99" i="73" s="1"/>
  <c r="D156" i="73" a="1"/>
  <c r="D156" i="73"/>
  <c r="B177" i="73" a="1"/>
  <c r="B177" i="73" s="1"/>
  <c r="C254" i="73" a="1"/>
  <c r="C254" i="73" s="1"/>
  <c r="H191" i="73" a="1"/>
  <c r="H191" i="73" s="1"/>
  <c r="P50" i="73"/>
  <c r="M16" i="73"/>
  <c r="M31" i="73"/>
  <c r="O6" i="73"/>
  <c r="D235" i="73" a="1"/>
  <c r="D235" i="73" s="1"/>
  <c r="B235" i="73" a="1"/>
  <c r="B235" i="73" s="1"/>
  <c r="H235" i="73" a="1"/>
  <c r="H235" i="73" s="1"/>
  <c r="H258" i="73" a="1"/>
  <c r="H258" i="73"/>
  <c r="C258" i="73" a="1"/>
  <c r="C258" i="73"/>
  <c r="B258" i="73" a="1"/>
  <c r="B258" i="73" s="1"/>
  <c r="C62" i="73" a="1"/>
  <c r="C62" i="73" s="1"/>
  <c r="B62" i="73"/>
  <c r="D258" i="73" a="1"/>
  <c r="D258" i="73"/>
  <c r="H106" i="73" a="1"/>
  <c r="H106" i="73" s="1"/>
  <c r="B106" i="73" a="1"/>
  <c r="B106" i="73"/>
  <c r="H388" i="73" a="1"/>
  <c r="H388" i="73" s="1"/>
  <c r="D388" i="73" a="1"/>
  <c r="D388" i="73" s="1"/>
  <c r="C388" i="73" a="1"/>
  <c r="C388" i="73" s="1"/>
  <c r="H59" i="73" a="1"/>
  <c r="H59" i="73"/>
  <c r="C59" i="73" a="1"/>
  <c r="C59" i="73" s="1"/>
  <c r="H217" i="73" a="1"/>
  <c r="H217" i="73" s="1"/>
  <c r="B217" i="73" a="1"/>
  <c r="B217" i="73"/>
  <c r="V48" i="73"/>
  <c r="C48" i="73" a="1"/>
  <c r="C48" i="73" s="1"/>
  <c r="T48" i="73"/>
  <c r="S48" i="73"/>
  <c r="Q48" i="73"/>
  <c r="B48" i="73" a="1"/>
  <c r="B48" i="73"/>
  <c r="P48" i="73"/>
  <c r="O48" i="73"/>
  <c r="H48" i="73" a="1"/>
  <c r="H48" i="73" s="1"/>
  <c r="J48" i="73"/>
  <c r="B153" i="73" a="1"/>
  <c r="B153" i="73"/>
  <c r="D153" i="73" a="1"/>
  <c r="D153" i="73" s="1"/>
  <c r="H153" i="73" a="1"/>
  <c r="H153" i="73"/>
  <c r="D369" i="73" a="1"/>
  <c r="D369" i="73" s="1"/>
  <c r="B369" i="73" a="1"/>
  <c r="B369" i="73" s="1"/>
  <c r="H369" i="73" a="1"/>
  <c r="H369" i="73" s="1"/>
  <c r="N8" i="73"/>
  <c r="M8" i="73"/>
  <c r="J8" i="73"/>
  <c r="Q8" i="73"/>
  <c r="C8" i="73" a="1"/>
  <c r="C8" i="73" s="1"/>
  <c r="B8" i="73" a="1"/>
  <c r="B8" i="73" s="1"/>
  <c r="H8" i="73" a="1"/>
  <c r="H8" i="73"/>
  <c r="T8" i="73"/>
  <c r="S8" i="73"/>
  <c r="D154" i="73" a="1"/>
  <c r="D154" i="73" s="1"/>
  <c r="H154" i="73" a="1"/>
  <c r="H154" i="73" s="1"/>
  <c r="B154" i="73" a="1"/>
  <c r="B154" i="73" s="1"/>
  <c r="C154" i="73" a="1"/>
  <c r="C154" i="73"/>
  <c r="C121" i="73" a="1"/>
  <c r="C121" i="73" s="1"/>
  <c r="H121" i="73" a="1"/>
  <c r="H121" i="73"/>
  <c r="B121" i="73" a="1"/>
  <c r="B121" i="73"/>
  <c r="B187" i="73" a="1"/>
  <c r="B187" i="73" s="1"/>
  <c r="H187" i="73" a="1"/>
  <c r="H187" i="73"/>
  <c r="C187" i="73" a="1"/>
  <c r="C187" i="73" s="1"/>
  <c r="D275" i="73" a="1"/>
  <c r="D275" i="73" s="1"/>
  <c r="C275" i="73" a="1"/>
  <c r="C275" i="73"/>
  <c r="B275" i="73" a="1"/>
  <c r="B275" i="73" s="1"/>
  <c r="H78" i="73" a="1"/>
  <c r="H78" i="73"/>
  <c r="B78" i="73" a="1"/>
  <c r="B78" i="73" s="1"/>
  <c r="C78" i="73" a="1"/>
  <c r="C78" i="73" s="1"/>
  <c r="C122" i="73" a="1"/>
  <c r="C122" i="73" s="1"/>
  <c r="H122" i="73" a="1"/>
  <c r="H122" i="73" s="1"/>
  <c r="B122" i="73" a="1"/>
  <c r="B122" i="73" s="1"/>
  <c r="H144" i="73" a="1"/>
  <c r="H144" i="73"/>
  <c r="B144" i="73" a="1"/>
  <c r="B144" i="73" s="1"/>
  <c r="D144" i="73"/>
  <c r="C144" i="73" a="1"/>
  <c r="C144" i="73"/>
  <c r="D166" i="73" a="1"/>
  <c r="D166" i="73" s="1"/>
  <c r="C166" i="73" a="1"/>
  <c r="C166" i="73"/>
  <c r="D188" i="73" a="1"/>
  <c r="D188" i="73" s="1"/>
  <c r="B188" i="73" a="1"/>
  <c r="B188" i="73" s="1"/>
  <c r="C188" i="73" a="1"/>
  <c r="C188" i="73" s="1"/>
  <c r="H188" i="73" a="1"/>
  <c r="H188" i="73"/>
  <c r="B210" i="73" a="1"/>
  <c r="B210" i="73" s="1"/>
  <c r="H210" i="73" a="1"/>
  <c r="H210" i="73" s="1"/>
  <c r="D210" i="73" a="1"/>
  <c r="D210" i="73" s="1"/>
  <c r="C210" i="73" a="1"/>
  <c r="C210" i="73"/>
  <c r="C232" i="73" a="1"/>
  <c r="C232" i="73" s="1"/>
  <c r="H232" i="73" a="1"/>
  <c r="H232" i="73"/>
  <c r="C276" i="73" a="1"/>
  <c r="C276" i="73" s="1"/>
  <c r="B276" i="73" a="1"/>
  <c r="B276" i="73"/>
  <c r="H276" i="73" a="1"/>
  <c r="H276" i="73" s="1"/>
  <c r="D276" i="73" a="1"/>
  <c r="D276" i="73" s="1"/>
  <c r="H298" i="73" a="1"/>
  <c r="H298" i="73"/>
  <c r="B298" i="73" a="1"/>
  <c r="B298" i="73"/>
  <c r="H320" i="73" a="1"/>
  <c r="H320" i="73" s="1"/>
  <c r="C320" i="73" a="1"/>
  <c r="C320" i="73" s="1"/>
  <c r="D320" i="73" a="1"/>
  <c r="D320" i="73" s="1"/>
  <c r="B320" i="73" a="1"/>
  <c r="B320" i="73" s="1"/>
  <c r="H341" i="73" a="1"/>
  <c r="H341" i="73" s="1"/>
  <c r="D341" i="73" a="1"/>
  <c r="D341" i="73" s="1"/>
  <c r="C341" i="73" a="1"/>
  <c r="C341" i="73" s="1"/>
  <c r="B361" i="73" a="1"/>
  <c r="B361" i="73" s="1"/>
  <c r="H361" i="73" a="1"/>
  <c r="H361" i="73" s="1"/>
  <c r="D361" i="73" a="1"/>
  <c r="D361" i="73" s="1"/>
  <c r="H382" i="73" a="1"/>
  <c r="H382" i="73" s="1"/>
  <c r="C382" i="73" a="1"/>
  <c r="C382" i="73" s="1"/>
  <c r="B382" i="73" a="1"/>
  <c r="B382" i="73"/>
  <c r="B23" i="73" a="1"/>
  <c r="B23" i="73" s="1"/>
  <c r="C40" i="73" a="1"/>
  <c r="C40" i="73" s="1"/>
  <c r="D78" i="73" a="1"/>
  <c r="D78" i="73"/>
  <c r="D99" i="73" a="1"/>
  <c r="D99" i="73"/>
  <c r="B137" i="73" a="1"/>
  <c r="B137" i="73" s="1"/>
  <c r="D178" i="73" a="1"/>
  <c r="D178" i="73" s="1"/>
  <c r="C199" i="73" a="1"/>
  <c r="C199" i="73" s="1"/>
  <c r="D254" i="73" a="1"/>
  <c r="D254" i="73" s="1"/>
  <c r="H195" i="73" a="1"/>
  <c r="H195" i="73" s="1"/>
  <c r="H275" i="73" a="1"/>
  <c r="H275" i="73"/>
  <c r="T50" i="73"/>
  <c r="N16" i="73"/>
  <c r="I29" i="73" a="1"/>
  <c r="I29" i="73" s="1"/>
  <c r="P6" i="73"/>
  <c r="R6" i="73" s="1"/>
  <c r="D213" i="73" a="1"/>
  <c r="D213" i="73" s="1"/>
  <c r="C213" i="73" a="1"/>
  <c r="C213" i="73" s="1"/>
  <c r="D214" i="73" a="1"/>
  <c r="D214" i="73" s="1"/>
  <c r="C214" i="73" a="1"/>
  <c r="C214" i="73" s="1"/>
  <c r="B279" i="73" a="1"/>
  <c r="B279" i="73" s="1"/>
  <c r="B83" i="73" a="1"/>
  <c r="B83" i="73" s="1"/>
  <c r="H83" i="73" a="1"/>
  <c r="H83" i="73" s="1"/>
  <c r="D83" i="73" a="1"/>
  <c r="D83" i="73" s="1"/>
  <c r="C83" i="73" a="1"/>
  <c r="C83" i="73" s="1"/>
  <c r="D259" i="73" a="1"/>
  <c r="D259" i="73" s="1"/>
  <c r="C259" i="73" a="1"/>
  <c r="C259" i="73" s="1"/>
  <c r="C84" i="73" a="1"/>
  <c r="C84" i="73" s="1"/>
  <c r="B84" i="73" a="1"/>
  <c r="B84" i="73" s="1"/>
  <c r="H84" i="73" a="1"/>
  <c r="H84" i="73" s="1"/>
  <c r="D304" i="73" a="1"/>
  <c r="D304" i="73" s="1"/>
  <c r="C304" i="73" a="1"/>
  <c r="C304" i="73" s="1"/>
  <c r="H304" i="73" a="1"/>
  <c r="H304" i="73" s="1"/>
  <c r="B304" i="73" a="1"/>
  <c r="B304" i="73" s="1"/>
  <c r="C260" i="73" a="1"/>
  <c r="C260" i="73" s="1"/>
  <c r="V56" i="73"/>
  <c r="T56" i="73"/>
  <c r="H56" i="73" a="1"/>
  <c r="H56" i="73" s="1"/>
  <c r="M56" i="73"/>
  <c r="J56" i="73"/>
  <c r="I56" i="73" a="1"/>
  <c r="I56" i="73" s="1"/>
  <c r="D56" i="73" a="1"/>
  <c r="D56" i="73"/>
  <c r="C56" i="73" a="1"/>
  <c r="C56" i="73"/>
  <c r="P56" i="73"/>
  <c r="B261" i="73" a="1"/>
  <c r="B261" i="73" s="1"/>
  <c r="D261" i="73" a="1"/>
  <c r="D261" i="73" s="1"/>
  <c r="W52" i="73"/>
  <c r="V52" i="73"/>
  <c r="T52" i="73"/>
  <c r="S52" i="73"/>
  <c r="P52" i="73"/>
  <c r="I52" i="73" a="1"/>
  <c r="I52" i="73" s="1"/>
  <c r="D131" i="73" a="1"/>
  <c r="D131" i="73"/>
  <c r="C131" i="73" a="1"/>
  <c r="C131" i="73" s="1"/>
  <c r="B349" i="73" a="1"/>
  <c r="B349" i="73" s="1"/>
  <c r="C349" i="73" a="1"/>
  <c r="C349" i="73"/>
  <c r="D107" i="73" a="1"/>
  <c r="D107" i="73" s="1"/>
  <c r="H220" i="73" a="1"/>
  <c r="H220" i="73" s="1"/>
  <c r="D220" i="73" a="1"/>
  <c r="D220" i="73" s="1"/>
  <c r="C220" i="73" a="1"/>
  <c r="C220" i="73"/>
  <c r="B220" i="73" a="1"/>
  <c r="B220" i="73" s="1"/>
  <c r="H253" i="73" a="1"/>
  <c r="H253" i="73" s="1"/>
  <c r="C253" i="73" a="1"/>
  <c r="C253" i="73" s="1"/>
  <c r="B253" i="73" a="1"/>
  <c r="B253" i="73" s="1"/>
  <c r="D253" i="73" a="1"/>
  <c r="D253" i="73" s="1"/>
  <c r="W40" i="73"/>
  <c r="V40" i="73"/>
  <c r="H40" i="73" a="1"/>
  <c r="H40" i="73" s="1"/>
  <c r="T40" i="73"/>
  <c r="S40" i="73"/>
  <c r="U40" i="73" s="1"/>
  <c r="D40" i="73" a="1"/>
  <c r="D40" i="73"/>
  <c r="Q40" i="73"/>
  <c r="I40" i="73" a="1"/>
  <c r="I40" i="73" s="1"/>
  <c r="O32" i="73"/>
  <c r="B32" i="73" a="1"/>
  <c r="B32" i="73" s="1"/>
  <c r="M32" i="73"/>
  <c r="Q32" i="73"/>
  <c r="P32" i="73"/>
  <c r="R32" i="73" s="1"/>
  <c r="J32" i="73"/>
  <c r="H54" i="73" a="1"/>
  <c r="H54" i="73" s="1"/>
  <c r="V54" i="73"/>
  <c r="W54" i="73"/>
  <c r="T54" i="73"/>
  <c r="U54" i="73" s="1"/>
  <c r="Q54" i="73"/>
  <c r="J54" i="73"/>
  <c r="P54" i="73"/>
  <c r="O54" i="73"/>
  <c r="N54" i="73"/>
  <c r="M54" i="73"/>
  <c r="I54" i="73" a="1"/>
  <c r="I54" i="73" s="1"/>
  <c r="C54" i="73" a="1"/>
  <c r="C54" i="73" s="1"/>
  <c r="B54" i="73" a="1"/>
  <c r="B54" i="73" s="1"/>
  <c r="H79" i="73" a="1"/>
  <c r="H79" i="73"/>
  <c r="B79" i="73" a="1"/>
  <c r="B79" i="73" s="1"/>
  <c r="D79" i="73" a="1"/>
  <c r="D79" i="73" s="1"/>
  <c r="H101" i="73" a="1"/>
  <c r="H101" i="73" s="1"/>
  <c r="D101" i="73" a="1"/>
  <c r="D101" i="73" s="1"/>
  <c r="C101" i="73" a="1"/>
  <c r="C101" i="73"/>
  <c r="B101" i="73" a="1"/>
  <c r="B101" i="73"/>
  <c r="D123" i="73" a="1"/>
  <c r="D123" i="73" s="1"/>
  <c r="C123" i="73" a="1"/>
  <c r="C123" i="73"/>
  <c r="B123" i="73" a="1"/>
  <c r="B123" i="73"/>
  <c r="H145" i="73" a="1"/>
  <c r="H145" i="73" s="1"/>
  <c r="C145" i="73" a="1"/>
  <c r="C145" i="73" s="1"/>
  <c r="B167" i="73" a="1"/>
  <c r="B167" i="73" s="1"/>
  <c r="H167" i="73" a="1"/>
  <c r="H167" i="73" s="1"/>
  <c r="D211" i="73" a="1"/>
  <c r="D211" i="73"/>
  <c r="C211" i="73" a="1"/>
  <c r="C211" i="73"/>
  <c r="B211" i="73" a="1"/>
  <c r="B211" i="73" s="1"/>
  <c r="H211" i="73" a="1"/>
  <c r="H211" i="73" s="1"/>
  <c r="D233" i="73" a="1"/>
  <c r="D233" i="73" s="1"/>
  <c r="C233" i="73" a="1"/>
  <c r="C233" i="73" s="1"/>
  <c r="B233" i="73" a="1"/>
  <c r="B233" i="73" s="1"/>
  <c r="H233" i="73" a="1"/>
  <c r="H233" i="73" s="1"/>
  <c r="H255" i="73" a="1"/>
  <c r="H255" i="73" s="1"/>
  <c r="D255" i="73" a="1"/>
  <c r="D255" i="73" s="1"/>
  <c r="C255" i="73" a="1"/>
  <c r="C255" i="73" s="1"/>
  <c r="H277" i="73" a="1"/>
  <c r="H277" i="73"/>
  <c r="D277" i="73" a="1"/>
  <c r="D277" i="73"/>
  <c r="C277" i="73" a="1"/>
  <c r="C277" i="73"/>
  <c r="B277" i="73" a="1"/>
  <c r="B277" i="73" s="1"/>
  <c r="H299" i="73" a="1"/>
  <c r="H299" i="73"/>
  <c r="C299" i="73" a="1"/>
  <c r="C299" i="73"/>
  <c r="H321" i="73" a="1"/>
  <c r="H321" i="73" s="1"/>
  <c r="D321" i="73" a="1"/>
  <c r="D321" i="73" s="1"/>
  <c r="C321" i="73" a="1"/>
  <c r="C321" i="73" s="1"/>
  <c r="D342" i="73" a="1"/>
  <c r="D342" i="73"/>
  <c r="H342" i="73" a="1"/>
  <c r="H342" i="73" s="1"/>
  <c r="C342" i="73" a="1"/>
  <c r="C342" i="73" s="1"/>
  <c r="B342" i="73"/>
  <c r="H383" i="73" a="1"/>
  <c r="H383" i="73" s="1"/>
  <c r="D383" i="73" a="1"/>
  <c r="D383" i="73" s="1"/>
  <c r="C383" i="73" a="1"/>
  <c r="C383" i="73" s="1"/>
  <c r="B383" i="73" a="1"/>
  <c r="B383" i="73" s="1"/>
  <c r="D54" i="73" a="1"/>
  <c r="D54" i="73" s="1"/>
  <c r="C79" i="73" a="1"/>
  <c r="C79" i="73"/>
  <c r="C235" i="73" a="1"/>
  <c r="C235" i="73" s="1"/>
  <c r="B255" i="73" a="1"/>
  <c r="B255" i="73" s="1"/>
  <c r="H126" i="73" a="1"/>
  <c r="H126" i="73" s="1"/>
  <c r="V50" i="73"/>
  <c r="O56" i="73"/>
  <c r="N40" i="73"/>
  <c r="B37" i="73" a="1"/>
  <c r="B37" i="73" s="1"/>
  <c r="V37" i="73"/>
  <c r="P37" i="73"/>
  <c r="V41" i="73"/>
  <c r="Q41" i="73"/>
  <c r="J41" i="73"/>
  <c r="H324" i="73" a="1"/>
  <c r="H324" i="73"/>
  <c r="D324" i="73" a="1"/>
  <c r="D324" i="73"/>
  <c r="C324" i="73" a="1"/>
  <c r="C324" i="73" s="1"/>
  <c r="B324" i="73" a="1"/>
  <c r="B324" i="73"/>
  <c r="C149" i="73" a="1"/>
  <c r="C149" i="73" s="1"/>
  <c r="H149" i="73" a="1"/>
  <c r="H149" i="73" s="1"/>
  <c r="D149" i="73" a="1"/>
  <c r="D149" i="73"/>
  <c r="H365" i="73" a="1"/>
  <c r="H365" i="73" s="1"/>
  <c r="B365" i="73" a="1"/>
  <c r="B365" i="73" s="1"/>
  <c r="D365" i="73" a="1"/>
  <c r="D365" i="73"/>
  <c r="C365" i="73" a="1"/>
  <c r="C365" i="73" s="1"/>
  <c r="V31" i="73"/>
  <c r="T31" i="73"/>
  <c r="S31" i="73"/>
  <c r="Q31" i="73"/>
  <c r="P31" i="73"/>
  <c r="W31" i="73"/>
  <c r="O31" i="73"/>
  <c r="H31" i="73" a="1"/>
  <c r="H31" i="73" s="1"/>
  <c r="B31" i="73" a="1"/>
  <c r="B31" i="73" s="1"/>
  <c r="I31" i="73" a="1"/>
  <c r="I31" i="73" s="1"/>
  <c r="C172" i="73" a="1"/>
  <c r="C172" i="73" s="1"/>
  <c r="B172" i="73" a="1"/>
  <c r="B172" i="73" s="1"/>
  <c r="H172" i="73" a="1"/>
  <c r="H172" i="73" s="1"/>
  <c r="D366" i="73" a="1"/>
  <c r="D366" i="73" s="1"/>
  <c r="C366" i="73" a="1"/>
  <c r="C366" i="73"/>
  <c r="B366" i="73" a="1"/>
  <c r="B366" i="73" s="1"/>
  <c r="H366" i="73" a="1"/>
  <c r="H366" i="73" s="1"/>
  <c r="C85" i="73"/>
  <c r="H85" i="73" a="1"/>
  <c r="H85" i="73"/>
  <c r="D283" i="73" a="1"/>
  <c r="D283" i="73" s="1"/>
  <c r="C281" i="73" a="1"/>
  <c r="C281" i="73" s="1"/>
  <c r="C65" i="73" a="1"/>
  <c r="C65" i="73"/>
  <c r="B65" i="73" a="1"/>
  <c r="B65" i="73"/>
  <c r="H65" i="73" a="1"/>
  <c r="H65" i="73"/>
  <c r="B87" i="73" a="1"/>
  <c r="B87" i="73" s="1"/>
  <c r="D87" i="73" a="1"/>
  <c r="D87" i="73" s="1"/>
  <c r="D307" i="73" a="1"/>
  <c r="D307" i="73"/>
  <c r="D88" i="73" a="1"/>
  <c r="D88" i="73" s="1"/>
  <c r="C88" i="73" a="1"/>
  <c r="C88" i="73" s="1"/>
  <c r="B88" i="73" a="1"/>
  <c r="B88" i="73" s="1"/>
  <c r="H198" i="73" a="1"/>
  <c r="H198" i="73"/>
  <c r="H77" i="73" a="1"/>
  <c r="H77" i="73" s="1"/>
  <c r="D77" i="73" a="1"/>
  <c r="D77" i="73"/>
  <c r="H143" i="73" a="1"/>
  <c r="H143" i="73" s="1"/>
  <c r="D143" i="73" a="1"/>
  <c r="D143" i="73" s="1"/>
  <c r="B143" i="73" a="1"/>
  <c r="B143" i="73" s="1"/>
  <c r="C209" i="73" a="1"/>
  <c r="C209" i="73" s="1"/>
  <c r="H209" i="73" a="1"/>
  <c r="H209" i="73"/>
  <c r="W14" i="73"/>
  <c r="H14" i="73" a="1"/>
  <c r="H14" i="73"/>
  <c r="S14" i="73"/>
  <c r="Q14" i="73"/>
  <c r="N14" i="73"/>
  <c r="P14" i="73"/>
  <c r="O14" i="73"/>
  <c r="C14" i="73" a="1"/>
  <c r="C14" i="73" s="1"/>
  <c r="I14" i="73" a="1"/>
  <c r="I14" i="73" s="1"/>
  <c r="H100" i="73" a="1"/>
  <c r="H100" i="73" s="1"/>
  <c r="B100" i="73" a="1"/>
  <c r="B100" i="73" s="1"/>
  <c r="Q3" i="73"/>
  <c r="H3" i="73" a="1"/>
  <c r="H3" i="73" s="1"/>
  <c r="P3" i="73"/>
  <c r="O3" i="73"/>
  <c r="K3" i="73" s="1"/>
  <c r="N3" i="73"/>
  <c r="S3" i="73"/>
  <c r="J3" i="73"/>
  <c r="C3" i="73" a="1"/>
  <c r="C3" i="73" s="1"/>
  <c r="B3" i="73" a="1"/>
  <c r="B3" i="73" s="1"/>
  <c r="V22" i="73"/>
  <c r="H22" i="73" a="1"/>
  <c r="H22" i="73"/>
  <c r="T22" i="73"/>
  <c r="S22" i="73"/>
  <c r="Q22" i="73"/>
  <c r="P22" i="73"/>
  <c r="R22" i="73" s="1"/>
  <c r="C22" i="73" a="1"/>
  <c r="C22" i="73"/>
  <c r="W22" i="73"/>
  <c r="N22" i="73"/>
  <c r="D22" i="73" a="1"/>
  <c r="D22" i="73" s="1"/>
  <c r="M22" i="73"/>
  <c r="J22" i="73"/>
  <c r="W36" i="73"/>
  <c r="H36" i="73" a="1"/>
  <c r="H36" i="73" s="1"/>
  <c r="V36" i="73"/>
  <c r="T36" i="73"/>
  <c r="S36" i="73"/>
  <c r="Q36" i="73"/>
  <c r="P36" i="73"/>
  <c r="O36" i="73"/>
  <c r="K36" i="73" s="1"/>
  <c r="J36" i="73"/>
  <c r="C36" i="73" a="1"/>
  <c r="C36" i="73"/>
  <c r="I36" i="73" a="1"/>
  <c r="I36" i="73" s="1"/>
  <c r="B36" i="73" a="1"/>
  <c r="B36" i="73" s="1"/>
  <c r="L36" i="73" s="1"/>
  <c r="N36" i="73"/>
  <c r="M36" i="73"/>
  <c r="D36" i="73" a="1"/>
  <c r="D36" i="73" s="1"/>
  <c r="H80" i="73" a="1"/>
  <c r="H80" i="73" s="1"/>
  <c r="D102" i="73" a="1"/>
  <c r="D102" i="73" s="1"/>
  <c r="C102" i="73" a="1"/>
  <c r="C102" i="73" s="1"/>
  <c r="H102" i="73" a="1"/>
  <c r="H102" i="73" s="1"/>
  <c r="D124" i="73" a="1"/>
  <c r="D124" i="73"/>
  <c r="C124" i="73" a="1"/>
  <c r="C124" i="73" s="1"/>
  <c r="B124" i="73" a="1"/>
  <c r="B124" i="73" s="1"/>
  <c r="C146" i="73" a="1"/>
  <c r="C146" i="73" s="1"/>
  <c r="B146" i="73" a="1"/>
  <c r="B146" i="73" s="1"/>
  <c r="B168" i="73" a="1"/>
  <c r="B168" i="73" s="1"/>
  <c r="D168" i="73" a="1"/>
  <c r="D168" i="73"/>
  <c r="H168" i="73" a="1"/>
  <c r="H168" i="73"/>
  <c r="C168" i="73" a="1"/>
  <c r="C168" i="73" s="1"/>
  <c r="C190" i="73" a="1"/>
  <c r="C190" i="73" s="1"/>
  <c r="B190" i="73" a="1"/>
  <c r="B190" i="73" s="1"/>
  <c r="B212" i="73" a="1"/>
  <c r="B212" i="73"/>
  <c r="H212" i="73" a="1"/>
  <c r="H212" i="73" s="1"/>
  <c r="C234" i="73" a="1"/>
  <c r="C234" i="73"/>
  <c r="B234" i="73" a="1"/>
  <c r="B234" i="73"/>
  <c r="H278" i="73" a="1"/>
  <c r="H278" i="73" s="1"/>
  <c r="B278" i="73" a="1"/>
  <c r="B278" i="73" s="1"/>
  <c r="C278" i="73" a="1"/>
  <c r="C278" i="73" s="1"/>
  <c r="D300" i="73" a="1"/>
  <c r="D300" i="73" s="1"/>
  <c r="C300" i="73" a="1"/>
  <c r="C300" i="73" s="1"/>
  <c r="B300" i="73" a="1"/>
  <c r="B300" i="73" s="1"/>
  <c r="H300" i="73" a="1"/>
  <c r="H300" i="73" s="1"/>
  <c r="H322" i="73" a="1"/>
  <c r="H322" i="73" s="1"/>
  <c r="D322" i="73" a="1"/>
  <c r="D322" i="73" s="1"/>
  <c r="C322" i="73" a="1"/>
  <c r="C322" i="73"/>
  <c r="B343" i="73" a="1"/>
  <c r="B343" i="73" s="1"/>
  <c r="H343" i="73" a="1"/>
  <c r="H343" i="73" s="1"/>
  <c r="D343" i="73" a="1"/>
  <c r="D343" i="73" s="1"/>
  <c r="C343" i="73" a="1"/>
  <c r="C343" i="73" s="1"/>
  <c r="H384" i="73" a="1"/>
  <c r="H384" i="73" s="1"/>
  <c r="C384" i="73" a="1"/>
  <c r="C384" i="73" s="1"/>
  <c r="D384" i="73" a="1"/>
  <c r="D384" i="73" s="1"/>
  <c r="B384" i="73" a="1"/>
  <c r="B384" i="73"/>
  <c r="D23" i="73" a="1"/>
  <c r="D23" i="73"/>
  <c r="B35" i="73" a="1"/>
  <c r="B35" i="73"/>
  <c r="B63" i="73" a="1"/>
  <c r="B63" i="73"/>
  <c r="D182" i="73" a="1"/>
  <c r="D182" i="73"/>
  <c r="B200" i="73" a="1"/>
  <c r="B200" i="73"/>
  <c r="B237" i="73" a="1"/>
  <c r="B237" i="73" s="1"/>
  <c r="B256" i="73" a="1"/>
  <c r="B256" i="73"/>
  <c r="B297" i="73" a="1"/>
  <c r="B297" i="73" s="1"/>
  <c r="H128" i="73" a="1"/>
  <c r="H128" i="73" s="1"/>
  <c r="H213" i="73" a="1"/>
  <c r="H213" i="73"/>
  <c r="H288" i="73" a="1"/>
  <c r="H288" i="73"/>
  <c r="S17" i="73"/>
  <c r="V29" i="73"/>
  <c r="S56" i="73"/>
  <c r="V6" i="73"/>
  <c r="B292" i="73" a="1"/>
  <c r="B292" i="73" s="1"/>
  <c r="C389" i="73" a="1"/>
  <c r="C389" i="73"/>
  <c r="H385" i="73" a="1"/>
  <c r="H385" i="73" s="1"/>
  <c r="D385" i="73" a="1"/>
  <c r="D385" i="73" s="1"/>
  <c r="C385" i="73" a="1"/>
  <c r="C385" i="73"/>
  <c r="C292" i="73" a="1"/>
  <c r="C292" i="73"/>
  <c r="H15" i="73" a="1"/>
  <c r="H15" i="73" s="1"/>
  <c r="B19" i="73" a="1"/>
  <c r="B19" i="73" s="1"/>
  <c r="C363" i="73" a="1"/>
  <c r="C363" i="73" s="1"/>
  <c r="B378" i="73" a="1"/>
  <c r="B378" i="73" s="1"/>
  <c r="J28" i="73"/>
  <c r="D363" i="73" a="1"/>
  <c r="D363" i="73" s="1"/>
  <c r="P11" i="73"/>
  <c r="O11" i="73"/>
  <c r="N11" i="73"/>
  <c r="J11" i="73"/>
  <c r="C11" i="73" a="1"/>
  <c r="C11" i="73" s="1"/>
  <c r="I11" i="73" a="1"/>
  <c r="I11" i="73" s="1"/>
  <c r="B11" i="73" a="1"/>
  <c r="B11" i="73" s="1"/>
  <c r="L11" i="73" s="1"/>
  <c r="I49" i="73" a="1"/>
  <c r="I49" i="73" s="1"/>
  <c r="P49" i="73"/>
  <c r="Q49" i="73"/>
  <c r="C49" i="73" a="1"/>
  <c r="C49" i="73" s="1"/>
  <c r="H71" i="73" a="1"/>
  <c r="H71" i="73" s="1"/>
  <c r="D71" i="73" a="1"/>
  <c r="D71" i="73" s="1"/>
  <c r="C374" i="73" a="1"/>
  <c r="C374" i="73" s="1"/>
  <c r="B374" i="73" a="1"/>
  <c r="B374" i="73" s="1"/>
  <c r="H374" i="73" a="1"/>
  <c r="H374" i="73"/>
  <c r="D374" i="73" a="1"/>
  <c r="D374" i="73" s="1"/>
  <c r="H292" i="73" a="1"/>
  <c r="H292" i="73" s="1"/>
  <c r="H389" i="73" a="1"/>
  <c r="H389" i="73" s="1"/>
  <c r="J49" i="73"/>
  <c r="D314" i="73"/>
  <c r="C314" i="73" a="1"/>
  <c r="C314" i="73" s="1"/>
  <c r="B314" i="73" a="1"/>
  <c r="B314" i="73" s="1"/>
  <c r="D336" i="73" a="1"/>
  <c r="D336" i="73" s="1"/>
  <c r="C336" i="73" a="1"/>
  <c r="C336" i="73"/>
  <c r="B336" i="73" a="1"/>
  <c r="B336" i="73"/>
  <c r="H336" i="73" a="1"/>
  <c r="H336" i="73" s="1"/>
  <c r="B355" i="73" a="1"/>
  <c r="B355" i="73" s="1"/>
  <c r="D355" i="73" a="1"/>
  <c r="D355" i="73" s="1"/>
  <c r="C397" i="73" a="1"/>
  <c r="C397" i="73" s="1"/>
  <c r="B397" i="73" a="1"/>
  <c r="B397" i="73"/>
  <c r="D274" i="73" a="1"/>
  <c r="D274" i="73" s="1"/>
  <c r="D397" i="73" a="1"/>
  <c r="D397" i="73" s="1"/>
  <c r="Q11" i="73"/>
  <c r="B270" i="73" a="1"/>
  <c r="B270" i="73" s="1"/>
  <c r="H270" i="73" a="1"/>
  <c r="H270" i="73" s="1"/>
  <c r="O49" i="73"/>
  <c r="O19" i="73"/>
  <c r="C19" i="73" a="1"/>
  <c r="C19" i="73" s="1"/>
  <c r="N19" i="73"/>
  <c r="J19" i="73"/>
  <c r="K19" i="73" s="1"/>
  <c r="I19" i="73" a="1"/>
  <c r="I19" i="73" s="1"/>
  <c r="H19" i="73" a="1"/>
  <c r="H19" i="73"/>
  <c r="D378" i="73" a="1"/>
  <c r="D378" i="73" s="1"/>
  <c r="C378" i="73" a="1"/>
  <c r="C378" i="73"/>
  <c r="D399" i="73" a="1"/>
  <c r="D399" i="73" s="1"/>
  <c r="C399" i="73" a="1"/>
  <c r="C399" i="73" s="1"/>
  <c r="B399" i="73" a="1"/>
  <c r="B399" i="73" s="1"/>
  <c r="H399" i="73" a="1"/>
  <c r="H399" i="73"/>
  <c r="H395" i="73" a="1"/>
  <c r="H395" i="73" s="1"/>
  <c r="T11" i="73"/>
  <c r="W19" i="73"/>
  <c r="T15" i="73"/>
  <c r="P13" i="73"/>
  <c r="O15" i="73"/>
  <c r="N15" i="73"/>
  <c r="M15" i="73"/>
  <c r="W28" i="73"/>
  <c r="V28" i="73"/>
  <c r="T28" i="73"/>
  <c r="S28" i="73"/>
  <c r="O28" i="73"/>
  <c r="K28" i="73"/>
  <c r="N28" i="73"/>
  <c r="P28" i="73"/>
  <c r="R28" i="73" s="1"/>
  <c r="D398" i="73" a="1"/>
  <c r="D398" i="73"/>
  <c r="C398" i="73" a="1"/>
  <c r="C398" i="73" s="1"/>
  <c r="B398" i="73" a="1"/>
  <c r="B398" i="73" s="1"/>
  <c r="H398" i="73" a="1"/>
  <c r="H398" i="73" s="1"/>
  <c r="D379" i="73" a="1"/>
  <c r="D379" i="73" s="1"/>
  <c r="C379" i="73" a="1"/>
  <c r="C379" i="73" s="1"/>
  <c r="B379" i="73" a="1"/>
  <c r="B379" i="73"/>
  <c r="B49" i="73" a="1"/>
  <c r="B49" i="73" s="1"/>
  <c r="V11" i="73"/>
  <c r="S49" i="73"/>
  <c r="D296" i="73" a="1"/>
  <c r="D296" i="73"/>
  <c r="C296" i="73" a="1"/>
  <c r="C296" i="73" s="1"/>
  <c r="B296" i="73" a="1"/>
  <c r="B296" i="73" s="1"/>
  <c r="D318" i="73" a="1"/>
  <c r="D318" i="73" s="1"/>
  <c r="C318" i="73" a="1"/>
  <c r="C318" i="73" s="1"/>
  <c r="B318" i="73" a="1"/>
  <c r="B318" i="73"/>
  <c r="C359" i="73" a="1"/>
  <c r="C359" i="73" s="1"/>
  <c r="B359" i="73" a="1"/>
  <c r="B359" i="73" s="1"/>
  <c r="D49" i="73" a="1"/>
  <c r="D49" i="73" s="1"/>
  <c r="B385" i="73" a="1"/>
  <c r="B385" i="73" s="1"/>
  <c r="H397" i="73" a="1"/>
  <c r="H397" i="73" s="1"/>
  <c r="W11" i="73"/>
  <c r="T49" i="73"/>
  <c r="D306" i="73" a="1"/>
  <c r="D306" i="73" s="1"/>
  <c r="C306" i="73" a="1"/>
  <c r="C306" i="73" s="1"/>
  <c r="B306" i="73" a="1"/>
  <c r="B306" i="73" s="1"/>
  <c r="D13" i="73" a="1"/>
  <c r="D13" i="73" s="1"/>
  <c r="C207" i="73" a="1"/>
  <c r="C207" i="73" s="1"/>
  <c r="C328" i="73" a="1"/>
  <c r="C328" i="73" s="1"/>
  <c r="H162" i="73" a="1"/>
  <c r="H162" i="73"/>
  <c r="H228" i="73" a="1"/>
  <c r="H228" i="73" s="1"/>
  <c r="H293" i="73" a="1"/>
  <c r="H293" i="73" s="1"/>
  <c r="I13" i="73" a="1"/>
  <c r="I13" i="73" s="1"/>
  <c r="H201" i="73" a="1"/>
  <c r="H201" i="73" s="1"/>
  <c r="B201" i="73" a="1"/>
  <c r="B201" i="73" s="1"/>
  <c r="D245" i="73" a="1"/>
  <c r="D245" i="73" s="1"/>
  <c r="C245" i="73" a="1"/>
  <c r="C245" i="73" s="1"/>
  <c r="B245" i="73" a="1"/>
  <c r="B245" i="73" s="1"/>
  <c r="D311" i="73" a="1"/>
  <c r="D311" i="73"/>
  <c r="H311" i="73" a="1"/>
  <c r="H311" i="73" s="1"/>
  <c r="C74" i="73" a="1"/>
  <c r="C74" i="73" s="1"/>
  <c r="D117" i="73" a="1"/>
  <c r="D117" i="73"/>
  <c r="C162" i="73" a="1"/>
  <c r="C162" i="73" s="1"/>
  <c r="C201" i="73" a="1"/>
  <c r="C201" i="73" s="1"/>
  <c r="C250" i="73" a="1"/>
  <c r="C250" i="73"/>
  <c r="C267" i="73" a="1"/>
  <c r="C267" i="73" s="1"/>
  <c r="B377" i="73" a="1"/>
  <c r="B377" i="73" s="1"/>
  <c r="C387" i="73" a="1"/>
  <c r="C387" i="73"/>
  <c r="H74" i="73" a="1"/>
  <c r="H74" i="73"/>
  <c r="T13" i="73"/>
  <c r="B180" i="73" a="1"/>
  <c r="B180" i="73" s="1"/>
  <c r="H180" i="73" a="1"/>
  <c r="H180" i="73" s="1"/>
  <c r="D202" i="73" a="1"/>
  <c r="D202" i="73"/>
  <c r="C202" i="73" a="1"/>
  <c r="C202" i="73" s="1"/>
  <c r="B202" i="73" a="1"/>
  <c r="B202" i="73" s="1"/>
  <c r="H202" i="73" a="1"/>
  <c r="H202" i="73" s="1"/>
  <c r="D312" i="73" a="1"/>
  <c r="D312" i="73"/>
  <c r="C312" i="73" a="1"/>
  <c r="C312" i="73" s="1"/>
  <c r="B312" i="73" a="1"/>
  <c r="B312" i="73" s="1"/>
  <c r="H312" i="73" a="1"/>
  <c r="H312" i="73" s="1"/>
  <c r="H334" i="73" a="1"/>
  <c r="H334" i="73"/>
  <c r="C334" i="73" a="1"/>
  <c r="C334" i="73"/>
  <c r="D392" i="73" a="1"/>
  <c r="D392" i="73" s="1"/>
  <c r="C392" i="73" a="1"/>
  <c r="C392" i="73"/>
  <c r="B392" i="73" a="1"/>
  <c r="B392" i="73" s="1"/>
  <c r="H392" i="73" a="1"/>
  <c r="H392" i="73"/>
  <c r="B96" i="73" a="1"/>
  <c r="B96" i="73"/>
  <c r="B118" i="73" a="1"/>
  <c r="B118" i="73"/>
  <c r="D201" i="73" a="1"/>
  <c r="D201" i="73"/>
  <c r="D250" i="73" a="1"/>
  <c r="D250" i="73" s="1"/>
  <c r="B339" i="73" a="1"/>
  <c r="B339" i="73" s="1"/>
  <c r="C377" i="73" a="1"/>
  <c r="C377" i="73"/>
  <c r="V13" i="73"/>
  <c r="B203" i="73" a="1"/>
  <c r="B203" i="73"/>
  <c r="H203" i="73" a="1"/>
  <c r="H203" i="73" s="1"/>
  <c r="D269" i="73" a="1"/>
  <c r="D269" i="73" s="1"/>
  <c r="C269" i="73" a="1"/>
  <c r="C269" i="73" s="1"/>
  <c r="B269" i="73" a="1"/>
  <c r="B269" i="73" s="1"/>
  <c r="B313" i="73" a="1"/>
  <c r="B313" i="73" s="1"/>
  <c r="C313" i="73" a="1"/>
  <c r="C313" i="73" s="1"/>
  <c r="D354" i="73" a="1"/>
  <c r="D354" i="73" s="1"/>
  <c r="C354" i="73" a="1"/>
  <c r="C354" i="73" s="1"/>
  <c r="B354" i="73" a="1"/>
  <c r="B354" i="73" s="1"/>
  <c r="C118" i="73" a="1"/>
  <c r="C118" i="73" s="1"/>
  <c r="B268" i="73" a="1"/>
  <c r="B268" i="73"/>
  <c r="C339" i="73" a="1"/>
  <c r="C339" i="73"/>
  <c r="C139" i="73" a="1"/>
  <c r="C139" i="73" s="1"/>
  <c r="B139" i="73" a="1"/>
  <c r="B139" i="73"/>
  <c r="C161" i="73" a="1"/>
  <c r="C161" i="73" s="1"/>
  <c r="B161" i="73" a="1"/>
  <c r="B161" i="73" s="1"/>
  <c r="D227" i="73" a="1"/>
  <c r="D227" i="73"/>
  <c r="B227" i="73" a="1"/>
  <c r="B227" i="73" s="1"/>
  <c r="H227" i="73" a="1"/>
  <c r="H227" i="73"/>
  <c r="D293" i="73" a="1"/>
  <c r="D293" i="73"/>
  <c r="C293" i="73" a="1"/>
  <c r="C293" i="73"/>
  <c r="D375" i="73" a="1"/>
  <c r="D375" i="73" s="1"/>
  <c r="C375" i="73" a="1"/>
  <c r="C375" i="73"/>
  <c r="D139" i="73" a="1"/>
  <c r="D139" i="73" s="1"/>
  <c r="C163" i="73" a="1"/>
  <c r="C163" i="73" s="1"/>
  <c r="B228" i="73" a="1"/>
  <c r="B228" i="73" s="1"/>
  <c r="C268" i="73" a="1"/>
  <c r="C268" i="73" s="1"/>
  <c r="H306" i="73" a="1"/>
  <c r="H306" i="73"/>
  <c r="J24" i="73"/>
  <c r="O13" i="73"/>
  <c r="M13" i="73"/>
  <c r="P42" i="73"/>
  <c r="R42" i="73" s="1"/>
  <c r="O42" i="73"/>
  <c r="H96" i="73" a="1"/>
  <c r="H96" i="73"/>
  <c r="D96" i="73" a="1"/>
  <c r="D96" i="73"/>
  <c r="C272" i="73" a="1"/>
  <c r="C272" i="73" s="1"/>
  <c r="B272" i="73" a="1"/>
  <c r="B272" i="73"/>
  <c r="D294" i="73" a="1"/>
  <c r="D294" i="73" s="1"/>
  <c r="C294" i="73" a="1"/>
  <c r="C294" i="73" s="1"/>
  <c r="B294" i="73" a="1"/>
  <c r="B294" i="73"/>
  <c r="D357" i="73" a="1"/>
  <c r="D357" i="73" s="1"/>
  <c r="C357" i="73" a="1"/>
  <c r="C357" i="73" s="1"/>
  <c r="B119" i="73" a="1"/>
  <c r="B119" i="73"/>
  <c r="B140" i="73" a="1"/>
  <c r="B140" i="73" s="1"/>
  <c r="C180" i="73" a="1"/>
  <c r="C180" i="73" s="1"/>
  <c r="D203" i="73" a="1"/>
  <c r="D203" i="73"/>
  <c r="C228" i="73" a="1"/>
  <c r="C228" i="73" s="1"/>
  <c r="H245" i="73" a="1"/>
  <c r="H245" i="73" s="1"/>
  <c r="H272" i="73" a="1"/>
  <c r="H272" i="73" s="1"/>
  <c r="H97" i="73" a="1"/>
  <c r="H97" i="73"/>
  <c r="B97" i="73" a="1"/>
  <c r="B97" i="73"/>
  <c r="D185" i="73" a="1"/>
  <c r="D185" i="73" s="1"/>
  <c r="D251" i="73" a="1"/>
  <c r="D251" i="73"/>
  <c r="B251" i="73" a="1"/>
  <c r="B251" i="73" s="1"/>
  <c r="D358" i="73" a="1"/>
  <c r="D358" i="73"/>
  <c r="H358" i="73" a="1"/>
  <c r="H358" i="73" s="1"/>
  <c r="C140" i="73" a="1"/>
  <c r="C140" i="73" s="1"/>
  <c r="B333" i="73" a="1"/>
  <c r="B333" i="73"/>
  <c r="H273" i="73" a="1"/>
  <c r="H273" i="73" s="1"/>
  <c r="H375" i="73" a="1"/>
  <c r="H375" i="73" s="1"/>
  <c r="K23" i="73"/>
  <c r="A2" i="73" a="1"/>
  <c r="A2" i="73" s="1"/>
  <c r="P2" i="73" s="1"/>
  <c r="A51" i="73" a="1"/>
  <c r="A51" i="73" s="1"/>
  <c r="A39" i="73" a="1"/>
  <c r="A39" i="73" s="1"/>
  <c r="A34" i="73" a="1"/>
  <c r="A34" i="73" s="1"/>
  <c r="A43" i="73" a="1"/>
  <c r="A43" i="73" s="1"/>
  <c r="A57" i="73" a="1"/>
  <c r="A57" i="73"/>
  <c r="A53" i="73" a="1"/>
  <c r="A53" i="73" s="1"/>
  <c r="D53" i="73" s="1" a="1"/>
  <c r="D53" i="73" s="1"/>
  <c r="A46" i="73" a="1"/>
  <c r="A46" i="73"/>
  <c r="V46" i="73" s="1"/>
  <c r="A20" i="73" a="1"/>
  <c r="A20" i="73" s="1"/>
  <c r="A18" i="73" a="1"/>
  <c r="A18" i="73" s="1"/>
  <c r="A38" i="73" a="1"/>
  <c r="A38" i="73"/>
  <c r="V38" i="73" s="1"/>
  <c r="A55" i="73" a="1"/>
  <c r="A55" i="73" s="1"/>
  <c r="A5" i="73" a="1"/>
  <c r="A5" i="73" s="1"/>
  <c r="R23" i="73"/>
  <c r="L54" i="73"/>
  <c r="H27" i="86"/>
  <c r="G2" i="70"/>
  <c r="G7" i="70" s="1"/>
  <c r="H41" i="86"/>
  <c r="H34" i="86"/>
  <c r="B2" i="89"/>
  <c r="F3" i="70"/>
  <c r="B25" i="70" a="1"/>
  <c r="B25" i="70" s="1"/>
  <c r="BD1" i="29" a="1"/>
  <c r="BD1" i="29" s="1"/>
  <c r="O18" i="29" a="1"/>
  <c r="O18" i="29" s="1"/>
  <c r="W39" i="73"/>
  <c r="H46" i="73" a="1"/>
  <c r="H46" i="73" s="1"/>
  <c r="M46" i="73"/>
  <c r="J53" i="73"/>
  <c r="S53" i="73"/>
  <c r="B53" i="73" a="1"/>
  <c r="B53" i="73" s="1"/>
  <c r="Q53" i="73"/>
  <c r="V57" i="73"/>
  <c r="O57" i="73"/>
  <c r="T57" i="73"/>
  <c r="H43" i="73" a="1"/>
  <c r="H43" i="73" s="1"/>
  <c r="T43" i="73"/>
  <c r="I43" i="73" a="1"/>
  <c r="I43" i="73" s="1"/>
  <c r="Q43" i="73"/>
  <c r="C34" i="73" a="1"/>
  <c r="C34" i="73" s="1"/>
  <c r="P34" i="73"/>
  <c r="N39" i="73"/>
  <c r="B39" i="73" a="1"/>
  <c r="B39" i="73" s="1"/>
  <c r="C51" i="73" a="1"/>
  <c r="C51" i="73" s="1"/>
  <c r="H32" i="86"/>
  <c r="H31" i="86"/>
  <c r="H10" i="86"/>
  <c r="H2" i="86"/>
  <c r="X2" i="29"/>
  <c r="H3" i="86"/>
  <c r="B18" i="29" a="1"/>
  <c r="G16" i="29" s="1"/>
  <c r="W2" i="29"/>
  <c r="P1" i="70" a="1"/>
  <c r="P1" i="70" s="1"/>
  <c r="M2" i="29"/>
  <c r="L2" i="29"/>
  <c r="K2" i="29"/>
  <c r="M2" i="70"/>
  <c r="M3" i="70"/>
  <c r="L3" i="70"/>
  <c r="L2" i="70"/>
  <c r="K3" i="70"/>
  <c r="K2" i="70"/>
  <c r="K8" i="70" s="1"/>
  <c r="J3" i="70"/>
  <c r="J2" i="70"/>
  <c r="J7" i="70" s="1"/>
  <c r="I3" i="70"/>
  <c r="I2" i="70"/>
  <c r="I4" i="70" s="1"/>
  <c r="H3" i="70"/>
  <c r="H2" i="70"/>
  <c r="H8" i="70" s="1"/>
  <c r="G3" i="70"/>
  <c r="M11" i="70" s="1"/>
  <c r="F2" i="70"/>
  <c r="C2" i="72"/>
  <c r="P1" i="72" a="1"/>
  <c r="P1" i="72" s="1"/>
  <c r="M3" i="72"/>
  <c r="M2" i="72"/>
  <c r="L3" i="72"/>
  <c r="L2" i="72"/>
  <c r="L4" i="72" s="1"/>
  <c r="K3" i="72"/>
  <c r="K2" i="72"/>
  <c r="K7" i="72" s="1"/>
  <c r="J3" i="72"/>
  <c r="J2" i="72"/>
  <c r="J8" i="72" s="1"/>
  <c r="I3" i="72"/>
  <c r="I2" i="72"/>
  <c r="I7" i="72" s="1"/>
  <c r="H3" i="72"/>
  <c r="K11" i="72" s="1"/>
  <c r="H2" i="72"/>
  <c r="G3" i="72"/>
  <c r="G2" i="72"/>
  <c r="G8" i="72" s="1"/>
  <c r="F3" i="72"/>
  <c r="F2" i="72"/>
  <c r="F8" i="72" s="1"/>
  <c r="C5" i="29"/>
  <c r="C3" i="29"/>
  <c r="C7" i="29"/>
  <c r="B25" i="72" a="1"/>
  <c r="B25" i="72" s="1"/>
  <c r="E2" i="72"/>
  <c r="E7" i="72" s="1"/>
  <c r="D2" i="72"/>
  <c r="H10" i="72" s="1"/>
  <c r="B11" i="72"/>
  <c r="B2" i="72"/>
  <c r="B10" i="72" s="1"/>
  <c r="E2" i="70"/>
  <c r="D2" i="70"/>
  <c r="D7" i="70" s="1"/>
  <c r="C5" i="70"/>
  <c r="C2" i="70"/>
  <c r="C7" i="70" s="1"/>
  <c r="B2" i="70"/>
  <c r="B7" i="70" s="1"/>
  <c r="A2" i="81" a="1"/>
  <c r="A2" i="81"/>
  <c r="L2" i="81"/>
  <c r="N2" i="81"/>
  <c r="Q35" i="81" s="1"/>
  <c r="A3" i="81" a="1"/>
  <c r="A3" i="81"/>
  <c r="L3" i="81"/>
  <c r="N3" i="81"/>
  <c r="O3" i="81" s="1"/>
  <c r="A4" i="81" a="1"/>
  <c r="A4" i="81"/>
  <c r="L4" i="81"/>
  <c r="N4" i="81"/>
  <c r="O4" i="81" s="1"/>
  <c r="A5" i="81" a="1"/>
  <c r="A5" i="81"/>
  <c r="L5" i="81"/>
  <c r="N5" i="81"/>
  <c r="O5" i="81" s="1"/>
  <c r="A6" i="81" a="1"/>
  <c r="A6" i="81"/>
  <c r="L6" i="81"/>
  <c r="N6" i="81" s="1"/>
  <c r="O6" i="81" s="1"/>
  <c r="A7" i="81" a="1"/>
  <c r="A7" i="81"/>
  <c r="L7" i="81"/>
  <c r="N7" i="81" s="1"/>
  <c r="O7" i="81" s="1"/>
  <c r="A8" i="81" a="1"/>
  <c r="A8" i="81"/>
  <c r="L8" i="81"/>
  <c r="N8" i="81"/>
  <c r="O8" i="81" s="1"/>
  <c r="A9" i="81" a="1"/>
  <c r="A9" i="81"/>
  <c r="M9" i="81"/>
  <c r="A10" i="81" a="1"/>
  <c r="A10" i="81"/>
  <c r="M10" i="81"/>
  <c r="A11" i="81" a="1"/>
  <c r="A11" i="81"/>
  <c r="L11" i="81"/>
  <c r="N11" i="81" s="1"/>
  <c r="O11" i="81" s="1"/>
  <c r="A12" i="81" a="1"/>
  <c r="A12" i="81"/>
  <c r="L12" i="81"/>
  <c r="N12" i="81" s="1"/>
  <c r="O12" i="81" s="1"/>
  <c r="A13" i="81" a="1"/>
  <c r="A13" i="81"/>
  <c r="L13" i="81"/>
  <c r="N13" i="81" s="1"/>
  <c r="O13" i="81" s="1"/>
  <c r="A14" i="81" a="1"/>
  <c r="A14" i="81"/>
  <c r="L14" i="81"/>
  <c r="N14" i="81"/>
  <c r="O14" i="81" s="1"/>
  <c r="A15" i="81" a="1"/>
  <c r="A15" i="81"/>
  <c r="L15" i="81"/>
  <c r="N15" i="81"/>
  <c r="O15" i="81" s="1"/>
  <c r="A16" i="81" a="1"/>
  <c r="A16" i="81"/>
  <c r="L16" i="81"/>
  <c r="N16" i="81" s="1"/>
  <c r="O16" i="81" s="1"/>
  <c r="A17" i="81" a="1"/>
  <c r="A17" i="81"/>
  <c r="L17" i="81"/>
  <c r="N17" i="81"/>
  <c r="O17" i="81" s="1"/>
  <c r="A18" i="81" a="1"/>
  <c r="A18" i="81"/>
  <c r="L18" i="81"/>
  <c r="N18" i="81"/>
  <c r="O18" i="81" s="1"/>
  <c r="A19" i="81" a="1"/>
  <c r="A19" i="81"/>
  <c r="L19" i="81"/>
  <c r="N19" i="81"/>
  <c r="O19" i="81" s="1"/>
  <c r="A20" i="81" a="1"/>
  <c r="A20" i="81"/>
  <c r="L20" i="81"/>
  <c r="N20" i="81"/>
  <c r="O20" i="81" s="1"/>
  <c r="A21" i="81" a="1"/>
  <c r="A21" i="81"/>
  <c r="L21" i="81"/>
  <c r="N21" i="81" s="1"/>
  <c r="O21" i="81" s="1"/>
  <c r="A22" i="81" a="1"/>
  <c r="A22" i="81"/>
  <c r="M22" i="81"/>
  <c r="A23" i="81" a="1"/>
  <c r="A23" i="81"/>
  <c r="L23" i="81"/>
  <c r="N23" i="81" s="1"/>
  <c r="O23" i="81" s="1"/>
  <c r="A24" i="81" a="1"/>
  <c r="A24" i="81"/>
  <c r="L24" i="81"/>
  <c r="N24" i="81"/>
  <c r="O24" i="81" s="1"/>
  <c r="A25" i="81" a="1"/>
  <c r="A25" i="81"/>
  <c r="M25" i="81"/>
  <c r="A26" i="81" a="1"/>
  <c r="A26" i="81"/>
  <c r="L26" i="81"/>
  <c r="N26" i="81"/>
  <c r="O26" i="81" s="1"/>
  <c r="A27" i="81" a="1"/>
  <c r="A27" i="81"/>
  <c r="L27" i="81"/>
  <c r="N27" i="81" s="1"/>
  <c r="O27" i="81" s="1"/>
  <c r="A28" i="81" a="1"/>
  <c r="A28" i="81"/>
  <c r="M28" i="81"/>
  <c r="A29" i="81" a="1"/>
  <c r="A29" i="81"/>
  <c r="L29" i="81"/>
  <c r="N29" i="81" s="1"/>
  <c r="O29" i="81" s="1"/>
  <c r="A30" i="81" a="1"/>
  <c r="A30" i="81"/>
  <c r="L30" i="81"/>
  <c r="N30" i="81"/>
  <c r="O30" i="81" s="1"/>
  <c r="A31" i="81" a="1"/>
  <c r="A31" i="81"/>
  <c r="A32" i="81" a="1"/>
  <c r="A32" i="81"/>
  <c r="L32" i="81"/>
  <c r="N32" i="81" s="1"/>
  <c r="O32" i="81" s="1"/>
  <c r="A33" i="81" a="1"/>
  <c r="A33" i="81"/>
  <c r="L33" i="81"/>
  <c r="N33" i="81"/>
  <c r="O33" i="81" s="1"/>
  <c r="A34" i="81" a="1"/>
  <c r="A34" i="81"/>
  <c r="L34" i="81"/>
  <c r="N34" i="81" s="1"/>
  <c r="O34" i="81" s="1"/>
  <c r="A35" i="81" a="1"/>
  <c r="A35" i="81"/>
  <c r="M35" i="81"/>
  <c r="A36" i="81" a="1"/>
  <c r="A36" i="81"/>
  <c r="L36" i="81"/>
  <c r="N36" i="81"/>
  <c r="O36" i="81" s="1"/>
  <c r="A37" i="81" a="1"/>
  <c r="A37" i="81"/>
  <c r="L37" i="81"/>
  <c r="N37" i="81"/>
  <c r="O37" i="81" s="1"/>
  <c r="A38" i="81" a="1"/>
  <c r="A38" i="81"/>
  <c r="L38" i="81"/>
  <c r="N38" i="81"/>
  <c r="O38" i="81" s="1"/>
  <c r="A39" i="81" a="1"/>
  <c r="A39" i="81"/>
  <c r="L39" i="81"/>
  <c r="N39" i="81"/>
  <c r="O39" i="81" s="1"/>
  <c r="A40" i="81" a="1"/>
  <c r="A40" i="81"/>
  <c r="M40" i="81"/>
  <c r="A41" i="81" a="1"/>
  <c r="A41" i="81"/>
  <c r="L41" i="81"/>
  <c r="N41" i="81"/>
  <c r="O41" i="81" s="1"/>
  <c r="A42" i="81" a="1"/>
  <c r="A42" i="81"/>
  <c r="L42" i="81"/>
  <c r="N42" i="81"/>
  <c r="O42" i="81" s="1"/>
  <c r="A43" i="81" a="1"/>
  <c r="A43" i="81"/>
  <c r="A44" i="81" a="1"/>
  <c r="A44" i="81"/>
  <c r="L44" i="81"/>
  <c r="N44" i="81" s="1"/>
  <c r="O44" i="81" s="1"/>
  <c r="A45" i="81" a="1"/>
  <c r="A45" i="81"/>
  <c r="L45" i="81"/>
  <c r="N45" i="81"/>
  <c r="O45" i="81" s="1"/>
  <c r="A46" i="81" a="1"/>
  <c r="A46" i="81"/>
  <c r="L46" i="81"/>
  <c r="N46" i="81"/>
  <c r="O46" i="81" s="1"/>
  <c r="A47" i="81" a="1"/>
  <c r="A47" i="81"/>
  <c r="L47" i="81"/>
  <c r="N47" i="81"/>
  <c r="O47" i="81" s="1"/>
  <c r="A48" i="81" a="1"/>
  <c r="A48" i="81"/>
  <c r="L48" i="81"/>
  <c r="N48" i="81"/>
  <c r="O48" i="81" s="1"/>
  <c r="A49" i="81" a="1"/>
  <c r="A49" i="81"/>
  <c r="L49" i="81"/>
  <c r="N49" i="81"/>
  <c r="O49" i="81" s="1"/>
  <c r="A50" i="81" a="1"/>
  <c r="A50" i="81"/>
  <c r="L50" i="81"/>
  <c r="N50" i="81"/>
  <c r="O50" i="81" s="1"/>
  <c r="A51" i="81" a="1"/>
  <c r="A51" i="81"/>
  <c r="L51" i="81"/>
  <c r="N51" i="81"/>
  <c r="O51" i="81" s="1"/>
  <c r="A52" i="81" a="1"/>
  <c r="A52" i="81"/>
  <c r="L52" i="81"/>
  <c r="N52" i="81"/>
  <c r="O52" i="81" s="1"/>
  <c r="A53" i="81" a="1"/>
  <c r="A53" i="81"/>
  <c r="L53" i="81"/>
  <c r="N53" i="81" s="1"/>
  <c r="O53" i="81" s="1"/>
  <c r="A54" i="81" a="1"/>
  <c r="A54" i="81"/>
  <c r="L54" i="81"/>
  <c r="N54" i="81"/>
  <c r="O54" i="81" s="1"/>
  <c r="A55" i="81" a="1"/>
  <c r="A55" i="81"/>
  <c r="L55" i="81"/>
  <c r="N55" i="81" s="1"/>
  <c r="O55" i="81" s="1"/>
  <c r="A56" i="81" a="1"/>
  <c r="A56" i="81"/>
  <c r="A57" i="81" a="1"/>
  <c r="A57" i="81"/>
  <c r="A58" i="81" a="1"/>
  <c r="A58" i="81"/>
  <c r="A59" i="81" a="1"/>
  <c r="A59" i="81"/>
  <c r="A60" i="81" a="1"/>
  <c r="A60" i="81"/>
  <c r="A61" i="81" a="1"/>
  <c r="A61" i="81"/>
  <c r="A62" i="81" a="1"/>
  <c r="A62" i="81"/>
  <c r="A63" i="81" a="1"/>
  <c r="A63" i="81"/>
  <c r="A64" i="81" a="1"/>
  <c r="A64" i="81"/>
  <c r="A65" i="81" a="1"/>
  <c r="A65" i="81"/>
  <c r="A66" i="81" a="1"/>
  <c r="A66" i="81"/>
  <c r="A67" i="81" a="1"/>
  <c r="A67" i="81"/>
  <c r="A68" i="81" a="1"/>
  <c r="A68" i="81"/>
  <c r="A69" i="81" a="1"/>
  <c r="A69" i="81"/>
  <c r="A70" i="81" a="1"/>
  <c r="A70" i="81"/>
  <c r="A71" i="81" a="1"/>
  <c r="A71" i="81"/>
  <c r="A72" i="81" a="1"/>
  <c r="A72" i="81"/>
  <c r="A73" i="81" a="1"/>
  <c r="A73" i="81"/>
  <c r="A74" i="81" a="1"/>
  <c r="A74" i="81"/>
  <c r="A75" i="81" a="1"/>
  <c r="A75" i="81"/>
  <c r="A76" i="81" a="1"/>
  <c r="A76" i="81"/>
  <c r="A77" i="81" a="1"/>
  <c r="A77" i="81"/>
  <c r="A78" i="81" a="1"/>
  <c r="A78" i="81"/>
  <c r="A79" i="81" a="1"/>
  <c r="A79" i="81"/>
  <c r="A80" i="81" a="1"/>
  <c r="A80" i="81"/>
  <c r="A81" i="81" a="1"/>
  <c r="A81" i="81"/>
  <c r="A82" i="81" a="1"/>
  <c r="A82" i="81"/>
  <c r="A83" i="81" a="1"/>
  <c r="A83" i="81"/>
  <c r="A84" i="81" a="1"/>
  <c r="A84" i="81"/>
  <c r="A85" i="81" a="1"/>
  <c r="A85" i="81"/>
  <c r="A86" i="81" a="1"/>
  <c r="A86" i="81"/>
  <c r="A87" i="81" a="1"/>
  <c r="A87" i="81"/>
  <c r="A88" i="81" a="1"/>
  <c r="A88" i="81"/>
  <c r="A89" i="81" a="1"/>
  <c r="A89" i="81"/>
  <c r="A90" i="81" a="1"/>
  <c r="A90" i="81"/>
  <c r="A91" i="81" a="1"/>
  <c r="A91" i="81"/>
  <c r="A92" i="81" a="1"/>
  <c r="A92" i="81"/>
  <c r="A93" i="81" a="1"/>
  <c r="A93" i="81"/>
  <c r="A94" i="81" a="1"/>
  <c r="A94" i="81"/>
  <c r="A95" i="81" a="1"/>
  <c r="A95" i="81"/>
  <c r="A96" i="81" a="1"/>
  <c r="A96" i="81"/>
  <c r="A97" i="81" a="1"/>
  <c r="A97" i="81"/>
  <c r="A98" i="81" a="1"/>
  <c r="A98" i="81"/>
  <c r="A99" i="81" a="1"/>
  <c r="A99" i="81"/>
  <c r="A100" i="81" a="1"/>
  <c r="A100" i="81"/>
  <c r="A101" i="81" a="1"/>
  <c r="A101" i="81"/>
  <c r="A102" i="81" a="1"/>
  <c r="A102" i="81"/>
  <c r="A103" i="81" a="1"/>
  <c r="A103" i="81"/>
  <c r="A104" i="81" a="1"/>
  <c r="A104" i="81"/>
  <c r="A105" i="81" a="1"/>
  <c r="A105" i="81"/>
  <c r="A106" i="81" a="1"/>
  <c r="A106" i="81"/>
  <c r="A107" i="81" a="1"/>
  <c r="A107" i="81"/>
  <c r="A108" i="81" a="1"/>
  <c r="A108" i="81"/>
  <c r="A109" i="81" a="1"/>
  <c r="A109" i="81"/>
  <c r="A110" i="81" a="1"/>
  <c r="A110" i="81"/>
  <c r="A111" i="81" a="1"/>
  <c r="A111" i="81"/>
  <c r="A112" i="81" a="1"/>
  <c r="A112" i="81"/>
  <c r="A113" i="81" a="1"/>
  <c r="A113" i="81"/>
  <c r="A114" i="81" a="1"/>
  <c r="A114" i="81"/>
  <c r="A115" i="81" a="1"/>
  <c r="A115" i="81"/>
  <c r="A116" i="81" a="1"/>
  <c r="A116" i="81"/>
  <c r="A117" i="81" a="1"/>
  <c r="A117" i="81"/>
  <c r="A118" i="81" a="1"/>
  <c r="A118" i="81"/>
  <c r="A119" i="81" a="1"/>
  <c r="A119" i="81"/>
  <c r="A120" i="81" a="1"/>
  <c r="A120" i="81"/>
  <c r="A121" i="81" a="1"/>
  <c r="A121" i="81"/>
  <c r="A122" i="81" a="1"/>
  <c r="A122" i="81"/>
  <c r="A123" i="81" a="1"/>
  <c r="A123" i="81"/>
  <c r="A124" i="81" a="1"/>
  <c r="A124" i="81"/>
  <c r="A125" i="81" a="1"/>
  <c r="A125" i="81"/>
  <c r="A126" i="81" a="1"/>
  <c r="A126" i="81"/>
  <c r="A127" i="81" a="1"/>
  <c r="A127" i="81"/>
  <c r="A128" i="81" a="1"/>
  <c r="A128" i="81"/>
  <c r="A129" i="81" a="1"/>
  <c r="A129" i="81"/>
  <c r="A130" i="81" a="1"/>
  <c r="A130" i="81"/>
  <c r="A131" i="81" a="1"/>
  <c r="A131" i="81"/>
  <c r="A132" i="81" a="1"/>
  <c r="A132" i="81"/>
  <c r="A133" i="81" a="1"/>
  <c r="A133" i="81"/>
  <c r="A134" i="81" a="1"/>
  <c r="A134" i="81"/>
  <c r="A135" i="81" a="1"/>
  <c r="A135" i="81"/>
  <c r="A136" i="81" a="1"/>
  <c r="A136" i="81"/>
  <c r="A137" i="81" a="1"/>
  <c r="A137" i="81"/>
  <c r="A138" i="81" a="1"/>
  <c r="A138" i="81"/>
  <c r="A139" i="81" a="1"/>
  <c r="A139" i="81"/>
  <c r="A140" i="81" a="1"/>
  <c r="A140" i="81"/>
  <c r="A141" i="81" a="1"/>
  <c r="A141" i="81"/>
  <c r="A142" i="81" a="1"/>
  <c r="A142" i="81"/>
  <c r="A143" i="81" a="1"/>
  <c r="A143" i="81"/>
  <c r="A144" i="81" a="1"/>
  <c r="A144" i="81"/>
  <c r="A145" i="81" a="1"/>
  <c r="A145" i="81"/>
  <c r="A146" i="81" a="1"/>
  <c r="A146" i="81"/>
  <c r="A147" i="81" a="1"/>
  <c r="A147" i="81"/>
  <c r="A148" i="81" a="1"/>
  <c r="A148" i="81"/>
  <c r="A149" i="81" a="1"/>
  <c r="A149" i="81"/>
  <c r="A150" i="81" a="1"/>
  <c r="A150" i="81"/>
  <c r="A151" i="81" a="1"/>
  <c r="A151" i="81"/>
  <c r="A152" i="81" a="1"/>
  <c r="A152" i="81"/>
  <c r="A153" i="81" a="1"/>
  <c r="A153" i="81"/>
  <c r="A154" i="81" a="1"/>
  <c r="A154" i="81"/>
  <c r="A155" i="81" a="1"/>
  <c r="A155" i="81"/>
  <c r="A156" i="81" a="1"/>
  <c r="A156" i="81"/>
  <c r="A157" i="81" a="1"/>
  <c r="A157" i="81"/>
  <c r="A158" i="81" a="1"/>
  <c r="A158" i="81"/>
  <c r="A159" i="81" a="1"/>
  <c r="A159" i="81"/>
  <c r="A160" i="81" a="1"/>
  <c r="A160" i="81"/>
  <c r="A161" i="81" a="1"/>
  <c r="A161" i="81"/>
  <c r="A162" i="81" a="1"/>
  <c r="A162" i="81"/>
  <c r="A163" i="81" a="1"/>
  <c r="A163" i="81"/>
  <c r="A164" i="81" a="1"/>
  <c r="A164" i="81"/>
  <c r="A165" i="81" a="1"/>
  <c r="A165" i="81"/>
  <c r="A166" i="81" a="1"/>
  <c r="A166" i="81"/>
  <c r="A167" i="81" a="1"/>
  <c r="A167" i="81"/>
  <c r="A168" i="81" a="1"/>
  <c r="A168" i="81"/>
  <c r="A169" i="81" a="1"/>
  <c r="A169" i="81"/>
  <c r="A170" i="81" a="1"/>
  <c r="A170" i="81"/>
  <c r="A171" i="81" a="1"/>
  <c r="A171" i="81"/>
  <c r="A172" i="81" a="1"/>
  <c r="A172" i="81"/>
  <c r="A173" i="81" a="1"/>
  <c r="A173" i="81"/>
  <c r="A174" i="81" a="1"/>
  <c r="A174" i="81"/>
  <c r="A175" i="81" a="1"/>
  <c r="A175" i="81"/>
  <c r="A176" i="81" a="1"/>
  <c r="A176" i="81"/>
  <c r="A177" i="81" a="1"/>
  <c r="A177" i="81"/>
  <c r="A178" i="81" a="1"/>
  <c r="A178" i="81"/>
  <c r="A179" i="81" a="1"/>
  <c r="A179" i="81"/>
  <c r="A180" i="81" a="1"/>
  <c r="A180" i="81"/>
  <c r="A181" i="81" a="1"/>
  <c r="A181" i="81"/>
  <c r="A182" i="81" a="1"/>
  <c r="A182" i="81"/>
  <c r="A183" i="81" a="1"/>
  <c r="A183" i="81"/>
  <c r="A184" i="81" a="1"/>
  <c r="A184" i="81"/>
  <c r="A185" i="81" a="1"/>
  <c r="A185" i="81"/>
  <c r="A186" i="81" a="1"/>
  <c r="A186" i="81"/>
  <c r="A187" i="81" a="1"/>
  <c r="A187" i="81"/>
  <c r="A188" i="81" a="1"/>
  <c r="A188" i="81"/>
  <c r="A189" i="81" a="1"/>
  <c r="A189" i="81"/>
  <c r="A190" i="81" a="1"/>
  <c r="A190" i="81"/>
  <c r="A191" i="81" a="1"/>
  <c r="A191" i="81"/>
  <c r="A192" i="81" a="1"/>
  <c r="A192" i="81"/>
  <c r="A193" i="81" a="1"/>
  <c r="A193" i="81"/>
  <c r="A194" i="81" a="1"/>
  <c r="A194" i="81"/>
  <c r="A195" i="81" a="1"/>
  <c r="A195" i="81"/>
  <c r="A196" i="81" a="1"/>
  <c r="A196" i="81"/>
  <c r="A197" i="81" a="1"/>
  <c r="A197" i="81"/>
  <c r="A198" i="81" a="1"/>
  <c r="A198" i="81"/>
  <c r="A199" i="81" a="1"/>
  <c r="A199" i="81"/>
  <c r="A200" i="81" a="1"/>
  <c r="A200" i="81"/>
  <c r="A201" i="81" a="1"/>
  <c r="A201" i="81"/>
  <c r="A202" i="81" a="1"/>
  <c r="A202" i="81"/>
  <c r="A203" i="81" a="1"/>
  <c r="A203" i="81"/>
  <c r="A204" i="81" a="1"/>
  <c r="A204" i="81"/>
  <c r="A205" i="81" a="1"/>
  <c r="A205" i="81"/>
  <c r="A206" i="81" a="1"/>
  <c r="A206" i="81"/>
  <c r="A207" i="81" a="1"/>
  <c r="A207" i="81"/>
  <c r="A208" i="81" a="1"/>
  <c r="A208" i="81"/>
  <c r="A209" i="81" a="1"/>
  <c r="A209" i="81"/>
  <c r="A210" i="81" a="1"/>
  <c r="A210" i="81"/>
  <c r="A211" i="81" a="1"/>
  <c r="A211" i="81"/>
  <c r="A212" i="81" a="1"/>
  <c r="A212" i="81"/>
  <c r="A213" i="81" a="1"/>
  <c r="A213" i="81"/>
  <c r="A214" i="81" a="1"/>
  <c r="A214" i="81"/>
  <c r="A215" i="81" a="1"/>
  <c r="A215" i="81"/>
  <c r="A216" i="81" a="1"/>
  <c r="A216" i="81"/>
  <c r="A217" i="81" a="1"/>
  <c r="A217" i="81"/>
  <c r="A218" i="81" a="1"/>
  <c r="A218" i="81"/>
  <c r="A219" i="81" a="1"/>
  <c r="A219" i="81"/>
  <c r="A220" i="81" a="1"/>
  <c r="A220" i="81"/>
  <c r="A221" i="81" a="1"/>
  <c r="A221" i="81"/>
  <c r="A222" i="81" a="1"/>
  <c r="A222" i="81"/>
  <c r="A223" i="81" a="1"/>
  <c r="A223" i="81"/>
  <c r="A224" i="81" a="1"/>
  <c r="A224" i="81"/>
  <c r="A225" i="81" a="1"/>
  <c r="A225" i="81"/>
  <c r="A226" i="81" a="1"/>
  <c r="A226" i="81"/>
  <c r="A227" i="81" a="1"/>
  <c r="A227" i="81"/>
  <c r="A228" i="81" a="1"/>
  <c r="A228" i="81"/>
  <c r="A229" i="81" a="1"/>
  <c r="A229" i="81"/>
  <c r="A230" i="81" a="1"/>
  <c r="A230" i="81"/>
  <c r="A231" i="81" a="1"/>
  <c r="A231" i="81"/>
  <c r="A232" i="81" a="1"/>
  <c r="A232" i="81"/>
  <c r="A233" i="81" a="1"/>
  <c r="A233" i="81"/>
  <c r="A234" i="81" a="1"/>
  <c r="A234" i="81"/>
  <c r="A235" i="81" a="1"/>
  <c r="A235" i="81"/>
  <c r="A236" i="81" a="1"/>
  <c r="A236" i="81"/>
  <c r="A237" i="81" a="1"/>
  <c r="A237" i="81"/>
  <c r="A238" i="81" a="1"/>
  <c r="A238" i="81"/>
  <c r="A239" i="81" a="1"/>
  <c r="A239" i="81"/>
  <c r="A240" i="81" a="1"/>
  <c r="A240" i="81"/>
  <c r="A241" i="81" a="1"/>
  <c r="A241" i="81"/>
  <c r="A242" i="81" a="1"/>
  <c r="A242" i="81"/>
  <c r="A243" i="81" a="1"/>
  <c r="A243" i="81"/>
  <c r="A244" i="81" a="1"/>
  <c r="A244" i="81"/>
  <c r="A245" i="81" a="1"/>
  <c r="A245" i="81"/>
  <c r="A246" i="81" a="1"/>
  <c r="A246" i="81"/>
  <c r="A247" i="81" a="1"/>
  <c r="A247" i="81"/>
  <c r="A248" i="81" a="1"/>
  <c r="A248" i="81"/>
  <c r="A249" i="81" a="1"/>
  <c r="A249" i="81"/>
  <c r="A250" i="81" a="1"/>
  <c r="A250" i="81"/>
  <c r="A251" i="81" a="1"/>
  <c r="A251" i="81"/>
  <c r="A252" i="81" a="1"/>
  <c r="A252" i="81"/>
  <c r="A253" i="81" a="1"/>
  <c r="A253" i="81"/>
  <c r="A254" i="81" a="1"/>
  <c r="A254" i="81"/>
  <c r="A255" i="81" a="1"/>
  <c r="A255" i="81"/>
  <c r="A256" i="81" a="1"/>
  <c r="A256" i="81"/>
  <c r="A257" i="81" a="1"/>
  <c r="A257" i="81"/>
  <c r="A258" i="81" a="1"/>
  <c r="A258" i="81"/>
  <c r="A259" i="81" a="1"/>
  <c r="A259" i="81"/>
  <c r="A260" i="81" a="1"/>
  <c r="A260" i="81"/>
  <c r="A261" i="81" a="1"/>
  <c r="A261" i="81"/>
  <c r="A262" i="81" a="1"/>
  <c r="A262" i="81"/>
  <c r="A263" i="81" a="1"/>
  <c r="A263" i="81"/>
  <c r="A264" i="81" a="1"/>
  <c r="A264" i="81"/>
  <c r="A265" i="81" a="1"/>
  <c r="A265" i="81"/>
  <c r="A266" i="81" a="1"/>
  <c r="A266" i="81"/>
  <c r="A267" i="81" a="1"/>
  <c r="A267" i="81"/>
  <c r="A268" i="81" a="1"/>
  <c r="A268" i="81"/>
  <c r="A269" i="81" a="1"/>
  <c r="A269" i="81"/>
  <c r="A270" i="81" a="1"/>
  <c r="A270" i="81"/>
  <c r="A271" i="81" a="1"/>
  <c r="A271" i="81"/>
  <c r="A272" i="81" a="1"/>
  <c r="A272" i="81"/>
  <c r="A273" i="81" a="1"/>
  <c r="A273" i="81"/>
  <c r="A274" i="81" a="1"/>
  <c r="A274" i="81"/>
  <c r="A275" i="81" a="1"/>
  <c r="A275" i="81"/>
  <c r="A276" i="81" a="1"/>
  <c r="A276" i="81"/>
  <c r="A277" i="81" a="1"/>
  <c r="A277" i="81"/>
  <c r="A278" i="81" a="1"/>
  <c r="A278" i="81"/>
  <c r="A279" i="81" a="1"/>
  <c r="A279" i="81"/>
  <c r="A280" i="81" a="1"/>
  <c r="A280" i="81"/>
  <c r="A281" i="81" a="1"/>
  <c r="A281" i="81"/>
  <c r="A282" i="81" a="1"/>
  <c r="A282" i="81"/>
  <c r="A283" i="81" a="1"/>
  <c r="A283" i="81"/>
  <c r="A284" i="81" a="1"/>
  <c r="A284" i="81"/>
  <c r="A285" i="81" a="1"/>
  <c r="A285" i="81"/>
  <c r="A286" i="81" a="1"/>
  <c r="A286" i="81"/>
  <c r="A287" i="81" a="1"/>
  <c r="A287" i="81"/>
  <c r="A288" i="81" a="1"/>
  <c r="A288" i="81"/>
  <c r="A289" i="81" a="1"/>
  <c r="A289" i="81"/>
  <c r="A290" i="81" a="1"/>
  <c r="A290" i="81"/>
  <c r="A291" i="81" a="1"/>
  <c r="A291" i="81"/>
  <c r="A292" i="81" a="1"/>
  <c r="A292" i="81"/>
  <c r="A293" i="81" a="1"/>
  <c r="A293" i="81"/>
  <c r="A294" i="81" a="1"/>
  <c r="A294" i="81"/>
  <c r="A295" i="81" a="1"/>
  <c r="A295" i="81"/>
  <c r="A296" i="81" a="1"/>
  <c r="A296" i="81"/>
  <c r="A297" i="81" a="1"/>
  <c r="A297" i="81"/>
  <c r="A298" i="81" a="1"/>
  <c r="A298" i="81"/>
  <c r="A299" i="81" a="1"/>
  <c r="A299" i="81"/>
  <c r="A300" i="81" a="1"/>
  <c r="A300" i="81"/>
  <c r="A301" i="81" a="1"/>
  <c r="A301" i="81"/>
  <c r="A302" i="81" a="1"/>
  <c r="A302" i="81"/>
  <c r="A303" i="81" a="1"/>
  <c r="A303" i="81"/>
  <c r="A304" i="81" a="1"/>
  <c r="A304" i="81"/>
  <c r="A305" i="81" a="1"/>
  <c r="A305" i="81"/>
  <c r="A306" i="81" a="1"/>
  <c r="A306" i="81"/>
  <c r="A307" i="81" a="1"/>
  <c r="A307" i="81"/>
  <c r="A308" i="81" a="1"/>
  <c r="A308" i="81"/>
  <c r="A309" i="81" a="1"/>
  <c r="A309" i="81"/>
  <c r="A310" i="81" a="1"/>
  <c r="A310" i="81"/>
  <c r="A311" i="81" a="1"/>
  <c r="A311" i="81"/>
  <c r="A312" i="81" a="1"/>
  <c r="A312" i="81"/>
  <c r="A313" i="81" a="1"/>
  <c r="A313" i="81"/>
  <c r="A314" i="81" a="1"/>
  <c r="A314" i="81"/>
  <c r="A315" i="81" a="1"/>
  <c r="A315" i="81"/>
  <c r="A316" i="81" a="1"/>
  <c r="A316" i="81"/>
  <c r="A317" i="81" a="1"/>
  <c r="A317" i="81"/>
  <c r="A318" i="81" a="1"/>
  <c r="A318" i="81"/>
  <c r="A319" i="81" a="1"/>
  <c r="A319" i="81"/>
  <c r="A320" i="81" a="1"/>
  <c r="A320" i="81"/>
  <c r="A321" i="81" a="1"/>
  <c r="A321" i="81"/>
  <c r="A322" i="81" a="1"/>
  <c r="A322" i="81"/>
  <c r="A323" i="81" a="1"/>
  <c r="A323" i="81"/>
  <c r="A324" i="81" a="1"/>
  <c r="A324" i="81"/>
  <c r="A325" i="81" a="1"/>
  <c r="A325" i="81"/>
  <c r="A326" i="81" a="1"/>
  <c r="A326" i="81"/>
  <c r="A327" i="81" a="1"/>
  <c r="A327" i="81"/>
  <c r="A328" i="81" a="1"/>
  <c r="A328" i="81"/>
  <c r="A329" i="81" a="1"/>
  <c r="A329" i="81"/>
  <c r="A330" i="81" a="1"/>
  <c r="A330" i="81"/>
  <c r="A331" i="81" a="1"/>
  <c r="A331" i="81"/>
  <c r="A332" i="81" a="1"/>
  <c r="A332" i="81"/>
  <c r="A333" i="81" a="1"/>
  <c r="A333" i="81"/>
  <c r="A334" i="81" a="1"/>
  <c r="A334" i="81"/>
  <c r="A335" i="81" a="1"/>
  <c r="A335" i="81"/>
  <c r="A336" i="81" a="1"/>
  <c r="A336" i="81"/>
  <c r="A337" i="81" a="1"/>
  <c r="A337" i="81"/>
  <c r="A338" i="81" a="1"/>
  <c r="A338" i="81"/>
  <c r="A339" i="81" a="1"/>
  <c r="A339" i="81"/>
  <c r="A340" i="81" a="1"/>
  <c r="A340" i="81"/>
  <c r="A341" i="81" a="1"/>
  <c r="A341" i="81"/>
  <c r="A342" i="81" a="1"/>
  <c r="A342" i="81"/>
  <c r="A343" i="81" a="1"/>
  <c r="A343" i="81"/>
  <c r="A344" i="81" a="1"/>
  <c r="A344" i="81"/>
  <c r="A345" i="81" a="1"/>
  <c r="A345" i="81"/>
  <c r="A346" i="81" a="1"/>
  <c r="A346" i="81"/>
  <c r="A347" i="81" a="1"/>
  <c r="A347" i="81"/>
  <c r="A348" i="81" a="1"/>
  <c r="A348" i="81"/>
  <c r="A349" i="81" a="1"/>
  <c r="A349" i="81"/>
  <c r="A350" i="81" a="1"/>
  <c r="A350" i="81"/>
  <c r="A351" i="81" a="1"/>
  <c r="A351" i="81"/>
  <c r="A352" i="81" a="1"/>
  <c r="A352" i="81"/>
  <c r="A353" i="81" a="1"/>
  <c r="A353" i="81"/>
  <c r="A354" i="81" a="1"/>
  <c r="A354" i="81"/>
  <c r="A355" i="81" a="1"/>
  <c r="A355" i="81"/>
  <c r="A356" i="81" a="1"/>
  <c r="A356" i="81"/>
  <c r="A357" i="81" a="1"/>
  <c r="A357" i="81"/>
  <c r="A358" i="81" a="1"/>
  <c r="A358" i="81"/>
  <c r="A359" i="81" a="1"/>
  <c r="A359" i="81"/>
  <c r="A360" i="81" a="1"/>
  <c r="A360" i="81"/>
  <c r="A361" i="81" a="1"/>
  <c r="A361" i="81"/>
  <c r="A362" i="81" a="1"/>
  <c r="A362" i="81"/>
  <c r="A363" i="81" a="1"/>
  <c r="A363" i="81"/>
  <c r="A364" i="81" a="1"/>
  <c r="A364" i="81"/>
  <c r="A365" i="81" a="1"/>
  <c r="A365" i="81"/>
  <c r="A366" i="81" a="1"/>
  <c r="A366" i="81"/>
  <c r="A367" i="81" a="1"/>
  <c r="A367" i="81"/>
  <c r="A368" i="81" a="1"/>
  <c r="A368" i="81"/>
  <c r="A369" i="81" a="1"/>
  <c r="A369" i="81"/>
  <c r="A370" i="81" a="1"/>
  <c r="A370" i="81"/>
  <c r="A371" i="81" a="1"/>
  <c r="A371" i="81"/>
  <c r="A372" i="81" a="1"/>
  <c r="A372" i="81"/>
  <c r="A373" i="81" a="1"/>
  <c r="A373" i="81"/>
  <c r="A374" i="81" a="1"/>
  <c r="A374" i="81"/>
  <c r="A375" i="81" a="1"/>
  <c r="A375" i="81"/>
  <c r="A376" i="81" a="1"/>
  <c r="A376" i="81"/>
  <c r="A377" i="81" a="1"/>
  <c r="A377" i="81"/>
  <c r="A378" i="81" a="1"/>
  <c r="A378" i="81"/>
  <c r="A379" i="81" a="1"/>
  <c r="A379" i="81"/>
  <c r="A380" i="81" a="1"/>
  <c r="A380" i="81"/>
  <c r="A381" i="81" a="1"/>
  <c r="A381" i="81"/>
  <c r="A382" i="81" a="1"/>
  <c r="A382" i="81"/>
  <c r="A383" i="81" a="1"/>
  <c r="A383" i="81"/>
  <c r="A384" i="81" a="1"/>
  <c r="A384" i="81"/>
  <c r="A385" i="81" a="1"/>
  <c r="A385" i="81"/>
  <c r="A386" i="81" a="1"/>
  <c r="A386" i="81"/>
  <c r="A387" i="81" a="1"/>
  <c r="A387" i="81"/>
  <c r="A388" i="81" a="1"/>
  <c r="A388" i="81"/>
  <c r="A389" i="81" a="1"/>
  <c r="A389" i="81"/>
  <c r="A390" i="81" a="1"/>
  <c r="A390" i="81"/>
  <c r="A391" i="81" a="1"/>
  <c r="A391" i="81"/>
  <c r="A392" i="81" a="1"/>
  <c r="A392" i="81"/>
  <c r="A393" i="81" a="1"/>
  <c r="A393" i="81"/>
  <c r="A394" i="81" a="1"/>
  <c r="A394" i="81"/>
  <c r="A395" i="81" a="1"/>
  <c r="A395" i="81"/>
  <c r="A396" i="81" a="1"/>
  <c r="A396" i="81"/>
  <c r="A397" i="81" a="1"/>
  <c r="A397" i="81"/>
  <c r="A398" i="81" a="1"/>
  <c r="A398" i="81"/>
  <c r="A399" i="81" a="1"/>
  <c r="A399" i="81"/>
  <c r="A400" i="81" a="1"/>
  <c r="A400" i="81"/>
  <c r="G56" i="80"/>
  <c r="G57" i="80"/>
  <c r="G58" i="80"/>
  <c r="G59" i="80"/>
  <c r="G60" i="80"/>
  <c r="G61" i="80"/>
  <c r="G62" i="80"/>
  <c r="G63" i="80"/>
  <c r="G64" i="80"/>
  <c r="G65" i="80"/>
  <c r="G66" i="80"/>
  <c r="G67" i="80"/>
  <c r="G68" i="80"/>
  <c r="G69" i="80"/>
  <c r="G70" i="80"/>
  <c r="G71" i="80"/>
  <c r="G72" i="80"/>
  <c r="G73" i="80"/>
  <c r="G74" i="80"/>
  <c r="G75" i="80"/>
  <c r="G76" i="80"/>
  <c r="G77" i="80"/>
  <c r="G78" i="80"/>
  <c r="G79" i="80"/>
  <c r="G80" i="80"/>
  <c r="G81" i="80"/>
  <c r="G82" i="80"/>
  <c r="G83" i="80"/>
  <c r="G84" i="80"/>
  <c r="G85" i="80"/>
  <c r="G86" i="80"/>
  <c r="G87" i="80"/>
  <c r="G88" i="80"/>
  <c r="G89" i="80"/>
  <c r="G90" i="80"/>
  <c r="G91" i="80"/>
  <c r="G92" i="80"/>
  <c r="G93" i="80"/>
  <c r="G94" i="80"/>
  <c r="G95" i="80"/>
  <c r="G96" i="80"/>
  <c r="G97" i="80"/>
  <c r="G98" i="80"/>
  <c r="G99" i="80"/>
  <c r="G100" i="80"/>
  <c r="G101" i="80"/>
  <c r="G102" i="80"/>
  <c r="G103" i="80"/>
  <c r="G104" i="80"/>
  <c r="G105" i="80"/>
  <c r="G106" i="80"/>
  <c r="G107" i="80"/>
  <c r="G108" i="80"/>
  <c r="G109" i="80"/>
  <c r="G110" i="80"/>
  <c r="G111" i="80"/>
  <c r="G112" i="80"/>
  <c r="G113" i="80"/>
  <c r="G114" i="80"/>
  <c r="G115" i="80"/>
  <c r="G116" i="80"/>
  <c r="G117" i="80"/>
  <c r="G118" i="80"/>
  <c r="G119" i="80"/>
  <c r="G120" i="80"/>
  <c r="G121" i="80"/>
  <c r="G122" i="80"/>
  <c r="G123" i="80"/>
  <c r="G124" i="80"/>
  <c r="G125" i="80"/>
  <c r="G126" i="80"/>
  <c r="G127" i="80"/>
  <c r="G128" i="80"/>
  <c r="G129" i="80"/>
  <c r="G130" i="80"/>
  <c r="G131" i="80"/>
  <c r="G132" i="80"/>
  <c r="G133" i="80"/>
  <c r="G134" i="80"/>
  <c r="G135" i="80"/>
  <c r="G136" i="80"/>
  <c r="G137" i="80"/>
  <c r="G138" i="80"/>
  <c r="G139" i="80"/>
  <c r="G140" i="80"/>
  <c r="G141" i="80"/>
  <c r="G142" i="80"/>
  <c r="G143" i="80"/>
  <c r="G144" i="80"/>
  <c r="G145" i="80"/>
  <c r="G146" i="80"/>
  <c r="G147" i="80"/>
  <c r="G148" i="80"/>
  <c r="G149" i="80"/>
  <c r="G150" i="80"/>
  <c r="G151" i="80"/>
  <c r="G152" i="80"/>
  <c r="G153" i="80"/>
  <c r="G154" i="80"/>
  <c r="G155" i="80"/>
  <c r="G156" i="80"/>
  <c r="G157" i="80"/>
  <c r="G158" i="80"/>
  <c r="G159" i="80"/>
  <c r="G160" i="80"/>
  <c r="G161" i="80"/>
  <c r="G162" i="80"/>
  <c r="G163" i="80"/>
  <c r="G164" i="80"/>
  <c r="G165" i="80"/>
  <c r="G166" i="80"/>
  <c r="G167" i="80"/>
  <c r="G168" i="80"/>
  <c r="G169" i="80"/>
  <c r="G170" i="80"/>
  <c r="G171" i="80"/>
  <c r="G172" i="80"/>
  <c r="G173" i="80"/>
  <c r="G174" i="80"/>
  <c r="G175" i="80"/>
  <c r="G176" i="80"/>
  <c r="G177" i="80"/>
  <c r="G178" i="80"/>
  <c r="G179" i="80"/>
  <c r="G180" i="80"/>
  <c r="G181" i="80"/>
  <c r="G182" i="80"/>
  <c r="G183" i="80"/>
  <c r="G184" i="80"/>
  <c r="G185" i="80"/>
  <c r="G186" i="80"/>
  <c r="G187" i="80"/>
  <c r="G188" i="80"/>
  <c r="G189" i="80"/>
  <c r="G190" i="80"/>
  <c r="G191" i="80"/>
  <c r="G192" i="80"/>
  <c r="G193" i="80"/>
  <c r="G194" i="80"/>
  <c r="G195" i="80"/>
  <c r="G196" i="80"/>
  <c r="G197" i="80"/>
  <c r="G198" i="80"/>
  <c r="G199" i="80"/>
  <c r="G200" i="80"/>
  <c r="G201" i="80"/>
  <c r="G202" i="80"/>
  <c r="G203" i="80"/>
  <c r="G204" i="80"/>
  <c r="G205" i="80"/>
  <c r="G206" i="80"/>
  <c r="G207" i="80"/>
  <c r="G208" i="80"/>
  <c r="G209" i="80"/>
  <c r="G210" i="80"/>
  <c r="G211" i="80"/>
  <c r="G212" i="80"/>
  <c r="G213" i="80"/>
  <c r="G214" i="80"/>
  <c r="G215" i="80"/>
  <c r="G216" i="80"/>
  <c r="G217" i="80"/>
  <c r="G218" i="80"/>
  <c r="G219" i="80"/>
  <c r="G220" i="80"/>
  <c r="G221" i="80"/>
  <c r="G222" i="80"/>
  <c r="G223" i="80"/>
  <c r="G224" i="80"/>
  <c r="G225" i="80"/>
  <c r="G226" i="80"/>
  <c r="G227" i="80"/>
  <c r="G228" i="80"/>
  <c r="G229" i="80"/>
  <c r="G230" i="80"/>
  <c r="G231" i="80"/>
  <c r="G232" i="80"/>
  <c r="G233" i="80"/>
  <c r="G234" i="80"/>
  <c r="G235" i="80"/>
  <c r="G236" i="80"/>
  <c r="G237" i="80"/>
  <c r="G238" i="80"/>
  <c r="G239" i="80"/>
  <c r="G240" i="80"/>
  <c r="G241" i="80"/>
  <c r="G242" i="80"/>
  <c r="G243" i="80"/>
  <c r="G244" i="80"/>
  <c r="G245" i="80"/>
  <c r="G246" i="80"/>
  <c r="G247" i="80"/>
  <c r="G248" i="80"/>
  <c r="G249" i="80"/>
  <c r="G250" i="80"/>
  <c r="G251" i="80"/>
  <c r="G252" i="80"/>
  <c r="G253" i="80"/>
  <c r="G254" i="80"/>
  <c r="G255" i="80"/>
  <c r="G256" i="80"/>
  <c r="G257" i="80"/>
  <c r="G258" i="80"/>
  <c r="G259" i="80"/>
  <c r="G260" i="80"/>
  <c r="G261" i="80"/>
  <c r="G262" i="80"/>
  <c r="G263" i="80"/>
  <c r="G264" i="80"/>
  <c r="G265" i="80"/>
  <c r="G266" i="80"/>
  <c r="G267" i="80"/>
  <c r="G268" i="80"/>
  <c r="G269" i="80"/>
  <c r="G270" i="80"/>
  <c r="G271" i="80"/>
  <c r="G272" i="80"/>
  <c r="G273" i="80"/>
  <c r="G274" i="80"/>
  <c r="G275" i="80"/>
  <c r="G276" i="80"/>
  <c r="G277" i="80"/>
  <c r="G278" i="80"/>
  <c r="G279" i="80"/>
  <c r="G280" i="80"/>
  <c r="G281" i="80"/>
  <c r="G282" i="80"/>
  <c r="G283" i="80"/>
  <c r="G284" i="80"/>
  <c r="G285" i="80"/>
  <c r="G286" i="80"/>
  <c r="G287" i="80"/>
  <c r="G288" i="80"/>
  <c r="G289" i="80"/>
  <c r="G290" i="80"/>
  <c r="G291" i="80"/>
  <c r="G292" i="80"/>
  <c r="G293" i="80"/>
  <c r="G294" i="80"/>
  <c r="G295" i="80"/>
  <c r="G296" i="80"/>
  <c r="G297" i="80"/>
  <c r="G298" i="80"/>
  <c r="G299" i="80"/>
  <c r="G300" i="80"/>
  <c r="G301" i="80"/>
  <c r="G302" i="80"/>
  <c r="G303" i="80"/>
  <c r="G304" i="80"/>
  <c r="G305" i="80"/>
  <c r="G306" i="80"/>
  <c r="G307" i="80"/>
  <c r="G308" i="80"/>
  <c r="G309" i="80"/>
  <c r="G310" i="80"/>
  <c r="G311" i="80"/>
  <c r="G312" i="80"/>
  <c r="G313" i="80"/>
  <c r="G314" i="80"/>
  <c r="G315" i="80"/>
  <c r="G316" i="80"/>
  <c r="G317" i="80"/>
  <c r="G318" i="80"/>
  <c r="G319" i="80"/>
  <c r="G320" i="80"/>
  <c r="G321" i="80"/>
  <c r="G322" i="80"/>
  <c r="G323" i="80"/>
  <c r="G324" i="80"/>
  <c r="G325" i="80"/>
  <c r="G326" i="80"/>
  <c r="G327" i="80"/>
  <c r="G328" i="80"/>
  <c r="G329" i="80"/>
  <c r="G330" i="80"/>
  <c r="G331" i="80"/>
  <c r="G332" i="80"/>
  <c r="G333" i="80"/>
  <c r="G334" i="80"/>
  <c r="G335" i="80"/>
  <c r="G336" i="80"/>
  <c r="G337" i="80"/>
  <c r="G338" i="80"/>
  <c r="G339" i="80"/>
  <c r="G340" i="80"/>
  <c r="G341" i="80"/>
  <c r="G342" i="80"/>
  <c r="G343" i="80"/>
  <c r="G344" i="80"/>
  <c r="G345" i="80"/>
  <c r="G346" i="80"/>
  <c r="G347" i="80"/>
  <c r="G348" i="80"/>
  <c r="G349" i="80"/>
  <c r="G350" i="80"/>
  <c r="G351" i="80"/>
  <c r="G352" i="80"/>
  <c r="G353" i="80"/>
  <c r="G354" i="80"/>
  <c r="G355" i="80"/>
  <c r="G356" i="80"/>
  <c r="G357" i="80"/>
  <c r="G358" i="80"/>
  <c r="G359" i="80"/>
  <c r="G360" i="80"/>
  <c r="G361" i="80"/>
  <c r="G362" i="80"/>
  <c r="G363" i="80"/>
  <c r="G364" i="80"/>
  <c r="G365" i="80"/>
  <c r="G366" i="80"/>
  <c r="G367" i="80"/>
  <c r="G368" i="80"/>
  <c r="G369" i="80"/>
  <c r="G370" i="80"/>
  <c r="G371" i="80"/>
  <c r="G372" i="80"/>
  <c r="G373" i="80"/>
  <c r="G374" i="80"/>
  <c r="G375" i="80"/>
  <c r="G376" i="80"/>
  <c r="G377" i="80"/>
  <c r="G378" i="80"/>
  <c r="G379" i="80"/>
  <c r="G380" i="80"/>
  <c r="G381" i="80"/>
  <c r="G382" i="80"/>
  <c r="G383" i="80"/>
  <c r="G384" i="80"/>
  <c r="G385" i="80"/>
  <c r="G386" i="80"/>
  <c r="G387" i="80"/>
  <c r="G388" i="80"/>
  <c r="G389" i="80"/>
  <c r="G390" i="80"/>
  <c r="G391" i="80"/>
  <c r="G392" i="80"/>
  <c r="G393" i="80"/>
  <c r="G394" i="80"/>
  <c r="G395" i="80"/>
  <c r="G396" i="80"/>
  <c r="G397" i="80"/>
  <c r="G398" i="80"/>
  <c r="G399" i="80"/>
  <c r="G400" i="80"/>
  <c r="A2" i="80" a="1"/>
  <c r="A2" i="80"/>
  <c r="A3" i="80" a="1"/>
  <c r="A3" i="80"/>
  <c r="H3" i="80" a="1"/>
  <c r="H3" i="80" s="1"/>
  <c r="A4" i="80" a="1"/>
  <c r="A4" i="80"/>
  <c r="A5" i="80" a="1"/>
  <c r="A5" i="80"/>
  <c r="A6" i="80" a="1"/>
  <c r="A6" i="80"/>
  <c r="B6" i="80"/>
  <c r="G6" i="80"/>
  <c r="A7" i="80" a="1"/>
  <c r="A7" i="80"/>
  <c r="B7" i="80"/>
  <c r="G7" i="80"/>
  <c r="A8" i="80" a="1"/>
  <c r="A8" i="80"/>
  <c r="B8" i="80"/>
  <c r="G8" i="80"/>
  <c r="A9" i="80" a="1"/>
  <c r="A9" i="80"/>
  <c r="E9" i="80"/>
  <c r="A10" i="80" a="1"/>
  <c r="A10" i="80"/>
  <c r="E10" i="80"/>
  <c r="A11" i="80" a="1"/>
  <c r="A11" i="80"/>
  <c r="B11" i="80"/>
  <c r="G11" i="80"/>
  <c r="A12" i="80" a="1"/>
  <c r="A12" i="80"/>
  <c r="A13" i="80" a="1"/>
  <c r="A13" i="80"/>
  <c r="B13" i="80"/>
  <c r="G13" i="80"/>
  <c r="A14" i="80" a="1"/>
  <c r="A14" i="80"/>
  <c r="A15" i="80" a="1"/>
  <c r="A15" i="80"/>
  <c r="H15" i="80" a="1"/>
  <c r="H15" i="80" s="1"/>
  <c r="A16" i="80" a="1"/>
  <c r="A16" i="80"/>
  <c r="H16" i="80" a="1"/>
  <c r="H16" i="80" s="1"/>
  <c r="A17" i="80" a="1"/>
  <c r="A17" i="80"/>
  <c r="A18" i="80" a="1"/>
  <c r="A18" i="80"/>
  <c r="B18" i="80"/>
  <c r="G18" i="80"/>
  <c r="A19" i="80" a="1"/>
  <c r="A19" i="80"/>
  <c r="B19" i="80"/>
  <c r="G19" i="80"/>
  <c r="A20" i="80" a="1"/>
  <c r="A20" i="80"/>
  <c r="B20" i="80"/>
  <c r="G20" i="80"/>
  <c r="A21" i="80" a="1"/>
  <c r="A21" i="80"/>
  <c r="B21" i="80"/>
  <c r="G21" i="80"/>
  <c r="A22" i="80" a="1"/>
  <c r="A22" i="80"/>
  <c r="B22" i="80"/>
  <c r="G22" i="80"/>
  <c r="A23" i="80" a="1"/>
  <c r="A23" i="80"/>
  <c r="A24" i="80" a="1"/>
  <c r="A24" i="80"/>
  <c r="A25" i="80" a="1"/>
  <c r="A25" i="80"/>
  <c r="A26" i="80" a="1"/>
  <c r="A26" i="80"/>
  <c r="H26" i="80" a="1"/>
  <c r="H26" i="80" s="1"/>
  <c r="A27" i="80" a="1"/>
  <c r="A27" i="80"/>
  <c r="H27" i="80" a="1"/>
  <c r="H27" i="80" s="1"/>
  <c r="A28" i="80" a="1"/>
  <c r="A28" i="80"/>
  <c r="A29" i="80" a="1"/>
  <c r="A29" i="80"/>
  <c r="E29" i="80"/>
  <c r="A30" i="80" a="1"/>
  <c r="A30" i="80"/>
  <c r="A31" i="80" a="1"/>
  <c r="A31" i="80"/>
  <c r="B31" i="80"/>
  <c r="G31" i="80"/>
  <c r="A32" i="80" a="1"/>
  <c r="A32" i="80"/>
  <c r="B32" i="80"/>
  <c r="G32" i="80"/>
  <c r="A33" i="80" a="1"/>
  <c r="A33" i="80"/>
  <c r="E33" i="80"/>
  <c r="A34" i="80" a="1"/>
  <c r="A34" i="80"/>
  <c r="B34" i="80"/>
  <c r="G34" i="80"/>
  <c r="A35" i="80" a="1"/>
  <c r="A35" i="80"/>
  <c r="B35" i="80"/>
  <c r="G35" i="80"/>
  <c r="A36" i="80" a="1"/>
  <c r="A36" i="80"/>
  <c r="A37" i="80" a="1"/>
  <c r="A37" i="80"/>
  <c r="H37" i="80" a="1"/>
  <c r="H37" i="80" s="1"/>
  <c r="A38" i="80" a="1"/>
  <c r="A38" i="80"/>
  <c r="A39" i="80" a="1"/>
  <c r="A39" i="80"/>
  <c r="H39" i="80" a="1"/>
  <c r="H39" i="80" s="1"/>
  <c r="A40" i="80" a="1"/>
  <c r="A40" i="80"/>
  <c r="A41" i="80" a="1"/>
  <c r="A41" i="80"/>
  <c r="B41" i="80"/>
  <c r="G41" i="80"/>
  <c r="A42" i="80" a="1"/>
  <c r="A42" i="80"/>
  <c r="E42" i="80"/>
  <c r="A43" i="80" a="1"/>
  <c r="A43" i="80"/>
  <c r="A44" i="80" a="1"/>
  <c r="A44" i="80"/>
  <c r="B44" i="80"/>
  <c r="G44" i="80"/>
  <c r="A45" i="80" a="1"/>
  <c r="A45" i="80"/>
  <c r="B45" i="80"/>
  <c r="G45" i="80"/>
  <c r="A46" i="80" a="1"/>
  <c r="A46" i="80"/>
  <c r="B46" i="80"/>
  <c r="G46" i="80"/>
  <c r="A47" i="80" a="1"/>
  <c r="A47" i="80"/>
  <c r="A48" i="80" a="1"/>
  <c r="A48" i="80"/>
  <c r="B48" i="80"/>
  <c r="G48" i="80"/>
  <c r="A49" i="80" a="1"/>
  <c r="A49" i="80"/>
  <c r="A50" i="80" a="1"/>
  <c r="A50" i="80"/>
  <c r="A51" i="80" a="1"/>
  <c r="A51" i="80"/>
  <c r="H51" i="80" a="1"/>
  <c r="H51" i="80" s="1"/>
  <c r="A52" i="80" a="1"/>
  <c r="A52" i="80"/>
  <c r="B52" i="80"/>
  <c r="G52" i="80"/>
  <c r="A53" i="80" a="1"/>
  <c r="A53" i="80"/>
  <c r="A54" i="80" a="1"/>
  <c r="A54" i="80"/>
  <c r="A55" i="80" a="1"/>
  <c r="A55" i="80"/>
  <c r="E55" i="80"/>
  <c r="A56" i="80" a="1"/>
  <c r="A56" i="80"/>
  <c r="H56" i="80" a="1"/>
  <c r="H56" i="80" s="1"/>
  <c r="A57" i="80" a="1"/>
  <c r="A57" i="80"/>
  <c r="H57" i="80" a="1"/>
  <c r="H57" i="80" s="1"/>
  <c r="A58" i="80" a="1"/>
  <c r="A58" i="80"/>
  <c r="H58" i="80" a="1"/>
  <c r="H58" i="80" s="1"/>
  <c r="A59" i="80" a="1"/>
  <c r="A59" i="80"/>
  <c r="H59" i="80" a="1"/>
  <c r="H59" i="80" s="1"/>
  <c r="A60" i="80" a="1"/>
  <c r="A60" i="80"/>
  <c r="H60" i="80" a="1"/>
  <c r="H60" i="80" s="1"/>
  <c r="A61" i="80" a="1"/>
  <c r="A61" i="80"/>
  <c r="H61" i="80" a="1"/>
  <c r="H61" i="80" s="1"/>
  <c r="A62" i="80" a="1"/>
  <c r="A62" i="80"/>
  <c r="H62" i="80" a="1"/>
  <c r="H62" i="80" s="1"/>
  <c r="A63" i="80" a="1"/>
  <c r="A63" i="80"/>
  <c r="H63" i="80" a="1"/>
  <c r="H63" i="80" s="1"/>
  <c r="A64" i="80" a="1"/>
  <c r="A64" i="80"/>
  <c r="H64" i="80" a="1"/>
  <c r="H64" i="80" s="1"/>
  <c r="A65" i="80" a="1"/>
  <c r="A65" i="80"/>
  <c r="H65" i="80" a="1"/>
  <c r="H65" i="80" s="1"/>
  <c r="A66" i="80" a="1"/>
  <c r="A66" i="80"/>
  <c r="H66" i="80" a="1"/>
  <c r="H66" i="80" s="1"/>
  <c r="A67" i="80" a="1"/>
  <c r="A67" i="80"/>
  <c r="H67" i="80" a="1"/>
  <c r="H67" i="80" s="1"/>
  <c r="A68" i="80" a="1"/>
  <c r="A68" i="80"/>
  <c r="H68" i="80" a="1"/>
  <c r="H68" i="80" s="1"/>
  <c r="A69" i="80" a="1"/>
  <c r="A69" i="80"/>
  <c r="H69" i="80" a="1"/>
  <c r="H69" i="80" s="1"/>
  <c r="A70" i="80" a="1"/>
  <c r="A70" i="80"/>
  <c r="H70" i="80" a="1"/>
  <c r="H70" i="80" s="1"/>
  <c r="A71" i="80" a="1"/>
  <c r="A71" i="80"/>
  <c r="H71" i="80" a="1"/>
  <c r="H71" i="80" s="1"/>
  <c r="A72" i="80" a="1"/>
  <c r="A72" i="80"/>
  <c r="H72" i="80" a="1"/>
  <c r="H72" i="80" s="1"/>
  <c r="A73" i="80" a="1"/>
  <c r="A73" i="80"/>
  <c r="H73" i="80" a="1"/>
  <c r="H73" i="80" s="1"/>
  <c r="A74" i="80" a="1"/>
  <c r="A74" i="80"/>
  <c r="H74" i="80" a="1"/>
  <c r="H74" i="80" s="1"/>
  <c r="A75" i="80" a="1"/>
  <c r="A75" i="80"/>
  <c r="H75" i="80" a="1"/>
  <c r="H75" i="80" s="1"/>
  <c r="A76" i="80" a="1"/>
  <c r="A76" i="80"/>
  <c r="H76" i="80" a="1"/>
  <c r="H76" i="80" s="1"/>
  <c r="A77" i="80" a="1"/>
  <c r="A77" i="80"/>
  <c r="H77" i="80" a="1"/>
  <c r="H77" i="80" s="1"/>
  <c r="A78" i="80" a="1"/>
  <c r="A78" i="80"/>
  <c r="H78" i="80" a="1"/>
  <c r="H78" i="80" s="1"/>
  <c r="A79" i="80" a="1"/>
  <c r="A79" i="80"/>
  <c r="H79" i="80" a="1"/>
  <c r="H79" i="80" s="1"/>
  <c r="A80" i="80" a="1"/>
  <c r="A80" i="80"/>
  <c r="H80" i="80" a="1"/>
  <c r="H80" i="80" s="1"/>
  <c r="A81" i="80" a="1"/>
  <c r="A81" i="80"/>
  <c r="H81" i="80" a="1"/>
  <c r="H81" i="80" s="1"/>
  <c r="A82" i="80" a="1"/>
  <c r="A82" i="80"/>
  <c r="H82" i="80" a="1"/>
  <c r="H82" i="80" s="1"/>
  <c r="A83" i="80" a="1"/>
  <c r="A83" i="80"/>
  <c r="H83" i="80" a="1"/>
  <c r="H83" i="80" s="1"/>
  <c r="A84" i="80" a="1"/>
  <c r="A84" i="80"/>
  <c r="H84" i="80" a="1"/>
  <c r="H84" i="80" s="1"/>
  <c r="A85" i="80" a="1"/>
  <c r="A85" i="80"/>
  <c r="H85" i="80" a="1"/>
  <c r="H85" i="80" s="1"/>
  <c r="A86" i="80" a="1"/>
  <c r="A86" i="80"/>
  <c r="H86" i="80" a="1"/>
  <c r="H86" i="80" s="1"/>
  <c r="A87" i="80" a="1"/>
  <c r="A87" i="80"/>
  <c r="H87" i="80" a="1"/>
  <c r="H87" i="80" s="1"/>
  <c r="A88" i="80" a="1"/>
  <c r="A88" i="80"/>
  <c r="H88" i="80" a="1"/>
  <c r="H88" i="80" s="1"/>
  <c r="A89" i="80" a="1"/>
  <c r="A89" i="80"/>
  <c r="H89" i="80" a="1"/>
  <c r="H89" i="80" s="1"/>
  <c r="A90" i="80" a="1"/>
  <c r="A90" i="80"/>
  <c r="H90" i="80" a="1"/>
  <c r="H90" i="80" s="1"/>
  <c r="A91" i="80" a="1"/>
  <c r="A91" i="80"/>
  <c r="H91" i="80" a="1"/>
  <c r="H91" i="80" s="1"/>
  <c r="A92" i="80" a="1"/>
  <c r="A92" i="80"/>
  <c r="H92" i="80" a="1"/>
  <c r="H92" i="80" s="1"/>
  <c r="A93" i="80" a="1"/>
  <c r="A93" i="80"/>
  <c r="H93" i="80" a="1"/>
  <c r="H93" i="80" s="1"/>
  <c r="A94" i="80" a="1"/>
  <c r="A94" i="80"/>
  <c r="H94" i="80" a="1"/>
  <c r="H94" i="80" s="1"/>
  <c r="A95" i="80" a="1"/>
  <c r="A95" i="80"/>
  <c r="H95" i="80" a="1"/>
  <c r="H95" i="80" s="1"/>
  <c r="A96" i="80" a="1"/>
  <c r="A96" i="80"/>
  <c r="H96" i="80" a="1"/>
  <c r="H96" i="80" s="1"/>
  <c r="A97" i="80" a="1"/>
  <c r="A97" i="80"/>
  <c r="H97" i="80" a="1"/>
  <c r="H97" i="80" s="1"/>
  <c r="A98" i="80" a="1"/>
  <c r="A98" i="80"/>
  <c r="H98" i="80" a="1"/>
  <c r="H98" i="80" s="1"/>
  <c r="A99" i="80" a="1"/>
  <c r="A99" i="80"/>
  <c r="H99" i="80" a="1"/>
  <c r="H99" i="80" s="1"/>
  <c r="A100" i="80" a="1"/>
  <c r="A100" i="80"/>
  <c r="H100" i="80" a="1"/>
  <c r="H100" i="80" s="1"/>
  <c r="A101" i="80" a="1"/>
  <c r="A101" i="80"/>
  <c r="H101" i="80" a="1"/>
  <c r="H101" i="80" s="1"/>
  <c r="A102" i="80" a="1"/>
  <c r="A102" i="80"/>
  <c r="H102" i="80" a="1"/>
  <c r="H102" i="80" s="1"/>
  <c r="A103" i="80" a="1"/>
  <c r="A103" i="80"/>
  <c r="H103" i="80" a="1"/>
  <c r="H103" i="80" s="1"/>
  <c r="A104" i="80" a="1"/>
  <c r="A104" i="80"/>
  <c r="H104" i="80" a="1"/>
  <c r="H104" i="80" s="1"/>
  <c r="A105" i="80" a="1"/>
  <c r="A105" i="80"/>
  <c r="H105" i="80" a="1"/>
  <c r="H105" i="80" s="1"/>
  <c r="A106" i="80" a="1"/>
  <c r="A106" i="80"/>
  <c r="H106" i="80" a="1"/>
  <c r="H106" i="80" s="1"/>
  <c r="A107" i="80" a="1"/>
  <c r="A107" i="80"/>
  <c r="H107" i="80" a="1"/>
  <c r="H107" i="80" s="1"/>
  <c r="A108" i="80" a="1"/>
  <c r="A108" i="80"/>
  <c r="H108" i="80" a="1"/>
  <c r="H108" i="80" s="1"/>
  <c r="A109" i="80" a="1"/>
  <c r="A109" i="80"/>
  <c r="H109" i="80" a="1"/>
  <c r="H109" i="80" s="1"/>
  <c r="A110" i="80" a="1"/>
  <c r="A110" i="80"/>
  <c r="H110" i="80" a="1"/>
  <c r="H110" i="80" s="1"/>
  <c r="A111" i="80" a="1"/>
  <c r="A111" i="80"/>
  <c r="H111" i="80" a="1"/>
  <c r="H111" i="80" s="1"/>
  <c r="A112" i="80" a="1"/>
  <c r="A112" i="80"/>
  <c r="H112" i="80" a="1"/>
  <c r="H112" i="80" s="1"/>
  <c r="A113" i="80" a="1"/>
  <c r="A113" i="80"/>
  <c r="H113" i="80" a="1"/>
  <c r="H113" i="80" s="1"/>
  <c r="A114" i="80" a="1"/>
  <c r="A114" i="80"/>
  <c r="H114" i="80" a="1"/>
  <c r="H114" i="80" s="1"/>
  <c r="A115" i="80" a="1"/>
  <c r="A115" i="80"/>
  <c r="H115" i="80" a="1"/>
  <c r="H115" i="80" s="1"/>
  <c r="A116" i="80" a="1"/>
  <c r="A116" i="80"/>
  <c r="H116" i="80" a="1"/>
  <c r="H116" i="80" s="1"/>
  <c r="A117" i="80" a="1"/>
  <c r="A117" i="80"/>
  <c r="H117" i="80" a="1"/>
  <c r="H117" i="80" s="1"/>
  <c r="A118" i="80" a="1"/>
  <c r="A118" i="80"/>
  <c r="H118" i="80" a="1"/>
  <c r="H118" i="80" s="1"/>
  <c r="A119" i="80" a="1"/>
  <c r="A119" i="80"/>
  <c r="H119" i="80" a="1"/>
  <c r="H119" i="80" s="1"/>
  <c r="A120" i="80" a="1"/>
  <c r="A120" i="80"/>
  <c r="H120" i="80" a="1"/>
  <c r="H120" i="80" s="1"/>
  <c r="A121" i="80" a="1"/>
  <c r="A121" i="80"/>
  <c r="H121" i="80" a="1"/>
  <c r="H121" i="80" s="1"/>
  <c r="A122" i="80" a="1"/>
  <c r="A122" i="80"/>
  <c r="H122" i="80" a="1"/>
  <c r="H122" i="80" s="1"/>
  <c r="A123" i="80" a="1"/>
  <c r="A123" i="80"/>
  <c r="H123" i="80" a="1"/>
  <c r="H123" i="80" s="1"/>
  <c r="A124" i="80" a="1"/>
  <c r="A124" i="80"/>
  <c r="H124" i="80" a="1"/>
  <c r="H124" i="80" s="1"/>
  <c r="A125" i="80" a="1"/>
  <c r="A125" i="80"/>
  <c r="H125" i="80" a="1"/>
  <c r="H125" i="80" s="1"/>
  <c r="A126" i="80" a="1"/>
  <c r="A126" i="80"/>
  <c r="H126" i="80" a="1"/>
  <c r="H126" i="80" s="1"/>
  <c r="A127" i="80" a="1"/>
  <c r="A127" i="80"/>
  <c r="H127" i="80" a="1"/>
  <c r="H127" i="80" s="1"/>
  <c r="A128" i="80" a="1"/>
  <c r="A128" i="80"/>
  <c r="H128" i="80" a="1"/>
  <c r="H128" i="80" s="1"/>
  <c r="A129" i="80" a="1"/>
  <c r="A129" i="80"/>
  <c r="H129" i="80" a="1"/>
  <c r="H129" i="80" s="1"/>
  <c r="A130" i="80" a="1"/>
  <c r="A130" i="80"/>
  <c r="H130" i="80" a="1"/>
  <c r="H130" i="80" s="1"/>
  <c r="A131" i="80" a="1"/>
  <c r="A131" i="80"/>
  <c r="H131" i="80" a="1"/>
  <c r="H131" i="80" s="1"/>
  <c r="A132" i="80" a="1"/>
  <c r="A132" i="80"/>
  <c r="H132" i="80" a="1"/>
  <c r="H132" i="80" s="1"/>
  <c r="A133" i="80" a="1"/>
  <c r="A133" i="80"/>
  <c r="H133" i="80" a="1"/>
  <c r="H133" i="80" s="1"/>
  <c r="A134" i="80" a="1"/>
  <c r="A134" i="80"/>
  <c r="H134" i="80" a="1"/>
  <c r="H134" i="80" s="1"/>
  <c r="A135" i="80" a="1"/>
  <c r="A135" i="80"/>
  <c r="H135" i="80" a="1"/>
  <c r="H135" i="80" s="1"/>
  <c r="A136" i="80" a="1"/>
  <c r="A136" i="80"/>
  <c r="H136" i="80" a="1"/>
  <c r="H136" i="80" s="1"/>
  <c r="A137" i="80" a="1"/>
  <c r="A137" i="80"/>
  <c r="H137" i="80" a="1"/>
  <c r="H137" i="80" s="1"/>
  <c r="A138" i="80" a="1"/>
  <c r="A138" i="80"/>
  <c r="H138" i="80" a="1"/>
  <c r="H138" i="80" s="1"/>
  <c r="A139" i="80" a="1"/>
  <c r="A139" i="80"/>
  <c r="H139" i="80" a="1"/>
  <c r="H139" i="80" s="1"/>
  <c r="A140" i="80" a="1"/>
  <c r="A140" i="80"/>
  <c r="H140" i="80" a="1"/>
  <c r="H140" i="80" s="1"/>
  <c r="A141" i="80" a="1"/>
  <c r="A141" i="80"/>
  <c r="H141" i="80" a="1"/>
  <c r="H141" i="80" s="1"/>
  <c r="A142" i="80" a="1"/>
  <c r="A142" i="80"/>
  <c r="H142" i="80" a="1"/>
  <c r="H142" i="80" s="1"/>
  <c r="A143" i="80" a="1"/>
  <c r="A143" i="80"/>
  <c r="H143" i="80" a="1"/>
  <c r="H143" i="80" s="1"/>
  <c r="A144" i="80" a="1"/>
  <c r="A144" i="80"/>
  <c r="H144" i="80" a="1"/>
  <c r="H144" i="80" s="1"/>
  <c r="A145" i="80" a="1"/>
  <c r="A145" i="80"/>
  <c r="H145" i="80" a="1"/>
  <c r="H145" i="80" s="1"/>
  <c r="A146" i="80" a="1"/>
  <c r="A146" i="80"/>
  <c r="H146" i="80" a="1"/>
  <c r="H146" i="80" s="1"/>
  <c r="A147" i="80" a="1"/>
  <c r="A147" i="80"/>
  <c r="H147" i="80" a="1"/>
  <c r="H147" i="80" s="1"/>
  <c r="A148" i="80" a="1"/>
  <c r="A148" i="80"/>
  <c r="H148" i="80" a="1"/>
  <c r="H148" i="80" s="1"/>
  <c r="A149" i="80" a="1"/>
  <c r="A149" i="80"/>
  <c r="H149" i="80" a="1"/>
  <c r="H149" i="80" s="1"/>
  <c r="A150" i="80" a="1"/>
  <c r="A150" i="80"/>
  <c r="H150" i="80" a="1"/>
  <c r="H150" i="80" s="1"/>
  <c r="A151" i="80" a="1"/>
  <c r="A151" i="80"/>
  <c r="H151" i="80" a="1"/>
  <c r="H151" i="80" s="1"/>
  <c r="A152" i="80" a="1"/>
  <c r="A152" i="80"/>
  <c r="H152" i="80" a="1"/>
  <c r="H152" i="80" s="1"/>
  <c r="A153" i="80" a="1"/>
  <c r="A153" i="80"/>
  <c r="H153" i="80" a="1"/>
  <c r="H153" i="80" s="1"/>
  <c r="A154" i="80" a="1"/>
  <c r="A154" i="80"/>
  <c r="H154" i="80" a="1"/>
  <c r="H154" i="80" s="1"/>
  <c r="A155" i="80" a="1"/>
  <c r="A155" i="80"/>
  <c r="H155" i="80" a="1"/>
  <c r="H155" i="80" s="1"/>
  <c r="A156" i="80" a="1"/>
  <c r="A156" i="80"/>
  <c r="H156" i="80" a="1"/>
  <c r="H156" i="80" s="1"/>
  <c r="A157" i="80" a="1"/>
  <c r="A157" i="80"/>
  <c r="H157" i="80" a="1"/>
  <c r="H157" i="80" s="1"/>
  <c r="A158" i="80" a="1"/>
  <c r="A158" i="80"/>
  <c r="H158" i="80" a="1"/>
  <c r="H158" i="80" s="1"/>
  <c r="A159" i="80" a="1"/>
  <c r="A159" i="80"/>
  <c r="H159" i="80" a="1"/>
  <c r="H159" i="80" s="1"/>
  <c r="A160" i="80" a="1"/>
  <c r="A160" i="80"/>
  <c r="H160" i="80" a="1"/>
  <c r="H160" i="80" s="1"/>
  <c r="A161" i="80" a="1"/>
  <c r="A161" i="80"/>
  <c r="H161" i="80" a="1"/>
  <c r="H161" i="80" s="1"/>
  <c r="A162" i="80" a="1"/>
  <c r="A162" i="80"/>
  <c r="H162" i="80" a="1"/>
  <c r="H162" i="80" s="1"/>
  <c r="A163" i="80" a="1"/>
  <c r="A163" i="80"/>
  <c r="H163" i="80" a="1"/>
  <c r="H163" i="80" s="1"/>
  <c r="A164" i="80" a="1"/>
  <c r="A164" i="80"/>
  <c r="H164" i="80" a="1"/>
  <c r="H164" i="80" s="1"/>
  <c r="A165" i="80" a="1"/>
  <c r="A165" i="80"/>
  <c r="H165" i="80" a="1"/>
  <c r="H165" i="80" s="1"/>
  <c r="A166" i="80" a="1"/>
  <c r="A166" i="80"/>
  <c r="H166" i="80" a="1"/>
  <c r="H166" i="80" s="1"/>
  <c r="A167" i="80" a="1"/>
  <c r="A167" i="80"/>
  <c r="H167" i="80" a="1"/>
  <c r="H167" i="80" s="1"/>
  <c r="A168" i="80" a="1"/>
  <c r="A168" i="80"/>
  <c r="H168" i="80" a="1"/>
  <c r="H168" i="80" s="1"/>
  <c r="A169" i="80" a="1"/>
  <c r="A169" i="80"/>
  <c r="H169" i="80" a="1"/>
  <c r="H169" i="80" s="1"/>
  <c r="A170" i="80" a="1"/>
  <c r="A170" i="80"/>
  <c r="H170" i="80" a="1"/>
  <c r="H170" i="80" s="1"/>
  <c r="A171" i="80" a="1"/>
  <c r="A171" i="80"/>
  <c r="H171" i="80" a="1"/>
  <c r="H171" i="80" s="1"/>
  <c r="A172" i="80" a="1"/>
  <c r="A172" i="80"/>
  <c r="H172" i="80" a="1"/>
  <c r="H172" i="80" s="1"/>
  <c r="A173" i="80" a="1"/>
  <c r="A173" i="80"/>
  <c r="H173" i="80" a="1"/>
  <c r="H173" i="80" s="1"/>
  <c r="A174" i="80" a="1"/>
  <c r="A174" i="80"/>
  <c r="H174" i="80" a="1"/>
  <c r="H174" i="80" s="1"/>
  <c r="A175" i="80" a="1"/>
  <c r="A175" i="80"/>
  <c r="H175" i="80" a="1"/>
  <c r="H175" i="80" s="1"/>
  <c r="A176" i="80" a="1"/>
  <c r="A176" i="80"/>
  <c r="H176" i="80" a="1"/>
  <c r="H176" i="80" s="1"/>
  <c r="A177" i="80" a="1"/>
  <c r="A177" i="80"/>
  <c r="H177" i="80" a="1"/>
  <c r="H177" i="80" s="1"/>
  <c r="A178" i="80" a="1"/>
  <c r="A178" i="80"/>
  <c r="H178" i="80" a="1"/>
  <c r="H178" i="80" s="1"/>
  <c r="A179" i="80" a="1"/>
  <c r="A179" i="80"/>
  <c r="H179" i="80" a="1"/>
  <c r="H179" i="80" s="1"/>
  <c r="A180" i="80" a="1"/>
  <c r="A180" i="80"/>
  <c r="H180" i="80" a="1"/>
  <c r="H180" i="80" s="1"/>
  <c r="A181" i="80" a="1"/>
  <c r="A181" i="80"/>
  <c r="H181" i="80" a="1"/>
  <c r="H181" i="80" s="1"/>
  <c r="A182" i="80" a="1"/>
  <c r="A182" i="80"/>
  <c r="H182" i="80" a="1"/>
  <c r="H182" i="80" s="1"/>
  <c r="A183" i="80" a="1"/>
  <c r="A183" i="80"/>
  <c r="H183" i="80" a="1"/>
  <c r="H183" i="80" s="1"/>
  <c r="A184" i="80" a="1"/>
  <c r="A184" i="80"/>
  <c r="H184" i="80" a="1"/>
  <c r="H184" i="80" s="1"/>
  <c r="A185" i="80" a="1"/>
  <c r="A185" i="80"/>
  <c r="H185" i="80" a="1"/>
  <c r="H185" i="80" s="1"/>
  <c r="A186" i="80" a="1"/>
  <c r="A186" i="80"/>
  <c r="H186" i="80" a="1"/>
  <c r="H186" i="80" s="1"/>
  <c r="A187" i="80" a="1"/>
  <c r="A187" i="80"/>
  <c r="H187" i="80" a="1"/>
  <c r="H187" i="80" s="1"/>
  <c r="A188" i="80" a="1"/>
  <c r="A188" i="80"/>
  <c r="H188" i="80" a="1"/>
  <c r="H188" i="80" s="1"/>
  <c r="A189" i="80" a="1"/>
  <c r="A189" i="80"/>
  <c r="H189" i="80" a="1"/>
  <c r="H189" i="80" s="1"/>
  <c r="A190" i="80" a="1"/>
  <c r="A190" i="80"/>
  <c r="H190" i="80" a="1"/>
  <c r="H190" i="80" s="1"/>
  <c r="A191" i="80" a="1"/>
  <c r="A191" i="80"/>
  <c r="H191" i="80" a="1"/>
  <c r="H191" i="80" s="1"/>
  <c r="A192" i="80" a="1"/>
  <c r="A192" i="80"/>
  <c r="H192" i="80" a="1"/>
  <c r="H192" i="80" s="1"/>
  <c r="A193" i="80" a="1"/>
  <c r="A193" i="80"/>
  <c r="H193" i="80" a="1"/>
  <c r="H193" i="80" s="1"/>
  <c r="A194" i="80" a="1"/>
  <c r="A194" i="80"/>
  <c r="H194" i="80" a="1"/>
  <c r="H194" i="80" s="1"/>
  <c r="A195" i="80" a="1"/>
  <c r="A195" i="80"/>
  <c r="H195" i="80" a="1"/>
  <c r="H195" i="80" s="1"/>
  <c r="A196" i="80" a="1"/>
  <c r="A196" i="80"/>
  <c r="H196" i="80" a="1"/>
  <c r="H196" i="80" s="1"/>
  <c r="A197" i="80" a="1"/>
  <c r="A197" i="80"/>
  <c r="H197" i="80" a="1"/>
  <c r="H197" i="80" s="1"/>
  <c r="A198" i="80" a="1"/>
  <c r="A198" i="80"/>
  <c r="H198" i="80" a="1"/>
  <c r="H198" i="80" s="1"/>
  <c r="A199" i="80" a="1"/>
  <c r="A199" i="80"/>
  <c r="H199" i="80" a="1"/>
  <c r="H199" i="80" s="1"/>
  <c r="A200" i="80" a="1"/>
  <c r="A200" i="80"/>
  <c r="H200" i="80" a="1"/>
  <c r="H200" i="80" s="1"/>
  <c r="A201" i="80" a="1"/>
  <c r="A201" i="80"/>
  <c r="H201" i="80" a="1"/>
  <c r="H201" i="80" s="1"/>
  <c r="A202" i="80" a="1"/>
  <c r="A202" i="80"/>
  <c r="H202" i="80" a="1"/>
  <c r="H202" i="80" s="1"/>
  <c r="A203" i="80" a="1"/>
  <c r="A203" i="80"/>
  <c r="H203" i="80" a="1"/>
  <c r="H203" i="80" s="1"/>
  <c r="A204" i="80" a="1"/>
  <c r="A204" i="80"/>
  <c r="H204" i="80" a="1"/>
  <c r="H204" i="80" s="1"/>
  <c r="A205" i="80" a="1"/>
  <c r="A205" i="80"/>
  <c r="H205" i="80" a="1"/>
  <c r="H205" i="80" s="1"/>
  <c r="A206" i="80" a="1"/>
  <c r="A206" i="80"/>
  <c r="H206" i="80" a="1"/>
  <c r="H206" i="80" s="1"/>
  <c r="A207" i="80" a="1"/>
  <c r="A207" i="80"/>
  <c r="H207" i="80" a="1"/>
  <c r="H207" i="80" s="1"/>
  <c r="A208" i="80" a="1"/>
  <c r="A208" i="80"/>
  <c r="H208" i="80" a="1"/>
  <c r="H208" i="80" s="1"/>
  <c r="A209" i="80" a="1"/>
  <c r="A209" i="80"/>
  <c r="H209" i="80" a="1"/>
  <c r="H209" i="80" s="1"/>
  <c r="A210" i="80" a="1"/>
  <c r="A210" i="80"/>
  <c r="H210" i="80" a="1"/>
  <c r="H210" i="80" s="1"/>
  <c r="A211" i="80" a="1"/>
  <c r="A211" i="80"/>
  <c r="H211" i="80" a="1"/>
  <c r="H211" i="80" s="1"/>
  <c r="A212" i="80" a="1"/>
  <c r="A212" i="80"/>
  <c r="H212" i="80" a="1"/>
  <c r="H212" i="80" s="1"/>
  <c r="A213" i="80" a="1"/>
  <c r="A213" i="80"/>
  <c r="H213" i="80" a="1"/>
  <c r="H213" i="80" s="1"/>
  <c r="A214" i="80" a="1"/>
  <c r="A214" i="80"/>
  <c r="H214" i="80" a="1"/>
  <c r="H214" i="80" s="1"/>
  <c r="A215" i="80" a="1"/>
  <c r="A215" i="80"/>
  <c r="H215" i="80" a="1"/>
  <c r="H215" i="80" s="1"/>
  <c r="A216" i="80" a="1"/>
  <c r="A216" i="80"/>
  <c r="H216" i="80" a="1"/>
  <c r="H216" i="80" s="1"/>
  <c r="A217" i="80" a="1"/>
  <c r="A217" i="80"/>
  <c r="H217" i="80" a="1"/>
  <c r="H217" i="80" s="1"/>
  <c r="A218" i="80" a="1"/>
  <c r="A218" i="80"/>
  <c r="H218" i="80" a="1"/>
  <c r="H218" i="80" s="1"/>
  <c r="A219" i="80" a="1"/>
  <c r="A219" i="80"/>
  <c r="H219" i="80" a="1"/>
  <c r="H219" i="80" s="1"/>
  <c r="A220" i="80" a="1"/>
  <c r="A220" i="80"/>
  <c r="H220" i="80" a="1"/>
  <c r="H220" i="80" s="1"/>
  <c r="A221" i="80" a="1"/>
  <c r="A221" i="80"/>
  <c r="H221" i="80" a="1"/>
  <c r="H221" i="80" s="1"/>
  <c r="A222" i="80" a="1"/>
  <c r="A222" i="80"/>
  <c r="H222" i="80" a="1"/>
  <c r="H222" i="80" s="1"/>
  <c r="A223" i="80" a="1"/>
  <c r="A223" i="80"/>
  <c r="H223" i="80" a="1"/>
  <c r="H223" i="80" s="1"/>
  <c r="A224" i="80" a="1"/>
  <c r="A224" i="80"/>
  <c r="H224" i="80" a="1"/>
  <c r="H224" i="80" s="1"/>
  <c r="A225" i="80" a="1"/>
  <c r="A225" i="80"/>
  <c r="H225" i="80" a="1"/>
  <c r="H225" i="80" s="1"/>
  <c r="A226" i="80" a="1"/>
  <c r="A226" i="80"/>
  <c r="H226" i="80" a="1"/>
  <c r="H226" i="80" s="1"/>
  <c r="A227" i="80" a="1"/>
  <c r="A227" i="80"/>
  <c r="H227" i="80" a="1"/>
  <c r="H227" i="80" s="1"/>
  <c r="A228" i="80" a="1"/>
  <c r="A228" i="80"/>
  <c r="H228" i="80" a="1"/>
  <c r="H228" i="80" s="1"/>
  <c r="A229" i="80" a="1"/>
  <c r="A229" i="80"/>
  <c r="H229" i="80" a="1"/>
  <c r="H229" i="80" s="1"/>
  <c r="A230" i="80" a="1"/>
  <c r="A230" i="80"/>
  <c r="H230" i="80" a="1"/>
  <c r="H230" i="80" s="1"/>
  <c r="A231" i="80" a="1"/>
  <c r="A231" i="80"/>
  <c r="H231" i="80" a="1"/>
  <c r="H231" i="80" s="1"/>
  <c r="A232" i="80" a="1"/>
  <c r="A232" i="80"/>
  <c r="H232" i="80" a="1"/>
  <c r="H232" i="80" s="1"/>
  <c r="A233" i="80" a="1"/>
  <c r="A233" i="80"/>
  <c r="H233" i="80" a="1"/>
  <c r="H233" i="80" s="1"/>
  <c r="A234" i="80" a="1"/>
  <c r="A234" i="80"/>
  <c r="H234" i="80" a="1"/>
  <c r="H234" i="80" s="1"/>
  <c r="A235" i="80" a="1"/>
  <c r="A235" i="80"/>
  <c r="H235" i="80" a="1"/>
  <c r="H235" i="80" s="1"/>
  <c r="A236" i="80" a="1"/>
  <c r="A236" i="80"/>
  <c r="H236" i="80" a="1"/>
  <c r="H236" i="80" s="1"/>
  <c r="A237" i="80" a="1"/>
  <c r="A237" i="80"/>
  <c r="H237" i="80" a="1"/>
  <c r="H237" i="80" s="1"/>
  <c r="A238" i="80" a="1"/>
  <c r="A238" i="80"/>
  <c r="H238" i="80" a="1"/>
  <c r="H238" i="80" s="1"/>
  <c r="A239" i="80" a="1"/>
  <c r="A239" i="80"/>
  <c r="H239" i="80" a="1"/>
  <c r="H239" i="80" s="1"/>
  <c r="A240" i="80" a="1"/>
  <c r="A240" i="80"/>
  <c r="H240" i="80" a="1"/>
  <c r="H240" i="80" s="1"/>
  <c r="A241" i="80" a="1"/>
  <c r="A241" i="80"/>
  <c r="H241" i="80" a="1"/>
  <c r="H241" i="80" s="1"/>
  <c r="A242" i="80" a="1"/>
  <c r="A242" i="80"/>
  <c r="H242" i="80" a="1"/>
  <c r="H242" i="80" s="1"/>
  <c r="A243" i="80" a="1"/>
  <c r="A243" i="80"/>
  <c r="H243" i="80" a="1"/>
  <c r="H243" i="80" s="1"/>
  <c r="A244" i="80" a="1"/>
  <c r="A244" i="80"/>
  <c r="H244" i="80" a="1"/>
  <c r="H244" i="80" s="1"/>
  <c r="A245" i="80" a="1"/>
  <c r="A245" i="80"/>
  <c r="H245" i="80" a="1"/>
  <c r="H245" i="80" s="1"/>
  <c r="A246" i="80" a="1"/>
  <c r="A246" i="80"/>
  <c r="H246" i="80" a="1"/>
  <c r="H246" i="80" s="1"/>
  <c r="A247" i="80" a="1"/>
  <c r="A247" i="80"/>
  <c r="H247" i="80" a="1"/>
  <c r="H247" i="80" s="1"/>
  <c r="A248" i="80" a="1"/>
  <c r="A248" i="80"/>
  <c r="H248" i="80" a="1"/>
  <c r="H248" i="80" s="1"/>
  <c r="A249" i="80" a="1"/>
  <c r="A249" i="80"/>
  <c r="H249" i="80" a="1"/>
  <c r="H249" i="80" s="1"/>
  <c r="A250" i="80" a="1"/>
  <c r="A250" i="80"/>
  <c r="H250" i="80" a="1"/>
  <c r="H250" i="80" s="1"/>
  <c r="A251" i="80" a="1"/>
  <c r="A251" i="80"/>
  <c r="H251" i="80" a="1"/>
  <c r="H251" i="80" s="1"/>
  <c r="A252" i="80" a="1"/>
  <c r="A252" i="80"/>
  <c r="H252" i="80" a="1"/>
  <c r="H252" i="80" s="1"/>
  <c r="A253" i="80" a="1"/>
  <c r="A253" i="80"/>
  <c r="H253" i="80" a="1"/>
  <c r="H253" i="80" s="1"/>
  <c r="A254" i="80" a="1"/>
  <c r="A254" i="80"/>
  <c r="H254" i="80" a="1"/>
  <c r="H254" i="80" s="1"/>
  <c r="A255" i="80" a="1"/>
  <c r="A255" i="80"/>
  <c r="H255" i="80" a="1"/>
  <c r="H255" i="80" s="1"/>
  <c r="A256" i="80" a="1"/>
  <c r="A256" i="80"/>
  <c r="H256" i="80" a="1"/>
  <c r="H256" i="80" s="1"/>
  <c r="A257" i="80" a="1"/>
  <c r="A257" i="80"/>
  <c r="H257" i="80" a="1"/>
  <c r="H257" i="80" s="1"/>
  <c r="A258" i="80" a="1"/>
  <c r="A258" i="80"/>
  <c r="H258" i="80" a="1"/>
  <c r="H258" i="80" s="1"/>
  <c r="A259" i="80" a="1"/>
  <c r="A259" i="80"/>
  <c r="H259" i="80" a="1"/>
  <c r="H259" i="80" s="1"/>
  <c r="A260" i="80" a="1"/>
  <c r="A260" i="80"/>
  <c r="H260" i="80" a="1"/>
  <c r="H260" i="80" s="1"/>
  <c r="A261" i="80" a="1"/>
  <c r="A261" i="80"/>
  <c r="H261" i="80" a="1"/>
  <c r="H261" i="80" s="1"/>
  <c r="A262" i="80" a="1"/>
  <c r="A262" i="80"/>
  <c r="H262" i="80" a="1"/>
  <c r="H262" i="80" s="1"/>
  <c r="A263" i="80" a="1"/>
  <c r="A263" i="80"/>
  <c r="H263" i="80" a="1"/>
  <c r="H263" i="80" s="1"/>
  <c r="A264" i="80" a="1"/>
  <c r="A264" i="80"/>
  <c r="H264" i="80" a="1"/>
  <c r="H264" i="80" s="1"/>
  <c r="A265" i="80" a="1"/>
  <c r="A265" i="80"/>
  <c r="H265" i="80" a="1"/>
  <c r="H265" i="80" s="1"/>
  <c r="A266" i="80" a="1"/>
  <c r="A266" i="80"/>
  <c r="H266" i="80" a="1"/>
  <c r="H266" i="80" s="1"/>
  <c r="A267" i="80" a="1"/>
  <c r="A267" i="80"/>
  <c r="H267" i="80" a="1"/>
  <c r="H267" i="80" s="1"/>
  <c r="A268" i="80" a="1"/>
  <c r="A268" i="80"/>
  <c r="H268" i="80" a="1"/>
  <c r="H268" i="80" s="1"/>
  <c r="A269" i="80" a="1"/>
  <c r="A269" i="80"/>
  <c r="H269" i="80" a="1"/>
  <c r="H269" i="80" s="1"/>
  <c r="A270" i="80" a="1"/>
  <c r="A270" i="80"/>
  <c r="H270" i="80" a="1"/>
  <c r="H270" i="80" s="1"/>
  <c r="A271" i="80" a="1"/>
  <c r="A271" i="80"/>
  <c r="H271" i="80" a="1"/>
  <c r="H271" i="80" s="1"/>
  <c r="A272" i="80" a="1"/>
  <c r="A272" i="80"/>
  <c r="H272" i="80" a="1"/>
  <c r="H272" i="80" s="1"/>
  <c r="A273" i="80" a="1"/>
  <c r="A273" i="80"/>
  <c r="H273" i="80" a="1"/>
  <c r="H273" i="80" s="1"/>
  <c r="A274" i="80" a="1"/>
  <c r="A274" i="80"/>
  <c r="H274" i="80" a="1"/>
  <c r="H274" i="80" s="1"/>
  <c r="A275" i="80" a="1"/>
  <c r="A275" i="80"/>
  <c r="H275" i="80" a="1"/>
  <c r="H275" i="80" s="1"/>
  <c r="A276" i="80" a="1"/>
  <c r="A276" i="80"/>
  <c r="H276" i="80" a="1"/>
  <c r="H276" i="80" s="1"/>
  <c r="A277" i="80" a="1"/>
  <c r="A277" i="80"/>
  <c r="H277" i="80" a="1"/>
  <c r="H277" i="80" s="1"/>
  <c r="A278" i="80" a="1"/>
  <c r="A278" i="80"/>
  <c r="H278" i="80" a="1"/>
  <c r="H278" i="80" s="1"/>
  <c r="A279" i="80" a="1"/>
  <c r="A279" i="80"/>
  <c r="H279" i="80" a="1"/>
  <c r="H279" i="80" s="1"/>
  <c r="A280" i="80" a="1"/>
  <c r="A280" i="80"/>
  <c r="H280" i="80" a="1"/>
  <c r="H280" i="80" s="1"/>
  <c r="A281" i="80" a="1"/>
  <c r="A281" i="80"/>
  <c r="H281" i="80" a="1"/>
  <c r="H281" i="80" s="1"/>
  <c r="A282" i="80" a="1"/>
  <c r="A282" i="80"/>
  <c r="H282" i="80" a="1"/>
  <c r="H282" i="80" s="1"/>
  <c r="A283" i="80" a="1"/>
  <c r="A283" i="80"/>
  <c r="H283" i="80" a="1"/>
  <c r="H283" i="80" s="1"/>
  <c r="A284" i="80" a="1"/>
  <c r="A284" i="80"/>
  <c r="H284" i="80" a="1"/>
  <c r="H284" i="80" s="1"/>
  <c r="A285" i="80" a="1"/>
  <c r="A285" i="80"/>
  <c r="H285" i="80" a="1"/>
  <c r="H285" i="80" s="1"/>
  <c r="A286" i="80" a="1"/>
  <c r="A286" i="80"/>
  <c r="H286" i="80" a="1"/>
  <c r="H286" i="80" s="1"/>
  <c r="A287" i="80" a="1"/>
  <c r="A287" i="80"/>
  <c r="H287" i="80" a="1"/>
  <c r="H287" i="80" s="1"/>
  <c r="A288" i="80" a="1"/>
  <c r="A288" i="80"/>
  <c r="H288" i="80" a="1"/>
  <c r="H288" i="80" s="1"/>
  <c r="A289" i="80" a="1"/>
  <c r="A289" i="80"/>
  <c r="H289" i="80" a="1"/>
  <c r="H289" i="80" s="1"/>
  <c r="A290" i="80" a="1"/>
  <c r="A290" i="80"/>
  <c r="H290" i="80" a="1"/>
  <c r="H290" i="80" s="1"/>
  <c r="A291" i="80" a="1"/>
  <c r="A291" i="80"/>
  <c r="H291" i="80" a="1"/>
  <c r="H291" i="80" s="1"/>
  <c r="A292" i="80" a="1"/>
  <c r="A292" i="80"/>
  <c r="H292" i="80" a="1"/>
  <c r="H292" i="80" s="1"/>
  <c r="A293" i="80" a="1"/>
  <c r="A293" i="80"/>
  <c r="H293" i="80" a="1"/>
  <c r="H293" i="80" s="1"/>
  <c r="A294" i="80" a="1"/>
  <c r="A294" i="80"/>
  <c r="H294" i="80" a="1"/>
  <c r="H294" i="80" s="1"/>
  <c r="A295" i="80" a="1"/>
  <c r="A295" i="80"/>
  <c r="H295" i="80" a="1"/>
  <c r="H295" i="80" s="1"/>
  <c r="A296" i="80" a="1"/>
  <c r="A296" i="80"/>
  <c r="H296" i="80" a="1"/>
  <c r="H296" i="80" s="1"/>
  <c r="A297" i="80" a="1"/>
  <c r="A297" i="80"/>
  <c r="H297" i="80" a="1"/>
  <c r="H297" i="80" s="1"/>
  <c r="A298" i="80" a="1"/>
  <c r="A298" i="80"/>
  <c r="H298" i="80" a="1"/>
  <c r="H298" i="80" s="1"/>
  <c r="A299" i="80" a="1"/>
  <c r="A299" i="80"/>
  <c r="H299" i="80" a="1"/>
  <c r="H299" i="80" s="1"/>
  <c r="A300" i="80" a="1"/>
  <c r="A300" i="80"/>
  <c r="H300" i="80" a="1"/>
  <c r="H300" i="80" s="1"/>
  <c r="A301" i="80" a="1"/>
  <c r="A301" i="80"/>
  <c r="H301" i="80" a="1"/>
  <c r="H301" i="80" s="1"/>
  <c r="A302" i="80" a="1"/>
  <c r="A302" i="80"/>
  <c r="H302" i="80" a="1"/>
  <c r="H302" i="80" s="1"/>
  <c r="A303" i="80" a="1"/>
  <c r="A303" i="80"/>
  <c r="H303" i="80" a="1"/>
  <c r="H303" i="80" s="1"/>
  <c r="A304" i="80" a="1"/>
  <c r="A304" i="80"/>
  <c r="H304" i="80" a="1"/>
  <c r="H304" i="80" s="1"/>
  <c r="A305" i="80" a="1"/>
  <c r="A305" i="80"/>
  <c r="H305" i="80" a="1"/>
  <c r="H305" i="80" s="1"/>
  <c r="A306" i="80" a="1"/>
  <c r="A306" i="80"/>
  <c r="H306" i="80" a="1"/>
  <c r="H306" i="80" s="1"/>
  <c r="A307" i="80" a="1"/>
  <c r="A307" i="80"/>
  <c r="H307" i="80" a="1"/>
  <c r="H307" i="80" s="1"/>
  <c r="A308" i="80" a="1"/>
  <c r="A308" i="80"/>
  <c r="H308" i="80" a="1"/>
  <c r="H308" i="80" s="1"/>
  <c r="A309" i="80" a="1"/>
  <c r="A309" i="80"/>
  <c r="H309" i="80" a="1"/>
  <c r="H309" i="80" s="1"/>
  <c r="A310" i="80" a="1"/>
  <c r="A310" i="80"/>
  <c r="H310" i="80" a="1"/>
  <c r="H310" i="80" s="1"/>
  <c r="A311" i="80" a="1"/>
  <c r="A311" i="80"/>
  <c r="H311" i="80" a="1"/>
  <c r="H311" i="80" s="1"/>
  <c r="A312" i="80" a="1"/>
  <c r="A312" i="80"/>
  <c r="H312" i="80" a="1"/>
  <c r="H312" i="80" s="1"/>
  <c r="A313" i="80" a="1"/>
  <c r="A313" i="80"/>
  <c r="H313" i="80" a="1"/>
  <c r="H313" i="80" s="1"/>
  <c r="A314" i="80" a="1"/>
  <c r="A314" i="80"/>
  <c r="H314" i="80" a="1"/>
  <c r="H314" i="80" s="1"/>
  <c r="A315" i="80" a="1"/>
  <c r="A315" i="80"/>
  <c r="H315" i="80" a="1"/>
  <c r="H315" i="80" s="1"/>
  <c r="A316" i="80" a="1"/>
  <c r="A316" i="80"/>
  <c r="H316" i="80" a="1"/>
  <c r="H316" i="80" s="1"/>
  <c r="A317" i="80" a="1"/>
  <c r="A317" i="80"/>
  <c r="H317" i="80" a="1"/>
  <c r="H317" i="80" s="1"/>
  <c r="A318" i="80" a="1"/>
  <c r="A318" i="80"/>
  <c r="H318" i="80" a="1"/>
  <c r="H318" i="80" s="1"/>
  <c r="A319" i="80" a="1"/>
  <c r="A319" i="80"/>
  <c r="H319" i="80" a="1"/>
  <c r="H319" i="80" s="1"/>
  <c r="A320" i="80" a="1"/>
  <c r="A320" i="80"/>
  <c r="H320" i="80" a="1"/>
  <c r="H320" i="80" s="1"/>
  <c r="A321" i="80" a="1"/>
  <c r="A321" i="80"/>
  <c r="H321" i="80" a="1"/>
  <c r="H321" i="80" s="1"/>
  <c r="A322" i="80" a="1"/>
  <c r="A322" i="80"/>
  <c r="H322" i="80" a="1"/>
  <c r="H322" i="80" s="1"/>
  <c r="A323" i="80" a="1"/>
  <c r="A323" i="80"/>
  <c r="H323" i="80" a="1"/>
  <c r="H323" i="80" s="1"/>
  <c r="A324" i="80" a="1"/>
  <c r="A324" i="80"/>
  <c r="H324" i="80" a="1"/>
  <c r="H324" i="80" s="1"/>
  <c r="A325" i="80" a="1"/>
  <c r="A325" i="80"/>
  <c r="H325" i="80" a="1"/>
  <c r="H325" i="80" s="1"/>
  <c r="A326" i="80" a="1"/>
  <c r="A326" i="80"/>
  <c r="H326" i="80" a="1"/>
  <c r="H326" i="80" s="1"/>
  <c r="A327" i="80" a="1"/>
  <c r="A327" i="80"/>
  <c r="H327" i="80" a="1"/>
  <c r="H327" i="80" s="1"/>
  <c r="A328" i="80" a="1"/>
  <c r="A328" i="80"/>
  <c r="H328" i="80" a="1"/>
  <c r="H328" i="80" s="1"/>
  <c r="A329" i="80" a="1"/>
  <c r="A329" i="80"/>
  <c r="H329" i="80" a="1"/>
  <c r="H329" i="80" s="1"/>
  <c r="A330" i="80" a="1"/>
  <c r="A330" i="80"/>
  <c r="H330" i="80" a="1"/>
  <c r="H330" i="80" s="1"/>
  <c r="A331" i="80" a="1"/>
  <c r="A331" i="80"/>
  <c r="H331" i="80" a="1"/>
  <c r="H331" i="80" s="1"/>
  <c r="A332" i="80" a="1"/>
  <c r="A332" i="80"/>
  <c r="H332" i="80" a="1"/>
  <c r="H332" i="80" s="1"/>
  <c r="A333" i="80" a="1"/>
  <c r="A333" i="80"/>
  <c r="H333" i="80" a="1"/>
  <c r="H333" i="80" s="1"/>
  <c r="A334" i="80" a="1"/>
  <c r="A334" i="80"/>
  <c r="H334" i="80" a="1"/>
  <c r="H334" i="80" s="1"/>
  <c r="A335" i="80" a="1"/>
  <c r="A335" i="80"/>
  <c r="H335" i="80" a="1"/>
  <c r="H335" i="80" s="1"/>
  <c r="A336" i="80" a="1"/>
  <c r="A336" i="80"/>
  <c r="H336" i="80" a="1"/>
  <c r="H336" i="80" s="1"/>
  <c r="A337" i="80" a="1"/>
  <c r="A337" i="80"/>
  <c r="H337" i="80" a="1"/>
  <c r="H337" i="80" s="1"/>
  <c r="A338" i="80" a="1"/>
  <c r="A338" i="80"/>
  <c r="H338" i="80" a="1"/>
  <c r="H338" i="80" s="1"/>
  <c r="A339" i="80" a="1"/>
  <c r="A339" i="80"/>
  <c r="H339" i="80" a="1"/>
  <c r="H339" i="80" s="1"/>
  <c r="A340" i="80" a="1"/>
  <c r="A340" i="80"/>
  <c r="H340" i="80" a="1"/>
  <c r="H340" i="80" s="1"/>
  <c r="A341" i="80" a="1"/>
  <c r="A341" i="80"/>
  <c r="H341" i="80" a="1"/>
  <c r="H341" i="80" s="1"/>
  <c r="A342" i="80" a="1"/>
  <c r="A342" i="80"/>
  <c r="H342" i="80" a="1"/>
  <c r="H342" i="80" s="1"/>
  <c r="A343" i="80" a="1"/>
  <c r="A343" i="80"/>
  <c r="H343" i="80" a="1"/>
  <c r="H343" i="80" s="1"/>
  <c r="A344" i="80" a="1"/>
  <c r="A344" i="80"/>
  <c r="H344" i="80" a="1"/>
  <c r="H344" i="80" s="1"/>
  <c r="A345" i="80" a="1"/>
  <c r="A345" i="80"/>
  <c r="H345" i="80" a="1"/>
  <c r="H345" i="80" s="1"/>
  <c r="A346" i="80" a="1"/>
  <c r="A346" i="80"/>
  <c r="H346" i="80" a="1"/>
  <c r="H346" i="80" s="1"/>
  <c r="A347" i="80" a="1"/>
  <c r="A347" i="80"/>
  <c r="H347" i="80" a="1"/>
  <c r="H347" i="80" s="1"/>
  <c r="A348" i="80" a="1"/>
  <c r="A348" i="80"/>
  <c r="H348" i="80" a="1"/>
  <c r="H348" i="80" s="1"/>
  <c r="A349" i="80" a="1"/>
  <c r="A349" i="80"/>
  <c r="H349" i="80" a="1"/>
  <c r="H349" i="80" s="1"/>
  <c r="A350" i="80" a="1"/>
  <c r="A350" i="80"/>
  <c r="H350" i="80" a="1"/>
  <c r="H350" i="80" s="1"/>
  <c r="A351" i="80" a="1"/>
  <c r="A351" i="80"/>
  <c r="H351" i="80" a="1"/>
  <c r="H351" i="80" s="1"/>
  <c r="A352" i="80" a="1"/>
  <c r="A352" i="80"/>
  <c r="H352" i="80" a="1"/>
  <c r="H352" i="80" s="1"/>
  <c r="A353" i="80" a="1"/>
  <c r="A353" i="80"/>
  <c r="H353" i="80" a="1"/>
  <c r="H353" i="80" s="1"/>
  <c r="A354" i="80" a="1"/>
  <c r="A354" i="80"/>
  <c r="H354" i="80" a="1"/>
  <c r="H354" i="80" s="1"/>
  <c r="A355" i="80" a="1"/>
  <c r="A355" i="80"/>
  <c r="H355" i="80" a="1"/>
  <c r="H355" i="80" s="1"/>
  <c r="A356" i="80" a="1"/>
  <c r="A356" i="80"/>
  <c r="H356" i="80" a="1"/>
  <c r="H356" i="80" s="1"/>
  <c r="A357" i="80" a="1"/>
  <c r="A357" i="80"/>
  <c r="H357" i="80" a="1"/>
  <c r="H357" i="80" s="1"/>
  <c r="A358" i="80" a="1"/>
  <c r="A358" i="80"/>
  <c r="H358" i="80" a="1"/>
  <c r="H358" i="80" s="1"/>
  <c r="A359" i="80" a="1"/>
  <c r="A359" i="80"/>
  <c r="H359" i="80" a="1"/>
  <c r="H359" i="80" s="1"/>
  <c r="A360" i="80" a="1"/>
  <c r="A360" i="80"/>
  <c r="H360" i="80" a="1"/>
  <c r="H360" i="80" s="1"/>
  <c r="A361" i="80" a="1"/>
  <c r="A361" i="80"/>
  <c r="H361" i="80" a="1"/>
  <c r="H361" i="80" s="1"/>
  <c r="A362" i="80" a="1"/>
  <c r="A362" i="80"/>
  <c r="H362" i="80" a="1"/>
  <c r="H362" i="80" s="1"/>
  <c r="A363" i="80" a="1"/>
  <c r="A363" i="80"/>
  <c r="H363" i="80" a="1"/>
  <c r="H363" i="80" s="1"/>
  <c r="A364" i="80" a="1"/>
  <c r="A364" i="80"/>
  <c r="H364" i="80" a="1"/>
  <c r="H364" i="80" s="1"/>
  <c r="A365" i="80" a="1"/>
  <c r="A365" i="80"/>
  <c r="H365" i="80" a="1"/>
  <c r="H365" i="80" s="1"/>
  <c r="A366" i="80" a="1"/>
  <c r="A366" i="80"/>
  <c r="H366" i="80" a="1"/>
  <c r="H366" i="80" s="1"/>
  <c r="A367" i="80" a="1"/>
  <c r="A367" i="80"/>
  <c r="H367" i="80" a="1"/>
  <c r="H367" i="80" s="1"/>
  <c r="A368" i="80" a="1"/>
  <c r="A368" i="80"/>
  <c r="H368" i="80" a="1"/>
  <c r="H368" i="80" s="1"/>
  <c r="A369" i="80" a="1"/>
  <c r="A369" i="80"/>
  <c r="H369" i="80" a="1"/>
  <c r="H369" i="80" s="1"/>
  <c r="A370" i="80" a="1"/>
  <c r="A370" i="80"/>
  <c r="H370" i="80" a="1"/>
  <c r="H370" i="80" s="1"/>
  <c r="A371" i="80" a="1"/>
  <c r="A371" i="80"/>
  <c r="H371" i="80" a="1"/>
  <c r="H371" i="80" s="1"/>
  <c r="A372" i="80" a="1"/>
  <c r="A372" i="80"/>
  <c r="H372" i="80" a="1"/>
  <c r="H372" i="80" s="1"/>
  <c r="A373" i="80" a="1"/>
  <c r="A373" i="80"/>
  <c r="H373" i="80" a="1"/>
  <c r="H373" i="80" s="1"/>
  <c r="A374" i="80" a="1"/>
  <c r="A374" i="80"/>
  <c r="H374" i="80" a="1"/>
  <c r="H374" i="80" s="1"/>
  <c r="A375" i="80" a="1"/>
  <c r="A375" i="80"/>
  <c r="H375" i="80" a="1"/>
  <c r="H375" i="80" s="1"/>
  <c r="A376" i="80" a="1"/>
  <c r="A376" i="80"/>
  <c r="H376" i="80" a="1"/>
  <c r="H376" i="80" s="1"/>
  <c r="A377" i="80" a="1"/>
  <c r="A377" i="80"/>
  <c r="H377" i="80" a="1"/>
  <c r="H377" i="80" s="1"/>
  <c r="A378" i="80" a="1"/>
  <c r="A378" i="80"/>
  <c r="H378" i="80" a="1"/>
  <c r="H378" i="80" s="1"/>
  <c r="A379" i="80" a="1"/>
  <c r="A379" i="80"/>
  <c r="H379" i="80" a="1"/>
  <c r="H379" i="80" s="1"/>
  <c r="A380" i="80" a="1"/>
  <c r="A380" i="80"/>
  <c r="H380" i="80" a="1"/>
  <c r="H380" i="80" s="1"/>
  <c r="A381" i="80" a="1"/>
  <c r="A381" i="80"/>
  <c r="H381" i="80" a="1"/>
  <c r="H381" i="80" s="1"/>
  <c r="A382" i="80" a="1"/>
  <c r="A382" i="80"/>
  <c r="H382" i="80" a="1"/>
  <c r="H382" i="80" s="1"/>
  <c r="A383" i="80" a="1"/>
  <c r="A383" i="80"/>
  <c r="H383" i="80" a="1"/>
  <c r="H383" i="80" s="1"/>
  <c r="A384" i="80" a="1"/>
  <c r="A384" i="80"/>
  <c r="H384" i="80" a="1"/>
  <c r="H384" i="80" s="1"/>
  <c r="A385" i="80" a="1"/>
  <c r="A385" i="80"/>
  <c r="H385" i="80" a="1"/>
  <c r="H385" i="80" s="1"/>
  <c r="A386" i="80" a="1"/>
  <c r="A386" i="80"/>
  <c r="H386" i="80" a="1"/>
  <c r="H386" i="80" s="1"/>
  <c r="A387" i="80" a="1"/>
  <c r="A387" i="80"/>
  <c r="H387" i="80" a="1"/>
  <c r="H387" i="80" s="1"/>
  <c r="A388" i="80" a="1"/>
  <c r="A388" i="80"/>
  <c r="H388" i="80" a="1"/>
  <c r="H388" i="80" s="1"/>
  <c r="A389" i="80" a="1"/>
  <c r="A389" i="80"/>
  <c r="H389" i="80" a="1"/>
  <c r="H389" i="80" s="1"/>
  <c r="A390" i="80" a="1"/>
  <c r="A390" i="80"/>
  <c r="H390" i="80" a="1"/>
  <c r="H390" i="80" s="1"/>
  <c r="A391" i="80" a="1"/>
  <c r="A391" i="80"/>
  <c r="H391" i="80" a="1"/>
  <c r="H391" i="80" s="1"/>
  <c r="A392" i="80" a="1"/>
  <c r="A392" i="80"/>
  <c r="H392" i="80" a="1"/>
  <c r="H392" i="80" s="1"/>
  <c r="A393" i="80" a="1"/>
  <c r="A393" i="80"/>
  <c r="H393" i="80" a="1"/>
  <c r="H393" i="80" s="1"/>
  <c r="A394" i="80" a="1"/>
  <c r="A394" i="80"/>
  <c r="H394" i="80" a="1"/>
  <c r="H394" i="80" s="1"/>
  <c r="A395" i="80" a="1"/>
  <c r="A395" i="80"/>
  <c r="H395" i="80" a="1"/>
  <c r="H395" i="80" s="1"/>
  <c r="A396" i="80" a="1"/>
  <c r="A396" i="80"/>
  <c r="H396" i="80" a="1"/>
  <c r="H396" i="80" s="1"/>
  <c r="A397" i="80" a="1"/>
  <c r="A397" i="80"/>
  <c r="H397" i="80" a="1"/>
  <c r="H397" i="80" s="1"/>
  <c r="A398" i="80" a="1"/>
  <c r="A398" i="80"/>
  <c r="H398" i="80" a="1"/>
  <c r="H398" i="80" s="1"/>
  <c r="A399" i="80" a="1"/>
  <c r="A399" i="80"/>
  <c r="H399" i="80" a="1"/>
  <c r="H399" i="80" s="1"/>
  <c r="A400" i="80" a="1"/>
  <c r="A400" i="80"/>
  <c r="H400" i="80" a="1"/>
  <c r="H400" i="80" s="1"/>
  <c r="B3" i="80"/>
  <c r="G3" i="80"/>
  <c r="B9" i="80"/>
  <c r="G9" i="80"/>
  <c r="B15" i="80"/>
  <c r="G15" i="80"/>
  <c r="B33" i="80"/>
  <c r="G33" i="80"/>
  <c r="B51" i="80"/>
  <c r="G51" i="80"/>
  <c r="E400" i="81"/>
  <c r="E399" i="81"/>
  <c r="E398" i="81"/>
  <c r="E397" i="81"/>
  <c r="E396" i="81"/>
  <c r="E395" i="81"/>
  <c r="E394" i="81"/>
  <c r="E393" i="81"/>
  <c r="E392" i="81"/>
  <c r="E391" i="81"/>
  <c r="E390" i="81"/>
  <c r="E389" i="81"/>
  <c r="E388" i="81"/>
  <c r="E387" i="81"/>
  <c r="E386" i="81"/>
  <c r="E385" i="81"/>
  <c r="E384" i="81"/>
  <c r="E383" i="81"/>
  <c r="E382" i="81"/>
  <c r="E381" i="81"/>
  <c r="E380" i="81"/>
  <c r="E379" i="81"/>
  <c r="E378" i="81"/>
  <c r="E377" i="81"/>
  <c r="E376" i="81"/>
  <c r="E375" i="81"/>
  <c r="E374" i="81"/>
  <c r="E373" i="81"/>
  <c r="E372" i="81"/>
  <c r="E371" i="81"/>
  <c r="E370" i="81"/>
  <c r="E369" i="81"/>
  <c r="E368" i="81"/>
  <c r="E367" i="81"/>
  <c r="E366" i="81"/>
  <c r="E365" i="81"/>
  <c r="E364" i="81"/>
  <c r="E363" i="81"/>
  <c r="E362" i="81"/>
  <c r="E361" i="81"/>
  <c r="E360" i="81"/>
  <c r="E359" i="81"/>
  <c r="E358" i="81"/>
  <c r="E357" i="81"/>
  <c r="E356" i="81"/>
  <c r="E355" i="81"/>
  <c r="E354" i="81"/>
  <c r="E353" i="81"/>
  <c r="E352" i="81"/>
  <c r="E351" i="81"/>
  <c r="E350" i="81"/>
  <c r="E349" i="81"/>
  <c r="E348" i="81"/>
  <c r="E347" i="81"/>
  <c r="E346" i="81"/>
  <c r="E345" i="81"/>
  <c r="E344" i="81"/>
  <c r="E343" i="81"/>
  <c r="E342" i="81"/>
  <c r="E341" i="81"/>
  <c r="E340" i="81"/>
  <c r="E339" i="81"/>
  <c r="E338" i="81"/>
  <c r="E337" i="81"/>
  <c r="E336" i="81"/>
  <c r="E335" i="81"/>
  <c r="E334" i="81"/>
  <c r="E333" i="81"/>
  <c r="E332" i="81"/>
  <c r="E331" i="81"/>
  <c r="E330" i="81"/>
  <c r="E329" i="81"/>
  <c r="E328" i="81"/>
  <c r="E327" i="81"/>
  <c r="E326" i="81"/>
  <c r="E325" i="81"/>
  <c r="E324" i="81"/>
  <c r="E323" i="81"/>
  <c r="E322" i="81"/>
  <c r="E321" i="81"/>
  <c r="E320" i="81"/>
  <c r="E319" i="81"/>
  <c r="E318" i="81"/>
  <c r="E317" i="81"/>
  <c r="E316" i="81"/>
  <c r="E315" i="81"/>
  <c r="E314" i="81"/>
  <c r="E313" i="81"/>
  <c r="E312" i="81"/>
  <c r="E311" i="81"/>
  <c r="E310" i="81"/>
  <c r="E309" i="81"/>
  <c r="E308" i="81"/>
  <c r="E307" i="81"/>
  <c r="E306" i="81"/>
  <c r="E305" i="81"/>
  <c r="E304" i="81"/>
  <c r="E303" i="81"/>
  <c r="E302" i="81"/>
  <c r="E301" i="81"/>
  <c r="E300" i="81"/>
  <c r="E299" i="81"/>
  <c r="E298" i="81"/>
  <c r="E297" i="81"/>
  <c r="E296" i="81"/>
  <c r="E295" i="81"/>
  <c r="E294" i="81"/>
  <c r="E293" i="81"/>
  <c r="E292" i="81"/>
  <c r="E291" i="81"/>
  <c r="E290" i="81"/>
  <c r="E289" i="81"/>
  <c r="E288" i="81"/>
  <c r="E287" i="81"/>
  <c r="E286" i="81"/>
  <c r="E285" i="81"/>
  <c r="E284" i="81"/>
  <c r="E283" i="81"/>
  <c r="E282" i="81"/>
  <c r="E281" i="81"/>
  <c r="E280" i="81"/>
  <c r="E279" i="81"/>
  <c r="E278" i="81"/>
  <c r="E277" i="81"/>
  <c r="E276" i="81"/>
  <c r="E275" i="81"/>
  <c r="E274" i="81"/>
  <c r="E273" i="81"/>
  <c r="E272" i="81"/>
  <c r="E271" i="81"/>
  <c r="E270" i="81"/>
  <c r="E269" i="81"/>
  <c r="E268" i="81"/>
  <c r="E267" i="81"/>
  <c r="E266" i="81"/>
  <c r="E265" i="81"/>
  <c r="E264" i="81"/>
  <c r="E263" i="81"/>
  <c r="E262" i="81"/>
  <c r="E261" i="81"/>
  <c r="E260" i="81"/>
  <c r="E259" i="81"/>
  <c r="E258" i="81"/>
  <c r="E257" i="81"/>
  <c r="E256" i="81"/>
  <c r="E255" i="81"/>
  <c r="E254" i="81"/>
  <c r="E253" i="81"/>
  <c r="E252" i="81"/>
  <c r="E251" i="81"/>
  <c r="E250" i="81"/>
  <c r="E249" i="81"/>
  <c r="E248" i="81"/>
  <c r="E247" i="81"/>
  <c r="E246" i="81"/>
  <c r="E245" i="81"/>
  <c r="E244" i="81"/>
  <c r="E243" i="81"/>
  <c r="E242" i="81"/>
  <c r="E241" i="81"/>
  <c r="E240" i="81"/>
  <c r="E239" i="81"/>
  <c r="E238" i="81"/>
  <c r="E237" i="81"/>
  <c r="E236" i="81"/>
  <c r="E235" i="81"/>
  <c r="E234" i="81"/>
  <c r="E233" i="81"/>
  <c r="E232" i="81"/>
  <c r="E231" i="81"/>
  <c r="E230" i="81"/>
  <c r="E229" i="81"/>
  <c r="E228" i="81"/>
  <c r="E227" i="81"/>
  <c r="E226" i="81"/>
  <c r="E225" i="81"/>
  <c r="E224" i="81"/>
  <c r="E223" i="81"/>
  <c r="E222" i="81"/>
  <c r="E221" i="81"/>
  <c r="E220" i="81"/>
  <c r="E219" i="81"/>
  <c r="E218" i="81"/>
  <c r="E217" i="81"/>
  <c r="E216" i="81"/>
  <c r="E215" i="81"/>
  <c r="E214" i="81"/>
  <c r="E213" i="81"/>
  <c r="E212" i="81"/>
  <c r="E211" i="81"/>
  <c r="E210" i="81"/>
  <c r="E209" i="81"/>
  <c r="E208" i="81"/>
  <c r="E207" i="81"/>
  <c r="E206" i="81"/>
  <c r="E205" i="81"/>
  <c r="E204" i="81"/>
  <c r="E203" i="81"/>
  <c r="E202" i="81"/>
  <c r="E201" i="81"/>
  <c r="E200" i="81"/>
  <c r="E199" i="81"/>
  <c r="E198" i="81"/>
  <c r="E197" i="81"/>
  <c r="E196" i="81"/>
  <c r="E195" i="81"/>
  <c r="E194" i="81"/>
  <c r="E193" i="81"/>
  <c r="E192" i="81"/>
  <c r="E191" i="81"/>
  <c r="E190" i="81"/>
  <c r="E189" i="81"/>
  <c r="E188" i="81"/>
  <c r="E187" i="81"/>
  <c r="E186" i="81"/>
  <c r="E185" i="81"/>
  <c r="E184" i="81"/>
  <c r="E183" i="81"/>
  <c r="E182" i="81"/>
  <c r="E181" i="81"/>
  <c r="E180" i="81"/>
  <c r="E179" i="81"/>
  <c r="E178" i="81"/>
  <c r="E177" i="81"/>
  <c r="E176" i="81"/>
  <c r="E175" i="81"/>
  <c r="E174" i="81"/>
  <c r="E173" i="81"/>
  <c r="E172" i="81"/>
  <c r="E171" i="81"/>
  <c r="E170" i="81"/>
  <c r="E169" i="81"/>
  <c r="E168" i="81"/>
  <c r="E167" i="81"/>
  <c r="E166" i="81"/>
  <c r="E165" i="81"/>
  <c r="E164" i="81"/>
  <c r="E163" i="81"/>
  <c r="E162" i="81"/>
  <c r="E161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E116" i="81"/>
  <c r="E115" i="81"/>
  <c r="E114" i="81"/>
  <c r="E113" i="81"/>
  <c r="E112" i="81"/>
  <c r="E111" i="81"/>
  <c r="E110" i="81"/>
  <c r="E109" i="81"/>
  <c r="E108" i="81"/>
  <c r="E107" i="81"/>
  <c r="E106" i="81"/>
  <c r="E105" i="81"/>
  <c r="E104" i="81"/>
  <c r="E103" i="81"/>
  <c r="E102" i="81"/>
  <c r="E101" i="81"/>
  <c r="E100" i="81"/>
  <c r="E99" i="81"/>
  <c r="E98" i="81"/>
  <c r="E97" i="81"/>
  <c r="E96" i="81"/>
  <c r="E95" i="81"/>
  <c r="E94" i="81"/>
  <c r="E93" i="81"/>
  <c r="E92" i="81"/>
  <c r="E91" i="81"/>
  <c r="E90" i="81"/>
  <c r="E89" i="81"/>
  <c r="E88" i="81"/>
  <c r="E87" i="81"/>
  <c r="E86" i="81"/>
  <c r="E85" i="81"/>
  <c r="E84" i="81"/>
  <c r="E83" i="81"/>
  <c r="E82" i="81"/>
  <c r="E81" i="81"/>
  <c r="E80" i="81"/>
  <c r="E79" i="81"/>
  <c r="E78" i="81"/>
  <c r="E77" i="81"/>
  <c r="E76" i="81"/>
  <c r="E75" i="81"/>
  <c r="E74" i="81"/>
  <c r="E73" i="81"/>
  <c r="E72" i="81"/>
  <c r="E71" i="81"/>
  <c r="E70" i="81"/>
  <c r="E69" i="81"/>
  <c r="E68" i="81"/>
  <c r="E67" i="81"/>
  <c r="E66" i="81"/>
  <c r="E65" i="81"/>
  <c r="E64" i="81"/>
  <c r="E63" i="81"/>
  <c r="E62" i="81"/>
  <c r="E61" i="81"/>
  <c r="E60" i="81"/>
  <c r="E59" i="81"/>
  <c r="E58" i="81"/>
  <c r="E57" i="81"/>
  <c r="E56" i="81"/>
  <c r="E55" i="81"/>
  <c r="E54" i="81"/>
  <c r="E53" i="81"/>
  <c r="E52" i="81"/>
  <c r="E51" i="81"/>
  <c r="E50" i="81"/>
  <c r="E49" i="81"/>
  <c r="E48" i="81"/>
  <c r="E47" i="81"/>
  <c r="E46" i="81"/>
  <c r="E45" i="81"/>
  <c r="E44" i="81"/>
  <c r="E43" i="81"/>
  <c r="E42" i="81"/>
  <c r="E41" i="81"/>
  <c r="E40" i="81"/>
  <c r="E39" i="81"/>
  <c r="E38" i="81"/>
  <c r="E37" i="81"/>
  <c r="E36" i="81"/>
  <c r="E35" i="81"/>
  <c r="E34" i="81"/>
  <c r="E33" i="81"/>
  <c r="E32" i="81"/>
  <c r="E31" i="81"/>
  <c r="E30" i="81"/>
  <c r="E29" i="81"/>
  <c r="E28" i="81"/>
  <c r="E27" i="81"/>
  <c r="E26" i="81"/>
  <c r="E25" i="81"/>
  <c r="E24" i="81"/>
  <c r="E23" i="81"/>
  <c r="E22" i="81"/>
  <c r="E21" i="81"/>
  <c r="E20" i="81"/>
  <c r="E19" i="81"/>
  <c r="E18" i="81"/>
  <c r="E17" i="81"/>
  <c r="E16" i="81"/>
  <c r="E15" i="81"/>
  <c r="E14" i="81"/>
  <c r="E13" i="81"/>
  <c r="E12" i="81"/>
  <c r="E11" i="81"/>
  <c r="E10" i="81"/>
  <c r="E9" i="81"/>
  <c r="E8" i="81"/>
  <c r="E7" i="81"/>
  <c r="E6" i="81"/>
  <c r="E5" i="81"/>
  <c r="E4" i="81"/>
  <c r="E3" i="81"/>
  <c r="E2" i="81"/>
  <c r="F288" i="81" s="1"/>
  <c r="B55" i="80"/>
  <c r="G55" i="80"/>
  <c r="B29" i="80"/>
  <c r="G29" i="80"/>
  <c r="B26" i="80"/>
  <c r="G26" i="80"/>
  <c r="B39" i="80"/>
  <c r="G39" i="80"/>
  <c r="B27" i="80"/>
  <c r="G27" i="80"/>
  <c r="B16" i="80"/>
  <c r="G16" i="80"/>
  <c r="B42" i="80"/>
  <c r="G42" i="80"/>
  <c r="E8" i="80"/>
  <c r="B10" i="80"/>
  <c r="G10" i="80"/>
  <c r="H50" i="80" a="1"/>
  <c r="H50" i="80" s="1"/>
  <c r="B50" i="80"/>
  <c r="G50" i="80"/>
  <c r="H28" i="80" a="1"/>
  <c r="H28" i="80" s="1"/>
  <c r="B28" i="80"/>
  <c r="G28" i="80"/>
  <c r="F36" i="80"/>
  <c r="B36" i="80"/>
  <c r="G36" i="80"/>
  <c r="H14" i="80" a="1"/>
  <c r="H14" i="80" s="1"/>
  <c r="F14" i="80"/>
  <c r="B14" i="80"/>
  <c r="G14" i="80"/>
  <c r="D14" i="80"/>
  <c r="F24" i="80"/>
  <c r="B24" i="80"/>
  <c r="G24" i="80"/>
  <c r="E43" i="80"/>
  <c r="B43" i="80"/>
  <c r="G43" i="80"/>
  <c r="C44" i="80"/>
  <c r="C32" i="80"/>
  <c r="C20" i="80"/>
  <c r="C8" i="80"/>
  <c r="E44" i="80"/>
  <c r="E32" i="80"/>
  <c r="E20" i="80"/>
  <c r="L43" i="81"/>
  <c r="N43" i="81"/>
  <c r="O43" i="81" s="1"/>
  <c r="M43" i="81"/>
  <c r="L31" i="81"/>
  <c r="N31" i="81"/>
  <c r="O31" i="81" s="1"/>
  <c r="M31" i="81"/>
  <c r="L40" i="81"/>
  <c r="N40" i="81"/>
  <c r="O40" i="81" s="1"/>
  <c r="M55" i="81"/>
  <c r="M19" i="81"/>
  <c r="M7" i="81"/>
  <c r="L35" i="81"/>
  <c r="N35" i="81"/>
  <c r="O35" i="81" s="1"/>
  <c r="M54" i="81"/>
  <c r="M42" i="81"/>
  <c r="M30" i="81"/>
  <c r="M18" i="81"/>
  <c r="M6" i="81"/>
  <c r="M53" i="81"/>
  <c r="M41" i="81"/>
  <c r="M29" i="81"/>
  <c r="M17" i="81"/>
  <c r="M5" i="81"/>
  <c r="L28" i="81"/>
  <c r="N28" i="81"/>
  <c r="O28" i="81" s="1"/>
  <c r="M52" i="81"/>
  <c r="M16" i="81"/>
  <c r="M4" i="81"/>
  <c r="L25" i="81"/>
  <c r="N25" i="81"/>
  <c r="O25" i="81" s="1"/>
  <c r="M51" i="81"/>
  <c r="M39" i="81"/>
  <c r="M27" i="81"/>
  <c r="M15" i="81"/>
  <c r="M3" i="81"/>
  <c r="L22" i="81"/>
  <c r="N22" i="81"/>
  <c r="O22" i="81" s="1"/>
  <c r="M50" i="81"/>
  <c r="M38" i="81"/>
  <c r="M26" i="81"/>
  <c r="M14" i="81"/>
  <c r="M2" i="81"/>
  <c r="M49" i="81"/>
  <c r="M37" i="81"/>
  <c r="M13" i="81"/>
  <c r="M48" i="81"/>
  <c r="M36" i="81"/>
  <c r="M24" i="81"/>
  <c r="M12" i="81"/>
  <c r="M47" i="81"/>
  <c r="M23" i="81"/>
  <c r="M11" i="81"/>
  <c r="L10" i="81"/>
  <c r="N10" i="81"/>
  <c r="O10" i="81" s="1"/>
  <c r="M46" i="81"/>
  <c r="M34" i="81"/>
  <c r="L9" i="81"/>
  <c r="N9" i="81" s="1"/>
  <c r="O9" i="81" s="1"/>
  <c r="M45" i="81"/>
  <c r="M33" i="81"/>
  <c r="M21" i="81"/>
  <c r="M44" i="81"/>
  <c r="M32" i="81"/>
  <c r="M20" i="81"/>
  <c r="M8" i="81"/>
  <c r="B54" i="80"/>
  <c r="G54" i="80"/>
  <c r="E54" i="80"/>
  <c r="C54" i="80"/>
  <c r="H54" i="80" a="1"/>
  <c r="H54" i="80" s="1"/>
  <c r="F54" i="80"/>
  <c r="D54" i="80"/>
  <c r="F25" i="80"/>
  <c r="D25" i="80"/>
  <c r="B25" i="80"/>
  <c r="G25" i="80"/>
  <c r="E25" i="80"/>
  <c r="C25" i="80"/>
  <c r="H25" i="80" a="1"/>
  <c r="H25" i="80" s="1"/>
  <c r="E53" i="80"/>
  <c r="C53" i="80"/>
  <c r="H53" i="80" a="1"/>
  <c r="H53" i="80" s="1"/>
  <c r="F53" i="80"/>
  <c r="D53" i="80"/>
  <c r="B53" i="80"/>
  <c r="G53" i="80"/>
  <c r="E5" i="80"/>
  <c r="C5" i="80"/>
  <c r="H5" i="80" a="1"/>
  <c r="H5" i="80" s="1"/>
  <c r="B5" i="80"/>
  <c r="G5" i="80"/>
  <c r="F5" i="80"/>
  <c r="D5" i="80"/>
  <c r="H4" i="80" a="1"/>
  <c r="H4" i="80" s="1"/>
  <c r="B4" i="80"/>
  <c r="G4" i="80"/>
  <c r="F4" i="80"/>
  <c r="D4" i="80"/>
  <c r="E4" i="80"/>
  <c r="C4" i="80"/>
  <c r="B23" i="80"/>
  <c r="G23" i="80"/>
  <c r="F23" i="80"/>
  <c r="D23" i="80"/>
  <c r="E23" i="80"/>
  <c r="C23" i="80"/>
  <c r="H23" i="80" a="1"/>
  <c r="H23" i="80" s="1"/>
  <c r="B40" i="80"/>
  <c r="G40" i="80"/>
  <c r="H40" i="80" a="1"/>
  <c r="H40" i="80" s="1"/>
  <c r="F40" i="80"/>
  <c r="D40" i="80"/>
  <c r="E40" i="80"/>
  <c r="C40" i="80"/>
  <c r="F12" i="80"/>
  <c r="D12" i="80"/>
  <c r="E12" i="80"/>
  <c r="C12" i="80"/>
  <c r="B12" i="80"/>
  <c r="G12" i="80"/>
  <c r="H12" i="80" a="1"/>
  <c r="H12" i="80" s="1"/>
  <c r="H2" i="80" a="1"/>
  <c r="H2" i="80" s="1"/>
  <c r="B2" i="80"/>
  <c r="G2" i="80"/>
  <c r="F2" i="80"/>
  <c r="D2" i="80"/>
  <c r="E2" i="80"/>
  <c r="C2" i="80"/>
  <c r="H49" i="80" a="1"/>
  <c r="H49" i="80" s="1"/>
  <c r="F49" i="80"/>
  <c r="D49" i="80"/>
  <c r="B49" i="80"/>
  <c r="G49" i="80"/>
  <c r="E49" i="80"/>
  <c r="C49" i="80"/>
  <c r="H38" i="80" a="1"/>
  <c r="H38" i="80" s="1"/>
  <c r="F38" i="80"/>
  <c r="D38" i="80"/>
  <c r="E38" i="80"/>
  <c r="C38" i="80"/>
  <c r="B38" i="80"/>
  <c r="G38" i="80"/>
  <c r="E30" i="80"/>
  <c r="C30" i="80"/>
  <c r="B30" i="80"/>
  <c r="G30" i="80"/>
  <c r="H30" i="80" a="1"/>
  <c r="H30" i="80" s="1"/>
  <c r="F30" i="80"/>
  <c r="D30" i="80"/>
  <c r="B47" i="80"/>
  <c r="G47" i="80"/>
  <c r="F47" i="80"/>
  <c r="D47" i="80"/>
  <c r="E47" i="80"/>
  <c r="C47" i="80"/>
  <c r="H47" i="80" a="1"/>
  <c r="H47" i="80" s="1"/>
  <c r="E17" i="80"/>
  <c r="C17" i="80"/>
  <c r="H17" i="80" a="1"/>
  <c r="H17" i="80" s="1"/>
  <c r="F17" i="80"/>
  <c r="D17" i="80"/>
  <c r="B17" i="80"/>
  <c r="G17" i="80"/>
  <c r="C52" i="80"/>
  <c r="C28" i="80"/>
  <c r="C16" i="80"/>
  <c r="D46" i="80"/>
  <c r="D34" i="80"/>
  <c r="D22" i="80"/>
  <c r="D10" i="80"/>
  <c r="E52" i="80"/>
  <c r="E28" i="80"/>
  <c r="E16" i="80"/>
  <c r="F46" i="80"/>
  <c r="F34" i="80"/>
  <c r="F22" i="80"/>
  <c r="F10" i="80"/>
  <c r="H13" i="80" a="1"/>
  <c r="H13" i="80" s="1"/>
  <c r="B37" i="80"/>
  <c r="G37" i="80"/>
  <c r="C51" i="80"/>
  <c r="C39" i="80"/>
  <c r="C27" i="80"/>
  <c r="C15" i="80"/>
  <c r="C3" i="80"/>
  <c r="D45" i="80"/>
  <c r="D33" i="80"/>
  <c r="D21" i="80"/>
  <c r="D9" i="80"/>
  <c r="E51" i="80"/>
  <c r="E39" i="80"/>
  <c r="E27" i="80"/>
  <c r="E15" i="80"/>
  <c r="E3" i="80"/>
  <c r="F45" i="80"/>
  <c r="F33" i="80"/>
  <c r="F21" i="80"/>
  <c r="F9" i="80"/>
  <c r="H46" i="80" a="1"/>
  <c r="H46" i="80" s="1"/>
  <c r="H36" i="80" a="1"/>
  <c r="H36" i="80" s="1"/>
  <c r="H24" i="80" a="1"/>
  <c r="H24" i="80" s="1"/>
  <c r="C50" i="80"/>
  <c r="C26" i="80"/>
  <c r="C14" i="80"/>
  <c r="D44" i="80"/>
  <c r="D32" i="80"/>
  <c r="D20" i="80"/>
  <c r="D8" i="80"/>
  <c r="E50" i="80"/>
  <c r="E26" i="80"/>
  <c r="E14" i="80"/>
  <c r="F44" i="80"/>
  <c r="F32" i="80"/>
  <c r="F20" i="80"/>
  <c r="F8" i="80"/>
  <c r="H45" i="80" a="1"/>
  <c r="H45" i="80" s="1"/>
  <c r="H35" i="80" a="1"/>
  <c r="H35" i="80" s="1"/>
  <c r="H11" i="80" a="1"/>
  <c r="H11" i="80" s="1"/>
  <c r="C37" i="80"/>
  <c r="C13" i="80"/>
  <c r="D55" i="80"/>
  <c r="D43" i="80"/>
  <c r="D31" i="80"/>
  <c r="D19" i="80"/>
  <c r="D7" i="80"/>
  <c r="E37" i="80"/>
  <c r="E13" i="80"/>
  <c r="F55" i="80"/>
  <c r="F43" i="80"/>
  <c r="F31" i="80"/>
  <c r="F19" i="80"/>
  <c r="F7" i="80"/>
  <c r="H44" i="80" a="1"/>
  <c r="H44" i="80" s="1"/>
  <c r="H34" i="80" a="1"/>
  <c r="H34" i="80" s="1"/>
  <c r="H22" i="80" a="1"/>
  <c r="H22" i="80" s="1"/>
  <c r="H10" i="80" a="1"/>
  <c r="H10" i="80" s="1"/>
  <c r="C48" i="80"/>
  <c r="C36" i="80"/>
  <c r="C24" i="80"/>
  <c r="D42" i="80"/>
  <c r="D18" i="80"/>
  <c r="D6" i="80"/>
  <c r="E48" i="80"/>
  <c r="E36" i="80"/>
  <c r="E24" i="80"/>
  <c r="F42" i="80"/>
  <c r="F18" i="80"/>
  <c r="F6" i="80"/>
  <c r="H55" i="80" a="1"/>
  <c r="H55" i="80" s="1"/>
  <c r="H43" i="80" a="1"/>
  <c r="H43" i="80" s="1"/>
  <c r="H33" i="80" a="1"/>
  <c r="H33" i="80" s="1"/>
  <c r="H21" i="80" a="1"/>
  <c r="H21" i="80" s="1"/>
  <c r="H9" i="80" a="1"/>
  <c r="H9" i="80" s="1"/>
  <c r="C35" i="80"/>
  <c r="C11" i="80"/>
  <c r="D41" i="80"/>
  <c r="D29" i="80"/>
  <c r="E35" i="80"/>
  <c r="E11" i="80"/>
  <c r="F41" i="80"/>
  <c r="F29" i="80"/>
  <c r="H42" i="80" a="1"/>
  <c r="H42" i="80" s="1"/>
  <c r="H32" i="80" a="1"/>
  <c r="H32" i="80" s="1"/>
  <c r="H20" i="80" a="1"/>
  <c r="H20" i="80" s="1"/>
  <c r="H8" i="80" a="1"/>
  <c r="H8" i="80" s="1"/>
  <c r="C46" i="80"/>
  <c r="C34" i="80"/>
  <c r="C22" i="80"/>
  <c r="C10" i="80"/>
  <c r="D52" i="80"/>
  <c r="D28" i="80"/>
  <c r="D16" i="80"/>
  <c r="E46" i="80"/>
  <c r="E34" i="80"/>
  <c r="E22" i="80"/>
  <c r="F52" i="80"/>
  <c r="F28" i="80"/>
  <c r="F16" i="80"/>
  <c r="H41" i="80" a="1"/>
  <c r="H41" i="80" s="1"/>
  <c r="H31" i="80" a="1"/>
  <c r="H31" i="80" s="1"/>
  <c r="H19" i="80" a="1"/>
  <c r="H19" i="80" s="1"/>
  <c r="H7" i="80" a="1"/>
  <c r="H7" i="80" s="1"/>
  <c r="C45" i="80"/>
  <c r="C33" i="80"/>
  <c r="C21" i="80"/>
  <c r="C9" i="80"/>
  <c r="D51" i="80"/>
  <c r="D39" i="80"/>
  <c r="D27" i="80"/>
  <c r="D15" i="80"/>
  <c r="D3" i="80"/>
  <c r="E45" i="80"/>
  <c r="E21" i="80"/>
  <c r="F51" i="80"/>
  <c r="F39" i="80"/>
  <c r="F27" i="80"/>
  <c r="F15" i="80"/>
  <c r="F3" i="80"/>
  <c r="H52" i="80" a="1"/>
  <c r="H52" i="80" s="1"/>
  <c r="H18" i="80" a="1"/>
  <c r="H18" i="80" s="1"/>
  <c r="H6" i="80" a="1"/>
  <c r="H6" i="80" s="1"/>
  <c r="D50" i="80"/>
  <c r="D26" i="80"/>
  <c r="F50" i="80"/>
  <c r="F26" i="80"/>
  <c r="H29" i="80" a="1"/>
  <c r="H29" i="80" s="1"/>
  <c r="C55" i="80"/>
  <c r="C43" i="80"/>
  <c r="C31" i="80"/>
  <c r="C19" i="80"/>
  <c r="C7" i="80"/>
  <c r="D37" i="80"/>
  <c r="D13" i="80"/>
  <c r="E31" i="80"/>
  <c r="E19" i="80"/>
  <c r="E7" i="80"/>
  <c r="F37" i="80"/>
  <c r="F13" i="80"/>
  <c r="C42" i="80"/>
  <c r="C18" i="80"/>
  <c r="C6" i="80"/>
  <c r="D48" i="80"/>
  <c r="D36" i="80"/>
  <c r="D24" i="80"/>
  <c r="E18" i="80"/>
  <c r="E6" i="80"/>
  <c r="F48" i="80"/>
  <c r="C41" i="80"/>
  <c r="C29" i="80"/>
  <c r="D35" i="80"/>
  <c r="D11" i="80"/>
  <c r="E41" i="80"/>
  <c r="F35" i="80"/>
  <c r="F11" i="80"/>
  <c r="H48" i="80" a="1"/>
  <c r="H48" i="80" s="1"/>
  <c r="C5" i="72"/>
  <c r="D5" i="72"/>
  <c r="E5" i="72"/>
  <c r="F5" i="72"/>
  <c r="G5" i="72"/>
  <c r="H5" i="72"/>
  <c r="I5" i="72"/>
  <c r="J5" i="72"/>
  <c r="K5" i="72"/>
  <c r="L5" i="72"/>
  <c r="M5" i="72"/>
  <c r="B5" i="72"/>
  <c r="D5" i="70"/>
  <c r="E5" i="70"/>
  <c r="F5" i="70"/>
  <c r="G5" i="70"/>
  <c r="H5" i="70"/>
  <c r="I5" i="70"/>
  <c r="J5" i="70"/>
  <c r="K5" i="70"/>
  <c r="L5" i="70"/>
  <c r="M5" i="70"/>
  <c r="B5" i="70"/>
  <c r="D1" i="29"/>
  <c r="D5" i="29"/>
  <c r="D3" i="29"/>
  <c r="D7" i="29" s="1"/>
  <c r="E1" i="29"/>
  <c r="B8" i="70"/>
  <c r="B13" i="70"/>
  <c r="F13" i="70"/>
  <c r="K4" i="70"/>
  <c r="M8" i="70"/>
  <c r="H4" i="70"/>
  <c r="J4" i="72"/>
  <c r="F4" i="70"/>
  <c r="G4" i="70"/>
  <c r="H12" i="70" s="1"/>
  <c r="D41" i="89"/>
  <c r="M4" i="70"/>
  <c r="L8" i="72"/>
  <c r="L4" i="70"/>
  <c r="C11" i="72"/>
  <c r="K13" i="72"/>
  <c r="K7" i="70"/>
  <c r="M7" i="70"/>
  <c r="C11" i="70"/>
  <c r="E11" i="70"/>
  <c r="D11" i="70"/>
  <c r="L8" i="70"/>
  <c r="B11" i="70"/>
  <c r="J7" i="72"/>
  <c r="B13" i="72"/>
  <c r="B8" i="72"/>
  <c r="M7" i="72"/>
  <c r="H13" i="72"/>
  <c r="G13" i="72"/>
  <c r="E11" i="72"/>
  <c r="M13" i="72"/>
  <c r="C13" i="72"/>
  <c r="L13" i="70"/>
  <c r="D13" i="72"/>
  <c r="J13" i="70"/>
  <c r="H13" i="70"/>
  <c r="L7" i="70"/>
  <c r="I13" i="72"/>
  <c r="D13" i="70"/>
  <c r="E13" i="72"/>
  <c r="G8" i="70"/>
  <c r="J13" i="72"/>
  <c r="F13" i="72"/>
  <c r="G13" i="70"/>
  <c r="D11" i="72"/>
  <c r="I4" i="72"/>
  <c r="M13" i="70"/>
  <c r="C13" i="70"/>
  <c r="I13" i="70"/>
  <c r="I8" i="72"/>
  <c r="I8" i="70"/>
  <c r="K13" i="70"/>
  <c r="L13" i="72"/>
  <c r="E13" i="70"/>
  <c r="E5" i="29"/>
  <c r="E3" i="29"/>
  <c r="E7" i="29" s="1"/>
  <c r="F1" i="29"/>
  <c r="E12" i="70"/>
  <c r="C12" i="70"/>
  <c r="B12" i="70"/>
  <c r="D12" i="70"/>
  <c r="E12" i="72"/>
  <c r="B12" i="72"/>
  <c r="D12" i="72"/>
  <c r="C12" i="72"/>
  <c r="G1" i="29"/>
  <c r="F5" i="29"/>
  <c r="F3" i="29"/>
  <c r="F7" i="29" s="1"/>
  <c r="G5" i="29"/>
  <c r="G3" i="29"/>
  <c r="H1" i="29"/>
  <c r="H3" i="29"/>
  <c r="I1" i="29"/>
  <c r="H5" i="29"/>
  <c r="G7" i="29"/>
  <c r="H7" i="29"/>
  <c r="I3" i="29"/>
  <c r="I7" i="29" s="1"/>
  <c r="I5" i="29"/>
  <c r="J1" i="29"/>
  <c r="J3" i="29"/>
  <c r="J7" i="29" s="1"/>
  <c r="J5" i="29"/>
  <c r="K1" i="29"/>
  <c r="K5" i="29"/>
  <c r="L1" i="29"/>
  <c r="K3" i="29"/>
  <c r="K7" i="29" s="1"/>
  <c r="L3" i="29"/>
  <c r="M1" i="29"/>
  <c r="L5" i="29"/>
  <c r="N1" i="29"/>
  <c r="M5" i="29"/>
  <c r="M3" i="29"/>
  <c r="M7" i="29" s="1"/>
  <c r="L7" i="29"/>
  <c r="O1" i="29"/>
  <c r="N5" i="29"/>
  <c r="N3" i="29"/>
  <c r="N7" i="29" s="1"/>
  <c r="P1" i="29"/>
  <c r="O5" i="29"/>
  <c r="O3" i="29"/>
  <c r="O7" i="29" s="1"/>
  <c r="P3" i="29"/>
  <c r="P7" i="29" s="1"/>
  <c r="Q1" i="29"/>
  <c r="P5" i="29"/>
  <c r="Q5" i="29"/>
  <c r="R1" i="29"/>
  <c r="Q3" i="29"/>
  <c r="Q7" i="29"/>
  <c r="R3" i="29"/>
  <c r="R7" i="29" s="1"/>
  <c r="R5" i="29"/>
  <c r="S1" i="29"/>
  <c r="T1" i="29"/>
  <c r="S5" i="29"/>
  <c r="S3" i="29"/>
  <c r="S7" i="29" s="1"/>
  <c r="U1" i="29"/>
  <c r="T3" i="29"/>
  <c r="T5" i="29"/>
  <c r="T7" i="29"/>
  <c r="U3" i="29"/>
  <c r="U7" i="29" s="1"/>
  <c r="U5" i="29"/>
  <c r="V1" i="29"/>
  <c r="V3" i="29"/>
  <c r="V7" i="29" s="1"/>
  <c r="W1" i="29"/>
  <c r="W3" i="29"/>
  <c r="W7" i="29" s="1"/>
  <c r="W5" i="29"/>
  <c r="X1" i="29"/>
  <c r="X3" i="29"/>
  <c r="Y1" i="29"/>
  <c r="X5" i="29"/>
  <c r="Y5" i="29"/>
  <c r="Y3" i="29"/>
  <c r="D38" i="89"/>
  <c r="Z1" i="29"/>
  <c r="X7" i="29"/>
  <c r="AA1" i="29"/>
  <c r="Z5" i="29"/>
  <c r="Z3" i="29"/>
  <c r="Z7" i="29" s="1"/>
  <c r="Y7" i="29"/>
  <c r="AA3" i="29"/>
  <c r="AA7" i="29" s="1"/>
  <c r="AA5" i="29"/>
  <c r="AB1" i="29"/>
  <c r="AB3" i="29"/>
  <c r="D9" i="64" s="1"/>
  <c r="AC1" i="29"/>
  <c r="AB5" i="29"/>
  <c r="E9" i="64" s="1" a="1"/>
  <c r="E9" i="64" s="1"/>
  <c r="AC5" i="29"/>
  <c r="AC3" i="29"/>
  <c r="AD1" i="29"/>
  <c r="AD5" i="29"/>
  <c r="AD3" i="29"/>
  <c r="AE1" i="29"/>
  <c r="AE3" i="29"/>
  <c r="AE5" i="29"/>
  <c r="AF1" i="29"/>
  <c r="AF3" i="29"/>
  <c r="AG1" i="29"/>
  <c r="AF5" i="29"/>
  <c r="AG5" i="29"/>
  <c r="AG3" i="29"/>
  <c r="AH1" i="29"/>
  <c r="AH5" i="29"/>
  <c r="AH3" i="29"/>
  <c r="AI1" i="29"/>
  <c r="AI5" i="29"/>
  <c r="AI3" i="29"/>
  <c r="AJ1" i="29"/>
  <c r="AJ5" i="29"/>
  <c r="AJ3" i="29"/>
  <c r="AK1" i="29"/>
  <c r="AK3" i="29"/>
  <c r="AK5" i="29"/>
  <c r="AL1" i="29"/>
  <c r="AL3" i="29"/>
  <c r="AL5" i="29"/>
  <c r="AM1" i="29"/>
  <c r="AM5" i="29"/>
  <c r="AM3" i="29"/>
  <c r="AN1" i="29"/>
  <c r="AN5" i="29"/>
  <c r="AN3" i="29"/>
  <c r="AO1" i="29"/>
  <c r="AP1" i="29"/>
  <c r="AQ1" i="29"/>
  <c r="AR1" i="29"/>
  <c r="AS1" i="29"/>
  <c r="AT1" i="29"/>
  <c r="AU1" i="29"/>
  <c r="AV1" i="29"/>
  <c r="AW1" i="29"/>
  <c r="AX1" i="29"/>
  <c r="AY1" i="29"/>
  <c r="AZ1" i="29"/>
  <c r="BA1" i="29"/>
  <c r="BB1" i="29"/>
  <c r="BC1" i="29"/>
  <c r="M4" i="72" l="1"/>
  <c r="F10" i="70"/>
  <c r="C10" i="70"/>
  <c r="C15" i="70" s="1"/>
  <c r="G10" i="72"/>
  <c r="K8" i="72"/>
  <c r="M8" i="72"/>
  <c r="G11" i="70"/>
  <c r="B7" i="72"/>
  <c r="F11" i="70"/>
  <c r="L11" i="72"/>
  <c r="D10" i="70"/>
  <c r="D15" i="70" s="1"/>
  <c r="B10" i="70"/>
  <c r="C8" i="70"/>
  <c r="E8" i="70"/>
  <c r="E7" i="70"/>
  <c r="J10" i="70"/>
  <c r="J15" i="70" s="1"/>
  <c r="D8" i="70"/>
  <c r="H4" i="72"/>
  <c r="U8" i="73"/>
  <c r="K4" i="72"/>
  <c r="G12" i="70"/>
  <c r="J8" i="70"/>
  <c r="L7" i="72"/>
  <c r="R31" i="73"/>
  <c r="K31" i="73"/>
  <c r="R3" i="73"/>
  <c r="L7" i="73"/>
  <c r="L50" i="73"/>
  <c r="R58" i="73"/>
  <c r="L48" i="73"/>
  <c r="R19" i="73"/>
  <c r="U56" i="73"/>
  <c r="B25" i="73" a="1"/>
  <c r="B25" i="73" s="1"/>
  <c r="V25" i="73"/>
  <c r="H25" i="73" a="1"/>
  <c r="H25" i="73" s="1"/>
  <c r="O25" i="73"/>
  <c r="W25" i="73"/>
  <c r="Q25" i="73"/>
  <c r="S25" i="73"/>
  <c r="I25" i="73" a="1"/>
  <c r="I25" i="73" s="1"/>
  <c r="P25" i="73"/>
  <c r="M25" i="73"/>
  <c r="J25" i="73"/>
  <c r="C25" i="73" a="1"/>
  <c r="C25" i="73" s="1"/>
  <c r="T25" i="73"/>
  <c r="O5" i="73"/>
  <c r="P5" i="73"/>
  <c r="D5" i="73" a="1"/>
  <c r="D5" i="73" s="1"/>
  <c r="U28" i="73"/>
  <c r="I34" i="73" a="1"/>
  <c r="I34" i="73" s="1"/>
  <c r="B34" i="73" a="1"/>
  <c r="B34" i="73" s="1"/>
  <c r="Q39" i="73"/>
  <c r="P39" i="73"/>
  <c r="S39" i="73"/>
  <c r="D39" i="73" a="1"/>
  <c r="D39" i="73" s="1"/>
  <c r="B24" i="73" a="1"/>
  <c r="B24" i="73" s="1"/>
  <c r="H21" i="73" a="1"/>
  <c r="H21" i="73" s="1"/>
  <c r="S24" i="73"/>
  <c r="D34" i="73" a="1"/>
  <c r="D34" i="73" s="1"/>
  <c r="R52" i="73"/>
  <c r="B111" i="73" a="1"/>
  <c r="B111" i="73" s="1"/>
  <c r="C165" i="73" a="1"/>
  <c r="C165" i="73" s="1"/>
  <c r="D165" i="73" a="1"/>
  <c r="D165" i="73" s="1"/>
  <c r="B165" i="73" a="1"/>
  <c r="B165" i="73" s="1"/>
  <c r="C222" i="73" a="1"/>
  <c r="C222" i="73" s="1"/>
  <c r="D222" i="73" a="1"/>
  <c r="D222" i="73" s="1"/>
  <c r="H222" i="73" a="1"/>
  <c r="H222" i="73" s="1"/>
  <c r="O34" i="73"/>
  <c r="D92" i="73" a="1"/>
  <c r="D92" i="73" s="1"/>
  <c r="J21" i="73"/>
  <c r="B103" i="73" a="1"/>
  <c r="B103" i="73" s="1"/>
  <c r="C103" i="73" a="1"/>
  <c r="C103" i="73" s="1"/>
  <c r="D103" i="73" a="1"/>
  <c r="D103" i="73" s="1"/>
  <c r="H166" i="73" a="1"/>
  <c r="H166" i="73" s="1"/>
  <c r="H185" i="73" a="1"/>
  <c r="H185" i="73" s="1"/>
  <c r="B185" i="73" a="1"/>
  <c r="B185" i="73" s="1"/>
  <c r="J13" i="73"/>
  <c r="K13" i="73" s="1"/>
  <c r="Q13" i="73"/>
  <c r="N13" i="73"/>
  <c r="S13" i="73"/>
  <c r="D145" i="73" a="1"/>
  <c r="D145" i="73" s="1"/>
  <c r="B145" i="73" a="1"/>
  <c r="B145" i="73" s="1"/>
  <c r="H283" i="73" a="1"/>
  <c r="H283" i="73" s="1"/>
  <c r="B283" i="73" a="1"/>
  <c r="B283" i="73" s="1"/>
  <c r="C283" i="73" a="1"/>
  <c r="C283" i="73" s="1"/>
  <c r="L31" i="73"/>
  <c r="M34" i="73"/>
  <c r="L34" i="73" s="1"/>
  <c r="L3" i="73"/>
  <c r="W41" i="73"/>
  <c r="R54" i="73"/>
  <c r="M21" i="73"/>
  <c r="J34" i="73"/>
  <c r="R36" i="73"/>
  <c r="I41" i="73" a="1"/>
  <c r="I41" i="73" s="1"/>
  <c r="L58" i="73"/>
  <c r="N47" i="73"/>
  <c r="B110" i="73" a="1"/>
  <c r="B110" i="73" s="1"/>
  <c r="B125" i="73" a="1"/>
  <c r="B125" i="73" s="1"/>
  <c r="D125" i="73" a="1"/>
  <c r="D125" i="73" s="1"/>
  <c r="C125" i="73" a="1"/>
  <c r="C125" i="73" s="1"/>
  <c r="D146" i="73" a="1"/>
  <c r="D146" i="73" s="1"/>
  <c r="H146" i="73" a="1"/>
  <c r="H146" i="73" s="1"/>
  <c r="C264" i="73" a="1"/>
  <c r="C264" i="73" s="1"/>
  <c r="B264" i="73" a="1"/>
  <c r="B264" i="73" s="1"/>
  <c r="B348" i="73" a="1"/>
  <c r="B348" i="73" s="1"/>
  <c r="H348" i="73" a="1"/>
  <c r="H348" i="73" s="1"/>
  <c r="U13" i="73"/>
  <c r="P44" i="73"/>
  <c r="V30" i="73"/>
  <c r="M30" i="73"/>
  <c r="J30" i="73"/>
  <c r="S30" i="73"/>
  <c r="T30" i="73"/>
  <c r="P30" i="73"/>
  <c r="R30" i="73" s="1"/>
  <c r="B126" i="73" a="1"/>
  <c r="B126" i="73" s="1"/>
  <c r="C126" i="73" a="1"/>
  <c r="C126" i="73" s="1"/>
  <c r="H147" i="73" a="1"/>
  <c r="H147" i="73" s="1"/>
  <c r="D147" i="73" a="1"/>
  <c r="D147" i="73" s="1"/>
  <c r="V59" i="73"/>
  <c r="T59" i="73"/>
  <c r="B59" i="73" a="1"/>
  <c r="B59" i="73" s="1"/>
  <c r="W59" i="73"/>
  <c r="J14" i="73"/>
  <c r="V14" i="73"/>
  <c r="T14" i="73"/>
  <c r="U14" i="73" s="1"/>
  <c r="M14" i="73"/>
  <c r="B14" i="73" a="1"/>
  <c r="B14" i="73" s="1"/>
  <c r="C45" i="73" a="1"/>
  <c r="C45" i="73" s="1"/>
  <c r="O45" i="73"/>
  <c r="J45" i="73"/>
  <c r="S45" i="73"/>
  <c r="U45" i="73" s="1"/>
  <c r="H45" i="73" a="1"/>
  <c r="H45" i="73" s="1"/>
  <c r="Q45" i="73"/>
  <c r="D127" i="73" a="1"/>
  <c r="D127" i="73" s="1"/>
  <c r="B127" i="73" a="1"/>
  <c r="B127" i="73" s="1"/>
  <c r="H189" i="73" a="1"/>
  <c r="H189" i="73" s="1"/>
  <c r="B189" i="73" a="1"/>
  <c r="B189" i="73" s="1"/>
  <c r="B208" i="73" a="1"/>
  <c r="B208" i="73" s="1"/>
  <c r="D208" i="73" a="1"/>
  <c r="D208" i="73" s="1"/>
  <c r="H208" i="73" a="1"/>
  <c r="H208" i="73" s="1"/>
  <c r="D226" i="73" a="1"/>
  <c r="D226" i="73" s="1"/>
  <c r="C226" i="73" a="1"/>
  <c r="C226" i="73" s="1"/>
  <c r="D367" i="73" a="1"/>
  <c r="D367" i="73" s="1"/>
  <c r="R49" i="73"/>
  <c r="S41" i="73"/>
  <c r="U41" i="73" s="1"/>
  <c r="H367" i="73" a="1"/>
  <c r="H367" i="73" s="1"/>
  <c r="B71" i="73" a="1"/>
  <c r="B71" i="73" s="1"/>
  <c r="C71" i="73" a="1"/>
  <c r="C71" i="73" s="1"/>
  <c r="H170" i="73" a="1"/>
  <c r="H170" i="73" s="1"/>
  <c r="C170" i="73" a="1"/>
  <c r="C170" i="73" s="1"/>
  <c r="B170" i="73" a="1"/>
  <c r="B170" i="73" s="1"/>
  <c r="W44" i="73"/>
  <c r="B44" i="73" a="1"/>
  <c r="B44" i="73" s="1"/>
  <c r="V44" i="73"/>
  <c r="H44" i="73" a="1"/>
  <c r="H44" i="73" s="1"/>
  <c r="C44" i="73" a="1"/>
  <c r="C44" i="73" s="1"/>
  <c r="O44" i="73"/>
  <c r="K44" i="73" s="1"/>
  <c r="Q44" i="73"/>
  <c r="T44" i="73"/>
  <c r="S44" i="73"/>
  <c r="M28" i="73"/>
  <c r="I28" i="73" a="1"/>
  <c r="I28" i="73" s="1"/>
  <c r="B28" i="73" a="1"/>
  <c r="B28" i="73" s="1"/>
  <c r="C28" i="73" a="1"/>
  <c r="C28" i="73" s="1"/>
  <c r="H28" i="73" a="1"/>
  <c r="H28" i="73" s="1"/>
  <c r="D28" i="73" a="1"/>
  <c r="D28" i="73" s="1"/>
  <c r="H150" i="73" a="1"/>
  <c r="H150" i="73" s="1"/>
  <c r="D150" i="73" a="1"/>
  <c r="D150" i="73" s="1"/>
  <c r="C150" i="73" a="1"/>
  <c r="C150" i="73" s="1"/>
  <c r="H92" i="73" a="1"/>
  <c r="H92" i="73" s="1"/>
  <c r="T24" i="73"/>
  <c r="M24" i="73"/>
  <c r="L24" i="73" s="1"/>
  <c r="Q24" i="73"/>
  <c r="P24" i="73"/>
  <c r="V24" i="73"/>
  <c r="N24" i="73"/>
  <c r="H24" i="73" a="1"/>
  <c r="H24" i="73" s="1"/>
  <c r="C110" i="73" a="1"/>
  <c r="C110" i="73" s="1"/>
  <c r="B130" i="73" a="1"/>
  <c r="B130" i="73" s="1"/>
  <c r="C130" i="73" a="1"/>
  <c r="C130" i="73" s="1"/>
  <c r="H130" i="73" a="1"/>
  <c r="H130" i="73" s="1"/>
  <c r="J37" i="73"/>
  <c r="O37" i="73"/>
  <c r="N37" i="73"/>
  <c r="M37" i="73"/>
  <c r="L37" i="73" s="1"/>
  <c r="W37" i="73"/>
  <c r="Q37" i="73"/>
  <c r="R37" i="73" s="1"/>
  <c r="C37" i="73" a="1"/>
  <c r="C37" i="73" s="1"/>
  <c r="D111" i="73" a="1"/>
  <c r="D111" i="73" s="1"/>
  <c r="C111" i="73" a="1"/>
  <c r="C111" i="73" s="1"/>
  <c r="H76" i="73" a="1"/>
  <c r="H76" i="73" s="1"/>
  <c r="C76" i="73" a="1"/>
  <c r="C76" i="73" s="1"/>
  <c r="D76" i="73" a="1"/>
  <c r="D76" i="73" s="1"/>
  <c r="L8" i="73"/>
  <c r="U48" i="73"/>
  <c r="D45" i="73" a="1"/>
  <c r="D45" i="73" s="1"/>
  <c r="B45" i="73" a="1"/>
  <c r="B45" i="73" s="1"/>
  <c r="C114" i="73" a="1"/>
  <c r="C114" i="73" s="1"/>
  <c r="B114" i="73" a="1"/>
  <c r="B114" i="73" s="1"/>
  <c r="H114" i="73" a="1"/>
  <c r="H114" i="73" s="1"/>
  <c r="D114" i="73" a="1"/>
  <c r="D114" i="73" s="1"/>
  <c r="H331" i="73" a="1"/>
  <c r="H331" i="73" s="1"/>
  <c r="C331" i="73" a="1"/>
  <c r="C331" i="73" s="1"/>
  <c r="T38" i="73"/>
  <c r="P38" i="73"/>
  <c r="H38" i="73" a="1"/>
  <c r="H38" i="73" s="1"/>
  <c r="I37" i="73" a="1"/>
  <c r="I37" i="73" s="1"/>
  <c r="K32" i="73"/>
  <c r="C24" i="73" a="1"/>
  <c r="C24" i="73" s="1"/>
  <c r="B93" i="73" a="1"/>
  <c r="B93" i="73" s="1"/>
  <c r="C93" i="73" a="1"/>
  <c r="C93" i="73" s="1"/>
  <c r="D93" i="73" a="1"/>
  <c r="D93" i="73" s="1"/>
  <c r="H94" i="73" a="1"/>
  <c r="H94" i="73" s="1"/>
  <c r="C94" i="73" a="1"/>
  <c r="C94" i="73" s="1"/>
  <c r="D94" i="73" a="1"/>
  <c r="D94" i="73" s="1"/>
  <c r="H314" i="73" a="1"/>
  <c r="H314" i="73" s="1"/>
  <c r="C75" i="73" a="1"/>
  <c r="C75" i="73" s="1"/>
  <c r="D75" i="73" a="1"/>
  <c r="D75" i="73" s="1"/>
  <c r="H75" i="73" a="1"/>
  <c r="H75" i="73" s="1"/>
  <c r="D24" i="73" a="1"/>
  <c r="D24" i="73" s="1"/>
  <c r="S37" i="73"/>
  <c r="D110" i="73" a="1"/>
  <c r="D110" i="73" s="1"/>
  <c r="T16" i="73"/>
  <c r="U16" i="73" s="1"/>
  <c r="P16" i="73"/>
  <c r="R16" i="73" s="1"/>
  <c r="B60" i="73" a="1"/>
  <c r="B60" i="73" s="1"/>
  <c r="C60" i="73" a="1"/>
  <c r="C60" i="73" s="1"/>
  <c r="B159" i="73" a="1"/>
  <c r="B159" i="73" s="1"/>
  <c r="D159" i="73" a="1"/>
  <c r="D159" i="73" s="1"/>
  <c r="H159" i="73" a="1"/>
  <c r="H159" i="73" s="1"/>
  <c r="C159" i="73" a="1"/>
  <c r="C159" i="73" s="1"/>
  <c r="D295" i="73" a="1"/>
  <c r="D295" i="73" s="1"/>
  <c r="H295" i="73" a="1"/>
  <c r="H295" i="73" s="1"/>
  <c r="B295" i="73" a="1"/>
  <c r="B295" i="73" s="1"/>
  <c r="C295" i="73" a="1"/>
  <c r="C295" i="73" s="1"/>
  <c r="U26" i="73"/>
  <c r="H47" i="73" a="1"/>
  <c r="H47" i="73" s="1"/>
  <c r="I47" i="73" a="1"/>
  <c r="I47" i="73" s="1"/>
  <c r="W47" i="73"/>
  <c r="V47" i="73"/>
  <c r="Q47" i="73"/>
  <c r="T47" i="73"/>
  <c r="U47" i="73" s="1"/>
  <c r="M47" i="73"/>
  <c r="P47" i="73"/>
  <c r="O47" i="73"/>
  <c r="K47" i="73" s="1"/>
  <c r="D47" i="73" a="1"/>
  <c r="D47" i="73" s="1"/>
  <c r="O41" i="73"/>
  <c r="K41" i="73" s="1"/>
  <c r="B41" i="73" a="1"/>
  <c r="B41" i="73" s="1"/>
  <c r="D41" i="73" a="1"/>
  <c r="D41" i="73" s="1"/>
  <c r="H41" i="73" a="1"/>
  <c r="H41" i="73" s="1"/>
  <c r="N41" i="73"/>
  <c r="T41" i="73"/>
  <c r="P41" i="73"/>
  <c r="R41" i="73" s="1"/>
  <c r="T21" i="73"/>
  <c r="B21" i="73" a="1"/>
  <c r="B21" i="73" s="1"/>
  <c r="L21" i="73" s="1"/>
  <c r="V21" i="73"/>
  <c r="H330" i="73" a="1"/>
  <c r="H330" i="73" s="1"/>
  <c r="D330" i="73" a="1"/>
  <c r="D330" i="73" s="1"/>
  <c r="B330" i="73" a="1"/>
  <c r="B330" i="73" s="1"/>
  <c r="V39" i="73"/>
  <c r="T46" i="73"/>
  <c r="B46" i="73" a="1"/>
  <c r="B46" i="73" s="1"/>
  <c r="T37" i="73"/>
  <c r="U37" i="73" s="1"/>
  <c r="L32" i="73"/>
  <c r="T39" i="73"/>
  <c r="C348" i="73" a="1"/>
  <c r="C348" i="73" s="1"/>
  <c r="J39" i="73"/>
  <c r="D37" i="73" a="1"/>
  <c r="D37" i="73" s="1"/>
  <c r="H39" i="73" a="1"/>
  <c r="H39" i="73" s="1"/>
  <c r="C57" i="73" a="1"/>
  <c r="C57" i="73" s="1"/>
  <c r="B57" i="73" a="1"/>
  <c r="B57" i="73" s="1"/>
  <c r="P57" i="73"/>
  <c r="I39" i="73" a="1"/>
  <c r="I39" i="73" s="1"/>
  <c r="R13" i="73"/>
  <c r="I15" i="73" a="1"/>
  <c r="I15" i="73" s="1"/>
  <c r="K56" i="73"/>
  <c r="C21" i="73" a="1"/>
  <c r="C21" i="73" s="1"/>
  <c r="M26" i="73"/>
  <c r="P26" i="73"/>
  <c r="O26" i="73"/>
  <c r="N26" i="73"/>
  <c r="J26" i="73"/>
  <c r="L26" i="73" s="1"/>
  <c r="H26" i="73" a="1"/>
  <c r="H26" i="73" s="1"/>
  <c r="T26" i="73"/>
  <c r="C26" i="73" a="1"/>
  <c r="C26" i="73" s="1"/>
  <c r="W26" i="73"/>
  <c r="B26" i="73" a="1"/>
  <c r="B26" i="73" s="1"/>
  <c r="I26" i="73" a="1"/>
  <c r="I26" i="73" s="1"/>
  <c r="D61" i="73" a="1"/>
  <c r="D61" i="73" s="1"/>
  <c r="B61" i="73" a="1"/>
  <c r="B61" i="73" s="1"/>
  <c r="H61" i="73" a="1"/>
  <c r="H61" i="73" s="1"/>
  <c r="D80" i="73" a="1"/>
  <c r="D80" i="73" s="1"/>
  <c r="B80" i="73" a="1"/>
  <c r="B80" i="73" s="1"/>
  <c r="C80" i="73" a="1"/>
  <c r="C80" i="73" s="1"/>
  <c r="D348" i="73" a="1"/>
  <c r="D348" i="73" s="1"/>
  <c r="U49" i="73"/>
  <c r="K14" i="73"/>
  <c r="D21" i="73" a="1"/>
  <c r="D21" i="73" s="1"/>
  <c r="O39" i="73"/>
  <c r="I46" i="73" a="1"/>
  <c r="I46" i="73" s="1"/>
  <c r="C43" i="73" a="1"/>
  <c r="C43" i="73" s="1"/>
  <c r="O43" i="73"/>
  <c r="K43" i="73" s="1"/>
  <c r="B43" i="73" a="1"/>
  <c r="B43" i="73" s="1"/>
  <c r="L43" i="73" s="1"/>
  <c r="D14" i="73" a="1"/>
  <c r="D14" i="73" s="1"/>
  <c r="O16" i="73"/>
  <c r="P21" i="73"/>
  <c r="P45" i="73"/>
  <c r="R45" i="73" s="1"/>
  <c r="Q21" i="73"/>
  <c r="B76" i="73" a="1"/>
  <c r="B76" i="73" s="1"/>
  <c r="M45" i="73"/>
  <c r="O24" i="73"/>
  <c r="K24" i="73" s="1"/>
  <c r="B120" i="73" a="1"/>
  <c r="B120" i="73" s="1"/>
  <c r="C120" i="73" a="1"/>
  <c r="C120" i="73" s="1"/>
  <c r="D120" i="73" a="1"/>
  <c r="D120" i="73" s="1"/>
  <c r="H259" i="73" a="1"/>
  <c r="H259" i="73" s="1"/>
  <c r="B259" i="73" a="1"/>
  <c r="B259" i="73" s="1"/>
  <c r="I24" i="73" a="1"/>
  <c r="I24" i="73" s="1"/>
  <c r="N34" i="73"/>
  <c r="W21" i="73"/>
  <c r="S59" i="73"/>
  <c r="U59" i="73" s="1"/>
  <c r="N45" i="73"/>
  <c r="D260" i="73" a="1"/>
  <c r="D260" i="73" s="1"/>
  <c r="B260" i="73" a="1"/>
  <c r="B260" i="73" s="1"/>
  <c r="C279" i="73" a="1"/>
  <c r="C279" i="73" s="1"/>
  <c r="H279" i="73" a="1"/>
  <c r="H279" i="73" s="1"/>
  <c r="D279" i="73" a="1"/>
  <c r="D279" i="73" s="1"/>
  <c r="I21" i="73" a="1"/>
  <c r="I21" i="73" s="1"/>
  <c r="D15" i="73" a="1"/>
  <c r="D15" i="73" s="1"/>
  <c r="V15" i="73"/>
  <c r="C15" i="73" a="1"/>
  <c r="C15" i="73" s="1"/>
  <c r="W15" i="73"/>
  <c r="S15" i="73"/>
  <c r="U15" i="73" s="1"/>
  <c r="Q15" i="73"/>
  <c r="R15" i="73" s="1"/>
  <c r="B15" i="73" a="1"/>
  <c r="B15" i="73" s="1"/>
  <c r="J15" i="73"/>
  <c r="C64" i="73" a="1"/>
  <c r="C64" i="73" s="1"/>
  <c r="H64" i="73" a="1"/>
  <c r="H64" i="73" s="1"/>
  <c r="B64" i="73" a="1"/>
  <c r="B64" i="73" s="1"/>
  <c r="C204" i="73" a="1"/>
  <c r="C204" i="73" s="1"/>
  <c r="H204" i="73" a="1"/>
  <c r="H204" i="73" s="1"/>
  <c r="H221" i="73" a="1"/>
  <c r="H221" i="73" s="1"/>
  <c r="D221" i="73" a="1"/>
  <c r="D221" i="73" s="1"/>
  <c r="C221" i="73" a="1"/>
  <c r="C221" i="73" s="1"/>
  <c r="B221" i="73" a="1"/>
  <c r="B221" i="73" s="1"/>
  <c r="B242" i="73" a="1"/>
  <c r="B242" i="73" s="1"/>
  <c r="H242" i="73" a="1"/>
  <c r="H242" i="73" s="1"/>
  <c r="D299" i="73" a="1"/>
  <c r="D299" i="73" s="1"/>
  <c r="B299" i="73" a="1"/>
  <c r="B299" i="73" s="1"/>
  <c r="B390" i="73" a="1"/>
  <c r="B390" i="73" s="1"/>
  <c r="U19" i="73"/>
  <c r="D198" i="73" a="1"/>
  <c r="D198" i="73" s="1"/>
  <c r="M40" i="73"/>
  <c r="L40" i="73" s="1"/>
  <c r="H349" i="73" a="1"/>
  <c r="H349" i="73" s="1"/>
  <c r="C252" i="73" a="1"/>
  <c r="C252" i="73" s="1"/>
  <c r="W58" i="73"/>
  <c r="V33" i="73"/>
  <c r="V23" i="73"/>
  <c r="H218" i="73" a="1"/>
  <c r="H218" i="73" s="1"/>
  <c r="C380" i="73" a="1"/>
  <c r="C380" i="73" s="1"/>
  <c r="H315" i="73" a="1"/>
  <c r="H315" i="73" s="1"/>
  <c r="H368" i="73" a="1"/>
  <c r="H368" i="73" s="1"/>
  <c r="C315" i="73" a="1"/>
  <c r="C315" i="73" s="1"/>
  <c r="W8" i="73"/>
  <c r="I8" i="73" a="1"/>
  <c r="I8" i="73" s="1"/>
  <c r="U58" i="73"/>
  <c r="K50" i="73"/>
  <c r="C316" i="73" a="1"/>
  <c r="C316" i="73" s="1"/>
  <c r="C72" i="73" a="1"/>
  <c r="C72" i="73" s="1"/>
  <c r="H372" i="73" a="1"/>
  <c r="H372" i="73" s="1"/>
  <c r="D205" i="73" a="1"/>
  <c r="D205" i="73" s="1"/>
  <c r="B205" i="73" a="1"/>
  <c r="B205" i="73" s="1"/>
  <c r="H163" i="73" a="1"/>
  <c r="H163" i="73" s="1"/>
  <c r="L56" i="73"/>
  <c r="K29" i="73"/>
  <c r="B42" i="73" a="1"/>
  <c r="B42" i="73" s="1"/>
  <c r="V42" i="73"/>
  <c r="S11" i="73"/>
  <c r="U11" i="73" s="1"/>
  <c r="H49" i="73" a="1"/>
  <c r="H49" i="73" s="1"/>
  <c r="T3" i="73"/>
  <c r="H307" i="73" a="1"/>
  <c r="H307" i="73" s="1"/>
  <c r="C23" i="73" a="1"/>
  <c r="C23" i="73" s="1"/>
  <c r="D32" i="73" a="1"/>
  <c r="D32" i="73" s="1"/>
  <c r="J52" i="73"/>
  <c r="N56" i="73"/>
  <c r="D48" i="73" a="1"/>
  <c r="D48" i="73" s="1"/>
  <c r="T23" i="73"/>
  <c r="U23" i="73" s="1"/>
  <c r="M29" i="73"/>
  <c r="L29" i="73" s="1"/>
  <c r="Q50" i="73"/>
  <c r="R50" i="73" s="1"/>
  <c r="B281" i="73" a="1"/>
  <c r="B281" i="73" s="1"/>
  <c r="O27" i="73"/>
  <c r="K27" i="73" s="1"/>
  <c r="W23" i="73"/>
  <c r="V19" i="73"/>
  <c r="C223" i="73" a="1"/>
  <c r="C223" i="73" s="1"/>
  <c r="C353" i="73" a="1"/>
  <c r="C353" i="73" s="1"/>
  <c r="D11" i="73" a="1"/>
  <c r="D11" i="73" s="1"/>
  <c r="D179" i="73" a="1"/>
  <c r="D179" i="73" s="1"/>
  <c r="W42" i="73"/>
  <c r="V49" i="73"/>
  <c r="D234" i="73" a="1"/>
  <c r="D234" i="73" s="1"/>
  <c r="S32" i="73"/>
  <c r="O52" i="73"/>
  <c r="K52" i="73" s="1"/>
  <c r="W48" i="73"/>
  <c r="B280" i="73" a="1"/>
  <c r="B280" i="73" s="1"/>
  <c r="P29" i="73"/>
  <c r="S50" i="73"/>
  <c r="U50" i="73" s="1"/>
  <c r="B179" i="73" a="1"/>
  <c r="B179" i="73" s="1"/>
  <c r="P27" i="73"/>
  <c r="R27" i="73" s="1"/>
  <c r="D351" i="73" a="1"/>
  <c r="D351" i="73" s="1"/>
  <c r="C42" i="73" a="1"/>
  <c r="C42" i="73" s="1"/>
  <c r="D141" i="73" a="1"/>
  <c r="D141" i="73" s="1"/>
  <c r="H353" i="73" a="1"/>
  <c r="H353" i="73" s="1"/>
  <c r="H351" i="73" a="1"/>
  <c r="H351" i="73" s="1"/>
  <c r="B163" i="73" a="1"/>
  <c r="B163" i="73" s="1"/>
  <c r="B27" i="73" a="1"/>
  <c r="B27" i="73" s="1"/>
  <c r="W6" i="73"/>
  <c r="S9" i="73"/>
  <c r="D280" i="73" a="1"/>
  <c r="D280" i="73" s="1"/>
  <c r="H148" i="73" a="1"/>
  <c r="H148" i="73" s="1"/>
  <c r="H332" i="73" a="1"/>
  <c r="H332" i="73" s="1"/>
  <c r="P33" i="73"/>
  <c r="R33" i="73" s="1"/>
  <c r="N32" i="73"/>
  <c r="S42" i="73"/>
  <c r="C167" i="73" a="1"/>
  <c r="C167" i="73" s="1"/>
  <c r="C32" i="73" a="1"/>
  <c r="C32" i="73" s="1"/>
  <c r="H52" i="73" a="1"/>
  <c r="H52" i="73" s="1"/>
  <c r="O8" i="73"/>
  <c r="D62" i="73" a="1"/>
  <c r="D62" i="73" s="1"/>
  <c r="W29" i="73"/>
  <c r="C107" i="73" a="1"/>
  <c r="C107" i="73" s="1"/>
  <c r="T9" i="73"/>
  <c r="T6" i="73"/>
  <c r="U6" i="73" s="1"/>
  <c r="H112" i="73" a="1"/>
  <c r="H112" i="73" s="1"/>
  <c r="N52" i="73"/>
  <c r="C148" i="73" a="1"/>
  <c r="C148" i="73" s="1"/>
  <c r="C332" i="73" a="1"/>
  <c r="C332" i="73" s="1"/>
  <c r="B315" i="73" a="1"/>
  <c r="B315" i="73" s="1"/>
  <c r="I48" i="73" a="1"/>
  <c r="I48" i="73" s="1"/>
  <c r="D19" i="73" a="1"/>
  <c r="D19" i="73" s="1"/>
  <c r="H11" i="73" a="1"/>
  <c r="H11" i="73" s="1"/>
  <c r="C271" i="73" a="1"/>
  <c r="C271" i="73" s="1"/>
  <c r="M27" i="73"/>
  <c r="K11" i="73"/>
  <c r="O40" i="73"/>
  <c r="K40" i="73" s="1"/>
  <c r="P8" i="73"/>
  <c r="R8" i="73" s="1"/>
  <c r="B40" i="73" a="1"/>
  <c r="B40" i="73" s="1"/>
  <c r="D297" i="73" a="1"/>
  <c r="D297" i="73" s="1"/>
  <c r="C186" i="73" a="1"/>
  <c r="C186" i="73" s="1"/>
  <c r="D70" i="73" a="1"/>
  <c r="D70" i="73" s="1"/>
  <c r="M33" i="73"/>
  <c r="C9" i="73" a="1"/>
  <c r="C9" i="73" s="1"/>
  <c r="B6" i="73" a="1"/>
  <c r="B6" i="73" s="1"/>
  <c r="L6" i="73" s="1"/>
  <c r="B112" i="73" a="1"/>
  <c r="B112" i="73" s="1"/>
  <c r="B332" i="73" a="1"/>
  <c r="B332" i="73" s="1"/>
  <c r="J42" i="73"/>
  <c r="K42" i="73" s="1"/>
  <c r="H390" i="73" a="1"/>
  <c r="H390" i="73" s="1"/>
  <c r="N42" i="73"/>
  <c r="D42" i="73" a="1"/>
  <c r="D42" i="73" s="1"/>
  <c r="P40" i="73"/>
  <c r="R40" i="73" s="1"/>
  <c r="N48" i="73"/>
  <c r="D186" i="73" a="1"/>
  <c r="D186" i="73" s="1"/>
  <c r="D33" i="73" a="1"/>
  <c r="D33" i="73" s="1"/>
  <c r="N9" i="73"/>
  <c r="B69" i="73" a="1"/>
  <c r="B69" i="73" s="1"/>
  <c r="T42" i="73"/>
  <c r="B70" i="73" a="1"/>
  <c r="B70" i="73" s="1"/>
  <c r="C289" i="73" a="1"/>
  <c r="C289" i="73" s="1"/>
  <c r="U3" i="73"/>
  <c r="S16" i="29"/>
  <c r="U36" i="73"/>
  <c r="U52" i="73"/>
  <c r="U35" i="73"/>
  <c r="F14" i="70"/>
  <c r="F15" i="70"/>
  <c r="B15" i="72"/>
  <c r="B14" i="72"/>
  <c r="H14" i="72"/>
  <c r="H15" i="72"/>
  <c r="G15" i="72"/>
  <c r="G14" i="72"/>
  <c r="D7" i="72"/>
  <c r="G11" i="72"/>
  <c r="D36" i="89" s="1"/>
  <c r="H11" i="72"/>
  <c r="E10" i="70"/>
  <c r="H7" i="70"/>
  <c r="U31" i="73"/>
  <c r="J10" i="72"/>
  <c r="F11" i="72"/>
  <c r="D8" i="72"/>
  <c r="B18" i="29"/>
  <c r="M10" i="72"/>
  <c r="U27" i="73"/>
  <c r="F7" i="70"/>
  <c r="G7" i="72"/>
  <c r="G9" i="64" a="1"/>
  <c r="G9" i="64" s="1"/>
  <c r="C7" i="72"/>
  <c r="F4" i="72"/>
  <c r="H8" i="72"/>
  <c r="H7" i="72"/>
  <c r="K12" i="70"/>
  <c r="J11" i="72"/>
  <c r="I10" i="70"/>
  <c r="H11" i="70"/>
  <c r="I12" i="70"/>
  <c r="I11" i="72"/>
  <c r="H10" i="70"/>
  <c r="C10" i="72"/>
  <c r="F8" i="70"/>
  <c r="M10" i="70"/>
  <c r="F7" i="72"/>
  <c r="L10" i="72"/>
  <c r="K11" i="70"/>
  <c r="L10" i="70"/>
  <c r="I7" i="70"/>
  <c r="J11" i="70"/>
  <c r="C14" i="70"/>
  <c r="I11" i="70"/>
  <c r="J4" i="70"/>
  <c r="M12" i="70" s="1"/>
  <c r="L11" i="70"/>
  <c r="E10" i="72"/>
  <c r="K10" i="72"/>
  <c r="M11" i="72"/>
  <c r="K10" i="70"/>
  <c r="F12" i="70"/>
  <c r="C8" i="72"/>
  <c r="G10" i="70"/>
  <c r="F10" i="72"/>
  <c r="E8" i="72"/>
  <c r="G4" i="72"/>
  <c r="D10" i="72"/>
  <c r="I10" i="72"/>
  <c r="U22" i="73"/>
  <c r="F4" i="29" a="1"/>
  <c r="F4" i="29" s="1"/>
  <c r="F6" i="29" s="1"/>
  <c r="G8" i="29" s="1"/>
  <c r="Q4" i="29" a="1"/>
  <c r="Q4" i="29" s="1"/>
  <c r="Q6" i="29" s="1"/>
  <c r="R8" i="29" s="1"/>
  <c r="AA4" i="29" a="1"/>
  <c r="AA4" i="29" s="1"/>
  <c r="AA6" i="29" s="1"/>
  <c r="AB2" i="29" s="1"/>
  <c r="AL4" i="29" a="1"/>
  <c r="AL4" i="29" s="1"/>
  <c r="J4" i="29" a="1"/>
  <c r="J4" i="29" s="1"/>
  <c r="J6" i="29" s="1"/>
  <c r="K8" i="29" s="1"/>
  <c r="U4" i="29" a="1"/>
  <c r="U4" i="29" s="1"/>
  <c r="U6" i="29" s="1"/>
  <c r="V8" i="29" s="1"/>
  <c r="AM4" i="29" a="1"/>
  <c r="AM4" i="29" s="1"/>
  <c r="C4" i="29" a="1"/>
  <c r="C4" i="29" s="1"/>
  <c r="C6" i="29" s="1"/>
  <c r="D8" i="29" s="1"/>
  <c r="AB4" i="29" a="1"/>
  <c r="AB4" i="29" s="1"/>
  <c r="O4" i="29" a="1"/>
  <c r="O4" i="29" s="1"/>
  <c r="O6" i="29" s="1"/>
  <c r="P8" i="29" s="1"/>
  <c r="AC4" i="29" a="1"/>
  <c r="AC4" i="29" s="1"/>
  <c r="AN4" i="29" a="1"/>
  <c r="AN4" i="29" s="1"/>
  <c r="G4" i="29" a="1"/>
  <c r="G4" i="29" s="1"/>
  <c r="G6" i="29" s="1"/>
  <c r="H8" i="29" s="1"/>
  <c r="D4" i="29" a="1"/>
  <c r="D4" i="29" s="1"/>
  <c r="D6" i="29" s="1"/>
  <c r="E8" i="29" s="1"/>
  <c r="X4" i="29" a="1"/>
  <c r="X4" i="29" s="1"/>
  <c r="X6" i="29" s="1"/>
  <c r="Y8" i="29" s="1"/>
  <c r="P4" i="29" a="1"/>
  <c r="P4" i="29" s="1"/>
  <c r="P6" i="29" s="1"/>
  <c r="Q8" i="29" s="1"/>
  <c r="I4" i="29" a="1"/>
  <c r="I4" i="29" s="1"/>
  <c r="I6" i="29" s="1"/>
  <c r="J8" i="29" s="1"/>
  <c r="Y4" i="29" a="1"/>
  <c r="Y4" i="29" s="1"/>
  <c r="R4" i="29" a="1"/>
  <c r="R4" i="29" s="1"/>
  <c r="R6" i="29" s="1"/>
  <c r="S8" i="29" s="1"/>
  <c r="Z4" i="29" a="1"/>
  <c r="Z4" i="29" s="1"/>
  <c r="Z6" i="29" s="1"/>
  <c r="AA8" i="29" s="1"/>
  <c r="H4" i="29" a="1"/>
  <c r="H4" i="29" s="1"/>
  <c r="H6" i="29" s="1"/>
  <c r="I8" i="29" s="1"/>
  <c r="S4" i="29" a="1"/>
  <c r="S4" i="29" s="1"/>
  <c r="S6" i="29" s="1"/>
  <c r="T8" i="29" s="1"/>
  <c r="AF4" i="29" a="1"/>
  <c r="AF4" i="29" s="1"/>
  <c r="T4" i="29" a="1"/>
  <c r="T4" i="29" s="1"/>
  <c r="T6" i="29" s="1"/>
  <c r="U8" i="29" s="1"/>
  <c r="V4" i="29" a="1"/>
  <c r="V4" i="29" s="1"/>
  <c r="V6" i="29" s="1"/>
  <c r="W8" i="29" s="1"/>
  <c r="AJ4" i="29" a="1"/>
  <c r="AJ4" i="29" s="1"/>
  <c r="K4" i="29" a="1"/>
  <c r="K4" i="29" s="1"/>
  <c r="K6" i="29" s="1"/>
  <c r="L8" i="29" s="1"/>
  <c r="AG4" i="29" a="1"/>
  <c r="AG4" i="29" s="1"/>
  <c r="AH4" i="29" a="1"/>
  <c r="AH4" i="29" s="1"/>
  <c r="E4" i="29" a="1"/>
  <c r="E4" i="29" s="1"/>
  <c r="E6" i="29" s="1"/>
  <c r="F8" i="29" s="1"/>
  <c r="W4" i="29" a="1"/>
  <c r="W4" i="29" s="1"/>
  <c r="W6" i="29" s="1"/>
  <c r="X8" i="29" s="1"/>
  <c r="L4" i="29" a="1"/>
  <c r="L4" i="29" s="1"/>
  <c r="L6" i="29" s="1"/>
  <c r="M8" i="29" s="1"/>
  <c r="AI4" i="29" a="1"/>
  <c r="AI4" i="29" s="1"/>
  <c r="N4" i="29" a="1"/>
  <c r="N4" i="29" s="1"/>
  <c r="N6" i="29" s="1"/>
  <c r="O8" i="29" s="1"/>
  <c r="AK4" i="29" a="1"/>
  <c r="AK4" i="29" s="1"/>
  <c r="AD4" i="29" a="1"/>
  <c r="AD4" i="29" s="1"/>
  <c r="M4" i="29" a="1"/>
  <c r="M4" i="29" s="1"/>
  <c r="M6" i="29" s="1"/>
  <c r="N8" i="29" s="1"/>
  <c r="AE4" i="29" a="1"/>
  <c r="AE4" i="29" s="1"/>
  <c r="B55" i="73" a="1"/>
  <c r="B55" i="73" s="1"/>
  <c r="W55" i="73"/>
  <c r="O55" i="73"/>
  <c r="N55" i="73"/>
  <c r="H55" i="73" a="1"/>
  <c r="H55" i="73" s="1"/>
  <c r="V55" i="73"/>
  <c r="I55" i="73" a="1"/>
  <c r="I55" i="73" s="1"/>
  <c r="P55" i="73"/>
  <c r="R55" i="73" s="1"/>
  <c r="J55" i="73"/>
  <c r="K55" i="73" s="1"/>
  <c r="M55" i="73"/>
  <c r="D55" i="73" a="1"/>
  <c r="D55" i="73" s="1"/>
  <c r="S55" i="73"/>
  <c r="C55" i="73" a="1"/>
  <c r="C55" i="73" s="1"/>
  <c r="T55" i="73"/>
  <c r="O18" i="73"/>
  <c r="I18" i="73" a="1"/>
  <c r="I18" i="73" s="1"/>
  <c r="C18" i="73" a="1"/>
  <c r="C18" i="73" s="1"/>
  <c r="H18" i="73" a="1"/>
  <c r="H18" i="73" s="1"/>
  <c r="S18" i="73"/>
  <c r="Q18" i="73"/>
  <c r="R18" i="73" s="1"/>
  <c r="W18" i="73"/>
  <c r="J18" i="73"/>
  <c r="T18" i="73"/>
  <c r="M18" i="73"/>
  <c r="N18" i="73"/>
  <c r="B18" i="73" a="1"/>
  <c r="B18" i="73" s="1"/>
  <c r="D18" i="73" a="1"/>
  <c r="D18" i="73" s="1"/>
  <c r="V18" i="73"/>
  <c r="W20" i="73"/>
  <c r="H20" i="73" a="1"/>
  <c r="H20" i="73" s="1"/>
  <c r="I20" i="73" a="1"/>
  <c r="I20" i="73" s="1"/>
  <c r="C20" i="73" a="1"/>
  <c r="C20" i="73" s="1"/>
  <c r="D20" i="73" a="1"/>
  <c r="D20" i="73" s="1"/>
  <c r="T20" i="73"/>
  <c r="S20" i="73"/>
  <c r="J20" i="73"/>
  <c r="M20" i="73"/>
  <c r="N20" i="73"/>
  <c r="O20" i="73"/>
  <c r="Q20" i="73"/>
  <c r="R20" i="73" s="1"/>
  <c r="B20" i="73" a="1"/>
  <c r="B20" i="73" s="1"/>
  <c r="V20" i="73"/>
  <c r="H2" i="73" a="1"/>
  <c r="H2" i="73" s="1"/>
  <c r="I2" i="73" a="1"/>
  <c r="I2" i="73" s="1"/>
  <c r="T2" i="73"/>
  <c r="V51" i="73"/>
  <c r="W51" i="73"/>
  <c r="D51" i="73" a="1"/>
  <c r="D51" i="73" s="1"/>
  <c r="I51" i="73" a="1"/>
  <c r="I51" i="73" s="1"/>
  <c r="O51" i="73"/>
  <c r="J51" i="73"/>
  <c r="M51" i="73"/>
  <c r="B51" i="73" a="1"/>
  <c r="B51" i="73" s="1"/>
  <c r="R5" i="73"/>
  <c r="Q2" i="73"/>
  <c r="N2" i="73"/>
  <c r="N46" i="73"/>
  <c r="J46" i="73"/>
  <c r="W46" i="73"/>
  <c r="C46" i="73" a="1"/>
  <c r="C46" i="73" s="1"/>
  <c r="O46" i="73"/>
  <c r="Q46" i="73"/>
  <c r="P46" i="73"/>
  <c r="D46" i="73" a="1"/>
  <c r="D46" i="73" s="1"/>
  <c r="S46" i="73"/>
  <c r="V2" i="73"/>
  <c r="P51" i="73"/>
  <c r="R51" i="73" s="1"/>
  <c r="C53" i="73" a="1"/>
  <c r="C53" i="73" s="1"/>
  <c r="O53" i="73"/>
  <c r="K53" i="73" s="1"/>
  <c r="N53" i="73"/>
  <c r="T53" i="73"/>
  <c r="U53" i="73" s="1"/>
  <c r="W53" i="73"/>
  <c r="P53" i="73"/>
  <c r="R53" i="73" s="1"/>
  <c r="V53" i="73"/>
  <c r="K54" i="73"/>
  <c r="J2" i="73"/>
  <c r="I53" i="73" a="1"/>
  <c r="I53" i="73" s="1"/>
  <c r="C38" i="73" a="1"/>
  <c r="C38" i="73" s="1"/>
  <c r="D43" i="73" a="1"/>
  <c r="D43" i="73" s="1"/>
  <c r="J43" i="73"/>
  <c r="N43" i="73"/>
  <c r="W43" i="73"/>
  <c r="M43" i="73"/>
  <c r="P43" i="73"/>
  <c r="R43" i="73" s="1"/>
  <c r="H51" i="73" a="1"/>
  <c r="H51" i="73" s="1"/>
  <c r="T51" i="73"/>
  <c r="S51" i="73"/>
  <c r="S43" i="73"/>
  <c r="U43" i="73" s="1"/>
  <c r="M53" i="73"/>
  <c r="L53" i="73" s="1"/>
  <c r="N38" i="73"/>
  <c r="S5" i="73"/>
  <c r="U5" i="73" s="1"/>
  <c r="N51" i="73"/>
  <c r="V43" i="73"/>
  <c r="T5" i="73"/>
  <c r="Q57" i="73"/>
  <c r="R57" i="73" s="1"/>
  <c r="S57" i="73"/>
  <c r="U57" i="73" s="1"/>
  <c r="H57" i="73" a="1"/>
  <c r="H57" i="73" s="1"/>
  <c r="W57" i="73"/>
  <c r="J57" i="73"/>
  <c r="K57" i="73" s="1"/>
  <c r="I57" i="73" a="1"/>
  <c r="I57" i="73" s="1"/>
  <c r="M57" i="73"/>
  <c r="H53" i="73" a="1"/>
  <c r="H53" i="73" s="1"/>
  <c r="M38" i="73"/>
  <c r="Q5" i="73"/>
  <c r="K8" i="73"/>
  <c r="C2" i="73" a="1"/>
  <c r="C2" i="73" s="1"/>
  <c r="M2" i="73"/>
  <c r="B2" i="73" a="1"/>
  <c r="B2" i="73" s="1"/>
  <c r="E3" i="64" a="1"/>
  <c r="E3" i="64" s="1"/>
  <c r="D9" i="89" s="1"/>
  <c r="S2" i="73"/>
  <c r="D2" i="73" a="1"/>
  <c r="D2" i="73" s="1"/>
  <c r="O2" i="73"/>
  <c r="C5" i="73" a="1"/>
  <c r="C5" i="73" s="1"/>
  <c r="D57" i="73" a="1"/>
  <c r="D57" i="73" s="1"/>
  <c r="D5" i="89" a="1"/>
  <c r="D5" i="89" s="1"/>
  <c r="I5" i="73" a="1"/>
  <c r="I5" i="73" s="1"/>
  <c r="B5" i="73" a="1"/>
  <c r="B5" i="73" s="1"/>
  <c r="H5" i="73" a="1"/>
  <c r="H5" i="73" s="1"/>
  <c r="M5" i="73"/>
  <c r="J5" i="73"/>
  <c r="V5" i="73"/>
  <c r="N5" i="73"/>
  <c r="W5" i="73"/>
  <c r="O38" i="73"/>
  <c r="K38" i="73" s="1"/>
  <c r="I38" i="73" a="1"/>
  <c r="I38" i="73" s="1"/>
  <c r="D38" i="73" a="1"/>
  <c r="D38" i="73" s="1"/>
  <c r="S38" i="73"/>
  <c r="U38" i="73" s="1"/>
  <c r="J38" i="73"/>
  <c r="W38" i="73"/>
  <c r="Q38" i="73"/>
  <c r="R38" i="73" s="1"/>
  <c r="B38" i="73" a="1"/>
  <c r="B38" i="73" s="1"/>
  <c r="K49" i="73"/>
  <c r="N57" i="73"/>
  <c r="W2" i="73"/>
  <c r="K15" i="73"/>
  <c r="L19" i="73"/>
  <c r="V4" i="73"/>
  <c r="D4" i="73" a="1"/>
  <c r="D4" i="73" s="1"/>
  <c r="P4" i="73"/>
  <c r="C4" i="73" a="1"/>
  <c r="C4" i="73" s="1"/>
  <c r="B4" i="73" a="1"/>
  <c r="B4" i="73" s="1"/>
  <c r="M4" i="73"/>
  <c r="H4" i="73" a="1"/>
  <c r="H4" i="73" s="1"/>
  <c r="O4" i="73"/>
  <c r="J4" i="73"/>
  <c r="T4" i="73"/>
  <c r="R14" i="73"/>
  <c r="M49" i="73"/>
  <c r="L49" i="73" s="1"/>
  <c r="W49" i="73"/>
  <c r="I22" i="73" a="1"/>
  <c r="I22" i="73" s="1"/>
  <c r="O22" i="73"/>
  <c r="K22" i="73" s="1"/>
  <c r="B22" i="73" a="1"/>
  <c r="B22" i="73" s="1"/>
  <c r="L22" i="73" s="1"/>
  <c r="C39" i="73" a="1"/>
  <c r="C39" i="73" s="1"/>
  <c r="H34" i="73" a="1"/>
  <c r="H34" i="73" s="1"/>
  <c r="Q4" i="73"/>
  <c r="T34" i="73"/>
  <c r="K58" i="73"/>
  <c r="V34" i="73"/>
  <c r="N4" i="73"/>
  <c r="M17" i="73"/>
  <c r="T17" i="73"/>
  <c r="U17" i="73" s="1"/>
  <c r="C17" i="73" a="1"/>
  <c r="C17" i="73" s="1"/>
  <c r="B17" i="73" a="1"/>
  <c r="B17" i="73" s="1"/>
  <c r="L17" i="73" s="1"/>
  <c r="Q17" i="73"/>
  <c r="P17" i="73"/>
  <c r="N17" i="73"/>
  <c r="V17" i="73"/>
  <c r="D17" i="73" a="1"/>
  <c r="D17" i="73" s="1"/>
  <c r="M39" i="73"/>
  <c r="L39" i="73" s="1"/>
  <c r="S34" i="73"/>
  <c r="I4" i="73" a="1"/>
  <c r="I4" i="73" s="1"/>
  <c r="S10" i="73"/>
  <c r="H10" i="73" a="1"/>
  <c r="H10" i="73" s="1"/>
  <c r="M10" i="73"/>
  <c r="J10" i="73"/>
  <c r="K10" i="73" s="1"/>
  <c r="D10" i="73" a="1"/>
  <c r="D10" i="73" s="1"/>
  <c r="I10" i="73" a="1"/>
  <c r="I10" i="73" s="1"/>
  <c r="B10" i="73" a="1"/>
  <c r="B10" i="73" s="1"/>
  <c r="L10" i="73" s="1"/>
  <c r="V10" i="73"/>
  <c r="T10" i="73"/>
  <c r="P10" i="73"/>
  <c r="R10" i="73" s="1"/>
  <c r="N10" i="73"/>
  <c r="Q34" i="73"/>
  <c r="R34" i="73" s="1"/>
  <c r="W34" i="73"/>
  <c r="S4" i="73"/>
  <c r="U33" i="73"/>
  <c r="L28" i="73"/>
  <c r="Q9" i="73"/>
  <c r="R9" i="73" s="1"/>
  <c r="H103" i="73" a="1"/>
  <c r="H103" i="73" s="1"/>
  <c r="M52" i="73"/>
  <c r="W56" i="73"/>
  <c r="Q56" i="73"/>
  <c r="R56" i="73" s="1"/>
  <c r="V9" i="73"/>
  <c r="W13" i="73"/>
  <c r="B13" i="73" a="1"/>
  <c r="B13" i="73" s="1"/>
  <c r="D85" i="73" a="1"/>
  <c r="D85" i="73" s="1"/>
  <c r="H169" i="73" a="1"/>
  <c r="H169" i="73" s="1"/>
  <c r="B184" i="73" a="1"/>
  <c r="B184" i="73" s="1"/>
  <c r="H184" i="73" a="1"/>
  <c r="H184" i="73" s="1"/>
  <c r="C29" i="73" a="1"/>
  <c r="C29" i="73" s="1"/>
  <c r="T29" i="73"/>
  <c r="U29" i="73" s="1"/>
  <c r="D86" i="73" a="1"/>
  <c r="D86" i="73" s="1"/>
  <c r="C100" i="73" a="1"/>
  <c r="C100" i="73" s="1"/>
  <c r="C257" i="73" a="1"/>
  <c r="C257" i="73" s="1"/>
  <c r="D257" i="73" a="1"/>
  <c r="D257" i="73" s="1"/>
  <c r="B257" i="73" a="1"/>
  <c r="B257" i="73" s="1"/>
  <c r="S7" i="73"/>
  <c r="U7" i="73" s="1"/>
  <c r="C7" i="73" a="1"/>
  <c r="C7" i="73" s="1"/>
  <c r="Q7" i="73"/>
  <c r="R7" i="73" s="1"/>
  <c r="D7" i="73" a="1"/>
  <c r="D7" i="73" s="1"/>
  <c r="S21" i="73"/>
  <c r="O21" i="73"/>
  <c r="K21" i="73" s="1"/>
  <c r="H87" i="73" a="1"/>
  <c r="H87" i="73" s="1"/>
  <c r="C87" i="73" a="1"/>
  <c r="C87" i="73" s="1"/>
  <c r="C241" i="73" a="1"/>
  <c r="C241" i="73" s="1"/>
  <c r="D241" i="73" a="1"/>
  <c r="D241" i="73" s="1"/>
  <c r="Q12" i="73"/>
  <c r="R12" i="73" s="1"/>
  <c r="M12" i="73"/>
  <c r="J12" i="73"/>
  <c r="K12" i="73" s="1"/>
  <c r="I12" i="73" a="1"/>
  <c r="I12" i="73" s="1"/>
  <c r="D73" i="73" a="1"/>
  <c r="D73" i="73" s="1"/>
  <c r="C73" i="73" a="1"/>
  <c r="C73" i="73" s="1"/>
  <c r="R29" i="73"/>
  <c r="I3" i="73" a="1"/>
  <c r="I3" i="73" s="1"/>
  <c r="W3" i="73"/>
  <c r="D16" i="73" a="1"/>
  <c r="D16" i="73" s="1"/>
  <c r="J16" i="73"/>
  <c r="W16" i="73"/>
  <c r="I16" i="73" a="1"/>
  <c r="I16" i="73" s="1"/>
  <c r="W32" i="73"/>
  <c r="H32" i="73" a="1"/>
  <c r="H32" i="73" s="1"/>
  <c r="T32" i="73"/>
  <c r="U32" i="73" s="1"/>
  <c r="V32" i="73"/>
  <c r="D25" i="73" a="1"/>
  <c r="D25" i="73" s="1"/>
  <c r="N25" i="73"/>
  <c r="I9" i="73" a="1"/>
  <c r="I9" i="73" s="1"/>
  <c r="C16" i="73" a="1"/>
  <c r="C16" i="73" s="1"/>
  <c r="H125" i="73" a="1"/>
  <c r="H125" i="73" s="1"/>
  <c r="C13" i="73" a="1"/>
  <c r="C13" i="73" s="1"/>
  <c r="R11" i="73"/>
  <c r="M9" i="73"/>
  <c r="H73" i="73" a="1"/>
  <c r="H73" i="73" s="1"/>
  <c r="C173" i="73" a="1"/>
  <c r="C173" i="73" s="1"/>
  <c r="B173" i="73" a="1"/>
  <c r="B173" i="73" s="1"/>
  <c r="O9" i="73"/>
  <c r="V16" i="73"/>
  <c r="D140" i="73" a="1"/>
  <c r="D140" i="73" s="1"/>
  <c r="H158" i="73" a="1"/>
  <c r="H158" i="73" s="1"/>
  <c r="D173" i="73" a="1"/>
  <c r="D173" i="73" s="1"/>
  <c r="L23" i="73"/>
  <c r="W9" i="73"/>
  <c r="J9" i="73"/>
  <c r="D9" i="73" a="1"/>
  <c r="D9" i="73" s="1"/>
  <c r="C63" i="73" a="1"/>
  <c r="C63" i="73" s="1"/>
  <c r="H63" i="73" a="1"/>
  <c r="H63" i="73" s="1"/>
  <c r="B141" i="73" a="1"/>
  <c r="B141" i="73" s="1"/>
  <c r="C141" i="73" a="1"/>
  <c r="C141" i="73" s="1"/>
  <c r="N12" i="73"/>
  <c r="D63" i="73" a="1"/>
  <c r="D63" i="73" s="1"/>
  <c r="B85" i="73" a="1"/>
  <c r="B85" i="73" s="1"/>
  <c r="D142" i="73" a="1"/>
  <c r="D142" i="73" s="1"/>
  <c r="B142" i="73" a="1"/>
  <c r="B142" i="73" s="1"/>
  <c r="C33" i="73" a="1"/>
  <c r="C33" i="73" s="1"/>
  <c r="B33" i="73" a="1"/>
  <c r="B33" i="73" s="1"/>
  <c r="L33" i="73" s="1"/>
  <c r="B214" i="73" a="1"/>
  <c r="B214" i="73" s="1"/>
  <c r="R48" i="73"/>
  <c r="H16" i="73" a="1"/>
  <c r="H16" i="73" s="1"/>
  <c r="L41" i="73"/>
  <c r="J35" i="73"/>
  <c r="L35" i="73" s="1"/>
  <c r="V35" i="73"/>
  <c r="P35" i="73"/>
  <c r="R35" i="73" s="1"/>
  <c r="D44" i="73" a="1"/>
  <c r="D44" i="73" s="1"/>
  <c r="N44" i="73"/>
  <c r="M44" i="73"/>
  <c r="L44" i="73" s="1"/>
  <c r="O7" i="73"/>
  <c r="K7" i="73" s="1"/>
  <c r="S12" i="73"/>
  <c r="U12" i="73" s="1"/>
  <c r="D169" i="73" a="1"/>
  <c r="D169" i="73" s="1"/>
  <c r="O35" i="73"/>
  <c r="D97" i="73" a="1"/>
  <c r="D97" i="73" s="1"/>
  <c r="H129" i="73" a="1"/>
  <c r="H129" i="73" s="1"/>
  <c r="D270" i="73" a="1"/>
  <c r="D270" i="73" s="1"/>
  <c r="H271" i="73" a="1"/>
  <c r="H271" i="73" s="1"/>
  <c r="D372" i="73" a="1"/>
  <c r="D372" i="73" s="1"/>
  <c r="B274" i="73" a="1"/>
  <c r="B274" i="73" s="1"/>
  <c r="H317" i="73" a="1"/>
  <c r="H317" i="73" s="1"/>
  <c r="Q26" i="73"/>
  <c r="N30" i="73"/>
  <c r="D162" i="73" a="1"/>
  <c r="D162" i="73" s="1"/>
  <c r="B92" i="73" a="1"/>
  <c r="B92" i="73" s="1"/>
  <c r="B47" i="73" a="1"/>
  <c r="B47" i="73" s="1"/>
  <c r="L47" i="73" s="1"/>
  <c r="D66" i="73" a="1"/>
  <c r="D66" i="73" s="1"/>
  <c r="C393" i="73" a="1"/>
  <c r="C393" i="73" s="1"/>
  <c r="B393" i="73" a="1"/>
  <c r="B393" i="73" s="1"/>
  <c r="V26" i="73"/>
  <c r="O30" i="73"/>
  <c r="K30" i="73" s="1"/>
  <c r="B30" i="73" a="1"/>
  <c r="B30" i="73" s="1"/>
  <c r="L30" i="73" s="1"/>
  <c r="B337" i="73" a="1"/>
  <c r="B337" i="73" s="1"/>
  <c r="D30" i="73" a="1"/>
  <c r="D30" i="73" s="1"/>
  <c r="K17" i="73"/>
  <c r="K48" i="73"/>
  <c r="K6" i="73"/>
  <c r="K33" i="73"/>
  <c r="F35" i="81"/>
  <c r="F121" i="81"/>
  <c r="F85" i="81"/>
  <c r="F249" i="81"/>
  <c r="Q37" i="81"/>
  <c r="F28" i="81"/>
  <c r="F141" i="81"/>
  <c r="F376" i="81"/>
  <c r="F375" i="81"/>
  <c r="F246" i="81"/>
  <c r="F325" i="81"/>
  <c r="F290" i="81"/>
  <c r="F334" i="81"/>
  <c r="F261" i="81"/>
  <c r="F345" i="81"/>
  <c r="F265" i="81"/>
  <c r="F181" i="81"/>
  <c r="F8" i="81"/>
  <c r="Q17" i="81"/>
  <c r="F33" i="81"/>
  <c r="F299" i="81"/>
  <c r="Q32" i="81"/>
  <c r="F283" i="81"/>
  <c r="F91" i="81"/>
  <c r="Q10" i="81"/>
  <c r="F259" i="81"/>
  <c r="F189" i="81"/>
  <c r="F222" i="81"/>
  <c r="F77" i="81"/>
  <c r="F99" i="81"/>
  <c r="F43" i="81"/>
  <c r="F114" i="81"/>
  <c r="F258" i="81"/>
  <c r="F275" i="81"/>
  <c r="F90" i="81"/>
  <c r="F36" i="81"/>
  <c r="F6" i="81"/>
  <c r="F155" i="81"/>
  <c r="F17" i="81"/>
  <c r="F329" i="81"/>
  <c r="F23" i="81"/>
  <c r="F40" i="81"/>
  <c r="F252" i="81"/>
  <c r="F115" i="81"/>
  <c r="F398" i="81"/>
  <c r="F89" i="81"/>
  <c r="F116" i="81"/>
  <c r="F386" i="81"/>
  <c r="F149" i="81"/>
  <c r="F62" i="81"/>
  <c r="F303" i="81"/>
  <c r="F83" i="81"/>
  <c r="F134" i="81"/>
  <c r="F233" i="81"/>
  <c r="F243" i="81"/>
  <c r="F18" i="81"/>
  <c r="F162" i="81"/>
  <c r="F146" i="81"/>
  <c r="F270" i="81"/>
  <c r="F293" i="81"/>
  <c r="F208" i="81"/>
  <c r="F81" i="81"/>
  <c r="F157" i="81"/>
  <c r="F306" i="81"/>
  <c r="F153" i="81"/>
  <c r="F20" i="81"/>
  <c r="F244" i="81"/>
  <c r="F39" i="81"/>
  <c r="F190" i="81"/>
  <c r="F383" i="81"/>
  <c r="F136" i="81"/>
  <c r="F147" i="81"/>
  <c r="F186" i="81"/>
  <c r="F254" i="81"/>
  <c r="F332" i="81"/>
  <c r="F118" i="81"/>
  <c r="F339" i="81"/>
  <c r="F191" i="81"/>
  <c r="F199" i="81"/>
  <c r="F179" i="81"/>
  <c r="F205" i="81"/>
  <c r="F319" i="81"/>
  <c r="F108" i="81"/>
  <c r="F264" i="81"/>
  <c r="F97" i="81"/>
  <c r="F348" i="81"/>
  <c r="F63" i="81"/>
  <c r="F197" i="81"/>
  <c r="F240" i="81"/>
  <c r="Q39" i="81"/>
  <c r="F187" i="81"/>
  <c r="F111" i="81"/>
  <c r="F173" i="81"/>
  <c r="F170" i="81"/>
  <c r="F112" i="81"/>
  <c r="F56" i="81"/>
  <c r="F68" i="81"/>
  <c r="F333" i="81"/>
  <c r="F351" i="81"/>
  <c r="F217" i="81"/>
  <c r="F278" i="81"/>
  <c r="F221" i="81"/>
  <c r="F260" i="81"/>
  <c r="F237" i="81"/>
  <c r="F317" i="81"/>
  <c r="F370" i="81"/>
  <c r="F266" i="81"/>
  <c r="F273" i="81"/>
  <c r="F394" i="81"/>
  <c r="Q50" i="81"/>
  <c r="F12" i="81"/>
  <c r="F24" i="81"/>
  <c r="F84" i="81"/>
  <c r="F19" i="81"/>
  <c r="F206" i="81"/>
  <c r="F335" i="81"/>
  <c r="F295" i="81"/>
  <c r="F239" i="81"/>
  <c r="F285" i="81"/>
  <c r="F224" i="81"/>
  <c r="F365" i="81"/>
  <c r="F183" i="81"/>
  <c r="F87" i="81"/>
  <c r="F274" i="81"/>
  <c r="F378" i="81"/>
  <c r="F93" i="81"/>
  <c r="F214" i="81"/>
  <c r="F172" i="81"/>
  <c r="F226" i="81"/>
  <c r="F231" i="81"/>
  <c r="F284" i="81"/>
  <c r="F336" i="81"/>
  <c r="F399" i="81"/>
  <c r="F292" i="81"/>
  <c r="F88" i="81"/>
  <c r="F110" i="81"/>
  <c r="F9" i="81"/>
  <c r="F105" i="81"/>
  <c r="F371" i="81"/>
  <c r="F48" i="81"/>
  <c r="F10" i="81"/>
  <c r="F22" i="81"/>
  <c r="F296" i="81"/>
  <c r="F27" i="81"/>
  <c r="F94" i="81"/>
  <c r="F130" i="81"/>
  <c r="F185" i="81"/>
  <c r="F58" i="81"/>
  <c r="F177" i="81"/>
  <c r="F158" i="81"/>
  <c r="F131" i="81"/>
  <c r="F30" i="81"/>
  <c r="F382" i="81"/>
  <c r="F373" i="81"/>
  <c r="F294" i="81"/>
  <c r="F37" i="81"/>
  <c r="F380" i="81"/>
  <c r="F210" i="81"/>
  <c r="Q13" i="81"/>
  <c r="F47" i="81"/>
  <c r="F176" i="81"/>
  <c r="F64" i="81"/>
  <c r="F180" i="81"/>
  <c r="F289" i="81"/>
  <c r="F125" i="81"/>
  <c r="F379" i="81"/>
  <c r="F95" i="81"/>
  <c r="F281" i="81"/>
  <c r="F216" i="81"/>
  <c r="F280" i="81"/>
  <c r="F106" i="81"/>
  <c r="F200" i="81"/>
  <c r="F340" i="81"/>
  <c r="F188" i="81"/>
  <c r="F219" i="81"/>
  <c r="F307" i="81"/>
  <c r="F389" i="81"/>
  <c r="F209" i="81"/>
  <c r="F3" i="81"/>
  <c r="F53" i="81"/>
  <c r="F286" i="81"/>
  <c r="F297" i="81"/>
  <c r="F32" i="81"/>
  <c r="F232" i="81"/>
  <c r="F238" i="81"/>
  <c r="F195" i="81"/>
  <c r="F390" i="81"/>
  <c r="F156" i="81"/>
  <c r="F225" i="81"/>
  <c r="F151" i="81"/>
  <c r="F267" i="81"/>
  <c r="F119" i="81"/>
  <c r="F321" i="81"/>
  <c r="F338" i="81"/>
  <c r="F42" i="81"/>
  <c r="F140" i="81"/>
  <c r="F360" i="81"/>
  <c r="F52" i="81"/>
  <c r="F215" i="81"/>
  <c r="F346" i="81"/>
  <c r="F396" i="81"/>
  <c r="F126" i="81"/>
  <c r="F235" i="81"/>
  <c r="Q20" i="81"/>
  <c r="F366" i="81"/>
  <c r="F122" i="81"/>
  <c r="F322" i="81"/>
  <c r="F241" i="81"/>
  <c r="F142" i="81"/>
  <c r="F400" i="81"/>
  <c r="F49" i="81"/>
  <c r="F92" i="81"/>
  <c r="F395" i="81"/>
  <c r="F397" i="81"/>
  <c r="F202" i="81"/>
  <c r="F26" i="81"/>
  <c r="F127" i="81"/>
  <c r="F132" i="81"/>
  <c r="F310" i="81"/>
  <c r="F223" i="81"/>
  <c r="F148" i="81"/>
  <c r="F78" i="81"/>
  <c r="F320" i="81"/>
  <c r="F11" i="81"/>
  <c r="F203" i="81"/>
  <c r="F323" i="81"/>
  <c r="F144" i="81"/>
  <c r="F255" i="81"/>
  <c r="F143" i="81"/>
  <c r="F69" i="81"/>
  <c r="F291" i="81"/>
  <c r="F5" i="81"/>
  <c r="F311" i="81"/>
  <c r="F355" i="81"/>
  <c r="F301" i="81"/>
  <c r="F276" i="81"/>
  <c r="F137" i="81"/>
  <c r="F194" i="81"/>
  <c r="F300" i="81"/>
  <c r="F34" i="81"/>
  <c r="F65" i="81"/>
  <c r="F152" i="81"/>
  <c r="F196" i="81"/>
  <c r="F198" i="81"/>
  <c r="F57" i="81"/>
  <c r="F262" i="81"/>
  <c r="F21" i="81"/>
  <c r="F236" i="81"/>
  <c r="F277" i="81"/>
  <c r="F168" i="81"/>
  <c r="F82" i="81"/>
  <c r="F357" i="81"/>
  <c r="F138" i="81"/>
  <c r="Q24" i="81"/>
  <c r="F212" i="81"/>
  <c r="F96" i="81"/>
  <c r="F182" i="81"/>
  <c r="F327" i="81"/>
  <c r="F7" i="81"/>
  <c r="F73" i="81"/>
  <c r="F13" i="81"/>
  <c r="F103" i="81"/>
  <c r="F384" i="81"/>
  <c r="F272" i="81"/>
  <c r="F160" i="81"/>
  <c r="F352" i="81"/>
  <c r="F109" i="81"/>
  <c r="F175" i="81"/>
  <c r="F4" i="81"/>
  <c r="F174" i="81"/>
  <c r="F120" i="81"/>
  <c r="Q19" i="81"/>
  <c r="F381" i="81"/>
  <c r="F75" i="81"/>
  <c r="F80" i="81"/>
  <c r="F218" i="81"/>
  <c r="F271" i="81"/>
  <c r="F359" i="81"/>
  <c r="F31" i="81"/>
  <c r="F51" i="81"/>
  <c r="F71" i="81"/>
  <c r="F353" i="81"/>
  <c r="F104" i="81"/>
  <c r="F135" i="81"/>
  <c r="F364" i="81"/>
  <c r="F331" i="81"/>
  <c r="F133" i="81"/>
  <c r="F282" i="81"/>
  <c r="Q27" i="81"/>
  <c r="F167" i="81"/>
  <c r="F107" i="81"/>
  <c r="F372" i="81"/>
  <c r="F314" i="81"/>
  <c r="F227" i="81"/>
  <c r="F256" i="81"/>
  <c r="F229" i="81"/>
  <c r="F129" i="81"/>
  <c r="F324" i="81"/>
  <c r="F29" i="81"/>
  <c r="F356" i="81"/>
  <c r="F74" i="81"/>
  <c r="F298" i="81"/>
  <c r="F368" i="81"/>
  <c r="F123" i="81"/>
  <c r="F204" i="81"/>
  <c r="Q18" i="81"/>
  <c r="F59" i="81"/>
  <c r="F367" i="81"/>
  <c r="F2" i="81"/>
  <c r="F220" i="81"/>
  <c r="F328" i="81"/>
  <c r="F344" i="81"/>
  <c r="F169" i="81"/>
  <c r="F54" i="81"/>
  <c r="F60" i="81"/>
  <c r="Q30" i="81"/>
  <c r="F44" i="81"/>
  <c r="F313" i="81"/>
  <c r="F101" i="81"/>
  <c r="F100" i="81"/>
  <c r="F287" i="81"/>
  <c r="F192" i="81"/>
  <c r="F161" i="81"/>
  <c r="Q41" i="81"/>
  <c r="F184" i="81"/>
  <c r="F305" i="81"/>
  <c r="F330" i="81"/>
  <c r="F302" i="81"/>
  <c r="F61" i="81"/>
  <c r="F66" i="81"/>
  <c r="F304" i="81"/>
  <c r="F374" i="81"/>
  <c r="F86" i="81"/>
  <c r="F230" i="81"/>
  <c r="F159" i="81"/>
  <c r="F391" i="81"/>
  <c r="F124" i="81"/>
  <c r="F207" i="81"/>
  <c r="F211" i="81"/>
  <c r="F248" i="81"/>
  <c r="Q31" i="81"/>
  <c r="F15" i="81"/>
  <c r="F341" i="81"/>
  <c r="F150" i="81"/>
  <c r="F16" i="81"/>
  <c r="F253" i="81"/>
  <c r="F279" i="81"/>
  <c r="F257" i="81"/>
  <c r="F343" i="81"/>
  <c r="F242" i="81"/>
  <c r="Q8" i="81"/>
  <c r="Q28" i="81"/>
  <c r="Q45" i="81"/>
  <c r="Q51" i="81"/>
  <c r="Q47" i="81"/>
  <c r="Q43" i="81"/>
  <c r="Q36" i="81"/>
  <c r="Q40" i="81"/>
  <c r="Q26" i="81"/>
  <c r="Q33" i="81"/>
  <c r="Q9" i="81"/>
  <c r="Q25" i="81"/>
  <c r="Q12" i="81"/>
  <c r="Q46" i="81"/>
  <c r="Q15" i="81"/>
  <c r="Q22" i="81"/>
  <c r="Q2" i="81"/>
  <c r="F308" i="81"/>
  <c r="F228" i="81"/>
  <c r="F166" i="81"/>
  <c r="F70" i="81"/>
  <c r="F72" i="81"/>
  <c r="F392" i="81"/>
  <c r="F14" i="81"/>
  <c r="F369" i="81"/>
  <c r="Q11" i="81"/>
  <c r="Q4" i="81"/>
  <c r="F234" i="81"/>
  <c r="F38" i="81"/>
  <c r="F326" i="81"/>
  <c r="F361" i="81"/>
  <c r="F245" i="81"/>
  <c r="F363" i="81"/>
  <c r="F128" i="81"/>
  <c r="F337" i="81"/>
  <c r="F350" i="81"/>
  <c r="F45" i="81"/>
  <c r="F388" i="81"/>
  <c r="Q53" i="81"/>
  <c r="Q44" i="81"/>
  <c r="F354" i="81"/>
  <c r="F250" i="81"/>
  <c r="F318" i="81"/>
  <c r="F164" i="81"/>
  <c r="F165" i="81"/>
  <c r="F251" i="81"/>
  <c r="F102" i="81"/>
  <c r="F76" i="81"/>
  <c r="O2" i="81"/>
  <c r="Q3" i="81"/>
  <c r="F163" i="81"/>
  <c r="F46" i="81"/>
  <c r="F362" i="81"/>
  <c r="F349" i="81"/>
  <c r="F247" i="81"/>
  <c r="F178" i="81"/>
  <c r="F79" i="81"/>
  <c r="F145" i="81"/>
  <c r="F387" i="81"/>
  <c r="F393" i="81"/>
  <c r="Q48" i="81"/>
  <c r="Q5" i="81"/>
  <c r="Q49" i="81"/>
  <c r="Q16" i="81"/>
  <c r="Q14" i="81"/>
  <c r="Q29" i="81"/>
  <c r="Q7" i="81"/>
  <c r="Q54" i="81"/>
  <c r="F347" i="81"/>
  <c r="F269" i="81"/>
  <c r="F193" i="81"/>
  <c r="F171" i="81"/>
  <c r="F67" i="81"/>
  <c r="F377" i="81"/>
  <c r="F201" i="81"/>
  <c r="Q23" i="81"/>
  <c r="Q52" i="81"/>
  <c r="F358" i="81"/>
  <c r="F154" i="81"/>
  <c r="F55" i="81"/>
  <c r="F113" i="81"/>
  <c r="F342" i="81"/>
  <c r="F315" i="81"/>
  <c r="F316" i="81"/>
  <c r="F312" i="81"/>
  <c r="F50" i="81"/>
  <c r="Q42" i="81"/>
  <c r="Q38" i="81"/>
  <c r="Q6" i="81"/>
  <c r="Q55" i="81"/>
  <c r="F309" i="81"/>
  <c r="F268" i="81"/>
  <c r="F41" i="81"/>
  <c r="F385" i="81"/>
  <c r="F139" i="81"/>
  <c r="F213" i="81"/>
  <c r="F25" i="81"/>
  <c r="F98" i="81"/>
  <c r="F117" i="81"/>
  <c r="F263" i="81"/>
  <c r="Q34" i="81"/>
  <c r="Q21" i="81"/>
  <c r="J14" i="70" l="1"/>
  <c r="U21" i="73"/>
  <c r="B15" i="70"/>
  <c r="B14" i="70"/>
  <c r="D14" i="70"/>
  <c r="L12" i="70"/>
  <c r="L52" i="73"/>
  <c r="R21" i="73"/>
  <c r="L46" i="73"/>
  <c r="K45" i="73"/>
  <c r="K25" i="73"/>
  <c r="L14" i="73"/>
  <c r="R25" i="73"/>
  <c r="C3" i="64" a="1"/>
  <c r="C3" i="64" s="1"/>
  <c r="D7" i="89" s="1"/>
  <c r="K26" i="73"/>
  <c r="L5" i="73"/>
  <c r="R39" i="73"/>
  <c r="L13" i="73"/>
  <c r="L15" i="73"/>
  <c r="D19" i="89"/>
  <c r="R47" i="73"/>
  <c r="U9" i="73"/>
  <c r="U46" i="73"/>
  <c r="R26" i="73"/>
  <c r="U42" i="73"/>
  <c r="U30" i="73"/>
  <c r="L42" i="73"/>
  <c r="R2" i="73"/>
  <c r="L12" i="73"/>
  <c r="D6" i="64"/>
  <c r="D25" i="89" s="1"/>
  <c r="K5" i="73"/>
  <c r="L57" i="73"/>
  <c r="K18" i="73"/>
  <c r="L45" i="73"/>
  <c r="R24" i="73"/>
  <c r="R44" i="73"/>
  <c r="K34" i="73"/>
  <c r="U20" i="73"/>
  <c r="E6" i="64"/>
  <c r="D26" i="89" s="1"/>
  <c r="K39" i="73"/>
  <c r="U25" i="73"/>
  <c r="U24" i="73"/>
  <c r="K16" i="73"/>
  <c r="D6" i="89" a="1"/>
  <c r="D6" i="89" s="1"/>
  <c r="K37" i="73"/>
  <c r="U39" i="73"/>
  <c r="L25" i="73"/>
  <c r="U44" i="73"/>
  <c r="R46" i="73"/>
  <c r="U10" i="73"/>
  <c r="U34" i="73"/>
  <c r="U2" i="73"/>
  <c r="D14" i="72"/>
  <c r="D15" i="72"/>
  <c r="D40" i="89"/>
  <c r="F9" i="64" a="1"/>
  <c r="F9" i="64" s="1"/>
  <c r="M14" i="70"/>
  <c r="M15" i="70"/>
  <c r="J15" i="72"/>
  <c r="J14" i="72"/>
  <c r="U51" i="73"/>
  <c r="F15" i="72"/>
  <c r="F14" i="72"/>
  <c r="C14" i="72"/>
  <c r="C15" i="72"/>
  <c r="K15" i="70"/>
  <c r="K14" i="70"/>
  <c r="F12" i="72"/>
  <c r="I12" i="72"/>
  <c r="H12" i="72"/>
  <c r="K12" i="72"/>
  <c r="G12" i="72"/>
  <c r="J12" i="72"/>
  <c r="M12" i="72"/>
  <c r="L12" i="72"/>
  <c r="J12" i="70"/>
  <c r="L15" i="72"/>
  <c r="L14" i="72"/>
  <c r="I14" i="70"/>
  <c r="I15" i="70"/>
  <c r="K14" i="72"/>
  <c r="K15" i="72"/>
  <c r="E14" i="70"/>
  <c r="E15" i="70"/>
  <c r="E14" i="72"/>
  <c r="E15" i="72"/>
  <c r="G15" i="70"/>
  <c r="G14" i="70"/>
  <c r="H14" i="70"/>
  <c r="H15" i="70"/>
  <c r="U4" i="73"/>
  <c r="I15" i="72"/>
  <c r="I14" i="72"/>
  <c r="L14" i="70"/>
  <c r="L15" i="70"/>
  <c r="M14" i="72"/>
  <c r="M15" i="72"/>
  <c r="B9" i="64"/>
  <c r="C9" i="64"/>
  <c r="R4" i="73"/>
  <c r="L18" i="73"/>
  <c r="D17" i="89"/>
  <c r="F6" i="89"/>
  <c r="F12" i="89"/>
  <c r="G13" i="89"/>
  <c r="F10" i="89"/>
  <c r="G6" i="89"/>
  <c r="G12" i="89"/>
  <c r="D11" i="89"/>
  <c r="D10" i="89"/>
  <c r="F9" i="89"/>
  <c r="F11" i="89"/>
  <c r="F7" i="89"/>
  <c r="D18" i="89"/>
  <c r="G9" i="89"/>
  <c r="G7" i="89"/>
  <c r="G10" i="89"/>
  <c r="G11" i="89"/>
  <c r="F13" i="89"/>
  <c r="G8" i="89"/>
  <c r="F8" i="89"/>
  <c r="L16" i="73"/>
  <c r="K46" i="73"/>
  <c r="Y6" i="29"/>
  <c r="Z8" i="29" s="1"/>
  <c r="D37" i="89"/>
  <c r="B3" i="64" a="1"/>
  <c r="B3" i="64" s="1"/>
  <c r="L20" i="73"/>
  <c r="U18" i="73"/>
  <c r="K20" i="73"/>
  <c r="L38" i="73"/>
  <c r="A13" i="64" a="1"/>
  <c r="C16" i="64" s="1"/>
  <c r="B6" i="64"/>
  <c r="D23" i="89" s="1"/>
  <c r="R17" i="73"/>
  <c r="L9" i="73"/>
  <c r="C6" i="64"/>
  <c r="D24" i="89" s="1"/>
  <c r="U55" i="73"/>
  <c r="K35" i="73"/>
  <c r="L51" i="73"/>
  <c r="L55" i="73"/>
  <c r="K4" i="73"/>
  <c r="K51" i="73"/>
  <c r="AB8" i="29"/>
  <c r="AB6" i="29"/>
  <c r="AC2" i="29" s="1"/>
  <c r="AB7" i="29"/>
  <c r="L4" i="73"/>
  <c r="K9" i="73"/>
  <c r="B28" i="89" a="1"/>
  <c r="B28" i="89" s="1"/>
  <c r="D28" i="89" a="1"/>
  <c r="D28" i="89" s="1"/>
  <c r="D3" i="64" a="1"/>
  <c r="D3" i="64" s="1"/>
  <c r="D8" i="89" a="1"/>
  <c r="D8" i="89" s="1"/>
  <c r="B15" i="64" l="1"/>
  <c r="C20" i="64"/>
  <c r="B17" i="64"/>
  <c r="A13" i="64"/>
  <c r="C15" i="64"/>
  <c r="C22" i="64"/>
  <c r="C17" i="64"/>
  <c r="D17" i="64"/>
  <c r="E14" i="64" a="1"/>
  <c r="E14" i="64" s="1"/>
  <c r="B14" i="64"/>
  <c r="B22" i="64"/>
  <c r="D20" i="64"/>
  <c r="E19" i="64" a="1"/>
  <c r="E19" i="64" s="1"/>
  <c r="E22" i="64" a="1"/>
  <c r="E22" i="64" s="1"/>
  <c r="E20" i="64" a="1"/>
  <c r="E20" i="64" s="1"/>
  <c r="E17" i="64" a="1"/>
  <c r="E17" i="64" s="1"/>
  <c r="E16" i="64" a="1"/>
  <c r="E16" i="64" s="1"/>
  <c r="E18" i="64" a="1"/>
  <c r="E18" i="64" s="1"/>
  <c r="B20" i="64"/>
  <c r="B19" i="64"/>
  <c r="D15" i="64"/>
  <c r="E15" i="64" a="1"/>
  <c r="E15" i="64" s="1"/>
  <c r="C18" i="64"/>
  <c r="E21" i="64" a="1"/>
  <c r="E21" i="64" s="1"/>
  <c r="C21" i="64"/>
  <c r="D19" i="64"/>
  <c r="D14" i="64"/>
  <c r="D21" i="64"/>
  <c r="D18" i="64"/>
  <c r="B18" i="64"/>
  <c r="B16" i="64"/>
  <c r="D22" i="64"/>
  <c r="B21" i="64"/>
  <c r="D16" i="64"/>
  <c r="C19" i="64"/>
  <c r="AC7" i="29"/>
  <c r="AC8" i="29"/>
  <c r="AC6" i="29"/>
  <c r="AD2" i="29" s="1"/>
  <c r="C14" i="64"/>
  <c r="AD8" i="29" l="1"/>
  <c r="AD7" i="29"/>
  <c r="AD6" i="29"/>
  <c r="AE2" i="29" s="1"/>
  <c r="C13" i="64"/>
  <c r="E13" i="64" a="1"/>
  <c r="E13" i="64" s="1"/>
  <c r="D13" i="64"/>
  <c r="B13" i="64"/>
  <c r="AE8" i="29" l="1"/>
  <c r="AE7" i="29"/>
  <c r="AE6" i="29"/>
  <c r="AF2" i="29" s="1"/>
  <c r="AF7" i="29" l="1"/>
  <c r="AF8" i="29"/>
  <c r="AF6" i="29"/>
  <c r="AG2" i="29" s="1"/>
  <c r="AG8" i="29" l="1"/>
  <c r="AG6" i="29"/>
  <c r="AH2" i="29" s="1"/>
  <c r="AG7" i="29"/>
  <c r="AH7" i="29" l="1"/>
  <c r="AH8" i="29"/>
  <c r="AH6" i="29"/>
  <c r="AI2" i="29" s="1"/>
  <c r="AI6" i="29" l="1"/>
  <c r="AJ2" i="29" s="1"/>
  <c r="AI8" i="29"/>
  <c r="AI7" i="29"/>
  <c r="AJ6" i="29" l="1"/>
  <c r="AK2" i="29" s="1"/>
  <c r="AJ7" i="29"/>
  <c r="AJ8" i="29"/>
  <c r="AK7" i="29" l="1"/>
  <c r="AK8" i="29"/>
  <c r="AK6" i="29"/>
  <c r="AL2" i="29" s="1"/>
  <c r="AL7" i="29" l="1"/>
  <c r="AL6" i="29"/>
  <c r="AM2" i="29" s="1"/>
  <c r="AL8" i="29"/>
  <c r="AM7" i="29" l="1"/>
  <c r="AM6" i="29"/>
  <c r="AN2" i="29" s="1"/>
  <c r="AM8" i="29"/>
  <c r="AN7" i="29" l="1"/>
  <c r="AN6" i="29"/>
  <c r="AN8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tc={1BF05448-2926-4ABD-B68D-C1EC55378656}</author>
  </authors>
  <commentList>
    <comment ref="A28" authorId="0" shapeId="0" xr:uid="{1BF05448-2926-4ABD-B68D-C1EC55378656}">
      <text>
        <t>[Threaded comment]
Your version of Excel allows you to read this threaded comment; however, any edits to it will get removed if the file is opened in a newer version of Excel. Learn more: https://go.microsoft.com/fwlink/?linkid=870924
[Tasks]
There is a task anchored to this comment that cannot be viewed in your client.
Comment:
    @Roedolph Venter Something is not lekker here. Check the percentages.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tc={B5166CB1-142F-4C57-907F-78B8A303081C}</author>
  </authors>
  <commentList>
    <comment ref="E67" authorId="0" shapeId="0" xr:uid="{B5166CB1-142F-4C57-907F-78B8A303081C}">
      <text>
        <t>[Threaded comment]
Your version of Excel allows you to read this threaded comment; however, any edits to it will get removed if the file is opened in a newer version of Excel. Learn more: https://go.microsoft.com/fwlink/?linkid=870924
Comment:
    Matriach defects, PM etc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tc={BDAE436B-1151-4D8B-AD33-C7160EF8E3FC}</author>
  </authors>
  <commentList>
    <comment ref="A21" authorId="0" shapeId="0" xr:uid="{BDAE436B-1151-4D8B-AD33-C7160EF8E3FC}">
      <text>
        <t>[Threaded comment]
Your version of Excel allows you to read this threaded comment; however, any edits to it will get removed if the file is opened in a newer version of Excel. Learn more: https://go.microsoft.com/fwlink/?linkid=870924
Comment:
    Outstanding work for Meraki :
- System tripped over the first week of the holiday have been arranging for team to head out to give remote support and find the issue with support from ATESS.
- 1 x Optimizer needs to be replaced from phase 1 of the SolarEdge system.
- UPS needs to be tested as it switches off after some time causing portal to go offline. 
Arranging with Thula Moya to help get a team out to check these out for us.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2" xr16:uid="{00000000-0015-0000-FFFF-FFFF01000000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3" xr16:uid="{00000000-0015-0000-FFFF-FFFF0200000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4" xr16:uid="{00000000-0015-0000-FFFF-FFFF03000000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5" xr16:uid="{00000000-0015-0000-FFFF-FFFF04000000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6" xr16:uid="{00000000-0015-0000-FFFF-FFFF05000000}" keepAlive="1" name="Query - ProgramExpense" description="Connection to the 'ProgramExpense' query in the workbook." type="5" refreshedVersion="8" background="1" saveData="1">
    <dbPr connection="Provider=Microsoft.Mashup.OleDb.1;Data Source=$Workbook$;Location=ProgramExpense;Extended Properties=&quot;&quot;" command="SELECT * FROM [ProgramExpense]"/>
  </connection>
  <connection id="7" xr16:uid="{00000000-0015-0000-FFFF-FFFF06000000}" keepAlive="1" name="Query - ProgramInflows" description="Connection to the 'ProgramInflows' query in the workbook." type="5" refreshedVersion="8" background="1" saveData="1">
    <dbPr connection="Provider=Microsoft.Mashup.OleDb.1;Data Source=$Workbook$;Location=ProgramInflows;Extended Properties=&quot;&quot;" command="SELECT * FROM [ProgramInflows]"/>
  </connection>
  <connection id="8" xr16:uid="{00000000-0015-0000-FFFF-FFFF07000000}" keepAlive="1" name="Query - ProjectInfo" description="Connection to the 'ProjectInfo' query in the workbook." type="5" refreshedVersion="8" background="1" saveData="1">
    <dbPr connection="Provider=Microsoft.Mashup.OleDb.1;Data Source=$Workbook$;Location=ProjectInfo;Extended Properties=&quot;&quot;" command="SELECT * FROM [ProjectInfo]"/>
  </connection>
  <connection id="9" xr16:uid="{00000000-0015-0000-FFFF-FFFF08000000}" keepAlive="1" name="Query - ProjectPlan" description="Connection to the 'ProjectPlan' query in the workbook." type="5" refreshedVersion="8" background="1" saveData="1">
    <dbPr connection="Provider=Microsoft.Mashup.OleDb.1;Data Source=$Workbook$;Location=ProjectPlan;Extended Properties=&quot;&quot;" command="SELECT * FROM [ProjectPlan]"/>
  </connection>
  <connection id="10" xr16:uid="{00000000-0015-0000-FFFF-FFFF09000000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1" xr16:uid="{00000000-0015-0000-FFFF-FFFF0A000000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2" xr16:uid="{00000000-0015-0000-FFFF-FFFF0B000000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13" xr16:uid="{00000000-0015-0000-FFFF-FFFF0C000000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14" xr16:uid="{00000000-0015-0000-FFFF-FFFF0D000000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15" xr16:uid="{00000000-0015-0000-FFFF-FFFF0E000000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6" xr16:uid="{00000000-0015-0000-FFFF-FFFF0F000000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7" xr16:uid="{00000000-0015-0000-FFFF-FFFF10000000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18" xr16:uid="{00000000-0015-0000-FFFF-FFFF11000000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19" xr16:uid="{00000000-0015-0000-FFFF-FFFF12000000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20" xr16:uid="{00000000-0015-0000-FFFF-FFFF13000000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21" xr16:uid="{00000000-0015-0000-FFFF-FFFF14000000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22" xr16:uid="{00000000-0015-0000-FFFF-FFFF15000000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23" xr16:uid="{00000000-0015-0000-FFFF-FFFF16000000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<sst xmlns="http://schemas.openxmlformats.org/spreadsheetml/2006/main" count="30583" uniqueCount="9307">
  <si>
    <t>Active Projects</t>
  </si>
  <si>
    <t>On Schedule Rate</t>
  </si>
  <si>
    <t>Slipping Projects</t>
  </si>
  <si>
    <t>Contract Completeness</t>
  </si>
  <si>
    <t>Site Establishment (Next 10 Days)</t>
  </si>
  <si>
    <t>Commissioning (Next 10 Days)</t>
  </si>
  <si>
    <t>O&amp;M Handover (Next 10 Days)</t>
  </si>
  <si>
    <t>Client Hand Over (Next 10 Days)</t>
  </si>
  <si>
    <t>Revenue Outstanding</t>
  </si>
  <si>
    <t>Expense Overdue</t>
  </si>
  <si>
    <t>Project Inflows (This Week)</t>
  </si>
  <si>
    <t>Project Outflows (This Week)</t>
  </si>
  <si>
    <t>Revenue Realised Outstanding (This Month)</t>
  </si>
  <si>
    <t>COS Realised Outstanding (This Month)</t>
  </si>
  <si>
    <t>Commissioning Due this month</t>
  </si>
  <si>
    <t>Client handover Due this Month</t>
  </si>
  <si>
    <t>PD Handover to Site Establisment avg (days)</t>
  </si>
  <si>
    <t>Operations Report</t>
  </si>
  <si>
    <t>Report Date</t>
  </si>
  <si>
    <t>Prepared by</t>
  </si>
  <si>
    <t>Roedolph &amp; Peet</t>
  </si>
  <si>
    <t>Previous Week</t>
  </si>
  <si>
    <t>Current Week</t>
  </si>
  <si>
    <r>
      <t xml:space="preserve">Notes:
</t>
    </r>
    <r>
      <rPr>
        <sz val="16"/>
        <color theme="1"/>
        <rFont val="Calibri"/>
        <family val="2"/>
        <scheme val="minor"/>
      </rPr>
      <t>The previous week's column is a static value. Do not update.</t>
    </r>
  </si>
  <si>
    <t>Portfolio Summary</t>
  </si>
  <si>
    <t>Active projects</t>
  </si>
  <si>
    <t>Phase</t>
  </si>
  <si>
    <t>#</t>
  </si>
  <si>
    <t>kW</t>
  </si>
  <si>
    <r>
      <rPr>
        <b/>
        <sz val="10"/>
        <color rgb="FF404040"/>
        <rFont val="Calibri"/>
        <family val="2"/>
      </rPr>
      <t>Highlights / Key issues</t>
    </r>
    <r>
      <rPr>
        <sz val="10"/>
        <color rgb="FF404040"/>
        <rFont val="Calibri"/>
        <family val="2"/>
      </rPr>
      <t xml:space="preserve">
• We are going to aim to pull SteelPark forward.
• Add a phase after handover for projects that we are waiting on final payments.
</t>
    </r>
    <r>
      <rPr>
        <b/>
        <sz val="10"/>
        <color rgb="FF404040"/>
        <rFont val="Calibri"/>
        <family val="2"/>
      </rPr>
      <t xml:space="preserve">• On-schedule rate &amp; Expected progress formula needs to be revised. </t>
    </r>
  </si>
  <si>
    <t>Active capacity (MW)</t>
  </si>
  <si>
    <t>DLP</t>
  </si>
  <si>
    <t>On schedule rate</t>
  </si>
  <si>
    <t>Financial Close</t>
  </si>
  <si>
    <t>Projects behind plan</t>
  </si>
  <si>
    <t>Planning</t>
  </si>
  <si>
    <t>Contract pack complete</t>
  </si>
  <si>
    <t>Construction</t>
  </si>
  <si>
    <t>On Hold</t>
  </si>
  <si>
    <t>QA</t>
  </si>
  <si>
    <t>Closed</t>
  </si>
  <si>
    <t>Handover</t>
  </si>
  <si>
    <t>Commercial Close Out</t>
  </si>
  <si>
    <t>Hold</t>
  </si>
  <si>
    <t>Execution Summary</t>
  </si>
  <si>
    <t>Construction projects</t>
  </si>
  <si>
    <r>
      <rPr>
        <b/>
        <sz val="12"/>
        <color rgb="FFFF0000"/>
        <rFont val="Calibri"/>
        <family val="2"/>
      </rPr>
      <t>Construction notes / risks</t>
    </r>
    <r>
      <rPr>
        <sz val="10"/>
        <color rgb="FFFF0000"/>
        <rFont val="Calibri"/>
        <family val="2"/>
      </rPr>
      <t xml:space="preserve">
• Seshego PC has been shifted out due to AC tie in complications
• Pimville should be live next week
• Superior road and bethal shows as behind, but stuck in Financial Close
• Next report to include Avg delta vs expected formula</t>
    </r>
  </si>
  <si>
    <t>Execution capacity (kW)</t>
  </si>
  <si>
    <t>Overall Completion percentage</t>
  </si>
  <si>
    <t>Avg delta vs expected</t>
  </si>
  <si>
    <t>Behind schedule (construction)</t>
  </si>
  <si>
    <t/>
  </si>
  <si>
    <t>Construction start (next 10 days)</t>
  </si>
  <si>
    <t>Commissioning (next 10 days)</t>
  </si>
  <si>
    <t>O&amp;M handover (next 10 days)</t>
  </si>
  <si>
    <t>Client handover (next 10 days)</t>
  </si>
  <si>
    <t>Top 5 Behind Plan</t>
  </si>
  <si>
    <t>Financial Summary</t>
  </si>
  <si>
    <t>Current Revenue (active)</t>
  </si>
  <si>
    <r>
      <rPr>
        <b/>
        <sz val="10"/>
        <color theme="9" tint="-0.249977111117893"/>
        <rFont val="Calibri"/>
        <family val="2"/>
      </rPr>
      <t>Finance notes / actions</t>
    </r>
    <r>
      <rPr>
        <sz val="10"/>
        <color theme="9" tint="-0.249977111117893"/>
        <rFont val="Calibri"/>
        <family val="2"/>
      </rPr>
      <t xml:space="preserve">
• GP formula needs to be fixed
• Expenses higher than rev due to Mondi Rev not recognised yet.
• VO Formula to be added</t>
    </r>
  </si>
  <si>
    <t>Project &amp; Ops Outflows (active)</t>
  </si>
  <si>
    <t>Project Inflows (active)</t>
  </si>
  <si>
    <t>Gross profit % (active)</t>
  </si>
  <si>
    <t>Revenue outstanding (Feb)</t>
  </si>
  <si>
    <t>Expenses outstanding (Feb)</t>
  </si>
  <si>
    <t>Current VO total (Feb)</t>
  </si>
  <si>
    <t>TBC</t>
  </si>
  <si>
    <t>Count of Project Name</t>
  </si>
  <si>
    <t>Compliance Handover</t>
  </si>
  <si>
    <t>Project Name</t>
  </si>
  <si>
    <t>Size</t>
  </si>
  <si>
    <t>PD</t>
  </si>
  <si>
    <t>PM</t>
  </si>
  <si>
    <t>Cost Proposal Signed</t>
  </si>
  <si>
    <t>Funding Signed</t>
  </si>
  <si>
    <t>EPC Contract Signed</t>
  </si>
  <si>
    <t>PD Handover date</t>
  </si>
  <si>
    <t>Construction Start date</t>
  </si>
  <si>
    <t>Duration</t>
  </si>
  <si>
    <t>kW/Week</t>
  </si>
  <si>
    <t>Commissioning Date</t>
  </si>
  <si>
    <t>O&amp;M Handover Date</t>
  </si>
  <si>
    <t>Client Handover Date</t>
  </si>
  <si>
    <t>Project % Complete</t>
  </si>
  <si>
    <t>Expected % Completed</t>
  </si>
  <si>
    <t>Delta vs Expected</t>
  </si>
  <si>
    <t>Actual Revenue</t>
  </si>
  <si>
    <t>Actual Expenses</t>
  </si>
  <si>
    <t>GP %</t>
  </si>
  <si>
    <t xml:space="preserve">Expenses Due </t>
  </si>
  <si>
    <t>Current VO Total</t>
  </si>
  <si>
    <t>COMMENTS</t>
  </si>
  <si>
    <t>Need to complete Comms issue 
SSEG export received</t>
  </si>
  <si>
    <t>FY 2026 Week</t>
  </si>
  <si>
    <t>Opening Balance</t>
  </si>
  <si>
    <t>Project inflows</t>
  </si>
  <si>
    <t>Operational Outflows</t>
  </si>
  <si>
    <t>Project Outflows</t>
  </si>
  <si>
    <t>Closing Balance</t>
  </si>
  <si>
    <t>Available Payment</t>
  </si>
  <si>
    <t>Closing Balance Diff</t>
  </si>
  <si>
    <t>Show Detail</t>
  </si>
  <si>
    <t>Show</t>
  </si>
  <si>
    <t>Week</t>
  </si>
  <si>
    <t>Project</t>
  </si>
  <si>
    <t>(All projects)</t>
  </si>
  <si>
    <t xml:space="preserve">Project </t>
  </si>
  <si>
    <t>Category</t>
  </si>
  <si>
    <t>Item</t>
  </si>
  <si>
    <t>Invoice</t>
  </si>
  <si>
    <t>PaymentDate</t>
  </si>
  <si>
    <t>Amount R</t>
  </si>
  <si>
    <t>TrackerLocator</t>
  </si>
  <si>
    <t>Milestone</t>
  </si>
  <si>
    <t>Milestone Requirements</t>
  </si>
  <si>
    <t>MilestoneCompleted</t>
  </si>
  <si>
    <t>Days to Receipt</t>
  </si>
  <si>
    <t>REV Tracker</t>
  </si>
  <si>
    <t>Planned REV</t>
  </si>
  <si>
    <t>Realised REV</t>
  </si>
  <si>
    <t>Outstanding REV</t>
  </si>
  <si>
    <t>Budget REV</t>
  </si>
  <si>
    <t>Variance R</t>
  </si>
  <si>
    <t>Variance %</t>
  </si>
  <si>
    <t>YTD Planned</t>
  </si>
  <si>
    <t>YTD Realised</t>
  </si>
  <si>
    <t>YTD Outstanding</t>
  </si>
  <si>
    <t>YTD Budget</t>
  </si>
  <si>
    <t>YTD Variance R</t>
  </si>
  <si>
    <t>YTD Variance %</t>
  </si>
  <si>
    <t>REV Detail</t>
  </si>
  <si>
    <t>Month</t>
  </si>
  <si>
    <t>Invoice Date</t>
  </si>
  <si>
    <t>REV R</t>
  </si>
  <si>
    <t>Status</t>
  </si>
  <si>
    <t>COS Tracker</t>
  </si>
  <si>
    <t>Planned COS</t>
  </si>
  <si>
    <t>Realised COS</t>
  </si>
  <si>
    <t>Outstanding COS</t>
  </si>
  <si>
    <t>Budget COS</t>
  </si>
  <si>
    <t>COS Detail</t>
  </si>
  <si>
    <t>COS R</t>
  </si>
  <si>
    <t>Cell locator</t>
  </si>
  <si>
    <t xml:space="preserve">outstanding </t>
  </si>
  <si>
    <t>Site</t>
  </si>
  <si>
    <t>Schedule (R/A/G)</t>
  </si>
  <si>
    <t>Quality (R/A/G)</t>
  </si>
  <si>
    <t>Safety/Compliance (R/A/G)</t>
  </si>
  <si>
    <t>Next Key milestone</t>
  </si>
  <si>
    <t>Top blocker</t>
  </si>
  <si>
    <t>Next step</t>
  </si>
  <si>
    <t>Owner</t>
  </si>
  <si>
    <t>Project Complete</t>
  </si>
  <si>
    <t>Comments</t>
  </si>
  <si>
    <t>Docs</t>
  </si>
  <si>
    <t>1 Bolt Ave_Tracker.xlsx</t>
  </si>
  <si>
    <t>Peet Verreynne</t>
  </si>
  <si>
    <t>G</t>
  </si>
  <si>
    <t>None</t>
  </si>
  <si>
    <t>Handover Documentation</t>
  </si>
  <si>
    <t>Project Manager</t>
  </si>
  <si>
    <t>Ready for O&amp;M handover</t>
  </si>
  <si>
    <t>Approved</t>
  </si>
  <si>
    <t>Blackheath Park_Tracker.xlsx</t>
  </si>
  <si>
    <t>Justin Franke</t>
  </si>
  <si>
    <t>busy with documentation</t>
  </si>
  <si>
    <t>Pending</t>
  </si>
  <si>
    <t>BMG Fluid Tech_Tracker.xlsx</t>
  </si>
  <si>
    <t>JT Moorosi</t>
  </si>
  <si>
    <t>Practical Completion</t>
  </si>
  <si>
    <t>-</t>
  </si>
  <si>
    <t>SITE is live and comms is good.  PV invoice sent
Bennie Groenewald</t>
  </si>
  <si>
    <t>Compiling then review</t>
  </si>
  <si>
    <t>Boundary Terraces_Tracker.xlsx</t>
  </si>
  <si>
    <t>Snags + Handover Left</t>
  </si>
  <si>
    <t>Cassia_Tracker.xlsx</t>
  </si>
  <si>
    <t>Lloyd Brown</t>
  </si>
  <si>
    <t>Check with Dayne whats next</t>
  </si>
  <si>
    <t>China Town Adhoc_Tracker.xlsx</t>
  </si>
  <si>
    <t>QA + handover</t>
  </si>
  <si>
    <t>Installer</t>
  </si>
  <si>
    <t>Only snags left from installer</t>
  </si>
  <si>
    <t>Coega Steels Ph2_Tracker.xlsx</t>
  </si>
  <si>
    <t xml:space="preserve">RTI inspection concluded on the roof. 
Ground Mount sitting at - </t>
  </si>
  <si>
    <t>Corporate Park_Tracker.xlsx</t>
  </si>
  <si>
    <t>Eon Van Rensberg</t>
  </si>
  <si>
    <t>Ready for handover (Dipula Portfolio)</t>
  </si>
  <si>
    <t>Dobsonpoint_Tracker.xlsx</t>
  </si>
  <si>
    <t>Installation Completion</t>
  </si>
  <si>
    <t>Commissioning Report</t>
  </si>
  <si>
    <t>Consolidated QC list to be shared and snags rectified</t>
  </si>
  <si>
    <t>Ready for review</t>
  </si>
  <si>
    <t>Gezina Galleries_Tracker.xlsx</t>
  </si>
  <si>
    <t>Eon Van Rensburg</t>
  </si>
  <si>
    <t>A</t>
  </si>
  <si>
    <t>QA, Snags</t>
  </si>
  <si>
    <t>QA snags outstanding 
Awaiting Anderson Consulting report 
Then contractor will handle all the snags</t>
  </si>
  <si>
    <t>Gillwell_Tracker.xlsx</t>
  </si>
  <si>
    <t>Portfolio handover</t>
  </si>
  <si>
    <t>Dipula Portfolio Handover</t>
  </si>
  <si>
    <t>Hungry Lion_Citrusdal_Tracker.xlsx</t>
  </si>
  <si>
    <t>R</t>
  </si>
  <si>
    <t>handed over</t>
  </si>
  <si>
    <t>IconsSA_KZN_Tracker.xlsx</t>
  </si>
  <si>
    <t>Gen integration testing outstanding - Client input required</t>
  </si>
  <si>
    <t>Mahikeng Builders Express_Tracker.xlsx</t>
  </si>
  <si>
    <t>snags and docs</t>
  </si>
  <si>
    <t>Check contract regarding Retention Requirements - also check with PD</t>
  </si>
  <si>
    <t>Malvern Ph2_Tracker.xlsx</t>
  </si>
  <si>
    <t>comms issue</t>
  </si>
  <si>
    <t>SSEG export approval received - 
Fix comms issue ASAP</t>
  </si>
  <si>
    <t>Marikana Old Church_Tracker.xlsx</t>
  </si>
  <si>
    <t>Finishing Handover documentation and Snag list</t>
  </si>
  <si>
    <t>Marikana Shoprite_Tracker.xlsx</t>
  </si>
  <si>
    <t>Mayo Macs_Tracker.xlsx</t>
  </si>
  <si>
    <t>HOLD</t>
  </si>
  <si>
    <t>Installer is on site - busy with finalising install.</t>
  </si>
  <si>
    <t>MEGA_PARK_P2_Tracker.xlsx</t>
  </si>
  <si>
    <t>Milkwood_Square_Tracker.xlsx</t>
  </si>
  <si>
    <t>Pimville_Tracker.xlsx</t>
  </si>
  <si>
    <t>Finish all snags</t>
  </si>
  <si>
    <t xml:space="preserve">
**BIG PROBLEM - CLAMPS were installed incorrectly**
POA - </t>
  </si>
  <si>
    <t>delayed</t>
  </si>
  <si>
    <t>Pretoria North_Tracker.xlsx</t>
  </si>
  <si>
    <t>Randfontein_Tracker.xlsx</t>
  </si>
  <si>
    <t xml:space="preserve">Site delay. PV cables have been cut by vandalism - Plan is to use a combiner box  to save time. (update SLD)
Potential delays </t>
  </si>
  <si>
    <t>Seshego Circle_Tracker.xlsx</t>
  </si>
  <si>
    <t>Commisioning Complete</t>
  </si>
  <si>
    <t>Rain  + trenching</t>
  </si>
  <si>
    <t>AC works + Tie-in</t>
  </si>
  <si>
    <t xml:space="preserve">
Tie-in breakers 
Commisioning at risk on time</t>
  </si>
  <si>
    <t>Shoprite Mini_Bredarsdorp_Tracker.xlsx</t>
  </si>
  <si>
    <t>Shoprite Mini_Citrusdal_Tracker.xlsx</t>
  </si>
  <si>
    <t>Sibasa_Tracker.xlsx</t>
  </si>
  <si>
    <t>Weather</t>
  </si>
  <si>
    <t>DC installation</t>
  </si>
  <si>
    <t>Busy with DC Install
Commisioning in Mid Feb</t>
  </si>
  <si>
    <t>STD GQ_Tracker.xlsx</t>
  </si>
  <si>
    <t>Superspar Ph2_Tracker.xlsx</t>
  </si>
  <si>
    <t xml:space="preserve">Bank Payment </t>
  </si>
  <si>
    <t>Commissioning</t>
  </si>
  <si>
    <t>AC works, PVDB, stringing</t>
  </si>
  <si>
    <t>Trident Steel GP_Tracker.xlsx</t>
  </si>
  <si>
    <t>Handover Payment Outstanding - Check with Roedolph
Additional SSEG COC required</t>
  </si>
  <si>
    <t>Trident Steel PE_Tracker.xlsx</t>
  </si>
  <si>
    <t>Handover Payment Outstanding -Check with Roedolph</t>
  </si>
  <si>
    <t>Tsakana Corner_Tracker.xlsx</t>
  </si>
  <si>
    <t>We need approval for the NEW tie-in plan. JT to provide draft</t>
  </si>
  <si>
    <t>Umzimkhulu_Tracker.xlsx</t>
  </si>
  <si>
    <t>handover documentation</t>
  </si>
  <si>
    <t>Upper_East_Side_Hotel_Tracker.xlsx</t>
  </si>
  <si>
    <t xml:space="preserve">Wind </t>
  </si>
  <si>
    <t>Finish DC install + Stringing</t>
  </si>
  <si>
    <t>Finish Modules on Roof 1, Cable trays + stringing</t>
  </si>
  <si>
    <t>Waterside_Tracker.xlsx</t>
  </si>
  <si>
    <t>Amanda Gadla</t>
  </si>
  <si>
    <t>Snags &amp; Documentation</t>
  </si>
  <si>
    <t>Finalise Commissioning Form &amp; Book Handover</t>
  </si>
  <si>
    <t>ID</t>
  </si>
  <si>
    <t>Department</t>
  </si>
  <si>
    <t>Action/Description</t>
  </si>
  <si>
    <t>RAG Status</t>
  </si>
  <si>
    <t>Support</t>
  </si>
  <si>
    <t>Date Raised</t>
  </si>
  <si>
    <t>Due Date</t>
  </si>
  <si>
    <t>Date Completed</t>
  </si>
  <si>
    <t xml:space="preserve">Outcome/Comments </t>
  </si>
  <si>
    <t>Supporting Info</t>
  </si>
  <si>
    <t>TR026</t>
  </si>
  <si>
    <t>Finance</t>
  </si>
  <si>
    <t>Magic Company Tracker &amp; COS</t>
  </si>
  <si>
    <t>Red</t>
  </si>
  <si>
    <t>Roedolph</t>
  </si>
  <si>
    <t>Completed</t>
  </si>
  <si>
    <t>TR024</t>
  </si>
  <si>
    <t>Matriarch</t>
  </si>
  <si>
    <t>Fenner Fire</t>
  </si>
  <si>
    <t>Johannes</t>
  </si>
  <si>
    <t>Active</t>
  </si>
  <si>
    <t>TR003</t>
  </si>
  <si>
    <t>Mayo Macs AC &amp; DC Rework</t>
  </si>
  <si>
    <t>Green</t>
  </si>
  <si>
    <t>Peet</t>
  </si>
  <si>
    <t>Interrogate the cost of MG</t>
  </si>
  <si>
    <t>TR004</t>
  </si>
  <si>
    <t>Fedgroup</t>
  </si>
  <si>
    <t>Fedgroup Handover Documents</t>
  </si>
  <si>
    <t>Amber</t>
  </si>
  <si>
    <t>Roedolph, Peet</t>
  </si>
  <si>
    <t>Dipula and other funded deals. Check Fedgroup dashboard for progress</t>
  </si>
  <si>
    <t>TR023</t>
  </si>
  <si>
    <t>Leeu Estate POA</t>
  </si>
  <si>
    <t>TR006</t>
  </si>
  <si>
    <t>Dipula - Updated PC Inspection for ACE</t>
  </si>
  <si>
    <t>TR007</t>
  </si>
  <si>
    <t>Swellengrebel BDP Commission clarification</t>
  </si>
  <si>
    <t>Cole</t>
  </si>
  <si>
    <t>TR008</t>
  </si>
  <si>
    <t>Mondi Construction Manager - Appointment letter</t>
  </si>
  <si>
    <t>TR029</t>
  </si>
  <si>
    <t>AdHoc Tracker</t>
  </si>
  <si>
    <t>TR010</t>
  </si>
  <si>
    <t>Set up Westway Tracker</t>
  </si>
  <si>
    <t>TR011</t>
  </si>
  <si>
    <t>STD Bank Invoices</t>
  </si>
  <si>
    <t>Tasneema</t>
  </si>
  <si>
    <t>Invoices are being rejected on the COUPA portal, need to escelate to Avashnee.</t>
  </si>
  <si>
    <t>TR012</t>
  </si>
  <si>
    <t>Compliance</t>
  </si>
  <si>
    <t>PR Eng sign off Rural Retail Portfolio</t>
  </si>
  <si>
    <t>TR013</t>
  </si>
  <si>
    <t>Koogan Plastics Timeline</t>
  </si>
  <si>
    <t>TR014</t>
  </si>
  <si>
    <t>The Engineering Hub Check and Balance</t>
  </si>
  <si>
    <t>Sent an email to them, waiting for feedback</t>
  </si>
  <si>
    <t>TR015</t>
  </si>
  <si>
    <t>Coega Steel Phase 2 - Quote validation</t>
  </si>
  <si>
    <t>Mizelda</t>
  </si>
  <si>
    <t>Check Tanaka's email</t>
  </si>
  <si>
    <t>TR016</t>
  </si>
  <si>
    <t>Coega Steel Project Tracker Expense dates up date</t>
  </si>
  <si>
    <t>Check in with Johannes if anything unclear</t>
  </si>
  <si>
    <t>TR017</t>
  </si>
  <si>
    <t>Project Expenses Overdue</t>
  </si>
  <si>
    <t>Roedolph, Johannes</t>
  </si>
  <si>
    <t>We need to please update the trackers so that the R5m amount is lowered, I will go ahead and assist where I can</t>
  </si>
  <si>
    <t>TR018</t>
  </si>
  <si>
    <t xml:space="preserve">Switchboard orders </t>
  </si>
  <si>
    <t>TR019</t>
  </si>
  <si>
    <t>Shoprite Mini Bredarsdorp &amp; Superspar Despatch - Schletter Structure</t>
  </si>
  <si>
    <t>TR020</t>
  </si>
  <si>
    <t>Pretoria North schletter credit note</t>
  </si>
  <si>
    <t>TR035</t>
  </si>
  <si>
    <t>Mondi - Confirmation email of change requests</t>
  </si>
  <si>
    <t>TR022</t>
  </si>
  <si>
    <t>Engineering</t>
  </si>
  <si>
    <t>Update engineering board with allocated panels</t>
  </si>
  <si>
    <t>TR009</t>
  </si>
  <si>
    <t>Linear Plastics Retention  Certificate</t>
  </si>
  <si>
    <t>Followed up again with Johan today</t>
  </si>
  <si>
    <t>TR032</t>
  </si>
  <si>
    <t>Coega Steel - Completion Certificate</t>
  </si>
  <si>
    <t>TR036</t>
  </si>
  <si>
    <t>Update email about whatsapp group change &amp; Photo folder</t>
  </si>
  <si>
    <t>TR037</t>
  </si>
  <si>
    <t>Boundary Terraces RMA for Breaker</t>
  </si>
  <si>
    <t>Breaker must be dropped off at office then taken to SWB</t>
  </si>
  <si>
    <t>TR027</t>
  </si>
  <si>
    <t>Westway viability</t>
  </si>
  <si>
    <t>TR028</t>
  </si>
  <si>
    <t>Shoprite Sibasa damage to roof and rectification plan</t>
  </si>
  <si>
    <t>TR039</t>
  </si>
  <si>
    <t>Structural and roof sheeting inspection at Paddock</t>
  </si>
  <si>
    <t>Megan</t>
  </si>
  <si>
    <t>TR030</t>
  </si>
  <si>
    <t>Pimville QC Issues</t>
  </si>
  <si>
    <t>TR031</t>
  </si>
  <si>
    <t>Justin Project Review</t>
  </si>
  <si>
    <t>7 th Avenue
Blackheath Park
Boundary Terraces
Upper East Side Cable Calcualtion
China Town AdHoc</t>
  </si>
  <si>
    <t>TR040</t>
  </si>
  <si>
    <t>Corporate Park metering site visit</t>
  </si>
  <si>
    <t>Tanaka</t>
  </si>
  <si>
    <t>TR033</t>
  </si>
  <si>
    <t>Tracker Template Update</t>
  </si>
  <si>
    <t>TR002</t>
  </si>
  <si>
    <t>Trident steel Close Out</t>
  </si>
  <si>
    <t>Fixing the COCs.
Meeting about final milestones - Requested from the client
SSEG Updates</t>
  </si>
  <si>
    <t>TR005</t>
  </si>
  <si>
    <t>Randfontein &amp; Tsakane VO impact and outcome</t>
  </si>
  <si>
    <t>TR001</t>
  </si>
  <si>
    <t xml:space="preserve">MSA facelist for contractors. </t>
  </si>
  <si>
    <t>TR021</t>
  </si>
  <si>
    <t>RMA Tracker with Keith</t>
  </si>
  <si>
    <t>TR025</t>
  </si>
  <si>
    <t>Dipula O&amp;M Handover Docs</t>
  </si>
  <si>
    <t>Keith</t>
  </si>
  <si>
    <t>TR034</t>
  </si>
  <si>
    <t>China Town Phase 1 remediation &amp; Handover Pack</t>
  </si>
  <si>
    <t>Justin</t>
  </si>
  <si>
    <t>TR038</t>
  </si>
  <si>
    <t>Dean's email about the MV work at Coega</t>
  </si>
  <si>
    <t>This is for the cable swop for the MV</t>
  </si>
  <si>
    <t>TR041</t>
  </si>
  <si>
    <t>TR042</t>
  </si>
  <si>
    <t>TR043</t>
  </si>
  <si>
    <t>TR044</t>
  </si>
  <si>
    <t>TR045</t>
  </si>
  <si>
    <t>TR046</t>
  </si>
  <si>
    <t>TR047</t>
  </si>
  <si>
    <t>TR048</t>
  </si>
  <si>
    <t>TR049</t>
  </si>
  <si>
    <t>TR050</t>
  </si>
  <si>
    <t>TR051</t>
  </si>
  <si>
    <t>TR052</t>
  </si>
  <si>
    <t>TR053</t>
  </si>
  <si>
    <t>TR054</t>
  </si>
  <si>
    <t>TR055</t>
  </si>
  <si>
    <t>TR056</t>
  </si>
  <si>
    <t>TR057</t>
  </si>
  <si>
    <t>TR058</t>
  </si>
  <si>
    <t>TR059</t>
  </si>
  <si>
    <t>TR060</t>
  </si>
  <si>
    <t>TR061</t>
  </si>
  <si>
    <t>TR062</t>
  </si>
  <si>
    <t>TR063</t>
  </si>
  <si>
    <t>TR064</t>
  </si>
  <si>
    <t>TR065</t>
  </si>
  <si>
    <t>TR066</t>
  </si>
  <si>
    <t>TR067</t>
  </si>
  <si>
    <t>TR068</t>
  </si>
  <si>
    <t>TR069</t>
  </si>
  <si>
    <t>TR070</t>
  </si>
  <si>
    <t>TR071</t>
  </si>
  <si>
    <t>TR072</t>
  </si>
  <si>
    <t>TR073</t>
  </si>
  <si>
    <t>TR074</t>
  </si>
  <si>
    <t>TR075</t>
  </si>
  <si>
    <t>TR076</t>
  </si>
  <si>
    <t>TR077</t>
  </si>
  <si>
    <t>TR078</t>
  </si>
  <si>
    <t>TR079</t>
  </si>
  <si>
    <t>TR080</t>
  </si>
  <si>
    <t>TR081</t>
  </si>
  <si>
    <t>TR082</t>
  </si>
  <si>
    <t>TR083</t>
  </si>
  <si>
    <t>TR084</t>
  </si>
  <si>
    <t>TR085</t>
  </si>
  <si>
    <t>TR086</t>
  </si>
  <si>
    <t>TR087</t>
  </si>
  <si>
    <t>TR088</t>
  </si>
  <si>
    <t>TR089</t>
  </si>
  <si>
    <t>TR090</t>
  </si>
  <si>
    <t>TR091</t>
  </si>
  <si>
    <t>TR092</t>
  </si>
  <si>
    <t>TR093</t>
  </si>
  <si>
    <t>TR094</t>
  </si>
  <si>
    <t>TR095</t>
  </si>
  <si>
    <t>TR096</t>
  </si>
  <si>
    <t>TR097</t>
  </si>
  <si>
    <t>TR098</t>
  </si>
  <si>
    <t>TR099</t>
  </si>
  <si>
    <t>TR100</t>
  </si>
  <si>
    <t>Committed (All Expenses)</t>
  </si>
  <si>
    <t>Paid/Realised</t>
  </si>
  <si>
    <t>Accrued Outstanding (Uninvoiced; past)</t>
  </si>
  <si>
    <t>Upcoming – Invoiced</t>
  </si>
  <si>
    <t>Upcoming – Uninvoiced</t>
  </si>
  <si>
    <t>% Paid vs Committed</t>
  </si>
  <si>
    <t>Days to Next Payable</t>
  </si>
  <si>
    <t>Panels Vendor(s)</t>
  </si>
  <si>
    <t>Panels Committed</t>
  </si>
  <si>
    <t>Panels Next Delivery</t>
  </si>
  <si>
    <t>Inverters Vendor(s)</t>
  </si>
  <si>
    <t>Inverters Committed</t>
  </si>
  <si>
    <t>Inverters Next Delivery</t>
  </si>
  <si>
    <t>Installer Start Target</t>
  </si>
  <si>
    <t>Installer Contract Value</t>
  </si>
  <si>
    <t>Installer Outstanding (past; uninvoiced)</t>
  </si>
  <si>
    <t>Notes</t>
  </si>
  <si>
    <t>Comm Plan Start</t>
  </si>
  <si>
    <t>Comm Actual Start</t>
  </si>
  <si>
    <t>Comm Actual End</t>
  </si>
  <si>
    <t>Comm Status</t>
  </si>
  <si>
    <t>Comm Days in Stage</t>
  </si>
  <si>
    <t>Commissioning Report Link</t>
  </si>
  <si>
    <t>Red-Team Trigger</t>
  </si>
  <si>
    <t>Red Owner</t>
  </si>
  <si>
    <t>Red Next Action</t>
  </si>
  <si>
    <t>Red Due</t>
  </si>
  <si>
    <t>QA Actual Start</t>
  </si>
  <si>
    <t>QA Actual End</t>
  </si>
  <si>
    <t>QA Status</t>
  </si>
  <si>
    <t>QA Days in Stage</t>
  </si>
  <si>
    <t>Punchlist Open</t>
  </si>
  <si>
    <t>QA RAG</t>
  </si>
  <si>
    <t>First Aid Cases</t>
  </si>
  <si>
    <t>Near Misses</t>
  </si>
  <si>
    <t>Last Incident Date</t>
  </si>
  <si>
    <t>Days Since Last Incident</t>
  </si>
  <si>
    <t>HSE RAG</t>
  </si>
  <si>
    <t>Last Client Update</t>
  </si>
  <si>
    <t>Days Since Client Update</t>
  </si>
  <si>
    <t>Client Update Status</t>
  </si>
  <si>
    <t>SSEG Submitted</t>
  </si>
  <si>
    <t>SSEG Approved</t>
  </si>
  <si>
    <t>Days Since SSEG Submit</t>
  </si>
  <si>
    <t>SSEG Status</t>
  </si>
  <si>
    <t>NERSA Required?</t>
  </si>
  <si>
    <t>NERSA Submitted</t>
  </si>
  <si>
    <t>NERSA Approved</t>
  </si>
  <si>
    <t>Days Since NERSA Submit</t>
  </si>
  <si>
    <t>NERSA Status</t>
  </si>
  <si>
    <t>SSEG Municipality</t>
  </si>
  <si>
    <t>SSEG Ref #</t>
  </si>
  <si>
    <t>ProjectName</t>
  </si>
  <si>
    <t>Info</t>
  </si>
  <si>
    <t>InfoValue</t>
  </si>
  <si>
    <t>PROJECT SIZE (kWp)</t>
  </si>
  <si>
    <t>PROJECT DEVELOPER</t>
  </si>
  <si>
    <t>PROJECT MANAGERS</t>
  </si>
  <si>
    <t>CONTRACT VALUE</t>
  </si>
  <si>
    <t>Phase:</t>
  </si>
  <si>
    <t>25 Superior Road_Tracker.xlsx</t>
  </si>
  <si>
    <t>Megan Moore</t>
  </si>
  <si>
    <t>7th Avenue Park_Tracker.xlsx</t>
  </si>
  <si>
    <t>Cole Bisset</t>
  </si>
  <si>
    <t>SITE ADDRESS</t>
  </si>
  <si>
    <t>BUSINESS DEVELOPER</t>
  </si>
  <si>
    <t>INSTALLER</t>
  </si>
  <si>
    <t>Natasha Watkins-Baker</t>
  </si>
  <si>
    <t>Cascades_Tracker.xlsx</t>
  </si>
  <si>
    <t>Dayne Sage</t>
  </si>
  <si>
    <t>N/A</t>
  </si>
  <si>
    <t>Gordon Upton</t>
  </si>
  <si>
    <t>De Drift_Tracker.xlsx</t>
  </si>
  <si>
    <t>Natasha Watkins Baker</t>
  </si>
  <si>
    <t>Kroonstad_Tracker.xlsx</t>
  </si>
  <si>
    <t>Lynnridge Mall_Tracker_1.xlsx</t>
  </si>
  <si>
    <t>Peet Verenney</t>
  </si>
  <si>
    <t>Kirsten Marwick</t>
  </si>
  <si>
    <t>JT</t>
  </si>
  <si>
    <t>17 Mill Rd, Unclear, Cape Town, 7530</t>
  </si>
  <si>
    <t>Roedolph/Simon</t>
  </si>
  <si>
    <t>Smart Solar</t>
  </si>
  <si>
    <t>Meraki Ph3_Tracker.xlsx</t>
  </si>
  <si>
    <t>Mondi_Tracker_Rev02.xlsm</t>
  </si>
  <si>
    <t>Northpoint_Tracker.xlsx</t>
  </si>
  <si>
    <t>PnP Bethal_Tracker.xlsx</t>
  </si>
  <si>
    <t>Red Rocket_Tracker.xlsx</t>
  </si>
  <si>
    <t>Ridgeview Mall_Tracker.xlsx</t>
  </si>
  <si>
    <t>Riverside Mall_Tracker.xlsx</t>
  </si>
  <si>
    <t>SA Metal_14 Christiaan_A_Tracker.xlsx</t>
  </si>
  <si>
    <t>SA Metal_14 Christiaan_B_Tracker.xlsx</t>
  </si>
  <si>
    <t>SA Metal_20 Christiaan_Tracker.xlsx</t>
  </si>
  <si>
    <t>SA Metal_22 Christiaan_Tracker.xlsx</t>
  </si>
  <si>
    <t>Steelpark_Tracker.xlsx</t>
  </si>
  <si>
    <t>Swellengrebel_Tracker.xlsx</t>
  </si>
  <si>
    <t>Topsteel_Tracker.xlsx</t>
  </si>
  <si>
    <t>Natasha</t>
  </si>
  <si>
    <t>Westway BESS_Tracker.xlsx</t>
  </si>
  <si>
    <t>TaskNumber</t>
  </si>
  <si>
    <t>TaskDescription</t>
  </si>
  <si>
    <t>ActualStartDate</t>
  </si>
  <si>
    <t>ActualDurationDays</t>
  </si>
  <si>
    <t>ActualEndDate</t>
  </si>
  <si>
    <t>Actual%Complete</t>
  </si>
  <si>
    <t>Expected%Complete</t>
  </si>
  <si>
    <t>Project Initiation</t>
  </si>
  <si>
    <t>1.1</t>
  </si>
  <si>
    <t>BD Handover</t>
  </si>
  <si>
    <t>1.2</t>
  </si>
  <si>
    <t>Project Introduction</t>
  </si>
  <si>
    <t>1.3</t>
  </si>
  <si>
    <t>HSE</t>
  </si>
  <si>
    <t>1.4</t>
  </si>
  <si>
    <t>Installer Kick Off</t>
  </si>
  <si>
    <t>1.5</t>
  </si>
  <si>
    <t>Project Review</t>
  </si>
  <si>
    <t>Site Establishment</t>
  </si>
  <si>
    <t>2.1</t>
  </si>
  <si>
    <t>Solar Contractor Establishment</t>
  </si>
  <si>
    <t>AC Installation</t>
  </si>
  <si>
    <t>3.1</t>
  </si>
  <si>
    <t>Inverters delivered</t>
  </si>
  <si>
    <t>3.2</t>
  </si>
  <si>
    <t>Inverters Mounted</t>
  </si>
  <si>
    <t>3.3</t>
  </si>
  <si>
    <t xml:space="preserve">Solar DB Lead Time </t>
  </si>
  <si>
    <t>3.4</t>
  </si>
  <si>
    <t>AC Works</t>
  </si>
  <si>
    <t>3.5</t>
  </si>
  <si>
    <t>AC Tie-In</t>
  </si>
  <si>
    <t>DC Works</t>
  </si>
  <si>
    <t>4.1</t>
  </si>
  <si>
    <t>Mounting Structure delivered</t>
  </si>
  <si>
    <t>4.2</t>
  </si>
  <si>
    <t>Mounting Structure installation</t>
  </si>
  <si>
    <t>4.3</t>
  </si>
  <si>
    <t>DC Cable delivered</t>
  </si>
  <si>
    <t>4.4</t>
  </si>
  <si>
    <t>DC Stringing</t>
  </si>
  <si>
    <t>Module installation</t>
  </si>
  <si>
    <t>5.1</t>
  </si>
  <si>
    <t>Module delivery</t>
  </si>
  <si>
    <t>5.2</t>
  </si>
  <si>
    <t>Module mounting</t>
  </si>
  <si>
    <t>6.1</t>
  </si>
  <si>
    <t>6.2</t>
  </si>
  <si>
    <t>QA Inspections</t>
  </si>
  <si>
    <t>Red-Team Inspection</t>
  </si>
  <si>
    <t>Project Closure</t>
  </si>
  <si>
    <t>Equipment serial numbers</t>
  </si>
  <si>
    <t>Snags completion</t>
  </si>
  <si>
    <t>System Performance Monitoring</t>
  </si>
  <si>
    <t>Handover documentation</t>
  </si>
  <si>
    <t>Handover to Client</t>
  </si>
  <si>
    <t>Handover to Matriarch</t>
  </si>
  <si>
    <t>Project Charter Handover</t>
  </si>
  <si>
    <t>HSE Readiness and Signoff</t>
  </si>
  <si>
    <t>6.3</t>
  </si>
  <si>
    <t>7.1</t>
  </si>
  <si>
    <t>7.2</t>
  </si>
  <si>
    <t>8.1</t>
  </si>
  <si>
    <t>8.2</t>
  </si>
  <si>
    <t>8.3</t>
  </si>
  <si>
    <t>Install Walkways - Client Scope</t>
  </si>
  <si>
    <t>1.6</t>
  </si>
  <si>
    <t>Inverter Room Construction - Client Scope</t>
  </si>
  <si>
    <t>1.7</t>
  </si>
  <si>
    <t>Clearing out of the loading bay</t>
  </si>
  <si>
    <t>1.8</t>
  </si>
  <si>
    <t>Anchor Points</t>
  </si>
  <si>
    <t>1.9</t>
  </si>
  <si>
    <t>Lifeline Installation (If Applicable)</t>
  </si>
  <si>
    <t>Re-install 72 panels (shadex)</t>
  </si>
  <si>
    <t>4.5</t>
  </si>
  <si>
    <t>Container Assembly and Delivery - Solar DB</t>
  </si>
  <si>
    <t>Trench to BESS</t>
  </si>
  <si>
    <t>AC Cabling</t>
  </si>
  <si>
    <t>3.6</t>
  </si>
  <si>
    <t>Container Plinths</t>
  </si>
  <si>
    <t>3.7</t>
  </si>
  <si>
    <t>Base Prep</t>
  </si>
  <si>
    <t>Rebar and Concrete</t>
  </si>
  <si>
    <t>Trenches and re-instatement</t>
  </si>
  <si>
    <t>Structures</t>
  </si>
  <si>
    <t>New Structure lead time</t>
  </si>
  <si>
    <t>4.6</t>
  </si>
  <si>
    <t>New Strucutre Installation</t>
  </si>
  <si>
    <t>4.7</t>
  </si>
  <si>
    <t>4.8</t>
  </si>
  <si>
    <t>Commissioning - Partial</t>
  </si>
  <si>
    <t>Commissioning - Full</t>
  </si>
  <si>
    <t>Client kick off</t>
  </si>
  <si>
    <t>Installer on site and roof assessment</t>
  </si>
  <si>
    <t>Solar DB lead time</t>
  </si>
  <si>
    <t>AC Tie - in</t>
  </si>
  <si>
    <t>DC Cable Trays installation</t>
  </si>
  <si>
    <t>DC Cabling</t>
  </si>
  <si>
    <t>Cold commissioning</t>
  </si>
  <si>
    <t>Lifeline Installation</t>
  </si>
  <si>
    <t>Mounting Structure installation - Roof A</t>
  </si>
  <si>
    <t>Mounting Structure installation - Roof B</t>
  </si>
  <si>
    <t>Mounting Structure installation - Roof C</t>
  </si>
  <si>
    <t>Mounting Structure installation - Roof D</t>
  </si>
  <si>
    <t>Mounting Structure installation - Roof E</t>
  </si>
  <si>
    <t>Module mounting - Roof A</t>
  </si>
  <si>
    <t>5.3</t>
  </si>
  <si>
    <t>Module mounting - Roof B</t>
  </si>
  <si>
    <t>5.4</t>
  </si>
  <si>
    <t>Module mounting - Roof C</t>
  </si>
  <si>
    <t>5.5</t>
  </si>
  <si>
    <t>Module mounting - Roof D</t>
  </si>
  <si>
    <t>5.6</t>
  </si>
  <si>
    <t>Module mounting - Roof E</t>
  </si>
  <si>
    <t>M1: Mobilisation</t>
  </si>
  <si>
    <t>Signed Project Task Order</t>
  </si>
  <si>
    <t>Proof of Required Insurance Policies per Master Contract Details (Deferred to M2)</t>
  </si>
  <si>
    <t>Pre-Installation Roof Condition Report</t>
  </si>
  <si>
    <t>Structural Report</t>
  </si>
  <si>
    <t>Lightning Risk Assessment (BOQ &amp; Quote)</t>
  </si>
  <si>
    <t>Detailed Design Drawings Package</t>
  </si>
  <si>
    <t>Bill of Materials</t>
  </si>
  <si>
    <t>Project Timeline/Programme</t>
  </si>
  <si>
    <t>H&amp;S Plan Approved by Candi</t>
  </si>
  <si>
    <t>1.10</t>
  </si>
  <si>
    <t>Signed Contractor Code of Conduct</t>
  </si>
  <si>
    <t>1.11</t>
  </si>
  <si>
    <t xml:space="preserve">Grid Connection Application submitted to Municipality </t>
  </si>
  <si>
    <t>M2: Delivery of Major Components</t>
  </si>
  <si>
    <t>H&amp;S File Approved by CANDI</t>
  </si>
  <si>
    <t>2.2</t>
  </si>
  <si>
    <t>Construction Design Package Approved by Candi</t>
  </si>
  <si>
    <t>2.3</t>
  </si>
  <si>
    <t>Evidence demonstrating arrival to site of all Major Components</t>
  </si>
  <si>
    <t>2.3.1</t>
  </si>
  <si>
    <t>Delivery of Inverters</t>
  </si>
  <si>
    <t>2.3.2</t>
  </si>
  <si>
    <t>Delivery of Modules</t>
  </si>
  <si>
    <t>2.3.2.1</t>
  </si>
  <si>
    <t>Delivery of Batch 1</t>
  </si>
  <si>
    <t>2.3.2.2</t>
  </si>
  <si>
    <t>Delivery of Batch 2</t>
  </si>
  <si>
    <t>2.3.2.3</t>
  </si>
  <si>
    <t>Delivery of Batch 3</t>
  </si>
  <si>
    <t>2.3.3</t>
  </si>
  <si>
    <t>Delivery of Mounting Structure</t>
  </si>
  <si>
    <t>2.3.4</t>
  </si>
  <si>
    <t>Delivery of DC Cable</t>
  </si>
  <si>
    <t>2.3.5</t>
  </si>
  <si>
    <t>Delivery of DBs</t>
  </si>
  <si>
    <t>2.3.5.1</t>
  </si>
  <si>
    <t>PVDB 1&amp;2</t>
  </si>
  <si>
    <t>2.3.5.2</t>
  </si>
  <si>
    <t>Comms DB, Meters, Sensors, Etc (Supplied by Candi)</t>
  </si>
  <si>
    <t>2.4</t>
  </si>
  <si>
    <t>Photos of each of the aforementioned subsystem materials delivered to site</t>
  </si>
  <si>
    <t>Emergent Energy Construction</t>
  </si>
  <si>
    <t>Fixed Anchor Point &amp; Lifeline Approvals</t>
  </si>
  <si>
    <t>Fixed Anchor Point &amp; Lifeline Installation</t>
  </si>
  <si>
    <t>Fixed Anchor Point &amp; Lifeline Sign Off</t>
  </si>
  <si>
    <t>SteelWork Fabrication (Offsite)</t>
  </si>
  <si>
    <t>SteelWork Installation (onsite) - CRITICAL PATH</t>
  </si>
  <si>
    <t>SteelWork Sign Off</t>
  </si>
  <si>
    <t>Mounting Structure Installation</t>
  </si>
  <si>
    <t>3.8</t>
  </si>
  <si>
    <t>DC Cable Tray Installation &amp; Earthing</t>
  </si>
  <si>
    <t>3.9</t>
  </si>
  <si>
    <t>DC Cable Stringing</t>
  </si>
  <si>
    <t>3.10</t>
  </si>
  <si>
    <t>DC Cable Termination</t>
  </si>
  <si>
    <t>3.11</t>
  </si>
  <si>
    <t>String Voltage Tests</t>
  </si>
  <si>
    <t>3.12</t>
  </si>
  <si>
    <t>Module Lifting - Batch 1</t>
  </si>
  <si>
    <t>3.13</t>
  </si>
  <si>
    <t>Module Mounting Batch 1</t>
  </si>
  <si>
    <t>3.14</t>
  </si>
  <si>
    <t>Module Lifting - Batch 2</t>
  </si>
  <si>
    <t>3.15</t>
  </si>
  <si>
    <t>Module Mounting Batch 2</t>
  </si>
  <si>
    <t>3.16</t>
  </si>
  <si>
    <t>Module Lifting - Batch 3</t>
  </si>
  <si>
    <t>3.17</t>
  </si>
  <si>
    <t>Module Mounting Batch 3</t>
  </si>
  <si>
    <t>3.18</t>
  </si>
  <si>
    <t>Inverter Installation - Tie In 1</t>
  </si>
  <si>
    <t>3.19</t>
  </si>
  <si>
    <t>Inverter Installation - Tie In 2</t>
  </si>
  <si>
    <t>3.20</t>
  </si>
  <si>
    <t>PVDB Installation - Tie In 1</t>
  </si>
  <si>
    <t>3.21</t>
  </si>
  <si>
    <t>PVDB Installation - Tie In 2</t>
  </si>
  <si>
    <t>3.22</t>
  </si>
  <si>
    <t>Candi Comms Board Installation</t>
  </si>
  <si>
    <t>3.23</t>
  </si>
  <si>
    <t>Cable Tray Installation - Tie In 1</t>
  </si>
  <si>
    <t>3.24</t>
  </si>
  <si>
    <t>Cable Tray Installation - Tie In 2</t>
  </si>
  <si>
    <t>3.25</t>
  </si>
  <si>
    <t>Inverter AC Cable Installation - Tie In 1</t>
  </si>
  <si>
    <t>3.26</t>
  </si>
  <si>
    <t>Inverter AC Cable Installation - Tie In 2</t>
  </si>
  <si>
    <t>3.27</t>
  </si>
  <si>
    <t>AC Supply Cable Installation - Tie In 1</t>
  </si>
  <si>
    <t>3.28</t>
  </si>
  <si>
    <t>AC Supply Cable Installation - Tie In 2</t>
  </si>
  <si>
    <t>3.29</t>
  </si>
  <si>
    <t>AC Soft Commissioning</t>
  </si>
  <si>
    <t>3.30</t>
  </si>
  <si>
    <t>Comms Soft Commissioning</t>
  </si>
  <si>
    <t>3.31</t>
  </si>
  <si>
    <t>DC Soft Commissioning</t>
  </si>
  <si>
    <t>3.32</t>
  </si>
  <si>
    <t>Shutdown Tie In 1</t>
  </si>
  <si>
    <t>3.33</t>
  </si>
  <si>
    <t>Shutdown Tie In 2</t>
  </si>
  <si>
    <t>3.34</t>
  </si>
  <si>
    <t>System Energising</t>
  </si>
  <si>
    <t>3.35</t>
  </si>
  <si>
    <t>Production Monitoring</t>
  </si>
  <si>
    <t>3.36</t>
  </si>
  <si>
    <t>PrEng Signoff</t>
  </si>
  <si>
    <t>M3: Practical Completion</t>
  </si>
  <si>
    <t>Commissioning Form/Checklist</t>
  </si>
  <si>
    <t>Evidence demonstrating achievement of all Capacity Tests</t>
  </si>
  <si>
    <t>Electrical Certificate of Compliance</t>
  </si>
  <si>
    <t>Completed Quantum PVForm</t>
  </si>
  <si>
    <t>Site Rubble Removal</t>
  </si>
  <si>
    <t>Creation of Snag List - M4</t>
  </si>
  <si>
    <t>M4: Provisional Acceptance</t>
  </si>
  <si>
    <t>Close out of Snag List</t>
  </si>
  <si>
    <t>5.1.1</t>
  </si>
  <si>
    <t>Platform Installation at Tie-In 2</t>
  </si>
  <si>
    <t>Successful audit of HSE file by Candi</t>
  </si>
  <si>
    <t>Training of designated CANDI and/or Customer personnel</t>
  </si>
  <si>
    <t>Completed asset register of all components on site including serial numbers</t>
  </si>
  <si>
    <t>Successful reception of data on CANDI servers</t>
  </si>
  <si>
    <t>As-built drawings package</t>
  </si>
  <si>
    <t>5.7</t>
  </si>
  <si>
    <t>Final as-built EYA</t>
  </si>
  <si>
    <t>5.8</t>
  </si>
  <si>
    <t>Handover of equipment warranty documents, Owners Manuals &amp; Datasheets</t>
  </si>
  <si>
    <t>5.9</t>
  </si>
  <si>
    <t>Signed Milestone 3 - Certificate of Practical Completion</t>
  </si>
  <si>
    <t>5.10</t>
  </si>
  <si>
    <t>Guaranteed PR achieved during Acceptance Test</t>
  </si>
  <si>
    <t>M5: Final Acceptance</t>
  </si>
  <si>
    <t>Installer on site &amp; Roof Assessment</t>
  </si>
  <si>
    <t>Landing Area for Inverters Tie In 1</t>
  </si>
  <si>
    <t>DB Room Prep for Inverters Tie In 2</t>
  </si>
  <si>
    <t>Inverters Mounted Tie In 1</t>
  </si>
  <si>
    <t>Inverters Mounted Tie In 2</t>
  </si>
  <si>
    <t>Solar DB lead time Tie In 1</t>
  </si>
  <si>
    <t>Solar DB lead time Tie In 2</t>
  </si>
  <si>
    <t>AC Works Tie In 1</t>
  </si>
  <si>
    <t>AC Works Tie In 2</t>
  </si>
  <si>
    <t>Monitoring Equipment Delivered</t>
  </si>
  <si>
    <t>Monitoring Equipment installed</t>
  </si>
  <si>
    <t>Monitoring Equipment Testing</t>
  </si>
  <si>
    <t>AC Tie - in - 1</t>
  </si>
  <si>
    <t>AC Tie - in - 2</t>
  </si>
  <si>
    <t>Project Activities</t>
  </si>
  <si>
    <t>PD Handover</t>
  </si>
  <si>
    <t>Material Procurement</t>
  </si>
  <si>
    <t>Material Delivery</t>
  </si>
  <si>
    <t>System Energised</t>
  </si>
  <si>
    <t>O&amp;M Monitoring</t>
  </si>
  <si>
    <t>Red Team Inspection</t>
  </si>
  <si>
    <t xml:space="preserve">Snag Completion </t>
  </si>
  <si>
    <t>PrEng Sign off</t>
  </si>
  <si>
    <t>1.18</t>
  </si>
  <si>
    <t>1.19</t>
  </si>
  <si>
    <t>O&amp;M Handover</t>
  </si>
  <si>
    <t>1.20</t>
  </si>
  <si>
    <t>Client Handover</t>
  </si>
  <si>
    <t>Roof Remedial Work</t>
  </si>
  <si>
    <t>Structural Assessment</t>
  </si>
  <si>
    <t>Site Establishment Preperation</t>
  </si>
  <si>
    <t>HSE Requirements</t>
  </si>
  <si>
    <t>EE File</t>
  </si>
  <si>
    <t>Subcontractor File - Solar Contractor</t>
  </si>
  <si>
    <t>Subcontractor File - Civil Contractor (Bay View Construction &amp; Engineering Hub)</t>
  </si>
  <si>
    <t>Subcontractor File - Anchor Point Contractor</t>
  </si>
  <si>
    <t>HSE Permit Issued</t>
  </si>
  <si>
    <t>Establishment of site entry &amp; Exit points</t>
  </si>
  <si>
    <t>Laydown Area Demarcated</t>
  </si>
  <si>
    <t>Ground Mount Demarcated</t>
  </si>
  <si>
    <t>Designated area fencing</t>
  </si>
  <si>
    <t>Site Ablutions</t>
  </si>
  <si>
    <t>Site Establishment Permit Issued</t>
  </si>
  <si>
    <t>Procurement &amp; Contracting</t>
  </si>
  <si>
    <t>Huawei Transformers (16 weeks lead time)</t>
  </si>
  <si>
    <t>Panels (6 - 8 Weeks)</t>
  </si>
  <si>
    <t>Ground Mount Structure (10 Weeks)</t>
  </si>
  <si>
    <t>Inverters (8 to 12 weeks)</t>
  </si>
  <si>
    <t>DC Cable</t>
  </si>
  <si>
    <t>LV Cable (2-4 Weeks)</t>
  </si>
  <si>
    <t>MV Cable (2-4 Weeks)</t>
  </si>
  <si>
    <t>Distribution Boards (6 - 8 Weeks)</t>
  </si>
  <si>
    <t>Extras &amp; Civil Works</t>
  </si>
  <si>
    <t>Staircase Installation - Coega Scope</t>
  </si>
  <si>
    <t>Ground Mount Fence - Coega Scope</t>
  </si>
  <si>
    <t>Catladder Fabrication</t>
  </si>
  <si>
    <t>Catladder Installation</t>
  </si>
  <si>
    <t>Rooftop Inverter Cage Fabrication</t>
  </si>
  <si>
    <t>Rooftop Inverter Cage Installation</t>
  </si>
  <si>
    <t>Plinths - Casting &amp; Curing</t>
  </si>
  <si>
    <t>Walkway Installation</t>
  </si>
  <si>
    <t>Anchor Point Installation</t>
  </si>
  <si>
    <t>Optic Fiber Installation</t>
  </si>
  <si>
    <t>Trenching - Fiber</t>
  </si>
  <si>
    <t>4.12</t>
  </si>
  <si>
    <t>Directional Drilling</t>
  </si>
  <si>
    <t>4.13</t>
  </si>
  <si>
    <t>Trenching - Ground Mount to Mill</t>
  </si>
  <si>
    <t>4.14</t>
  </si>
  <si>
    <t>Trenching - Furnance &amp; Mill - Coega Scope</t>
  </si>
  <si>
    <t>DC Works - Rooftop</t>
  </si>
  <si>
    <t>Mounting Structure installation - Frunance</t>
  </si>
  <si>
    <t>Mounting Structure installation - Mill</t>
  </si>
  <si>
    <t>Panel Installation - Furnace</t>
  </si>
  <si>
    <t>Panel Installation - Mill</t>
  </si>
  <si>
    <t>DC Stringing - Furnace</t>
  </si>
  <si>
    <t>DC Stringing - Mill</t>
  </si>
  <si>
    <t>DC Works - Ground Mount</t>
  </si>
  <si>
    <t>Drilling</t>
  </si>
  <si>
    <t>Pillar Installation</t>
  </si>
  <si>
    <t>Structure Installation</t>
  </si>
  <si>
    <t>Panel Installation</t>
  </si>
  <si>
    <t>AC Installation - Ground Mount</t>
  </si>
  <si>
    <t>Inverters Delivered</t>
  </si>
  <si>
    <t>DB Placement</t>
  </si>
  <si>
    <t>Cabling - Inverter to DB</t>
  </si>
  <si>
    <t>Cabling - DB to Transformer</t>
  </si>
  <si>
    <t>AC Installation - Rooftop</t>
  </si>
  <si>
    <t>Transformer Installation</t>
  </si>
  <si>
    <t>Transformer Offloading</t>
  </si>
  <si>
    <t>Transformer 1 - MV - Install MV cabling</t>
  </si>
  <si>
    <t>Transformer 1 - MV - Terminate and connect cabling at RMU - Assuming Coega has the tie in breaker ready</t>
  </si>
  <si>
    <t>Transformer 1 - MV - Cable pressure testing and protection calibrations</t>
  </si>
  <si>
    <t>Transformer 2 - MV - Install MV cabling</t>
  </si>
  <si>
    <t>Transformer 2 - MV - Terminate and connect cabling at RMU</t>
  </si>
  <si>
    <t>Transformer 2 - MV - Cable pressure testing and protection calibrations</t>
  </si>
  <si>
    <t>MV Signoff and COC</t>
  </si>
  <si>
    <t>Transformer Commissioning</t>
  </si>
  <si>
    <t>Inverter Commissioning</t>
  </si>
  <si>
    <t>Energy Flowing - Partial</t>
  </si>
  <si>
    <t>Energy Flowing - Full</t>
  </si>
  <si>
    <t>Issue Compeltion Certificates</t>
  </si>
  <si>
    <t>Techsitter Installation</t>
  </si>
  <si>
    <t>Grid Meter Setup</t>
  </si>
  <si>
    <t>Inverter 4 Rolling Mill (Inverter 14) Faulty string</t>
  </si>
  <si>
    <t>QA Inspection &amp; Snag Completion</t>
  </si>
  <si>
    <t>Pre Red-Team Inspection - Dean EE</t>
  </si>
  <si>
    <t>Schletter Sctructure Inspection - Dean Schletter</t>
  </si>
  <si>
    <t>Electrical Inspection - Renette</t>
  </si>
  <si>
    <t>Matriarch Inspection of the roofs</t>
  </si>
  <si>
    <t>Contractor Snag Completion</t>
  </si>
  <si>
    <t>Client Snag List Completion</t>
  </si>
  <si>
    <t>Anderson Consulting Inspection</t>
  </si>
  <si>
    <t>Snags completion - Gen Intg Outstanding</t>
  </si>
  <si>
    <t>Trunking installation</t>
  </si>
  <si>
    <t>Contract &amp; Design Sign off</t>
  </si>
  <si>
    <t>Commissioning (Practical Completion - JBCC)</t>
  </si>
  <si>
    <t>Commissioning (Energy Flowing)</t>
  </si>
  <si>
    <t>Practical Completion Achieved</t>
  </si>
  <si>
    <t>QA Inspections (Works Completion - JBCC)</t>
  </si>
  <si>
    <t>7.3</t>
  </si>
  <si>
    <t>Blue-Log Commissioning</t>
  </si>
  <si>
    <t>Project Closure (Final Completion - JBCC)</t>
  </si>
  <si>
    <t>Battery/Inverter Room Construction</t>
  </si>
  <si>
    <t>3.1.1</t>
  </si>
  <si>
    <t>3.1.2</t>
  </si>
  <si>
    <t>Hybrid Inverters Delivered</t>
  </si>
  <si>
    <t>3.1.3</t>
  </si>
  <si>
    <t>Batteries Delivered</t>
  </si>
  <si>
    <t>Post-Installation Commissioning</t>
  </si>
  <si>
    <t>Internal Handover</t>
  </si>
  <si>
    <t>Internal kick off</t>
  </si>
  <si>
    <t>Module delivery - Batch 1</t>
  </si>
  <si>
    <t>Module delivery - Batch 2</t>
  </si>
  <si>
    <t>Module delivery - Batch 3</t>
  </si>
  <si>
    <t>Cold commissioning - Phased</t>
  </si>
  <si>
    <t>Fiber Installation</t>
  </si>
  <si>
    <t>SCADA Setup</t>
  </si>
  <si>
    <t>7.4</t>
  </si>
  <si>
    <t>Snags completion - 1</t>
  </si>
  <si>
    <t>Snags completion - 2</t>
  </si>
  <si>
    <t>7.5</t>
  </si>
  <si>
    <t>7.6</t>
  </si>
  <si>
    <t>7.7</t>
  </si>
  <si>
    <t>7.8</t>
  </si>
  <si>
    <t>Handover to O&amp;M</t>
  </si>
  <si>
    <t>Inspection</t>
  </si>
  <si>
    <t>Roof Construction</t>
  </si>
  <si>
    <t>CPs - Generator</t>
  </si>
  <si>
    <t>CPs - Offtaker</t>
  </si>
  <si>
    <t>Surveys &amp; Permits</t>
  </si>
  <si>
    <t>Access &amp; Logistics Planning</t>
  </si>
  <si>
    <t>Energy Yield &amp; Performance Analysis</t>
  </si>
  <si>
    <t>Dean</t>
  </si>
  <si>
    <t>Mechanical &amp; Structural Design</t>
  </si>
  <si>
    <t>Electrical System Design</t>
  </si>
  <si>
    <t>DC Scope - Ground Mount</t>
  </si>
  <si>
    <t>CM</t>
  </si>
  <si>
    <t>DC Scope - Carport</t>
  </si>
  <si>
    <t>DC Scope - Rooftop</t>
  </si>
  <si>
    <t>Extras &amp; Civil Scope</t>
  </si>
  <si>
    <t>AC Scope</t>
  </si>
  <si>
    <t>Dean/CM</t>
  </si>
  <si>
    <t xml:space="preserve">Commissioning </t>
  </si>
  <si>
    <t>Off Taker Sign Off (Facility Completion)</t>
  </si>
  <si>
    <t>O&amp;M</t>
  </si>
  <si>
    <t xml:space="preserve">DC Stringing </t>
  </si>
  <si>
    <t>Re-Install ALL clamps &amp; modules</t>
  </si>
  <si>
    <t>Module removal</t>
  </si>
  <si>
    <t>BESS Delivery</t>
  </si>
  <si>
    <t>AC Works - BESS</t>
  </si>
  <si>
    <t>AC Tie-In - BESS</t>
  </si>
  <si>
    <t>AC Works - Solar</t>
  </si>
  <si>
    <t>AC Tie-In - Solar</t>
  </si>
  <si>
    <t>Solar Commissioning</t>
  </si>
  <si>
    <t>BESS Commissioning</t>
  </si>
  <si>
    <t>HSE - JA Electrical</t>
  </si>
  <si>
    <t>HSE - Ask Fritz</t>
  </si>
  <si>
    <t>AC Installation - Tie In 1 (Right)</t>
  </si>
  <si>
    <t>Civil Works - Tie In 1</t>
  </si>
  <si>
    <t>Rigging of Batteries</t>
  </si>
  <si>
    <t>AC Tie-In 1</t>
  </si>
  <si>
    <t>AC Installation - Tie In 2 (Left)</t>
  </si>
  <si>
    <t>Civil Works - Tie In 2</t>
  </si>
  <si>
    <t>AC Tie-In 2</t>
  </si>
  <si>
    <t>Lintel Delivery</t>
  </si>
  <si>
    <t>DC Ready 1</t>
  </si>
  <si>
    <t>DC Ready 2</t>
  </si>
  <si>
    <t>Comms Equipment Testing</t>
  </si>
  <si>
    <t>Link to Client Network via Fiber</t>
  </si>
  <si>
    <t>Soft Commissioning (Energy Flowing)</t>
  </si>
  <si>
    <t>6.4</t>
  </si>
  <si>
    <t>Higeco Commissioning</t>
  </si>
  <si>
    <t>6.5</t>
  </si>
  <si>
    <t xml:space="preserve">Techsitter Commissioning </t>
  </si>
  <si>
    <t>6.6</t>
  </si>
  <si>
    <t>Full Commissioning Monitoring</t>
  </si>
  <si>
    <t>6.7</t>
  </si>
  <si>
    <t>Installation of IRR Sensors</t>
  </si>
  <si>
    <t>6.8</t>
  </si>
  <si>
    <t>Tie In 2 Summation Metering</t>
  </si>
  <si>
    <t>6.9</t>
  </si>
  <si>
    <t>Inverter Monitoring - (Tie In 2)</t>
  </si>
  <si>
    <t>6.10</t>
  </si>
  <si>
    <t>Additional Ventilation</t>
  </si>
  <si>
    <t>6.11</t>
  </si>
  <si>
    <t>BESS Configuration</t>
  </si>
  <si>
    <t>Engineering Inspection</t>
  </si>
  <si>
    <t>String Updates</t>
  </si>
  <si>
    <t>Exit Roof Report</t>
  </si>
  <si>
    <t>As Built Drawings</t>
  </si>
  <si>
    <t>Commissioning Form</t>
  </si>
  <si>
    <t>Techsitter Targets &amp; Validate Targets</t>
  </si>
  <si>
    <t>Fritz HSE incident</t>
  </si>
  <si>
    <t>8.10</t>
  </si>
  <si>
    <t>8.11</t>
  </si>
  <si>
    <t>8.12</t>
  </si>
  <si>
    <t>Engineering Sign Off</t>
  </si>
  <si>
    <t>Civil Works</t>
  </si>
  <si>
    <t>AC Works - Tie In 1</t>
  </si>
  <si>
    <t>AC Works - Tie In 2</t>
  </si>
  <si>
    <t>Tie in Kiosk</t>
  </si>
  <si>
    <t>AC Tie In 1</t>
  </si>
  <si>
    <t>Mounting Structure installation -Tie In 1</t>
  </si>
  <si>
    <t>Mounting Structure installation -Tie In 2</t>
  </si>
  <si>
    <t>DC Stringing Tie In 1</t>
  </si>
  <si>
    <t>DC Stringing Tie In 2</t>
  </si>
  <si>
    <t>Module mounting - Tie In 1</t>
  </si>
  <si>
    <t>Module mounting - Tie In 2</t>
  </si>
  <si>
    <t>Fibre cable install</t>
  </si>
  <si>
    <t>Commissioning - Tie In 1</t>
  </si>
  <si>
    <t>Commissioning - Tie In 2</t>
  </si>
  <si>
    <t>Roof Work Removal and Refit</t>
  </si>
  <si>
    <t>Safety Line Installation</t>
  </si>
  <si>
    <t>Technical Signoff</t>
  </si>
  <si>
    <t>4.2.2</t>
  </si>
  <si>
    <t>Rails - Roof A</t>
  </si>
  <si>
    <t>4.3.2</t>
  </si>
  <si>
    <t>Rails - Roof B</t>
  </si>
  <si>
    <t>4.4.1</t>
  </si>
  <si>
    <t>Roof Hooks - Roof C</t>
  </si>
  <si>
    <t>4.4.2</t>
  </si>
  <si>
    <t>Rails - Roof C</t>
  </si>
  <si>
    <t>Civil Works - Trenching</t>
  </si>
  <si>
    <t>Civil Works - Scanning</t>
  </si>
  <si>
    <t>DC Stringing - Roof A</t>
  </si>
  <si>
    <t>DC Stringing - Roof B</t>
  </si>
  <si>
    <t>4.9</t>
  </si>
  <si>
    <t>DC Stringing - Roof C</t>
  </si>
  <si>
    <t>Pre Commissioning</t>
  </si>
  <si>
    <t>Practical Completion - Energy Flowing</t>
  </si>
  <si>
    <t>Lightning Protection Installation</t>
  </si>
  <si>
    <t>Structural Engineer SignOff (CMB)</t>
  </si>
  <si>
    <t>Client Roof Replacement</t>
  </si>
  <si>
    <t>DB Works on Client side</t>
  </si>
  <si>
    <t>Contracts</t>
  </si>
  <si>
    <t>TSS - Roof Assessment</t>
  </si>
  <si>
    <t>CPD1 - Roof Assessment</t>
  </si>
  <si>
    <t>Roof Replacement - Paul</t>
  </si>
  <si>
    <t>Activity Start Date</t>
  </si>
  <si>
    <t>First Phase</t>
  </si>
  <si>
    <t>Second Phase</t>
  </si>
  <si>
    <t>Inverters delivered - TSS &amp; CPD</t>
  </si>
  <si>
    <t>Steel Structure - TSS</t>
  </si>
  <si>
    <t>Steel Structure - CPD</t>
  </si>
  <si>
    <t>Mounting Inverters - TSS</t>
  </si>
  <si>
    <t>Mounting Inverters - CPD1</t>
  </si>
  <si>
    <t>Mounting Cable Trays - TSS</t>
  </si>
  <si>
    <t>Mounting Cable Trays - CPD</t>
  </si>
  <si>
    <t>Solar DB Lead Time - TSS &amp; CPD</t>
  </si>
  <si>
    <t>Installing Solar DB - TSS</t>
  </si>
  <si>
    <t>4.10</t>
  </si>
  <si>
    <t>Installing Solar DB - CPD</t>
  </si>
  <si>
    <t>4.11</t>
  </si>
  <si>
    <t>AC Cabling (DB to Inverter) - TSS</t>
  </si>
  <si>
    <t>AC Cabling (DB to Inverter) - CPD</t>
  </si>
  <si>
    <t>AC Cabling (DB to Tie In) - TSS</t>
  </si>
  <si>
    <t>AC Cabling (DB to Tie In) - CPD</t>
  </si>
  <si>
    <t>4.15</t>
  </si>
  <si>
    <t>Tie In Breaker Installation - TSS</t>
  </si>
  <si>
    <t>4.16</t>
  </si>
  <si>
    <t>Tie In Breaker Installation - CPD</t>
  </si>
  <si>
    <t>4.17</t>
  </si>
  <si>
    <t>AC Commissioning - TSS</t>
  </si>
  <si>
    <t>4.18</t>
  </si>
  <si>
    <t>AC Commissioning - CPD</t>
  </si>
  <si>
    <t>DC Works - TSS</t>
  </si>
  <si>
    <t>Mounting Structure Delivered</t>
  </si>
  <si>
    <t>DC Cable Delivered</t>
  </si>
  <si>
    <t>TSS - Module Delivery</t>
  </si>
  <si>
    <t>TSS - Mounting Structure installation</t>
  </si>
  <si>
    <t>TSS - Module Lifting</t>
  </si>
  <si>
    <t>TSS - Module Mounting</t>
  </si>
  <si>
    <t>DC Works - CPD1</t>
  </si>
  <si>
    <t>CPD1 - Module Delivery</t>
  </si>
  <si>
    <t>CPD1 - Mounting Structure installation</t>
  </si>
  <si>
    <t>CPD1 - Module Lifting</t>
  </si>
  <si>
    <t>CPD1 - Module Mounting</t>
  </si>
  <si>
    <t>Extras</t>
  </si>
  <si>
    <t>TSS - Fixed Anchor Point &amp; Lifeline Approvals</t>
  </si>
  <si>
    <t>TSS - Fixed Anchor Point &amp; Lifeline Installation</t>
  </si>
  <si>
    <t>TSS - Fixed Anchor Point &amp; Lifeline Sign Off</t>
  </si>
  <si>
    <t>CPD1 - Fixed Anchor Point &amp; Lifeline Approvals</t>
  </si>
  <si>
    <t>CPD1 - Fixed Anchor Point &amp; Lifeline Installation</t>
  </si>
  <si>
    <t>CPD1 - Fixed Anchor Point &amp; Lifeline Sign Off</t>
  </si>
  <si>
    <t>TSS - Walkway Installation</t>
  </si>
  <si>
    <t>CPD1 - Walkway Installation</t>
  </si>
  <si>
    <t>7.9</t>
  </si>
  <si>
    <t>TSS - Waterpoint Installation</t>
  </si>
  <si>
    <t>7.10</t>
  </si>
  <si>
    <t>CPD1 - Waterpoint Installation</t>
  </si>
  <si>
    <t>7.11</t>
  </si>
  <si>
    <t>MV Metering</t>
  </si>
  <si>
    <t>TSS - Practical Completion</t>
  </si>
  <si>
    <t>TSS - Commissioning</t>
  </si>
  <si>
    <t>CPD1 - Commissioning</t>
  </si>
  <si>
    <t>8.4</t>
  </si>
  <si>
    <t>CPD1 - Practical Completion</t>
  </si>
  <si>
    <t>9.1</t>
  </si>
  <si>
    <t>TSS - Red-Team Inspection &amp; Snag Completion</t>
  </si>
  <si>
    <t>9.2</t>
  </si>
  <si>
    <t>CPD1 - Red-Team Inspection &amp; Snag Completion</t>
  </si>
  <si>
    <t>10.1</t>
  </si>
  <si>
    <t>10.2</t>
  </si>
  <si>
    <t>Client Snag completion</t>
  </si>
  <si>
    <t>10.3</t>
  </si>
  <si>
    <t>10.4</t>
  </si>
  <si>
    <t>10.5</t>
  </si>
  <si>
    <t>10.6</t>
  </si>
  <si>
    <t>New AC cable route</t>
  </si>
  <si>
    <t>Remove and Refit of Modules</t>
  </si>
  <si>
    <t>Work because of Roof remidial</t>
  </si>
  <si>
    <t xml:space="preserve">Roof Replacement </t>
  </si>
  <si>
    <t>Anchor Point Install</t>
  </si>
  <si>
    <t>DC install -1</t>
  </si>
  <si>
    <t>DC install -2</t>
  </si>
  <si>
    <t>DC install -3</t>
  </si>
  <si>
    <t>DC install -4</t>
  </si>
  <si>
    <t>Technical Meeting</t>
  </si>
  <si>
    <t>DB Lead Time - N/A</t>
  </si>
  <si>
    <t>BESS Works</t>
  </si>
  <si>
    <t>Batteries delivered</t>
  </si>
  <si>
    <t>Batteries Installation</t>
  </si>
  <si>
    <t>DC Cable Material delivered</t>
  </si>
  <si>
    <t>DC Cable Installation</t>
  </si>
  <si>
    <t>TrackerRow</t>
  </si>
  <si>
    <t>ExpenseCategory</t>
  </si>
  <si>
    <t>ExpenseLineItem</t>
  </si>
  <si>
    <t>ExpenseQTY</t>
  </si>
  <si>
    <t>ExpenseRateUnit</t>
  </si>
  <si>
    <t>ExpenseActualTotal</t>
  </si>
  <si>
    <t>ExpensePONumber</t>
  </si>
  <si>
    <t>ExpenseInvoiceNumber</t>
  </si>
  <si>
    <t>ExpenseInvoicedDate</t>
  </si>
  <si>
    <t>RevenueAmount</t>
  </si>
  <si>
    <t>ExpensePaymentDate</t>
  </si>
  <si>
    <t>COSAmount</t>
  </si>
  <si>
    <t>1 Bolt Ave_Tracker.xlsx | Table row 6 | Panels Budget - Assume 610W - Longi 610 (Krannich) | Inv Krannich - 15-10014113 | Col ExpenseActualTotal</t>
  </si>
  <si>
    <t>1. Panels</t>
  </si>
  <si>
    <t>Panels Budget - Assume 610W - Longi 610 (Krannich)</t>
  </si>
  <si>
    <t>Krannich - 15-10014113</t>
  </si>
  <si>
    <t>1 Bolt Ave_Tracker.xlsx | Table row 7 | EPR Fees | Inv Krannich - 15-10014113 | Col ExpenseActualTotal</t>
  </si>
  <si>
    <t>EPR Fees</t>
  </si>
  <si>
    <t>1 Bolt Ave_Tracker.xlsx | Table row 8 | Delivery | Inv Krannich - 15-10014113 | Col ExpenseActualTotal</t>
  </si>
  <si>
    <t>Delivery</t>
  </si>
  <si>
    <t>1 Bolt Ave_Tracker.xlsx | Table row 9 | Panels from stock (Ziegler) | Inv Allocated from Cpt Storeroom | Col ExpenseActualTotal</t>
  </si>
  <si>
    <t>Panels from stock (Ziegler)</t>
  </si>
  <si>
    <t>Allocated from Cpt Storeroom</t>
  </si>
  <si>
    <t>1 Bolt Ave_Tracker.xlsx | Table row 13 | Huawei 100KTL (Krannich) | Inv Krannich - 15-10014113 | Col ExpenseActualTotal</t>
  </si>
  <si>
    <t>2. Inverters</t>
  </si>
  <si>
    <t>Huawei 100KTL (Krannich)</t>
  </si>
  <si>
    <t>1 Bolt Ave_Tracker.xlsx | Table row 21 | Schletter Structure | Inv Schletter - INV2244 | Col ExpenseActualTotal</t>
  </si>
  <si>
    <t>3. Mounting Structures</t>
  </si>
  <si>
    <t>Schletter Structure</t>
  </si>
  <si>
    <t>PO4324-BOLT-20250925 - RV Approved</t>
  </si>
  <si>
    <t>Schletter - INV2244</t>
  </si>
  <si>
    <t>1 Bolt Ave_Tracker.xlsx | Table row 28 | DC Cable - Menlo SO0003713 | Inv Menlo - INV0003329 | Col ExpenseActualTotal</t>
  </si>
  <si>
    <t>4. DC Equipment</t>
  </si>
  <si>
    <t>DC Cable - Menlo SO0003713</t>
  </si>
  <si>
    <t>Menlo - INV0003329</t>
  </si>
  <si>
    <t>1 Bolt Ave_Tracker.xlsx | Table row 32 | Project Kick Off | Inv Leading Edge - INV-0158 | Col ExpenseActualTotal</t>
  </si>
  <si>
    <t>Project Kick Off</t>
  </si>
  <si>
    <t>PO4349-BOLT-20251001 - RV Approved</t>
  </si>
  <si>
    <t>Leading Edge - INV-0158</t>
  </si>
  <si>
    <t>1 Bolt Ave_Tracker.xlsx | Table row 33 | Site Establishment | Inv Leading Edge - INV-0159 | Col ExpenseActualTotal</t>
  </si>
  <si>
    <t>Leading Edge - INV-0159</t>
  </si>
  <si>
    <t>1 Bolt Ave_Tracker.xlsx | Table row 34 | AC Installation Complete | Inv Leading Edge - INV-0172 | Col ExpenseActualTotal</t>
  </si>
  <si>
    <t>AC Installation Complete</t>
  </si>
  <si>
    <t>Leading Edge - INV-0172</t>
  </si>
  <si>
    <t>1 Bolt Ave_Tracker.xlsx | Table row 35 | DC Installation Complete | Inv Leading Edge - INV-0176 | Col ExpenseActualTotal</t>
  </si>
  <si>
    <t>DC Installation Complete</t>
  </si>
  <si>
    <t>Leading Edge - INV-0176</t>
  </si>
  <si>
    <t>1 Bolt Ave_Tracker.xlsx | Table row 36 | Commissioning Complete | Inv Leading Edge - INV-0177 | Col ExpenseActualTotal</t>
  </si>
  <si>
    <t>Commissioning Complete</t>
  </si>
  <si>
    <t>Leading Edge - INV-0177</t>
  </si>
  <si>
    <t>1 Bolt Ave_Tracker.xlsx | Table row 37 | Site De-establisment | Inv Leading Edge - INV-0178 | Col ExpenseActualTotal</t>
  </si>
  <si>
    <t>Site De-establisment</t>
  </si>
  <si>
    <t>Leading Edge - INV-0178</t>
  </si>
  <si>
    <t>1 Bolt Ave_Tracker.xlsx | Table row 38 | Handover Document Complete | Inv Leading Edge - INV-0179 | Col ExpenseActualTotal</t>
  </si>
  <si>
    <t>Handover Document Complete</t>
  </si>
  <si>
    <t>Leading Edge - INV-0179</t>
  </si>
  <si>
    <t>1 Bolt Ave_Tracker.xlsx | Table row 39 | End of Defects Period | Inv Leading Edge - INV-0180 | Col ExpenseActualTotal</t>
  </si>
  <si>
    <t>End of Defects Period</t>
  </si>
  <si>
    <t>Leading Edge - INV-0180</t>
  </si>
  <si>
    <t>1 Bolt Ave_Tracker.xlsx | Table row 44 | Smartlogger - Menlo SO0003713 | Inv Menlo - INV0003329 | Col ExpenseActualTotal</t>
  </si>
  <si>
    <t>5. Monitoring</t>
  </si>
  <si>
    <t>Smartlogger - Menlo SO0003713</t>
  </si>
  <si>
    <t>1 Bolt Ave_Tracker.xlsx | Table row 45 | CTs &amp; Meters | Inv Accuenergy - ASAI-006478 | Col ExpenseActualTotal</t>
  </si>
  <si>
    <t>CTs &amp; Meters</t>
  </si>
  <si>
    <t>PO4325-BOLT-20250925 - RV Approved</t>
  </si>
  <si>
    <t>Accuenergy - ASAI-006478</t>
  </si>
  <si>
    <t>1 Bolt Ave_Tracker.xlsx | Table row 46 | Techsitter | Inv Matriarch - INV-5207 | Col ExpenseActualTotal</t>
  </si>
  <si>
    <t>Techsitter</t>
  </si>
  <si>
    <t>Matriarch - INV-5207</t>
  </si>
  <si>
    <t>1 Bolt Ave_Tracker.xlsx | Table row 47 | Courier of Techsitter | Inv DSV Inv: 180150385 | Col ExpenseActualTotal</t>
  </si>
  <si>
    <t>Courier of Techsitter</t>
  </si>
  <si>
    <t>DSV Inv: 180150385</t>
  </si>
  <si>
    <t>1 Bolt Ave_Tracker.xlsx | Table row 48 | Lithium Battery | Inv Red Pole - SO-35912 | Col ExpenseActualTotal</t>
  </si>
  <si>
    <t>Lithium Battery</t>
  </si>
  <si>
    <t>Red Pole - SO-35912</t>
  </si>
  <si>
    <t>1 Bolt Ave_Tracker.xlsx | Table row 49 | Power Supply | Inv Allocated from Cpt Storeroom | Col ExpenseActualTotal</t>
  </si>
  <si>
    <t>Power Supply</t>
  </si>
  <si>
    <t>1 Bolt Ave_Tracker.xlsx | Table row 54 | PVDB | Inv Switchboard - 2-SOI002605 | Col ExpenseActualTotal</t>
  </si>
  <si>
    <t>6. AC Equipment</t>
  </si>
  <si>
    <t>PVDB</t>
  </si>
  <si>
    <t>PO4329-BOLT-20250925 - MI Approved</t>
  </si>
  <si>
    <t>Switchboard - 2-SOI002605</t>
  </si>
  <si>
    <t>1 Bolt Ave_Tracker.xlsx | Table row 59 | Project Kick Off | Inv Leading Edge - INV-0158 | Col ExpenseActualTotal</t>
  </si>
  <si>
    <t>1 Bolt Ave_Tracker.xlsx | Table row 60 | Site Establishment | Inv Leading Edge - INV-0159 | Col ExpenseActualTotal</t>
  </si>
  <si>
    <t>1 Bolt Ave_Tracker.xlsx | Table row 61 | AC Installation Complete | Inv Leading Edge - INV-0172 | Col ExpenseActualTotal</t>
  </si>
  <si>
    <t>1 Bolt Ave_Tracker.xlsx | Table row 62 | DC Installation Complete | Inv Leading Edge - INV-0176 | Col ExpenseActualTotal</t>
  </si>
  <si>
    <t>1 Bolt Ave_Tracker.xlsx | Table row 63 | Commissioning Complete | Inv Leading Edge - INV-0177 | Col ExpenseActualTotal</t>
  </si>
  <si>
    <t>1 Bolt Ave_Tracker.xlsx | Table row 64 | Site De-establisment | Inv Leading Edge - INV-0178 | Col ExpenseActualTotal</t>
  </si>
  <si>
    <t>1 Bolt Ave_Tracker.xlsx | Table row 65 | Handover Document Complete | Inv Leading Edge - INV-0179 | Col ExpenseActualTotal</t>
  </si>
  <si>
    <t>1 Bolt Ave_Tracker.xlsx | Table row 66 | End of Defects Period | Inv Leading Edge - INV-0180 | Col ExpenseActualTotal</t>
  </si>
  <si>
    <t>1 Bolt Ave_Tracker.xlsx | Table row 82 | APEX &amp; Emulator | Inv Rbicon - INVWCRE-0070990 | Col ExpenseActualTotal</t>
  </si>
  <si>
    <t xml:space="preserve">8. Product Add On </t>
  </si>
  <si>
    <t>APEX &amp; Emulator</t>
  </si>
  <si>
    <t>PO4326-BOLT-20250925 - RV Approved</t>
  </si>
  <si>
    <t>Rbicon - INVWCRE-0070990</t>
  </si>
  <si>
    <t>1 Bolt Ave_Tracker.xlsx | Table row 84 | Catladder &amp; Inverter Rack | Inv Barrier Projects - 497 | Col ExpenseActualTotal</t>
  </si>
  <si>
    <t>Catladder &amp; Inverter Rack</t>
  </si>
  <si>
    <t>PO4347-BOLT-20250930 - RV Approved</t>
  </si>
  <si>
    <t>Barrier Projects - 497</t>
  </si>
  <si>
    <t>1 Bolt Ave_Tracker.xlsx | Table row 85 |  | Inv Barrier Projects - 497 | Col ExpenseActualTotal</t>
  </si>
  <si>
    <t>1 Bolt Ave_Tracker.xlsx | Table row 86 | Walkway Installation | Inv Leading Edge - INV-0169 | Col ExpenseActualTotal</t>
  </si>
  <si>
    <t>PO4465-BOLT-20251111 - RV Approved</t>
  </si>
  <si>
    <t>Leading Edge - INV-0169</t>
  </si>
  <si>
    <t>1 Bolt Ave_Tracker.xlsx | Table row 87 | Walkway Material | Inv Onvlee Engineering PO4662-Bolt-20251111 | Col ExpenseActualTotal</t>
  </si>
  <si>
    <t>Walkway Material</t>
  </si>
  <si>
    <t>PO4462-BOLT-20251111 - RV Approved</t>
  </si>
  <si>
    <t>Onvlee Engineering PO4662-Bolt-20251111</t>
  </si>
  <si>
    <t>1 Bolt Ave_Tracker.xlsx | Table row 88 | Walkway Clamps | Inv Onvlee Engineering - CN 01001981 | Col ExpenseActualTotal</t>
  </si>
  <si>
    <t>Walkway Clamps</t>
  </si>
  <si>
    <t>Onvlee Engineering - CN 01001981</t>
  </si>
  <si>
    <t>1 Bolt Ave_Tracker.xlsx | Table row 89 | Walkway Clamps | Inv Onvlee Engineering - ONV1702 | Col ExpenseActualTotal</t>
  </si>
  <si>
    <t>Onvlee Engineering - ONV1702</t>
  </si>
  <si>
    <t>1 Bolt Ave_Tracker.xlsx | Table row 92 | Project Kick Off | Inv Leading Edge - INV-0158 | Col ExpenseActualTotal</t>
  </si>
  <si>
    <t>9. AC &amp; DC installation</t>
  </si>
  <si>
    <t>1 Bolt Ave_Tracker.xlsx | Table row 93 | Site Establishment | Inv Leading Edge - INV-0159 | Col ExpenseActualTotal</t>
  </si>
  <si>
    <t>1 Bolt Ave_Tracker.xlsx | Table row 94 | AC Installation Complete | Inv Leading Edge - INV-0172 | Col ExpenseActualTotal</t>
  </si>
  <si>
    <t>1 Bolt Ave_Tracker.xlsx | Table row 95 | DC Installation Complete | Inv Leading Edge - INV-0176 | Col ExpenseActualTotal</t>
  </si>
  <si>
    <t>1 Bolt Ave_Tracker.xlsx | Table row 96 | Commissioning Complete | Inv Leading Edge - INV-0177 | Col ExpenseActualTotal</t>
  </si>
  <si>
    <t>1 Bolt Ave_Tracker.xlsx | Table row 97 | Site De-establisment | Inv Leading Edge - INV-0178 | Col ExpenseActualTotal</t>
  </si>
  <si>
    <t>1 Bolt Ave_Tracker.xlsx | Table row 98 | Handover Document Complete | Inv Leading Edge - INV-0179 | Col ExpenseActualTotal</t>
  </si>
  <si>
    <t>1 Bolt Ave_Tracker.xlsx | Table row 99 | End of Defects Period | Inv Leading Edge - INV-0180 | Col ExpenseActualTotal</t>
  </si>
  <si>
    <t>1 Bolt Ave_Tracker.xlsx | Table row 108 | Project Kick Off | Inv Leading Edge - INV-0158 | Col ExpenseActualTotal</t>
  </si>
  <si>
    <t>10. Site Logistics</t>
  </si>
  <si>
    <t>1 Bolt Ave_Tracker.xlsx | Table row 109 | Site Establishment | Inv Leading Edge - INV-0159 | Col ExpenseActualTotal</t>
  </si>
  <si>
    <t>1 Bolt Ave_Tracker.xlsx | Table row 110 | AC Installation Complete | Inv Leading Edge - INV-0172 | Col ExpenseActualTotal</t>
  </si>
  <si>
    <t>1 Bolt Ave_Tracker.xlsx | Table row 111 | DC Installation Complete | Inv Leading Edge - INV-0176 | Col ExpenseActualTotal</t>
  </si>
  <si>
    <t>1 Bolt Ave_Tracker.xlsx | Table row 112 | Commissioning Complete | Inv Leading Edge - INV-0177 | Col ExpenseActualTotal</t>
  </si>
  <si>
    <t>1 Bolt Ave_Tracker.xlsx | Table row 113 | Site De-establisment | Inv Leading Edge - INV-0178 | Col ExpenseActualTotal</t>
  </si>
  <si>
    <t>1 Bolt Ave_Tracker.xlsx | Table row 114 | Handover Document Complete | Inv Leading Edge - INV-0179 | Col ExpenseActualTotal</t>
  </si>
  <si>
    <t>1 Bolt Ave_Tracker.xlsx | Table row 115 | End of Defects Period | Inv Leading Edge - INV-0180 | Col ExpenseActualTotal</t>
  </si>
  <si>
    <t>1 Bolt Ave_Tracker.xlsx | Table row 120 | Electrical PrEng sign off | Inv Sunspot E040 | Col ExpenseActualTotal</t>
  </si>
  <si>
    <t>11. Due Dilligence</t>
  </si>
  <si>
    <t>Electrical PrEng sign off</t>
  </si>
  <si>
    <t>Sunspot E040</t>
  </si>
  <si>
    <t>1 Bolt Ave_Tracker.xlsx | Table row 121 | Structural Sign Off | Inv New roof, not required | Col ExpenseActualTotal</t>
  </si>
  <si>
    <t>Structural Sign Off</t>
  </si>
  <si>
    <t>New roof, not required</t>
  </si>
  <si>
    <t>1 Bolt Ave_Tracker.xlsx | Table row 122 | Grid Study | Inv  | Col ExpenseActualTotal</t>
  </si>
  <si>
    <t>Grid Study</t>
  </si>
  <si>
    <t>1 Bolt Ave_Tracker.xlsx | Table row 123 | Red Team Inspection | Inv  | Col ExpenseActualTotal</t>
  </si>
  <si>
    <t>1 Bolt Ave_Tracker.xlsx | Table row 126 | PD Fee | Inv  | Col ExpenseActualTotal</t>
  </si>
  <si>
    <t>12. BDP Commission</t>
  </si>
  <si>
    <t>PD Fee</t>
  </si>
  <si>
    <t>1 Bolt Ave_Tracker.xlsx | Table row 129 | Matriarch Defects Period - 1.25% | Inv  | Col ExpenseActualTotal</t>
  </si>
  <si>
    <t>13. Engineering</t>
  </si>
  <si>
    <t>Matriarch Defects Period - 1.25%</t>
  </si>
  <si>
    <t>1 Bolt Ave_Tracker.xlsx | Table row 136 | Travel | Inv Expense Claims | Col ExpenseActualTotal</t>
  </si>
  <si>
    <t>14. General Expenses</t>
  </si>
  <si>
    <t>Travel</t>
  </si>
  <si>
    <t>Expense Claims</t>
  </si>
  <si>
    <t>1 Bolt Ave_Tracker.xlsx | Table row 137 | Travel | Inv Expense Claims | Col ExpenseActualTotal</t>
  </si>
  <si>
    <t>1 Bolt Ave_Tracker.xlsx | Table row 138 | Travel | Inv Expense Claims | Col ExpenseActualTotal</t>
  </si>
  <si>
    <t>1 Bolt Ave_Tracker.xlsx | Table row 139 | Travel | Inv Expense Claims | Col ExpenseActualTotal</t>
  </si>
  <si>
    <t>1 Bolt Ave_Tracker.xlsx | Table row 140 | Travel | Inv Expense Claims | Col ExpenseActualTotal</t>
  </si>
  <si>
    <t>1 Bolt Ave_Tracker.xlsx | Table row 141 | Travel | Inv  | Col ExpenseActualTotal</t>
  </si>
  <si>
    <t>1 Bolt Ave_Tracker.xlsx | Table row 142 | Travel | Inv  | Col ExpenseActualTotal</t>
  </si>
  <si>
    <t>25 Superior Road_Tracker.xlsx | Table row 6 | Panel Size - TBC - 610W as placeholder | Inv  | Col ExpenseActualTotal</t>
  </si>
  <si>
    <t>Panel Size - TBC - 610W as placeholder</t>
  </si>
  <si>
    <t>25 Superior Road_Tracker.xlsx | Table row 21 | Schletter Structure | Inv  | Col ExpenseActualTotal</t>
  </si>
  <si>
    <t>25 Superior Road_Tracker.xlsx | Table row 28 | DC Cable | Inv  | Col ExpenseActualTotal</t>
  </si>
  <si>
    <t>25 Superior Road_Tracker.xlsx | Table row 32 | Project Kick Off | Inv  | Col ExpenseActualTotal</t>
  </si>
  <si>
    <t>25 Superior Road_Tracker.xlsx | Table row 33 | Site Establishment | Inv  | Col ExpenseActualTotal</t>
  </si>
  <si>
    <t>25 Superior Road_Tracker.xlsx | Table row 34 | AC Installation Complete | Inv  | Col ExpenseActualTotal</t>
  </si>
  <si>
    <t>25 Superior Road_Tracker.xlsx | Table row 35 | DC Installation Complete | Inv  | Col ExpenseActualTotal</t>
  </si>
  <si>
    <t>25 Superior Road_Tracker.xlsx | Table row 36 | Commissioning Complete | Inv  | Col ExpenseActualTotal</t>
  </si>
  <si>
    <t>25 Superior Road_Tracker.xlsx | Table row 37 | Site De-establisment | Inv  | Col ExpenseActualTotal</t>
  </si>
  <si>
    <t>25 Superior Road_Tracker.xlsx | Table row 38 | Handover Document Complete | Inv  | Col ExpenseActualTotal</t>
  </si>
  <si>
    <t>25 Superior Road_Tracker.xlsx | Table row 39 | End of Defects Period | Inv  | Col ExpenseActualTotal</t>
  </si>
  <si>
    <t>25 Superior Road_Tracker.xlsx | Table row 44 | Smartlogger 3000 | Inv  | Col ExpenseActualTotal</t>
  </si>
  <si>
    <t>Smartlogger 3000</t>
  </si>
  <si>
    <t>25 Superior Road_Tracker.xlsx | Table row 45 | Comms DB | Inv  | Col ExpenseActualTotal</t>
  </si>
  <si>
    <t>Comms DB</t>
  </si>
  <si>
    <t>25 Superior Road_Tracker.xlsx | Table row 46 | Revenue Grade Meter | Inv  | Col ExpenseActualTotal</t>
  </si>
  <si>
    <t>Revenue Grade Meter</t>
  </si>
  <si>
    <t>25 Superior Road_Tracker.xlsx | Table row 58 | Project Kick Off | Inv  | Col ExpenseActualTotal</t>
  </si>
  <si>
    <t>25 Superior Road_Tracker.xlsx | Table row 59 | Site Establishment | Inv  | Col ExpenseActualTotal</t>
  </si>
  <si>
    <t>25 Superior Road_Tracker.xlsx | Table row 60 | AC Installation Complete | Inv  | Col ExpenseActualTotal</t>
  </si>
  <si>
    <t>25 Superior Road_Tracker.xlsx | Table row 61 | DC Installation Complete | Inv  | Col ExpenseActualTotal</t>
  </si>
  <si>
    <t>25 Superior Road_Tracker.xlsx | Table row 62 | Commissioning Complete | Inv  | Col ExpenseActualTotal</t>
  </si>
  <si>
    <t>25 Superior Road_Tracker.xlsx | Table row 63 | Site De-establisment | Inv  | Col ExpenseActualTotal</t>
  </si>
  <si>
    <t>25 Superior Road_Tracker.xlsx | Table row 64 | Handover Document Complete | Inv  | Col ExpenseActualTotal</t>
  </si>
  <si>
    <t>25 Superior Road_Tracker.xlsx | Table row 65 | End of Defects Period | Inv  | Col ExpenseActualTotal</t>
  </si>
  <si>
    <t>25 Superior Road_Tracker.xlsx | Table row 70 | Battery Inverter + Battery Bank | Inv  | Col ExpenseActualTotal</t>
  </si>
  <si>
    <t>7.BESS</t>
  </si>
  <si>
    <t>Battery Inverter + Battery Bank</t>
  </si>
  <si>
    <t>25 Superior Road_Tracker.xlsx | Table row 71 | Ps and Gs | Inv  | Col ExpenseActualTotal</t>
  </si>
  <si>
    <t>Ps and Gs</t>
  </si>
  <si>
    <t>25 Superior Road_Tracker.xlsx | Table row 72 | Installation  | Inv  | Col ExpenseActualTotal</t>
  </si>
  <si>
    <t xml:space="preserve">Installation </t>
  </si>
  <si>
    <t>25 Superior Road_Tracker.xlsx | Table row 73 | AC+DC Equipment | Inv  | Col ExpenseActualTotal</t>
  </si>
  <si>
    <t>AC+DC Equipment</t>
  </si>
  <si>
    <t>25 Superior Road_Tracker.xlsx | Table row 74 | Inverter Cables | Inv  | Col ExpenseActualTotal</t>
  </si>
  <si>
    <t>Inverter Cables</t>
  </si>
  <si>
    <t>25 Superior Road_Tracker.xlsx | Table row 75 | Main Gateway Cable (Tie-In) | Inv  | Col ExpenseActualTotal</t>
  </si>
  <si>
    <t>Main Gateway Cable (Tie-In)</t>
  </si>
  <si>
    <t>25 Superior Road_Tracker.xlsx | Table row 80 | BESS 20ft A-Grade Container | Inv  | Col ExpenseActualTotal</t>
  </si>
  <si>
    <t>BESS 20ft A-Grade Container</t>
  </si>
  <si>
    <t>25 Superior Road_Tracker.xlsx | Table row 81 | Fire Suppression | Inv  | Col ExpenseActualTotal</t>
  </si>
  <si>
    <t>Fire Suppression</t>
  </si>
  <si>
    <t>25 Superior Road_Tracker.xlsx | Table row 82 | Eaton UPS 80kVA as per existing UPS | Inv  | Col ExpenseActualTotal</t>
  </si>
  <si>
    <t>Eaton UPS 80kVA as per existing UPS</t>
  </si>
  <si>
    <t>25 Superior Road_Tracker.xlsx | Table row 90 | Project Kick Off | Inv  | Col ExpenseActualTotal</t>
  </si>
  <si>
    <t>25 Superior Road_Tracker.xlsx | Table row 91 | Site Establishment | Inv  | Col ExpenseActualTotal</t>
  </si>
  <si>
    <t>25 Superior Road_Tracker.xlsx | Table row 92 | AC Installation Complete | Inv  | Col ExpenseActualTotal</t>
  </si>
  <si>
    <t>25 Superior Road_Tracker.xlsx | Table row 93 | DC Installation Complete | Inv  | Col ExpenseActualTotal</t>
  </si>
  <si>
    <t>25 Superior Road_Tracker.xlsx | Table row 94 | Commissioning Complete | Inv  | Col ExpenseActualTotal</t>
  </si>
  <si>
    <t>25 Superior Road_Tracker.xlsx | Table row 95 | Site De-establisment | Inv  | Col ExpenseActualTotal</t>
  </si>
  <si>
    <t>25 Superior Road_Tracker.xlsx | Table row 96 | Handover Document Complete | Inv  | Col ExpenseActualTotal</t>
  </si>
  <si>
    <t>25 Superior Road_Tracker.xlsx | Table row 97 | End of Defects Period | Inv  | Col ExpenseActualTotal</t>
  </si>
  <si>
    <t>25 Superior Road_Tracker.xlsx | Table row 102 | Security | Inv  | Col ExpenseActualTotal</t>
  </si>
  <si>
    <t>Security</t>
  </si>
  <si>
    <t>25 Superior Road_Tracker.xlsx | Table row 106 | Project Kick Off | Inv  | Col ExpenseActualTotal</t>
  </si>
  <si>
    <t>25 Superior Road_Tracker.xlsx | Table row 107 | Site Establishment | Inv  | Col ExpenseActualTotal</t>
  </si>
  <si>
    <t>25 Superior Road_Tracker.xlsx | Table row 108 | AC Installation Complete | Inv  | Col ExpenseActualTotal</t>
  </si>
  <si>
    <t>25 Superior Road_Tracker.xlsx | Table row 109 | DC Installation Complete | Inv  | Col ExpenseActualTotal</t>
  </si>
  <si>
    <t>25 Superior Road_Tracker.xlsx | Table row 110 | Commissioning Complete | Inv  | Col ExpenseActualTotal</t>
  </si>
  <si>
    <t>25 Superior Road_Tracker.xlsx | Table row 111 | Site De-establisment | Inv  | Col ExpenseActualTotal</t>
  </si>
  <si>
    <t>25 Superior Road_Tracker.xlsx | Table row 112 | Handover Document Complete | Inv  | Col ExpenseActualTotal</t>
  </si>
  <si>
    <t>25 Superior Road_Tracker.xlsx | Table row 113 | End of Defects Period | Inv  | Col ExpenseActualTotal</t>
  </si>
  <si>
    <t>25 Superior Road_Tracker.xlsx | Table row 118 | Electrical PrEng sign off | Inv  | Col ExpenseActualTotal</t>
  </si>
  <si>
    <t>25 Superior Road_Tracker.xlsx | Table row 119 | Structural Sign Off | Inv  | Col ExpenseActualTotal</t>
  </si>
  <si>
    <t>25 Superior Road_Tracker.xlsx | Table row 120 | Grid Study | Inv  | Col ExpenseActualTotal</t>
  </si>
  <si>
    <t>25 Superior Road_Tracker.xlsx | Table row 121 | Red Team Inspection | Inv  | Col ExpenseActualTotal</t>
  </si>
  <si>
    <t>25 Superior Road_Tracker.xlsx | Table row 124 | PD Fee | Inv  | Col ExpenseActualTotal</t>
  </si>
  <si>
    <t>25 Superior Road_Tracker.xlsx | Table row 127 | Matriarch Defects Period - 1.25% | Inv  | Col ExpenseActualTotal</t>
  </si>
  <si>
    <t>25 Superior Road_Tracker.xlsx | Table row 134 | Travel | Inv  | Col ExpenseActualTotal</t>
  </si>
  <si>
    <t>25 Superior Road_Tracker.xlsx | Table row 135 | Travel | Inv  | Col ExpenseActualTotal</t>
  </si>
  <si>
    <t>25 Superior Road_Tracker.xlsx | Table row 136 | Travel | Inv  | Col ExpenseActualTotal</t>
  </si>
  <si>
    <t>25 Superior Road_Tracker.xlsx | Table row 137 | Travel | Inv  | Col ExpenseActualTotal</t>
  </si>
  <si>
    <t>Catladder</t>
  </si>
  <si>
    <t>Scada for CoCT</t>
  </si>
  <si>
    <t>7th Avenue Park_Tracker.xlsx | Table row 6 | Jinko Tiger Neo N-type66HL4M-BDV - 610W | Inv MSA Energy - INV0003571 | Col ExpenseActualTotal</t>
  </si>
  <si>
    <t>Jinko Tiger Neo N-type66HL4M-BDV - 610W</t>
  </si>
  <si>
    <t>MSA Energy - INV0003571</t>
  </si>
  <si>
    <t>7th Avenue Park_Tracker.xlsx | Table row 7 |  | Inv  | Col ExpenseActualTotal</t>
  </si>
  <si>
    <t>7th Avenue Park_Tracker.xlsx | Table row 14 | Huawei 100KTL | Inv MSA Energy - INV0003571 | Col ExpenseActualTotal</t>
  </si>
  <si>
    <t>Huawei 100KTL</t>
  </si>
  <si>
    <t>7th Avenue Park_Tracker.xlsx | Table row 22 | Surface Protection Mats | Inv Allocated from Red Rocket  | Col ExpenseActualTotal</t>
  </si>
  <si>
    <t>Surface Protection Mats</t>
  </si>
  <si>
    <t xml:space="preserve">Allocated from Red Rocket </t>
  </si>
  <si>
    <t>7th Avenue Park_Tracker.xlsx | Table row 23 | Scheltter Structure | Inv Schletter - INV002624 | Col ExpenseActualTotal</t>
  </si>
  <si>
    <t>Scheltter Structure</t>
  </si>
  <si>
    <t>PO4605-7AP-20260204 - RV Approved</t>
  </si>
  <si>
    <t>Schletter - INV002624</t>
  </si>
  <si>
    <t>7th Avenue Park_Tracker.xlsx | Table row 24 | Scheltter Structure | Inv Schletter - INV002624 | Col ExpenseActualTotal</t>
  </si>
  <si>
    <t>7th Avenue Park_Tracker.xlsx | Table row 26 | Lintels | Inv Lintels for Africa - 234145 | Col ExpenseActualTotal</t>
  </si>
  <si>
    <t>Lintels</t>
  </si>
  <si>
    <t>PO4589-7AP-20260129 - RV Approved</t>
  </si>
  <si>
    <t>Lintels for Africa - 234145</t>
  </si>
  <si>
    <t>7th Avenue Park_Tracker.xlsx | Table row 28 | DC Cable | Inv MSA Energy - INV0003571 | Col ExpenseActualTotal</t>
  </si>
  <si>
    <t>7th Avenue Park_Tracker.xlsx | Table row 32 | Project Kick Off | Inv Photon Solar INV-0159 | Col ExpenseActualTotal</t>
  </si>
  <si>
    <t>Photon Solar INV-0159</t>
  </si>
  <si>
    <t>7th Avenue Park_Tracker.xlsx | Table row 33 | Site Establishment | Inv Photon Solar INV-0163 | Col ExpenseActualTotal</t>
  </si>
  <si>
    <t>Photon Solar INV-0163</t>
  </si>
  <si>
    <t>7th Avenue Park_Tracker.xlsx | Table row 34 | AC Installation Complete | Inv  | Col ExpenseActualTotal</t>
  </si>
  <si>
    <t>7th Avenue Park_Tracker.xlsx | Table row 35 | DC Installation Complete | Inv  | Col ExpenseActualTotal</t>
  </si>
  <si>
    <t>7th Avenue Park_Tracker.xlsx | Table row 36 | Commissioning Complete | Inv  | Col ExpenseActualTotal</t>
  </si>
  <si>
    <t>7th Avenue Park_Tracker.xlsx | Table row 37 | Site De-establisment | Inv  | Col ExpenseActualTotal</t>
  </si>
  <si>
    <t>7th Avenue Park_Tracker.xlsx | Table row 38 | Handover Document Complete | Inv  | Col ExpenseActualTotal</t>
  </si>
  <si>
    <t>7th Avenue Park_Tracker.xlsx | Table row 39 | End of Defects Period | Inv  | Col ExpenseActualTotal</t>
  </si>
  <si>
    <t>7th Avenue Park_Tracker.xlsx | Table row 44 | Smartlogger 3000 | Inv MSA Energy - INV0003571 | Col ExpenseActualTotal</t>
  </si>
  <si>
    <t>7th Avenue Park_Tracker.xlsx | Table row 45 | CTs &amp; Meters | Inv Accuenergy Inv: ASAI-007259 | Col ExpenseActualTotal</t>
  </si>
  <si>
    <t>PO4578-7AP-20260126 - RV Approved</t>
  </si>
  <si>
    <t>Accuenergy Inv: ASAI-007259</t>
  </si>
  <si>
    <t>7th Avenue Park_Tracker.xlsx | Table row 46 | Revenue Grade Meter | Inv  | Col ExpenseActualTotal</t>
  </si>
  <si>
    <t>7th Avenue Park_Tracker.xlsx | Table row 53 | PVDB | Inv  | Col ExpenseActualTotal</t>
  </si>
  <si>
    <t>PO4539-7AP-20251212 - RV Approved</t>
  </si>
  <si>
    <t>7th Avenue Park_Tracker.xlsx | Table row 58 | Project Kick Off | Inv Photon Solar INV-0159 | Col ExpenseActualTotal</t>
  </si>
  <si>
    <t>7th Avenue Park_Tracker.xlsx | Table row 59 | Site Establishment | Inv Photon Solar INV-0163 | Col ExpenseActualTotal</t>
  </si>
  <si>
    <t>7th Avenue Park_Tracker.xlsx | Table row 60 | AC Installation Complete | Inv  | Col ExpenseActualTotal</t>
  </si>
  <si>
    <t>7th Avenue Park_Tracker.xlsx | Table row 61 | DC Installation Complete | Inv  | Col ExpenseActualTotal</t>
  </si>
  <si>
    <t>7th Avenue Park_Tracker.xlsx | Table row 62 | Commissioning Complete | Inv  | Col ExpenseActualTotal</t>
  </si>
  <si>
    <t>7th Avenue Park_Tracker.xlsx | Table row 63 | Site De-establisment | Inv  | Col ExpenseActualTotal</t>
  </si>
  <si>
    <t>7th Avenue Park_Tracker.xlsx | Table row 64 | Handover Document Complete | Inv  | Col ExpenseActualTotal</t>
  </si>
  <si>
    <t>7th Avenue Park_Tracker.xlsx | Table row 65 | End of Defects Period | Inv  | Col ExpenseActualTotal</t>
  </si>
  <si>
    <t>7th Avenue Park_Tracker.xlsx | Table row 79 | Isolator Kiosk | Inv  | Col ExpenseActualTotal</t>
  </si>
  <si>
    <t>Isolator Kiosk</t>
  </si>
  <si>
    <t>7th Avenue Park_Tracker.xlsx | Table row 80 | Anchor Points - Deposit | Inv Hisafe - Inv 00361 | Col ExpenseActualTotal</t>
  </si>
  <si>
    <t>Anchor Points - Deposit</t>
  </si>
  <si>
    <t>PO4566-7AP-20260121 - RV Approved</t>
  </si>
  <si>
    <t>Hisafe - Inv 00361</t>
  </si>
  <si>
    <t>7th Avenue Park_Tracker.xlsx | Table row 81 | Anchor Points - Balance (Riverside deposit payment use as final payment ) | Inv Hisafe - Inv 00361 | Col ExpenseActualTotal</t>
  </si>
  <si>
    <t>Anchor Points - Balance (Riverside deposit payment use as final payment )</t>
  </si>
  <si>
    <t>7th Avenue Park_Tracker.xlsx | Table row 82 | Balance refundable to EE by Hi-Safe | Inv  | Col ExpenseActualTotal</t>
  </si>
  <si>
    <t>Balance refundable to EE by Hi-Safe</t>
  </si>
  <si>
    <t>7th Avenue Park_Tracker.xlsx | Table row 83 | Aircon - Labour Cost | Inv  | Col ExpenseActualTotal</t>
  </si>
  <si>
    <t>Aircon - Labour Cost</t>
  </si>
  <si>
    <t>7th Avenue Park_Tracker.xlsx | Table row 84 | Air Conditioner  - Equipment | Inv  | Col ExpenseActualTotal</t>
  </si>
  <si>
    <t>Air Conditioner  - Equipment</t>
  </si>
  <si>
    <t>7th Avenue Park_Tracker.xlsx | Table row 91 | Project Kick Off | Inv Photon Solar INV-0159 | Col ExpenseActualTotal</t>
  </si>
  <si>
    <t>7th Avenue Park_Tracker.xlsx | Table row 92 | Site Establishment | Inv Photon Solar INV-0163 | Col ExpenseActualTotal</t>
  </si>
  <si>
    <t>7th Avenue Park_Tracker.xlsx | Table row 93 | AC Installation Complete | Inv  | Col ExpenseActualTotal</t>
  </si>
  <si>
    <t>7th Avenue Park_Tracker.xlsx | Table row 94 | DC Installation Complete | Inv  | Col ExpenseActualTotal</t>
  </si>
  <si>
    <t>7th Avenue Park_Tracker.xlsx | Table row 95 | Commissioning Complete | Inv  | Col ExpenseActualTotal</t>
  </si>
  <si>
    <t>7th Avenue Park_Tracker.xlsx | Table row 96 | Site De-establisment | Inv  | Col ExpenseActualTotal</t>
  </si>
  <si>
    <t>7th Avenue Park_Tracker.xlsx | Table row 97 | Handover Document Complete | Inv  | Col ExpenseActualTotal</t>
  </si>
  <si>
    <t>7th Avenue Park_Tracker.xlsx | Table row 98 | End of Defects Period | Inv  | Col ExpenseActualTotal</t>
  </si>
  <si>
    <t>7th Avenue Park_Tracker.xlsx | Table row 107 | Project Kick Off | Inv Photon Solar INV-0159 | Col ExpenseActualTotal</t>
  </si>
  <si>
    <t>7th Avenue Park_Tracker.xlsx | Table row 108 | Site Establishment | Inv Photon Solar INV-0163 | Col ExpenseActualTotal</t>
  </si>
  <si>
    <t>7th Avenue Park_Tracker.xlsx | Table row 109 | AC Installation Complete | Inv  | Col ExpenseActualTotal</t>
  </si>
  <si>
    <t>7th Avenue Park_Tracker.xlsx | Table row 110 | DC Installation Complete | Inv  | Col ExpenseActualTotal</t>
  </si>
  <si>
    <t>7th Avenue Park_Tracker.xlsx | Table row 111 | Commissioning Complete | Inv  | Col ExpenseActualTotal</t>
  </si>
  <si>
    <t>7th Avenue Park_Tracker.xlsx | Table row 112 | Site De-establisment | Inv  | Col ExpenseActualTotal</t>
  </si>
  <si>
    <t>7th Avenue Park_Tracker.xlsx | Table row 113 | Handover Document Complete | Inv  | Col ExpenseActualTotal</t>
  </si>
  <si>
    <t>7th Avenue Park_Tracker.xlsx | Table row 114 | End of Defects Period | Inv  | Col ExpenseActualTotal</t>
  </si>
  <si>
    <t>7th Avenue Park_Tracker.xlsx | Table row 119 | Electrical PrEng sign off | Inv  | Col ExpenseActualTotal</t>
  </si>
  <si>
    <t>7th Avenue Park_Tracker.xlsx | Table row 120 | Structural Sign Off | Inv L&amp;B Consulting - Inv 2124 | Col ExpenseActualTotal</t>
  </si>
  <si>
    <t>L&amp;B Consulting - Inv 2124</t>
  </si>
  <si>
    <t>7th Avenue Park_Tracker.xlsx | Table row 121 | Scada for CoCT | Inv  | Col ExpenseActualTotal</t>
  </si>
  <si>
    <t>7th Avenue Park_Tracker.xlsx | Table row 122 | Red Team Inspection | Inv  | Col ExpenseActualTotal</t>
  </si>
  <si>
    <t>7th Avenue Park_Tracker.xlsx | Table row 125 | PD Fee | Inv  | Col ExpenseActualTotal</t>
  </si>
  <si>
    <t>7th Avenue Park_Tracker.xlsx | Table row 128 | Matriarch Defects Period - 1.25% | Inv  | Col ExpenseActualTotal</t>
  </si>
  <si>
    <t>7th Avenue Park_Tracker.xlsx | Table row 135 | Travel | Inv Exepnse Claim | Col ExpenseActualTotal</t>
  </si>
  <si>
    <t>Exepnse Claim</t>
  </si>
  <si>
    <t>7th Avenue Park_Tracker.xlsx | Table row 136 | Travel | Inv  | Col ExpenseActualTotal</t>
  </si>
  <si>
    <t>7th Avenue Park_Tracker.xlsx | Table row 137 | Travel | Inv  | Col ExpenseActualTotal</t>
  </si>
  <si>
    <t>7th Avenue Park_Tracker.xlsx | Table row 138 | Travel | Inv  | Col ExpenseActualTotal</t>
  </si>
  <si>
    <t>7th Avenue Park_Tracker.xlsx | Table row 148 | New installer Contigency | Inv  | Col ExpenseActualTotal</t>
  </si>
  <si>
    <t>15. Service Add On</t>
  </si>
  <si>
    <t>New installer Contigency</t>
  </si>
  <si>
    <t>Blackheath Park_Tracker.xlsx | Table row 6 | Jinko 590W | Inv Menlo INV0003045 | Col ExpenseActualTotal</t>
  </si>
  <si>
    <t>Jinko 590W</t>
  </si>
  <si>
    <t>PO4058-SBP-20250629 - RV Approved</t>
  </si>
  <si>
    <t>Menlo INV0003045</t>
  </si>
  <si>
    <t>Blackheath Park_Tracker.xlsx | Table row 7 | Jinko 590W - Replacement of damage panels - VO | Inv Menlo INV0003423 | Col ExpenseActualTotal</t>
  </si>
  <si>
    <t>Jinko 590W - Replacement of damage panels - VO</t>
  </si>
  <si>
    <t>Menlo INV0003423</t>
  </si>
  <si>
    <t>Blackheath Park_Tracker.xlsx | Table row 8 | Transport | Inv Menlo INV0003423 | Col ExpenseActualTotal</t>
  </si>
  <si>
    <t>Transport</t>
  </si>
  <si>
    <t>Blackheath Park_Tracker.xlsx | Table row 13 | Huawei 100KTL | Inv Menlo INV0003045 | Col ExpenseActualTotal</t>
  </si>
  <si>
    <t>Blackheath Park_Tracker.xlsx | Table row 21 | Schletter Structure | Inv Schletter - INV1984 | Col ExpenseActualTotal</t>
  </si>
  <si>
    <t>PO4142-BLH-20250721 - RV Approved</t>
  </si>
  <si>
    <t>Schletter - INV1984</t>
  </si>
  <si>
    <t>Blackheath Park_Tracker.xlsx | Table row 28 | DC Cable - To be delivered | Inv Menlo INV0003045 | Col ExpenseActualTotal</t>
  </si>
  <si>
    <t>DC Cable - To be delivered</t>
  </si>
  <si>
    <t>Blackheath Park_Tracker.xlsx | Table row 29 | Dc cable moved to Milkwood  | Inv Allocated to Milkwood | Col ExpenseActualTotal</t>
  </si>
  <si>
    <t xml:space="preserve">Dc cable moved to Milkwood </t>
  </si>
  <si>
    <t>Allocated to Milkwood</t>
  </si>
  <si>
    <t>Blackheath Park_Tracker.xlsx | Table row 30 | DC Cable | Inv Menlo INV0003324 | Col ExpenseActualTotal</t>
  </si>
  <si>
    <t>Menlo INV0003324</t>
  </si>
  <si>
    <t>Blackheath Park_Tracker.xlsx | Table row 31 | DC Cable | Inv Menlo INV003399 | Col ExpenseActualTotal</t>
  </si>
  <si>
    <t>Menlo INV003399</t>
  </si>
  <si>
    <t>Blackheath Park_Tracker.xlsx | Table row 32 | DC cable from stock - Black | Inv Allocated from Cpt Storeroom | Col ExpenseActualTotal</t>
  </si>
  <si>
    <t>DC cable from stock - Black</t>
  </si>
  <si>
    <t>Blackheath Park_Tracker.xlsx | Table row 33 | DC cable from stock - Red | Inv Allocated from Cpt Storeroom | Col ExpenseActualTotal</t>
  </si>
  <si>
    <t>DC cable from stock - Red</t>
  </si>
  <si>
    <t>Blackheath Park_Tracker.xlsx | Table row 34 | Project Kick Off | Inv CS_BHP_001 | Col ExpenseActualTotal</t>
  </si>
  <si>
    <t>CS_BHP_001</t>
  </si>
  <si>
    <t>Blackheath Park_Tracker.xlsx | Table row 35 | Site Establishment | Inv CS_BHP_001 | Col ExpenseActualTotal</t>
  </si>
  <si>
    <t>Blackheath Park_Tracker.xlsx | Table row 36 | AC Installation Complete | Inv CS_BHP_001 | Col ExpenseActualTotal</t>
  </si>
  <si>
    <t>Blackheath Park_Tracker.xlsx | Table row 37 | DC Installation Complete | Inv CS_BHP_001 | Col ExpenseActualTotal</t>
  </si>
  <si>
    <t>Blackheath Park_Tracker.xlsx | Table row 38 | Commissioning Complete | Inv CS_BHP_001 | Col ExpenseActualTotal</t>
  </si>
  <si>
    <t>Blackheath Park_Tracker.xlsx | Table row 39 | Site De-establisment | Inv CS_BHP_001 | Col ExpenseActualTotal</t>
  </si>
  <si>
    <t>Blackheath Park_Tracker.xlsx | Table row 40 | Handover Document Complete | Inv CS_BHP_001 | Col ExpenseActualTotal</t>
  </si>
  <si>
    <t>Blackheath Park_Tracker.xlsx | Table row 41 | End of Defects Period | Inv CS_BHP_001 | Col ExpenseActualTotal</t>
  </si>
  <si>
    <t>Blackheath Park_Tracker.xlsx | Table row 46 | Smartlogger | Inv Menlo INV0003045 | Col ExpenseActualTotal</t>
  </si>
  <si>
    <t>Smartlogger</t>
  </si>
  <si>
    <t>Blackheath Park_Tracker.xlsx | Table row 47 | CTs &amp; Meters | Inv AccuEnergy ASAI-005839 | Col ExpenseActualTotal</t>
  </si>
  <si>
    <t>PO4060-BHL-20250630 - RV Approved</t>
  </si>
  <si>
    <t>AccuEnergy ASAI-005839</t>
  </si>
  <si>
    <t>Blackheath Park_Tracker.xlsx | Table row 48 | Techsitter | Inv Matriarch - INV-4742 | Col ExpenseActualTotal</t>
  </si>
  <si>
    <t>Matriarch - INV-4742</t>
  </si>
  <si>
    <t>Blackheath Park_Tracker.xlsx | Table row 49 | Delivery of Techsitter Meter | Inv DSV Inv: 180138260 | Col ExpenseActualTotal</t>
  </si>
  <si>
    <t>Delivery of Techsitter Meter</t>
  </si>
  <si>
    <t>DSV Inv: 180138260</t>
  </si>
  <si>
    <t>Blackheath Park_Tracker.xlsx | Table row 50 | Summation CTs | Inv Accuenergy - ASAI-006210 | Col ExpenseActualTotal</t>
  </si>
  <si>
    <t>Summation CTs</t>
  </si>
  <si>
    <t>PO4260-BHL-20250821 - RV Approved</t>
  </si>
  <si>
    <t>Accuenergy - ASAI-006210</t>
  </si>
  <si>
    <t>Blackheath Park_Tracker.xlsx | Table row 51 | Battery  | Inv Red Pole - SO-35912 | Col ExpenseActualTotal</t>
  </si>
  <si>
    <t xml:space="preserve">Battery </t>
  </si>
  <si>
    <t>Blackheath Park_Tracker.xlsx | Table row 52 | Power Supply | Inv Allocated from Freeway Park | Col ExpenseActualTotal</t>
  </si>
  <si>
    <t>Allocated from Freeway Park</t>
  </si>
  <si>
    <t>Blackheath Park_Tracker.xlsx | Table row 56 | PVDB | Inv Switchboard 2-SOI002245 | Col ExpenseActualTotal</t>
  </si>
  <si>
    <t>PO4160-BLH-20250725 - RV Approved</t>
  </si>
  <si>
    <t>Switchboard 2-SOI002245</t>
  </si>
  <si>
    <t>Blackheath Park_Tracker.xlsx | Table row 58 | Tie In kiosk | Inv Caltest CLTI1549 | Col ExpenseActualTotal</t>
  </si>
  <si>
    <t>Tie In kiosk</t>
  </si>
  <si>
    <t>PO4027-BLH-20250624 - RV Approved</t>
  </si>
  <si>
    <t>Caltest CLTI1549</t>
  </si>
  <si>
    <t>Blackheath Park_Tracker.xlsx | Table row 59 |  | Inv Caltest CLTI1621 | Col ExpenseActualTotal</t>
  </si>
  <si>
    <t>Caltest CLTI1621</t>
  </si>
  <si>
    <t>Blackheath Park_Tracker.xlsx | Table row 61 | Project Kick Off | Inv CS_BHP_001 | Col ExpenseActualTotal</t>
  </si>
  <si>
    <t>Blackheath Park_Tracker.xlsx | Table row 62 | Site Establishment | Inv CS_BHP_001 | Col ExpenseActualTotal</t>
  </si>
  <si>
    <t>Blackheath Park_Tracker.xlsx | Table row 63 | AC Installation Complete | Inv CS_BHP_001 | Col ExpenseActualTotal</t>
  </si>
  <si>
    <t>Blackheath Park_Tracker.xlsx | Table row 64 | DC Installation Complete | Inv CS_BHP_001 | Col ExpenseActualTotal</t>
  </si>
  <si>
    <t>Blackheath Park_Tracker.xlsx | Table row 65 | Commissioning Complete | Inv CS_BHP_001 | Col ExpenseActualTotal</t>
  </si>
  <si>
    <t>Blackheath Park_Tracker.xlsx | Table row 66 | Site De-establisment | Inv CS_BHP_001 | Col ExpenseActualTotal</t>
  </si>
  <si>
    <t>Blackheath Park_Tracker.xlsx | Table row 67 | Handover Document Complete | Inv CS_BHP_001 | Col ExpenseActualTotal</t>
  </si>
  <si>
    <t>Blackheath Park_Tracker.xlsx | Table row 68 | End of Defects Period | Inv CS_BHP_001 | Col ExpenseActualTotal</t>
  </si>
  <si>
    <t>Blackheath Park_Tracker.xlsx | Table row 84 | INVERTER CAGE | Inv The Engineering Hub - INV/2025/08/0304 | Col ExpenseActualTotal</t>
  </si>
  <si>
    <t>INVERTER CAGE</t>
  </si>
  <si>
    <t>PO4198-BLH-20250508 - RV Approved</t>
  </si>
  <si>
    <t>The Engineering Hub - INV/2025/08/0304</t>
  </si>
  <si>
    <t>Blackheath Park_Tracker.xlsx | Table row 86 | Additional Trunking from new roof to DB - VO | Inv Cosmic Sun - CS_BHP_008 | Col ExpenseActualTotal</t>
  </si>
  <si>
    <t>Additional Trunking from new roof to DB - VO</t>
  </si>
  <si>
    <t>PO4474-SBP-20251117 - RV Approved</t>
  </si>
  <si>
    <t>Cosmic Sun - CS_BHP_008</t>
  </si>
  <si>
    <t>Blackheath Park_Tracker.xlsx | Table row 93 | Project Kick Off | Inv CS_BHP_001 | Col ExpenseActualTotal</t>
  </si>
  <si>
    <t>Blackheath Park_Tracker.xlsx | Table row 94 | Site Establishment | Inv CS_BHP_001 | Col ExpenseActualTotal</t>
  </si>
  <si>
    <t>Blackheath Park_Tracker.xlsx | Table row 95 | AC Installation Complete | Inv CS_BHP_002 | Col ExpenseActualTotal</t>
  </si>
  <si>
    <t>CS_BHP_002</t>
  </si>
  <si>
    <t>Blackheath Park_Tracker.xlsx | Table row 96 | DC Installation Complete | Inv CS_BHP_003 | Col ExpenseActualTotal</t>
  </si>
  <si>
    <t>CS_BHP_003</t>
  </si>
  <si>
    <t>Blackheath Park_Tracker.xlsx | Table row 97 | DC Installation Complete | Inv CS_BHP_003 | Col ExpenseActualTotal</t>
  </si>
  <si>
    <t>Blackheath Park_Tracker.xlsx | Table row 98 | Commissioning Complete | Inv CS_BHP_004 | Col ExpenseActualTotal</t>
  </si>
  <si>
    <t>CS_BHP_004</t>
  </si>
  <si>
    <t>Blackheath Park_Tracker.xlsx | Table row 99 | Site De-establisment | Inv CS_BHP_005 | Col ExpenseActualTotal</t>
  </si>
  <si>
    <t>CS_BHP_005</t>
  </si>
  <si>
    <t>Blackheath Park_Tracker.xlsx | Table row 100 | Handover Document Complete | Inv CS_BHP_006 | Col ExpenseActualTotal</t>
  </si>
  <si>
    <t>CS_BHP_006</t>
  </si>
  <si>
    <t>Blackheath Park_Tracker.xlsx | Table row 101 | End of Defects Period | Inv CS_BHP_011 | Col ExpenseActualTotal</t>
  </si>
  <si>
    <t>CS_BHP_011</t>
  </si>
  <si>
    <t>Blackheath Park_Tracker.xlsx | Table row 106 | Offloading | Inv Matthews Group:MG INV-1497 | Col ExpenseActualTotal</t>
  </si>
  <si>
    <t>Offloading</t>
  </si>
  <si>
    <t>Matthews Group:MG INV-1497</t>
  </si>
  <si>
    <t>Blackheath Park_Tracker.xlsx | Table row 107 | Container Rental | Inv Container World: PFC02317 | Col ExpenseActualTotal</t>
  </si>
  <si>
    <t>Container Rental</t>
  </si>
  <si>
    <t>Container World: PFC02317</t>
  </si>
  <si>
    <t>Blackheath Park_Tracker.xlsx | Table row 108 |  | Inv Container World - C581576 | Col ExpenseActualTotal</t>
  </si>
  <si>
    <t>Container World - C581576</t>
  </si>
  <si>
    <t>Blackheath Park_Tracker.xlsx | Table row 109 |  | Inv Container World - CM19730 | Col ExpenseActualTotal</t>
  </si>
  <si>
    <t>Container World - CM19730</t>
  </si>
  <si>
    <t>Blackheath Park_Tracker.xlsx | Table row 111 | Container Rental - August | Inv Container World - C585033 | Col ExpenseActualTotal</t>
  </si>
  <si>
    <t>Container Rental - August</t>
  </si>
  <si>
    <t>Container World - C585033</t>
  </si>
  <si>
    <t>Blackheath Park_Tracker.xlsx | Table row 112 | Container Rental - September | Inv Container World - C588468 | Col ExpenseActualTotal</t>
  </si>
  <si>
    <t>Container Rental - September</t>
  </si>
  <si>
    <t>Container World - C588468</t>
  </si>
  <si>
    <t>Blackheath Park_Tracker.xlsx | Table row 113 |  | Inv Container World - CCM13069 | Col ExpenseActualTotal</t>
  </si>
  <si>
    <t>Container World - CCM13069</t>
  </si>
  <si>
    <t>Blackheath Park_Tracker.xlsx | Table row 114 |  | Inv Container World - PFC02317 | Col ExpenseActualTotal</t>
  </si>
  <si>
    <t>Container World - PFC02317</t>
  </si>
  <si>
    <t>Blackheath Park_Tracker.xlsx | Table row 115 |  | Inv Container World - C580802 | Col ExpenseActualTotal</t>
  </si>
  <si>
    <t>Container World - C580802</t>
  </si>
  <si>
    <t>Blackheath Park_Tracker.xlsx | Table row 116 | Container Rental - October | Inv Container World - C591996 | Col ExpenseActualTotal</t>
  </si>
  <si>
    <t>Container Rental - October</t>
  </si>
  <si>
    <t>Container World - C591996</t>
  </si>
  <si>
    <t>Blackheath Park_Tracker.xlsx | Table row 117 | Container Rental - November | Inv Container World - C595540 | Col ExpenseActualTotal</t>
  </si>
  <si>
    <t>Container Rental - November</t>
  </si>
  <si>
    <t>Container World - C595540</t>
  </si>
  <si>
    <t>Blackheath Park_Tracker.xlsx | Table row 118 | Container Rental - December | Inv Container World - C599042 | Col ExpenseActualTotal</t>
  </si>
  <si>
    <t>Container Rental - December</t>
  </si>
  <si>
    <t>Container World - C599042</t>
  </si>
  <si>
    <t>Blackheath Park_Tracker.xlsx | Table row 119 | Container Rental - January | Inv Container World - C602492 | Col ExpenseActualTotal</t>
  </si>
  <si>
    <t>Container Rental - January</t>
  </si>
  <si>
    <t>Container World - C602492</t>
  </si>
  <si>
    <t>Blackheath Park_Tracker.xlsx | Table row 120 | Container Rental - February | Inv Container World - C605863 | Col ExpenseActualTotal</t>
  </si>
  <si>
    <t>Container Rental - February</t>
  </si>
  <si>
    <t>Container World - C605863</t>
  </si>
  <si>
    <t>Blackheath Park_Tracker.xlsx | Table row 121 | Project Kick Off | Inv CS_BHP_001 | Col ExpenseActualTotal</t>
  </si>
  <si>
    <t>Blackheath Park_Tracker.xlsx | Table row 122 | Site Establishment | Inv CS_BHP_001 | Col ExpenseActualTotal</t>
  </si>
  <si>
    <t>Blackheath Park_Tracker.xlsx | Table row 123 | AC Installation Complete | Inv CS_BHP_001 | Col ExpenseActualTotal</t>
  </si>
  <si>
    <t>Blackheath Park_Tracker.xlsx | Table row 124 | DC Installation Complete | Inv CS_BHP_001 | Col ExpenseActualTotal</t>
  </si>
  <si>
    <t>Blackheath Park_Tracker.xlsx | Table row 125 | Commissioning Complete | Inv CS_BHP_001 | Col ExpenseActualTotal</t>
  </si>
  <si>
    <t>Blackheath Park_Tracker.xlsx | Table row 126 | Site De-establisment | Inv CS_BHP_001 | Col ExpenseActualTotal</t>
  </si>
  <si>
    <t>Blackheath Park_Tracker.xlsx | Table row 127 | Handover Document Complete | Inv CS_BHP_001 | Col ExpenseActualTotal</t>
  </si>
  <si>
    <t>Blackheath Park_Tracker.xlsx | Table row 128 | End of Defects Period | Inv CS_BHP_001 | Col ExpenseActualTotal</t>
  </si>
  <si>
    <t>Blackheath Park_Tracker.xlsx | Table row 133 | Electrical PrEng sign off | Inv Sunspot - E032 | Col ExpenseActualTotal</t>
  </si>
  <si>
    <t>Sunspot - E032</t>
  </si>
  <si>
    <t>Blackheath Park_Tracker.xlsx | Table row 134 | Structural sign off | Inv L&amp;B Consulting: INV-2037 | Col ExpenseActualTotal</t>
  </si>
  <si>
    <t>Structural sign off</t>
  </si>
  <si>
    <t>L&amp;B Consulting: INV-2037</t>
  </si>
  <si>
    <t>Blackheath Park_Tracker.xlsx | Table row 135 | SSEG contingency for ESKOM  | Inv  | Col ExpenseActualTotal</t>
  </si>
  <si>
    <t xml:space="preserve">SSEG contingency for ESKOM </t>
  </si>
  <si>
    <t>Blackheath Park_Tracker.xlsx | Table row 136 | Red Team - Completed by Happy Solar | Inv HappySolar - INV-0343 | Col ExpenseActualTotal</t>
  </si>
  <si>
    <t>Red Team - Completed by Happy Solar</t>
  </si>
  <si>
    <t>PO4477-SBP-20251118 - RV Approved</t>
  </si>
  <si>
    <t>HappySolar - INV-0343</t>
  </si>
  <si>
    <t>Blackheath Park_Tracker.xlsx | Table row 142 | Matriarch Defects Period - 1.25% | Inv  | Col ExpenseActualTotal</t>
  </si>
  <si>
    <t>Blackheath Park_Tracker.xlsx | Table row 149 | Travel | Inv Expense Claim | Col ExpenseActualTotal</t>
  </si>
  <si>
    <t>Expense Claim</t>
  </si>
  <si>
    <t>Blackheath Park_Tracker.xlsx | Table row 150 | Travel | Inv Expense Claim | Col ExpenseActualTotal</t>
  </si>
  <si>
    <t>Blackheath Park_Tracker.xlsx | Table row 151 | Travel | Inv Expense Claim | Col ExpenseActualTotal</t>
  </si>
  <si>
    <t>Blackheath Park_Tracker.xlsx | Table row 152 | Travel | Inv Expense Claim | Col ExpenseActualTotal</t>
  </si>
  <si>
    <t>Blackheath Park_Tracker.xlsx | Table row 153 | Travel | Inv Expense Claim | Col ExpenseActualTotal</t>
  </si>
  <si>
    <t>Blackheath Park_Tracker.xlsx | Table row 154 | Travel | Inv Expense Claim | Col ExpenseActualTotal</t>
  </si>
  <si>
    <t>Blackheath Park_Tracker.xlsx | Table row 155 | Travel | Inv Expense Claim | Col ExpenseActualTotal</t>
  </si>
  <si>
    <t>Blackheath Park_Tracker.xlsx | Table row 156 | Travel | Inv Expense Claim | Col ExpenseActualTotal</t>
  </si>
  <si>
    <t>Blackheath Park_Tracker.xlsx | Table row 157 | Travel | Inv  | Col ExpenseActualTotal</t>
  </si>
  <si>
    <t>Blackheath Park_Tracker.xlsx | Table row 158 | Travel | Inv  | Col ExpenseActualTotal</t>
  </si>
  <si>
    <t>Blackheath Park_Tracker.xlsx | Table row 162 | CS - DC Labour to uninstall and reinstall 72 panels - VO | Inv Cosmic Sun - CS_BHP_009 | Col ExpenseActualTotal</t>
  </si>
  <si>
    <t>CS - DC Labour to uninstall and reinstall 72 panels - VO</t>
  </si>
  <si>
    <t>PO4530-SBP-20251209 - RV Approved</t>
  </si>
  <si>
    <t>Cosmic Sun - CS_BHP_009</t>
  </si>
  <si>
    <t>Blackheath Park_Tracker.xlsx | Table row 163 |  | Inv Cosmic Sun - CS_BHP_009 | Col ExpenseActualTotal</t>
  </si>
  <si>
    <t>Blackheath Park_Tracker.xlsx | Table row 164 |  | Inv Cosmic Sun - CS_BHP_009 | Col ExpenseActualTotal</t>
  </si>
  <si>
    <t>Blackheath Park_Tracker.xlsx | Table row 165 | Reinstallation of Panels - VO | Inv Cosmic Sun - CS_BHP_010 | Col ExpenseActualTotal</t>
  </si>
  <si>
    <t>Reinstallation of Panels - VO</t>
  </si>
  <si>
    <t>Cosmic Sun - CS_BHP_010</t>
  </si>
  <si>
    <t>Blackheath Park_Tracker.xlsx | Table row 166 | Installation LV Panel - VO | Inv Caltest - CLTI1633 | Col ExpenseActualTotal</t>
  </si>
  <si>
    <t>Installation LV Panel - VO</t>
  </si>
  <si>
    <t>Caltest - CLTI1633</t>
  </si>
  <si>
    <t>BMG Fluid Tech_Tracker.xlsx | Table row 6 | JA Solar 615 | Inv Menlo INV0003177 | Col ExpenseActualTotal</t>
  </si>
  <si>
    <t>JA Solar 615</t>
  </si>
  <si>
    <t>Menlo INV0003177</t>
  </si>
  <si>
    <t>BMG Fluid Tech_Tracker.xlsx | Table row 7 | Transport - Futile trip | Inv Menlo INV0003177 | Col ExpenseActualTotal</t>
  </si>
  <si>
    <t>Transport - Futile trip</t>
  </si>
  <si>
    <t>BMG Fluid Tech_Tracker.xlsx | Table row 8 | JA Solar 615 | Inv Menlo INV0003504 | Col ExpenseActualTotal</t>
  </si>
  <si>
    <t>Menlo INV0003504</t>
  </si>
  <si>
    <t>BMG Fluid Tech_Tracker.xlsx | Table row 9 | Transport | Inv Menlo INV0003504 | Col ExpenseActualTotal</t>
  </si>
  <si>
    <t>BMG Fluid Tech_Tracker.xlsx | Table row 13 | Huawei 100KTL | Inv Menlo - INV0003112 | Col ExpenseActualTotal</t>
  </si>
  <si>
    <t>Menlo - INV0003112</t>
  </si>
  <si>
    <t>BMG Fluid Tech_Tracker.xlsx | Table row 21 | Schletter Structure - Deposit | Inv Schletter - INV1971 | Col ExpenseActualTotal</t>
  </si>
  <si>
    <t>Schletter Structure - Deposit</t>
  </si>
  <si>
    <t>PO4094-BMGFT-20250707</t>
  </si>
  <si>
    <t>Schletter - INV1971</t>
  </si>
  <si>
    <t>BMG Fluid Tech_Tracker.xlsx | Table row 22 | Schletter - Balance | Inv Schletter - INVQ0135 | Col ExpenseActualTotal</t>
  </si>
  <si>
    <t>Schletter - Balance</t>
  </si>
  <si>
    <t>Schletter - INVQ0135</t>
  </si>
  <si>
    <t>BMG Fluid Tech_Tracker.xlsx | Table row 23 |  | Inv Schletter - INVQ0135 | Col ExpenseActualTotal</t>
  </si>
  <si>
    <t>BMG Fluid Tech_Tracker.xlsx | Table row 24 |  | Inv Schletter - CRN0273 | Col ExpenseActualTotal</t>
  </si>
  <si>
    <t>Schletter - CRN0273</t>
  </si>
  <si>
    <t>BMG Fluid Tech_Tracker.xlsx | Table row 25 |  | Inv Schletter - INV2238 | Col ExpenseActualTotal</t>
  </si>
  <si>
    <t>Schletter - INV2238</t>
  </si>
  <si>
    <t>BMG Fluid Tech_Tracker.xlsx | Table row 26 | Delivery Charge | Inv Schletter - INV2416 | Col ExpenseActualTotal</t>
  </si>
  <si>
    <t>Delivery Charge</t>
  </si>
  <si>
    <t>Schletter - INV2416</t>
  </si>
  <si>
    <t>BMG Fluid Tech_Tracker.xlsx | Table row 27 | CT Struts | Inv Schletter - INV2528 | Col ExpenseActualTotal</t>
  </si>
  <si>
    <t>CT Struts</t>
  </si>
  <si>
    <t>Schletter - INV2528</t>
  </si>
  <si>
    <t>BMG Fluid Tech_Tracker.xlsx | Table row 29 | Civil Engineering Services - Schletter | Inv Schletter INVQ0136 | Col ExpenseActualTotal</t>
  </si>
  <si>
    <t>Civil Engineering Services - Schletter</t>
  </si>
  <si>
    <t>PO4139-BMGFT-20250721</t>
  </si>
  <si>
    <t>Schletter INVQ0136</t>
  </si>
  <si>
    <t>BMG Fluid Tech_Tracker.xlsx | Table row 30 |  | Inv Schletter INVQ0136 | Col ExpenseActualTotal</t>
  </si>
  <si>
    <t>BMG Fluid Tech_Tracker.xlsx | Table row 31 |  | Inv Schletter - INV2518 | Col ExpenseActualTotal</t>
  </si>
  <si>
    <t>Schletter - INV2518</t>
  </si>
  <si>
    <t>BMG Fluid Tech_Tracker.xlsx | Table row 33 | Carport Installation - iEco Solar | Inv Ieco Solar InvEME01 | Col ExpenseActualTotal</t>
  </si>
  <si>
    <t>Carport Installation - iEco Solar</t>
  </si>
  <si>
    <t>PO4207-BMGFT-20250807 - RV Approved</t>
  </si>
  <si>
    <t>Ieco Solar InvEME01</t>
  </si>
  <si>
    <t>BMG Fluid Tech_Tracker.xlsx | Table row 34 |  | Inv Ieco Solar InvEME02 | Col ExpenseActualTotal</t>
  </si>
  <si>
    <t>Ieco Solar InvEME02</t>
  </si>
  <si>
    <t>BMG Fluid Tech_Tracker.xlsx | Table row 35 |  | Inv Ieco Solar InvEME02 | Col ExpenseActualTotal</t>
  </si>
  <si>
    <t>BMG Fluid Tech_Tracker.xlsx | Table row 36 |  | Inv Ieco Solar InvEME02 | Col ExpenseActualTotal</t>
  </si>
  <si>
    <t>BMG Fluid Tech_Tracker.xlsx | Table row 38 | Re-establishment Cost - Carport Variation - Cost TBC (RV Approved) - VO | Inv  | Col ExpenseActualTotal</t>
  </si>
  <si>
    <t>Re-establishment Cost - Carport Variation - Cost TBC (RV Approved) - VO</t>
  </si>
  <si>
    <t>BMG Fluid Tech_Tracker.xlsx | Table row 42 | DC Cable | Inv Rubicon INVWCRE-0069699 | Col ExpenseActualTotal</t>
  </si>
  <si>
    <t>PO4182-BMGFT-2025073 - RV Approved</t>
  </si>
  <si>
    <t>Rubicon INVWCRE-0069699</t>
  </si>
  <si>
    <t>BMG Fluid Tech_Tracker.xlsx | Table row 43 |  | Inv Rubicon INVWCRE-0069699 | Col ExpenseActualTotal</t>
  </si>
  <si>
    <t>BMG Fluid Tech_Tracker.xlsx | Table row 46 | Project Kick Off | Inv Cosmic Sun: CS_BMG_001_AC DC | Col ExpenseActualTotal</t>
  </si>
  <si>
    <t>PO4166-BMGFT-20250728 - RV Approved</t>
  </si>
  <si>
    <t>Cosmic Sun: CS_BMG_001_AC DC</t>
  </si>
  <si>
    <t>BMG Fluid Tech_Tracker.xlsx | Table row 47 | Site Establishment | Inv Cosmic Sun - CS_BMG_002_AC DC | Col ExpenseActualTotal</t>
  </si>
  <si>
    <t>Cosmic Sun - CS_BMG_002_AC DC</t>
  </si>
  <si>
    <t>BMG Fluid Tech_Tracker.xlsx | Table row 48 | AC Installation Complete | Inv Cosmic Sun - CS_BMG_002_AC DC | Col ExpenseActualTotal</t>
  </si>
  <si>
    <t>BMG Fluid Tech_Tracker.xlsx | Table row 49 | DC Installation Complete | Inv Cosmic Sun - CS_BMG_002_AC DC | Col ExpenseActualTotal</t>
  </si>
  <si>
    <t>BMG Fluid Tech_Tracker.xlsx | Table row 50 | Commissioning Complete | Inv Cosmic Sun - CS_BMG_002_AC DC | Col ExpenseActualTotal</t>
  </si>
  <si>
    <t>BMG Fluid Tech_Tracker.xlsx | Table row 51 | Site De-establisment | Inv Cosmic Sun - CS_BMG_002_AC DC | Col ExpenseActualTotal</t>
  </si>
  <si>
    <t>BMG Fluid Tech_Tracker.xlsx | Table row 52 | Handover Document Complete | Inv Cosmic Sun - CS_BMG_002_AC DC | Col ExpenseActualTotal</t>
  </si>
  <si>
    <t>BMG Fluid Tech_Tracker.xlsx | Table row 53 | End of Defects Period | Inv Cosmic Sun - CS_BMG_002_AC DC | Col ExpenseActualTotal</t>
  </si>
  <si>
    <t>BMG Fluid Tech_Tracker.xlsx | Table row 59 | CTs Techsitter, Router and Switch | Inv Accuenergy - ASAI-006262 | Col ExpenseActualTotal</t>
  </si>
  <si>
    <t>CTs Techsitter, Router and Switch</t>
  </si>
  <si>
    <t>PO4080-BMG-20250701 - RV Approved</t>
  </si>
  <si>
    <t>Accuenergy - ASAI-006262</t>
  </si>
  <si>
    <t>BMG Fluid Tech_Tracker.xlsx | Table row 60 | Techsitter | Inv Matriarch - INV-4999 | Col ExpenseActualTotal</t>
  </si>
  <si>
    <t>Matriarch - INV-4999</t>
  </si>
  <si>
    <t>BMG Fluid Tech_Tracker.xlsx | Table row 61 | Smartlogger- RMA from Kroonstad  | Inv Allocated from Kroonstad | Col ExpenseActualTotal</t>
  </si>
  <si>
    <t xml:space="preserve">Smartlogger- RMA from Kroonstad </t>
  </si>
  <si>
    <t>Allocated from Kroonstad</t>
  </si>
  <si>
    <t>BMG Fluid Tech_Tracker.xlsx | Table row 62 | Grid meter and CTs | Inv Accuenergy - ASAI-007074 | Col ExpenseActualTotal</t>
  </si>
  <si>
    <t>Grid meter and CTs</t>
  </si>
  <si>
    <t>PO4525-BMGFT-20251208 - RV Approved</t>
  </si>
  <si>
    <t>Accuenergy - ASAI-007074</t>
  </si>
  <si>
    <t>BMG Fluid Tech_Tracker.xlsx | Table row 63 | Rogowski Coils | Inv Accuenergy - ASAI-006969 | Col ExpenseActualTotal</t>
  </si>
  <si>
    <t>Rogowski Coils</t>
  </si>
  <si>
    <t>Accuenergy - ASAI-006969</t>
  </si>
  <si>
    <t>BMG Fluid Tech_Tracker.xlsx | Table row 64 | Energy Meter | Inv Accuenergy - ASAI-006969 | Col ExpenseActualTotal</t>
  </si>
  <si>
    <t>Energy Meter</t>
  </si>
  <si>
    <t>BMG Fluid Tech_Tracker.xlsx | Table row 73 | Project Kick Off | Inv Cosmic Sun: CS_BMG_001_AC DC | Col ExpenseActualTotal</t>
  </si>
  <si>
    <t>BMG Fluid Tech_Tracker.xlsx | Table row 74 | Site Establishment | Inv Cosmic Sun - CS_BMG_002_AC DC | Col ExpenseActualTotal</t>
  </si>
  <si>
    <t>BMG Fluid Tech_Tracker.xlsx | Table row 75 | AC Installation Complete | Inv Cosmic Sun - CS_BMG_002_AC DC | Col ExpenseActualTotal</t>
  </si>
  <si>
    <t>BMG Fluid Tech_Tracker.xlsx | Table row 76 | DC Installation Complete | Inv Cosmic Sun - CS_BMG_002_AC DC | Col ExpenseActualTotal</t>
  </si>
  <si>
    <t>BMG Fluid Tech_Tracker.xlsx | Table row 77 | Commissioning Complete | Inv Cosmic Sun - CS_BMG_002_AC DC | Col ExpenseActualTotal</t>
  </si>
  <si>
    <t>BMG Fluid Tech_Tracker.xlsx | Table row 78 | Site De-establisment | Inv Cosmic Sun - CS_BMG_002_AC DC | Col ExpenseActualTotal</t>
  </si>
  <si>
    <t>BMG Fluid Tech_Tracker.xlsx | Table row 79 | Handover Document Complete | Inv Cosmic Sun - CS_BMG_002_AC DC | Col ExpenseActualTotal</t>
  </si>
  <si>
    <t>BMG Fluid Tech_Tracker.xlsx | Table row 80 | End of Defects Period | Inv Cosmic Sun - CS_BMG_002_AC DC | Col ExpenseActualTotal</t>
  </si>
  <si>
    <t>BMG Fluid Tech_Tracker.xlsx | Table row 82 | Variation Breaker and Delivery - Cosmic Sun - VO | Inv CS_BMG_005_VO | Col ExpenseActualTotal</t>
  </si>
  <si>
    <t>Variation Breaker and Delivery - Cosmic Sun - VO</t>
  </si>
  <si>
    <t>PO4313-BMGFT-20250916 - RV Approved</t>
  </si>
  <si>
    <t>CS_BMG_005_VO</t>
  </si>
  <si>
    <t>BMG Fluid Tech_Tracker.xlsx | Table row 83 | Variation Additional AC cable excluding 95mm - Cosmic Sun - VO | Inv CS_BMG_005_VO | Col ExpenseActualTotal</t>
  </si>
  <si>
    <t>Variation Additional AC cable excluding 95mm - Cosmic Sun - VO</t>
  </si>
  <si>
    <t>BMG Fluid Tech_Tracker.xlsx | Table row 84 | Variation Additional AC cable 95mm - Cosmic Sun - VO | Inv CS_BMG_006_VO | Col ExpenseActualTotal</t>
  </si>
  <si>
    <t>Variation Additional AC cable 95mm - Cosmic Sun - VO</t>
  </si>
  <si>
    <t>CS_BMG_006_VO</t>
  </si>
  <si>
    <t>BMG Fluid Tech_Tracker.xlsx | Table row 100 | Battery Storage Container with HVAC systems | Inv GivEnergy INV-0012 | Col ExpenseActualTotal</t>
  </si>
  <si>
    <t>Battery Storage Container with HVAC systems</t>
  </si>
  <si>
    <t>GivEnergy INV-0012</t>
  </si>
  <si>
    <t>BMG Fluid Tech_Tracker.xlsx | Table row 101 |  | Inv GivEnergy INV-0012 | Col ExpenseActualTotal</t>
  </si>
  <si>
    <t>BMG Fluid Tech_Tracker.xlsx | Table row 103 | Changeover DB &amp; Boards Customization - Cosmic Sun | Inv Cosmic Sun - CS_BMG_004_VO | Col ExpenseActualTotal</t>
  </si>
  <si>
    <t>Changeover DB &amp; Boards Customization - Cosmic Sun</t>
  </si>
  <si>
    <t>PO4247-BMGFT-20250820 - RV Approved</t>
  </si>
  <si>
    <t>Cosmic Sun - CS_BMG_004_VO</t>
  </si>
  <si>
    <t>BMG Fluid Tech_Tracker.xlsx | Table row 106 | BESS Container Concrete Plinths - Fidelis | Inv Fidelis Solar - INV0000186 | Col ExpenseActualTotal</t>
  </si>
  <si>
    <t>BESS Container Concrete Plinths - Fidelis</t>
  </si>
  <si>
    <t>PO4316-BMGFT-20250916 - RV approved</t>
  </si>
  <si>
    <t>Fidelis Solar - INV0000186</t>
  </si>
  <si>
    <t>BMG Fluid Tech_Tracker.xlsx | Table row 108 | Fiber | Inv Volkirk Properties - INV0001309 | Col ExpenseActualTotal</t>
  </si>
  <si>
    <t>Fiber</t>
  </si>
  <si>
    <t>PO4479-BMGFT-20251119 - RV Approved</t>
  </si>
  <si>
    <t>Volkirk Properties - INV0001309</t>
  </si>
  <si>
    <t>BMG Fluid Tech_Tracker.xlsx | Table row 109 | Fibre | Inv Volkirk Properties - INV0001336 | Col ExpenseActualTotal</t>
  </si>
  <si>
    <t>Fibre</t>
  </si>
  <si>
    <t>Volkirk Properties - INV0001336</t>
  </si>
  <si>
    <t>BMG Fluid Tech_Tracker.xlsx | Table row 118 | Project Kick Off | Inv Cosmic Sun: CS_BMG_001_AC DC | Col ExpenseActualTotal</t>
  </si>
  <si>
    <t>BMG Fluid Tech_Tracker.xlsx | Table row 119 | Site Establishment | Inv Cosmic Sun - CS_BMG_002_AC DC | Col ExpenseActualTotal</t>
  </si>
  <si>
    <t>BMG Fluid Tech_Tracker.xlsx | Table row 120 | AC Installation Complete | Inv Cosmic Sun - CS_BMG_003F | Col ExpenseActualTotal</t>
  </si>
  <si>
    <t>Cosmic Sun - CS_BMG_003F</t>
  </si>
  <si>
    <t>BMG Fluid Tech_Tracker.xlsx | Table row 121 | DC Installation Complete | Inv Cosmic Sun: CS_BMG_007F | Col ExpenseActualTotal</t>
  </si>
  <si>
    <t>Cosmic Sun: CS_BMG_007F</t>
  </si>
  <si>
    <t>BMG Fluid Tech_Tracker.xlsx | Table row 122 | Commissioning Complete | Inv Cosmic Sun: CS_BMG_008 | Col ExpenseActualTotal</t>
  </si>
  <si>
    <t>Cosmic Sun: CS_BMG_008</t>
  </si>
  <si>
    <t>BMG Fluid Tech_Tracker.xlsx | Table row 123 | Site De-establisment | Inv Cosmic Sun - CS_BMG_009 | Col ExpenseActualTotal</t>
  </si>
  <si>
    <t>Cosmic Sun - CS_BMG_009</t>
  </si>
  <si>
    <t>BMG Fluid Tech_Tracker.xlsx | Table row 124 | Handover Document Complete | Inv Cosmic Sun - CS_BMG_010 | Col ExpenseActualTotal</t>
  </si>
  <si>
    <t>Cosmic Sun - CS_BMG_010</t>
  </si>
  <si>
    <t>BMG Fluid Tech_Tracker.xlsx | Table row 125 | End of Defects Period | Inv  | Col ExpenseActualTotal</t>
  </si>
  <si>
    <t>BMG Fluid Tech_Tracker.xlsx | Table row 134 | Project Kick Off | Inv Cosmic Sun: CS_BMG_001_AC DC | Col ExpenseActualTotal</t>
  </si>
  <si>
    <t>BMG Fluid Tech_Tracker.xlsx | Table row 135 | Site Establishment | Inv Cosmic Sun - CS_BMG_002_AC DC | Col ExpenseActualTotal</t>
  </si>
  <si>
    <t>BMG Fluid Tech_Tracker.xlsx | Table row 136 | AC Installation Complete | Inv Cosmic Sun - CS_BMG_002_AC DC | Col ExpenseActualTotal</t>
  </si>
  <si>
    <t>BMG Fluid Tech_Tracker.xlsx | Table row 137 | DC Installation Complete | Inv Cosmic Sun - CS_BMG_002_AC DC | Col ExpenseActualTotal</t>
  </si>
  <si>
    <t>BMG Fluid Tech_Tracker.xlsx | Table row 138 | Commissioning Complete | Inv Cosmic Sun - CS_BMG_002_AC DC | Col ExpenseActualTotal</t>
  </si>
  <si>
    <t>BMG Fluid Tech_Tracker.xlsx | Table row 139 | Site De-establisment | Inv Cosmic Sun - CS_BMG_002_AC DC | Col ExpenseActualTotal</t>
  </si>
  <si>
    <t>BMG Fluid Tech_Tracker.xlsx | Table row 140 | Handover Document Complete | Inv Cosmic Sun - CS_BMG_002_AC DC | Col ExpenseActualTotal</t>
  </si>
  <si>
    <t>BMG Fluid Tech_Tracker.xlsx | Table row 141 | End of Defects Period | Inv Cosmic Sun - CS_BMG_002_AC DC | Col ExpenseActualTotal</t>
  </si>
  <si>
    <t>BMG Fluid Tech_Tracker.xlsx | Table row 146 | Electrical PrEng sign off | Inv SunSpot - E033 | Col ExpenseActualTotal</t>
  </si>
  <si>
    <t>SunSpot - E033</t>
  </si>
  <si>
    <t>BMG Fluid Tech_Tracker.xlsx | Table row 149 | Red Team Inspection | Inv Matriarch - INV-6235 | Col ExpenseActualTotal</t>
  </si>
  <si>
    <t>Matriarch - INV-6235</t>
  </si>
  <si>
    <t>BMG Fluid Tech_Tracker.xlsx | Table row 152 | Referral Fee | Inv  | Col ExpenseActualTotal</t>
  </si>
  <si>
    <t>Referral Fee</t>
  </si>
  <si>
    <t>BMG Fluid Tech_Tracker.xlsx | Table row 153 | PD Fee | Inv  | Col ExpenseActualTotal</t>
  </si>
  <si>
    <t>BMG Fluid Tech_Tracker.xlsx | Table row 155 | Matriarch Defects Period - 1.25% | Inv  | Col ExpenseActualTotal</t>
  </si>
  <si>
    <t>BMG Fluid Tech_Tracker.xlsx | Table row 163 | Travel | Inv  | Col ExpenseActualTotal</t>
  </si>
  <si>
    <t>BMG Fluid Tech_Tracker.xlsx | Table row 164 | Travel | Inv Expense Claim | Col ExpenseActualTotal</t>
  </si>
  <si>
    <t>BMG Fluid Tech_Tracker.xlsx | Table row 165 | Travel | Inv Expense Claim | Col ExpenseActualTotal</t>
  </si>
  <si>
    <t>BMG Fluid Tech_Tracker.xlsx | Table row 166 | Travel | Inv Expense Claim | Col ExpenseActualTotal</t>
  </si>
  <si>
    <t>BMG Fluid Tech_Tracker.xlsx | Table row 167 | Travel | Inv Expense Claim | Col ExpenseActualTotal</t>
  </si>
  <si>
    <t>BMG Fluid Tech_Tracker.xlsx | Table row 168 | Travel | Inv Expense Claim | Col ExpenseActualTotal</t>
  </si>
  <si>
    <t>BMG Fluid Tech_Tracker.xlsx | Table row 169 | Travel | Inv Expense Claim | Col ExpenseActualTotal</t>
  </si>
  <si>
    <t>BMG Fluid Tech_Tracker.xlsx | Table row 170 | Travel | Inv Expense Claim | Col ExpenseActualTotal</t>
  </si>
  <si>
    <t>BMG Fluid Tech_Tracker.xlsx | Table row 171 | Travel | Inv Expense Claim | Col ExpenseActualTotal</t>
  </si>
  <si>
    <t>BMG Fluid Tech_Tracker.xlsx | Table row 172 | Travel | Inv Expense Claim | Col ExpenseActualTotal</t>
  </si>
  <si>
    <t>BMG Fluid Tech_Tracker.xlsx | Table row 173 | Travel | Inv  | Col ExpenseActualTotal</t>
  </si>
  <si>
    <t xml:space="preserve">No. </t>
  </si>
  <si>
    <t>Product/ Service</t>
  </si>
  <si>
    <t>Description of Work</t>
  </si>
  <si>
    <t>QTY</t>
  </si>
  <si>
    <t>Rate / Unit</t>
  </si>
  <si>
    <t xml:space="preserve">Actual Total </t>
  </si>
  <si>
    <t>INVOICE NUMBER</t>
  </si>
  <si>
    <t>INVOICE RAISED DATE</t>
  </si>
  <si>
    <t>REVENUE RECOGNITION AMOUNT</t>
  </si>
  <si>
    <t>FINANCE PAYMENT DATE</t>
  </si>
  <si>
    <t>Total COS</t>
  </si>
  <si>
    <t>1</t>
  </si>
  <si>
    <t>2</t>
  </si>
  <si>
    <t>4</t>
  </si>
  <si>
    <t>DC Equipment - Deposit</t>
  </si>
  <si>
    <t>6</t>
  </si>
  <si>
    <t>7</t>
  </si>
  <si>
    <t>7. Battery Systems</t>
  </si>
  <si>
    <t>8</t>
  </si>
  <si>
    <t>10</t>
  </si>
  <si>
    <t>Boundary Terraces_Tracker.xlsx | Table row 6 | Jinko 590 modules | Inv Menlo INV0003100 | Col ExpenseActualTotal</t>
  </si>
  <si>
    <t>Jinko 590 modules</t>
  </si>
  <si>
    <t>Menlo INV0003100</t>
  </si>
  <si>
    <t>Boundary Terraces_Tracker.xlsx | Table row 13 | Huawei 50KTL | Inv Menlo INV0003100 | Col ExpenseActualTotal</t>
  </si>
  <si>
    <t>Huawei 50KTL</t>
  </si>
  <si>
    <t>Boundary Terraces_Tracker.xlsx | Table row 14 | From stock | Inv Allocated from Cpt Stock | Col ExpenseActualTotal</t>
  </si>
  <si>
    <t>From stock</t>
  </si>
  <si>
    <t>Allocated from Cpt Stock</t>
  </si>
  <si>
    <t>Boundary Terraces_Tracker.xlsx | Table row 15 | Huawei 50KTL to be credited | Inv Menlo - CRN0000252 | Col ExpenseActualTotal</t>
  </si>
  <si>
    <t>Huawei 50KTL to be credited</t>
  </si>
  <si>
    <t>Menlo - CRN0000252</t>
  </si>
  <si>
    <t>Boundary Terraces_Tracker.xlsx | Table row 16 | To be moved to Waterside | Inv Allocated to Waterside | Col ExpenseActualTotal</t>
  </si>
  <si>
    <t>To be moved to Waterside</t>
  </si>
  <si>
    <t>Allocated to Waterside</t>
  </si>
  <si>
    <t>Boundary Terraces_Tracker.xlsx | Table row 18 | Huawei 100KTL (Menlo | Inv Menlo - INV0003227 | Col ExpenseActualTotal</t>
  </si>
  <si>
    <t>Huawei 100KTL (Menlo</t>
  </si>
  <si>
    <t>Menlo - INV0003227</t>
  </si>
  <si>
    <t>Boundary Terraces_Tracker.xlsx | Table row 23 | Schletter Structure | Inv Schletter INV2118 | Col ExpenseActualTotal</t>
  </si>
  <si>
    <t>PO4233-SBT-20250818 - RV Approved</t>
  </si>
  <si>
    <t>Schletter INV2118</t>
  </si>
  <si>
    <t>Boundary Terraces_Tracker.xlsx | Table row 24 | Additional Mid and End Clamps - VO | Inv Solarworld SASIV-25-00684 | Col ExpenseActualTotal</t>
  </si>
  <si>
    <t>Additional Mid and End Clamps - VO</t>
  </si>
  <si>
    <t>PO4471-SBT-20251114 - RV Approved</t>
  </si>
  <si>
    <t>Solarworld SASIV-25-00684</t>
  </si>
  <si>
    <t>Boundary Terraces_Tracker.xlsx | Table row 30 | DC Cable | Inv Rubicon Inv:INVWCRE-0069643 | Col ExpenseActualTotal</t>
  </si>
  <si>
    <t>Rubicon Inv:INVWCRE-0069643</t>
  </si>
  <si>
    <t>Boundary Terraces_Tracker.xlsx | Table row 31 | Additional DC Cable - VO | Inv Rubicon Inv:INVWCRE-0070233 | Col ExpenseActualTotal</t>
  </si>
  <si>
    <t>Additional DC Cable - VO</t>
  </si>
  <si>
    <t>PO4257-SBT-20250831 - RV Approved</t>
  </si>
  <si>
    <t>Rubicon Inv:INVWCRE-0070233</t>
  </si>
  <si>
    <t>Boundary Terraces_Tracker.xlsx | Table row 34 | Project Kick Off | Inv Happy Solar INV-0331 | Col ExpenseActualTotal</t>
  </si>
  <si>
    <t>PO4244-SBT-20250820 - RV Approved</t>
  </si>
  <si>
    <t>Happy Solar INV-0331</t>
  </si>
  <si>
    <t>Boundary Terraces_Tracker.xlsx | Table row 35 | Site Establishment | Inv Happy Solar INV-0331 | Col ExpenseActualTotal</t>
  </si>
  <si>
    <t>Boundary Terraces_Tracker.xlsx | Table row 36 | AC Installation Complete | Inv Happy Solar INV-0331 | Col ExpenseActualTotal</t>
  </si>
  <si>
    <t>Boundary Terraces_Tracker.xlsx | Table row 37 | DC Installation Complete | Inv Happy Solar INV-0331 | Col ExpenseActualTotal</t>
  </si>
  <si>
    <t>Boundary Terraces_Tracker.xlsx | Table row 38 | Commissioning Complete | Inv Happy Solar INV-0331 | Col ExpenseActualTotal</t>
  </si>
  <si>
    <t>Boundary Terraces_Tracker.xlsx | Table row 39 | Site De-establisment | Inv Happy Solar INV-0331 | Col ExpenseActualTotal</t>
  </si>
  <si>
    <t>Boundary Terraces_Tracker.xlsx | Table row 40 | Handover Document Complete | Inv Happy Solar INV-0331 | Col ExpenseActualTotal</t>
  </si>
  <si>
    <t>Boundary Terraces_Tracker.xlsx | Table row 41 | End of Defects Period | Inv Happy Solar INV-0331 | Col ExpenseActualTotal</t>
  </si>
  <si>
    <t>Boundary Terraces_Tracker.xlsx | Table row 46 | Smartlogger | Inv Menlo INV0003100 | Col ExpenseActualTotal</t>
  </si>
  <si>
    <t>Boundary Terraces_Tracker.xlsx | Table row 47 | CTs &amp; Meters | Inv AccuEnergy - ASAI-00620 | Col ExpenseActualTotal</t>
  </si>
  <si>
    <t>PO4269-SBT-20250825 - RV Approved</t>
  </si>
  <si>
    <t>AccuEnergy - ASAI-00620</t>
  </si>
  <si>
    <t>Boundary Terraces_Tracker.xlsx | Table row 48 | Techsitter | Inv Matriarch - INV-4999 | Col ExpenseActualTotal</t>
  </si>
  <si>
    <t>Boundary Terraces_Tracker.xlsx | Table row 49 | Delivery of Techsitter Meter | Inv DSV Inv: 180145917 | Col ExpenseActualTotal</t>
  </si>
  <si>
    <t>DSV Inv: 180145917</t>
  </si>
  <si>
    <t>Boundary Terraces_Tracker.xlsx | Table row 50 | Battery | Inv Red Pole Energy: SO-35689 | Col ExpenseActualTotal</t>
  </si>
  <si>
    <t>Battery</t>
  </si>
  <si>
    <t>Red Pole Energy: SO-35689</t>
  </si>
  <si>
    <t>Boundary Terraces_Tracker.xlsx | Table row 51 | Powersupply | Inv Mantech-SOR1007853 | Col ExpenseActualTotal</t>
  </si>
  <si>
    <t>Powersupply</t>
  </si>
  <si>
    <t>Mantech-SOR1007853</t>
  </si>
  <si>
    <t>Boundary Terraces_Tracker.xlsx | Table row 52 |  | Inv Mantech - CRN949171 | Col ExpenseActualTotal</t>
  </si>
  <si>
    <t>Mantech - CRN949171</t>
  </si>
  <si>
    <t>Boundary Terraces_Tracker.xlsx | Table row 53 |  | Inv Current Automotion - SOQ324142 | Col ExpenseActualTotal</t>
  </si>
  <si>
    <t>Current Automotion - SOQ324142</t>
  </si>
  <si>
    <t>Boundary Terraces_Tracker.xlsx | Table row 56 | PVDB | Inv Switchboard 2-SOI002235 | Col ExpenseActualTotal</t>
  </si>
  <si>
    <t>Switchboard 2-SOI002235</t>
  </si>
  <si>
    <t>Boundary Terraces_Tracker.xlsx | Table row 57 | ABB XT5N 400A TP MCCB | Inv Switchboard 2-SOI002578 | Col ExpenseActualTotal</t>
  </si>
  <si>
    <t>ABB XT5N 400A TP MCCB</t>
  </si>
  <si>
    <t>PO4445-SBT-20251105 - RV Approved</t>
  </si>
  <si>
    <t>Switchboard 2-SOI002578</t>
  </si>
  <si>
    <t>Boundary Terraces_Tracker.xlsx | Table row 58 | RMA - SWB - ABB XT5N 400A TP MCCB | Inv  | Col ExpenseActualTotal</t>
  </si>
  <si>
    <t>RMA - SWB - ABB XT5N 400A TP MCCB</t>
  </si>
  <si>
    <t>Boundary Terraces_Tracker.xlsx | Table row 61 | Project Kick Off | Inv Happy Solar INV-0331 | Col ExpenseActualTotal</t>
  </si>
  <si>
    <t>Boundary Terraces_Tracker.xlsx | Table row 62 |  | Inv Happy Solar INV-0331 | Col ExpenseActualTotal</t>
  </si>
  <si>
    <t>Boundary Terraces_Tracker.xlsx | Table row 63 | Site Establishment | Inv Happy Solar INV-0331 | Col ExpenseActualTotal</t>
  </si>
  <si>
    <t>Boundary Terraces_Tracker.xlsx | Table row 64 | AC Installation Complete | Inv Happy Solar INV-0331 | Col ExpenseActualTotal</t>
  </si>
  <si>
    <t>Boundary Terraces_Tracker.xlsx | Table row 65 | DC Installation Complete | Inv Happy Solar INV-0331 | Col ExpenseActualTotal</t>
  </si>
  <si>
    <t>Boundary Terraces_Tracker.xlsx | Table row 66 | Commissioning Complete | Inv Happy Solar INV-0331 | Col ExpenseActualTotal</t>
  </si>
  <si>
    <t>Boundary Terraces_Tracker.xlsx | Table row 67 | Site De-establisment | Inv Happy Solar INV-0331 | Col ExpenseActualTotal</t>
  </si>
  <si>
    <t>Boundary Terraces_Tracker.xlsx | Table row 68 | Handover Document Complete | Inv Happy Solar INV-0331 | Col ExpenseActualTotal</t>
  </si>
  <si>
    <t>Boundary Terraces_Tracker.xlsx | Table row 69 | End of Defects Period | Inv Happy Solar INV-0331 | Col ExpenseActualTotal</t>
  </si>
  <si>
    <t>Boundary Terraces_Tracker.xlsx | Table row 85 | Check Meter | Inv CBB - CBB-5722 | Col ExpenseActualTotal</t>
  </si>
  <si>
    <t>Check Meter</t>
  </si>
  <si>
    <t>PO4240-ARIM-20250819 - RV Approved</t>
  </si>
  <si>
    <t>CBB - CBB-5722</t>
  </si>
  <si>
    <t>Boundary Terraces_Tracker.xlsx | Table row 94 | Project Kick Off | Inv Happy Solar INV-0331 | Col ExpenseActualTotal</t>
  </si>
  <si>
    <t>Boundary Terraces_Tracker.xlsx | Table row 95 | Site Establishment | Inv Happy Solar INV-0331 | Col ExpenseActualTotal</t>
  </si>
  <si>
    <t>Boundary Terraces_Tracker.xlsx | Table row 96 | AC Installation Complete | Inv Happy Solar INV-0331 | Col ExpenseActualTotal</t>
  </si>
  <si>
    <t>Boundary Terraces_Tracker.xlsx | Table row 97 | DC Installation Complete | Inv Happy Solar INV-0331 | Col ExpenseActualTotal</t>
  </si>
  <si>
    <t>Boundary Terraces_Tracker.xlsx | Table row 98 | Commissioning Complete | Inv Happy Solar INV-0331 | Col ExpenseActualTotal</t>
  </si>
  <si>
    <t>Boundary Terraces_Tracker.xlsx | Table row 99 | Site De-establisment | Inv Happy Solar INV-0331 | Col ExpenseActualTotal</t>
  </si>
  <si>
    <t>Boundary Terraces_Tracker.xlsx | Table row 100 | Handover Document Complete | Inv Happy Solar INV-0331 | Col ExpenseActualTotal</t>
  </si>
  <si>
    <t>Boundary Terraces_Tracker.xlsx | Table row 101 | End of Defects Period | Inv Happy Solar INV-0331 | Col ExpenseActualTotal</t>
  </si>
  <si>
    <t>Boundary Terraces_Tracker.xlsx | Table row 110 | Project Kick Off | Inv Happy Solar INV-0331 | Col ExpenseActualTotal</t>
  </si>
  <si>
    <t>Boundary Terraces_Tracker.xlsx | Table row 111 | Site Establishment | Inv Happy Solar INV-0331 | Col ExpenseActualTotal</t>
  </si>
  <si>
    <t>Boundary Terraces_Tracker.xlsx | Table row 112 | AC Installation Complete | Inv Happy Solar INV-0331 | Col ExpenseActualTotal</t>
  </si>
  <si>
    <t>Boundary Terraces_Tracker.xlsx | Table row 113 | DC Installation Complete | Inv Happy Solar INV-0331 | Col ExpenseActualTotal</t>
  </si>
  <si>
    <t>Boundary Terraces_Tracker.xlsx | Table row 114 | Commissioning Complete | Inv Happy Solar INV-0331 | Col ExpenseActualTotal</t>
  </si>
  <si>
    <t>Boundary Terraces_Tracker.xlsx | Table row 115 | Site De-establisment | Inv Happy Solar INV-0331 | Col ExpenseActualTotal</t>
  </si>
  <si>
    <t>Boundary Terraces_Tracker.xlsx | Table row 116 | Handover Document Complete | Inv Happy Solar INV-0331 | Col ExpenseActualTotal</t>
  </si>
  <si>
    <t>Boundary Terraces_Tracker.xlsx | Table row 117 | End of Defects Period | Inv Happy Solar INV-0331 | Col ExpenseActualTotal</t>
  </si>
  <si>
    <t>Boundary Terraces_Tracker.xlsx | Table row 122 | Electrical PrEng sign off | Inv Sunspot Inv:E028 | Col ExpenseActualTotal</t>
  </si>
  <si>
    <t>Sunspot Inv:E028</t>
  </si>
  <si>
    <t>Boundary Terraces_Tracker.xlsx | Table row 123 | Structural Sign Off | Inv L&amp;B Inv 1701 | Col ExpenseActualTotal</t>
  </si>
  <si>
    <t>L&amp;B Inv 1701</t>
  </si>
  <si>
    <t>Boundary Terraces_Tracker.xlsx | Table row 125 | Red Team Inspection | Inv Matriarch - INV-4987 | Col ExpenseActualTotal</t>
  </si>
  <si>
    <t>Matriarch - INV-4987</t>
  </si>
  <si>
    <t>Boundary Terraces_Tracker.xlsx | Table row 131 | Matriarch Defects Period - 1.25% | Inv Matriarch - INV-4986 | Col ExpenseActualTotal</t>
  </si>
  <si>
    <t>Matriarch - INV-4986</t>
  </si>
  <si>
    <t>Boundary Terraces_Tracker.xlsx | Table row 132 | Management | Inv  | Col ExpenseActualTotal</t>
  </si>
  <si>
    <t>Management</t>
  </si>
  <si>
    <t>Boundary Terraces_Tracker.xlsx | Table row 133 | Project manager  | Inv  | Col ExpenseActualTotal</t>
  </si>
  <si>
    <t xml:space="preserve">Project manager </t>
  </si>
  <si>
    <t>Boundary Terraces_Tracker.xlsx | Table row 134 | Planner time | Inv  | Col ExpenseActualTotal</t>
  </si>
  <si>
    <t>Planner time</t>
  </si>
  <si>
    <t>Boundary Terraces_Tracker.xlsx | Table row 135 | De Snagging | Inv  | Col ExpenseActualTotal</t>
  </si>
  <si>
    <t>De Snagging</t>
  </si>
  <si>
    <t>Boundary Terraces_Tracker.xlsx | Table row 138 | Travel | Inv  | Col ExpenseActualTotal</t>
  </si>
  <si>
    <t>Cascades_Tracker.xlsx | Table row 13 | Huawei 100KTL - Aarden Solar | Inv Arden Inv: NV-05927 | Col ExpenseActualTotal</t>
  </si>
  <si>
    <t>Huawei 100KTL - Aarden Solar</t>
  </si>
  <si>
    <t>PO3260-CAS-20240725 - RV Approved</t>
  </si>
  <si>
    <t>Arden Inv: NV-05927</t>
  </si>
  <si>
    <t>Cascades_Tracker.xlsx | Table row 18 | KlipLok/Novatexi Roof - Lumax | Inv Lumax Inv: INV00045783 | Col ExpenseActualTotal</t>
  </si>
  <si>
    <t>KlipLok/Novatexi Roof - Lumax</t>
  </si>
  <si>
    <t>Lumax Inv: INV00045783</t>
  </si>
  <si>
    <t>Cascades_Tracker.xlsx | Table row 19 | LUMAX additional Clamps  | Inv Lumax Inv: INV0046571 | Col ExpenseActualTotal</t>
  </si>
  <si>
    <t xml:space="preserve">LUMAX additional Clamps </t>
  </si>
  <si>
    <t>PO3346-CAS-2024090 - RV Approved</t>
  </si>
  <si>
    <t>Lumax Inv: INV0046571</t>
  </si>
  <si>
    <t>Cascades_Tracker.xlsx | Table row 20 | DC Cable Tray Clamps | Inv Lumax Inv: INV0047410 | Col ExpenseActualTotal</t>
  </si>
  <si>
    <t>DC Cable Tray Clamps</t>
  </si>
  <si>
    <t>PO3379-CAS-20241002 - RV Approved</t>
  </si>
  <si>
    <t>Lumax Inv: INV0047410</t>
  </si>
  <si>
    <t>Cascades_Tracker.xlsx | Table row 21 | Test Clamps | Inv Lumax - Inv 1001/70001421 | Col ExpenseActualTotal</t>
  </si>
  <si>
    <t>Test Clamps</t>
  </si>
  <si>
    <t>PO3797-CAS-20250410 - RV Approved</t>
  </si>
  <si>
    <t>Lumax - Inv 1001/70001421</t>
  </si>
  <si>
    <t>Cascades_Tracker.xlsx | Table row 23 |  | Inv Lumax - INV 1001/70002518 | Col ExpenseActualTotal</t>
  </si>
  <si>
    <t>PO4021-CAS-20250623 - RV Approved</t>
  </si>
  <si>
    <t>Lumax - INV 1001/70002518</t>
  </si>
  <si>
    <t>Cascades_Tracker.xlsx | Table row 25 | Mid Clamps | Inv Lumax - Inv 1001/70002494 | Col ExpenseActualTotal</t>
  </si>
  <si>
    <t>Mid Clamps</t>
  </si>
  <si>
    <t>PO4015-CAS-20250620 - RV Approved</t>
  </si>
  <si>
    <t>Lumax - Inv 1001/70002494</t>
  </si>
  <si>
    <t>Cascades_Tracker.xlsx | Table row 26 | Lumax Replacement Clamps | Inv Lumax INV1001/70002085 | Col ExpenseActualTotal</t>
  </si>
  <si>
    <t>Lumax Replacement Clamps</t>
  </si>
  <si>
    <t>PO3961-CAS-20250527 - RV Approved</t>
  </si>
  <si>
    <t>Lumax INV1001/70002085</t>
  </si>
  <si>
    <t>Cascades_Tracker.xlsx | Table row 27 | Delivery | Inv Lumax INV1001/70002084 | Col ExpenseActualTotal</t>
  </si>
  <si>
    <t>Lumax INV1001/70002084</t>
  </si>
  <si>
    <t>Cascades_Tracker.xlsx | Table row 28 | Return of MS to Lumax | Inv DSV Inv: 180138260 | Col ExpenseActualTotal</t>
  </si>
  <si>
    <t>Return of MS to Lumax</t>
  </si>
  <si>
    <t>Cascades_Tracker.xlsx | Table row 29 | MS Scrapped | Inv Scrapped MS | Col ExpenseActualTotal</t>
  </si>
  <si>
    <t>MS Scrapped</t>
  </si>
  <si>
    <t>Scrapped MS</t>
  </si>
  <si>
    <t>Cascades_Tracker.xlsx | Table row 30 | Waterpoints Clamps | Inv Schletter - INV1422 | Col ExpenseActualTotal</t>
  </si>
  <si>
    <t>Waterpoints Clamps</t>
  </si>
  <si>
    <t>PO3652-CAS-20250212 - RV Approved</t>
  </si>
  <si>
    <t>Schletter - INV1422</t>
  </si>
  <si>
    <t>Cascades_Tracker.xlsx | Table row 32 | DC Cable - Menlo | Inv Menlo Inv: 0001925 | Col ExpenseActualTotal</t>
  </si>
  <si>
    <t>DC Cable - Menlo</t>
  </si>
  <si>
    <t>PO3313-CAS-20240822 - RV Approved</t>
  </si>
  <si>
    <t>Menlo Inv: 0001925</t>
  </si>
  <si>
    <t>Cascades_Tracker.xlsx | Table row 33 | DC Cable - Menlo | Inv Menlo Inv: 0001926 | Col ExpenseActualTotal</t>
  </si>
  <si>
    <t>Menlo Inv: 0001926</t>
  </si>
  <si>
    <t>Cascades_Tracker.xlsx | Table row 34 | Delivery | Inv Menlo Inv: 0002198 | Col ExpenseActualTotal</t>
  </si>
  <si>
    <t>Menlo Inv: 0002198</t>
  </si>
  <si>
    <t>Cascades_Tracker.xlsx | Table row 35 | DC Cable allocated from Stock | Inv Allocated from Stock | Col ExpenseActualTotal</t>
  </si>
  <si>
    <t>DC Cable allocated from Stock</t>
  </si>
  <si>
    <t>Allocated from Stock</t>
  </si>
  <si>
    <t>Cascades_Tracker.xlsx | Table row 36 | DC Cable allocated from Stock | Inv Allocated from Stock | Col ExpenseActualTotal</t>
  </si>
  <si>
    <t>Cascades_Tracker.xlsx | Table row 37 | Project Kick Off | Inv Luken Inv0556 | Col ExpenseActualTotal</t>
  </si>
  <si>
    <t>PO3211-CAS-20240703</t>
  </si>
  <si>
    <t>Luken Inv0556</t>
  </si>
  <si>
    <t>Cascades_Tracker.xlsx | Table row 38 | Site Establishment | Inv Luken Inv0559 | Col ExpenseActualTotal</t>
  </si>
  <si>
    <t>Luken Inv0559</t>
  </si>
  <si>
    <t>Cascades_Tracker.xlsx | Table row 39 | AC Installation Complete | Inv Luken Inv0593 | Col ExpenseActualTotal</t>
  </si>
  <si>
    <t>Luken Inv0593</t>
  </si>
  <si>
    <t>Cascades_Tracker.xlsx | Table row 40 | DC Installation Complete | Inv Luken Inv 0576 | Col ExpenseActualTotal</t>
  </si>
  <si>
    <t>Luken Inv 0576</t>
  </si>
  <si>
    <t>Cascades_Tracker.xlsx | Table row 41 | Commissioning Complete | Inv Luken Inv 0594 | Col ExpenseActualTotal</t>
  </si>
  <si>
    <t>Luken Inv 0594</t>
  </si>
  <si>
    <t>Cascades_Tracker.xlsx | Table row 42 | Site De-establisment | Inv Luken Inv 0595 | Col ExpenseActualTotal</t>
  </si>
  <si>
    <t>Luken Inv 0595</t>
  </si>
  <si>
    <t>Cascades_Tracker.xlsx | Table row 43 | Handover Document Complete | Inv Luken Inv 0598 | Col ExpenseActualTotal</t>
  </si>
  <si>
    <t>Luken Inv 0598</t>
  </si>
  <si>
    <t>Cascades_Tracker.xlsx | Table row 44 | End of Defects Period | Inv Luken Inv 0599 | Col ExpenseActualTotal</t>
  </si>
  <si>
    <t>Luken Inv 0599</t>
  </si>
  <si>
    <t>Cascades_Tracker.xlsx | Table row 47 | CTs | Inv AccuEnergy - IN ASAI-003703 | Col ExpenseActualTotal</t>
  </si>
  <si>
    <t>CTs</t>
  </si>
  <si>
    <t>PO3317-CAS-20240826 - RV Approved</t>
  </si>
  <si>
    <t>AccuEnergy - IN ASAI-003703</t>
  </si>
  <si>
    <t>Cascades_Tracker.xlsx | Table row 48 | Replacement CTs | Inv Acccuenergy - ASAI-004594 | Col ExpenseActualTotal</t>
  </si>
  <si>
    <t>Replacement CTs</t>
  </si>
  <si>
    <t>PO3556-CAS-20250122 - RV Approved</t>
  </si>
  <si>
    <t>Acccuenergy - ASAI-004594</t>
  </si>
  <si>
    <t>Cascades_Tracker.xlsx | Table row 51 | Tester - EE Stock | Inv Removed | Col ExpenseActualTotal</t>
  </si>
  <si>
    <t>Tester - EE Stock</t>
  </si>
  <si>
    <t>Removed</t>
  </si>
  <si>
    <t>Cascades_Tracker.xlsx | Table row 54 | AC Board Tie In 1 - SOLAR PVDB 1 | Inv Switchboard - INV 2-SOI001204 | Col ExpenseActualTotal</t>
  </si>
  <si>
    <t>AC Board Tie In 1 - SOLAR PVDB 1</t>
  </si>
  <si>
    <t>Switchboard - INV 2-SOI001204</t>
  </si>
  <si>
    <t>Cascades_Tracker.xlsx | Table row 55 | AC Board Tie In 2 - SOLAR PVDB 2 | Inv Switchboard - INV 2-SOI001204 | Col ExpenseActualTotal</t>
  </si>
  <si>
    <t>AC Board Tie In 2 - SOLAR PVDB 2</t>
  </si>
  <si>
    <t>Cascades_Tracker.xlsx | Table row 57 | AC Cable - Corrected Tie in | Inv Luken Inv0618 | Col ExpenseActualTotal</t>
  </si>
  <si>
    <t>AC Cable - Corrected Tie in</t>
  </si>
  <si>
    <t>PO3613-CAS-20250203 - RV Approved</t>
  </si>
  <si>
    <t>Luken Inv0618</t>
  </si>
  <si>
    <t>Cascades_Tracker.xlsx | Table row 59 | Project Kick Off | Inv Luken Inv0556 | Col ExpenseActualTotal</t>
  </si>
  <si>
    <t>Cascades_Tracker.xlsx | Table row 60 | Site Establishment | Inv Luken Inv0559 | Col ExpenseActualTotal</t>
  </si>
  <si>
    <t>Cascades_Tracker.xlsx | Table row 61 | AC Installation Complete | Inv Luken Inv0593 | Col ExpenseActualTotal</t>
  </si>
  <si>
    <t>Cascades_Tracker.xlsx | Table row 62 | DC Installation Complete | Inv Luken Inv 0576 | Col ExpenseActualTotal</t>
  </si>
  <si>
    <t>Cascades_Tracker.xlsx | Table row 63 | Commissioning Complete | Inv Luken Inv 0594 | Col ExpenseActualTotal</t>
  </si>
  <si>
    <t>Cascades_Tracker.xlsx | Table row 64 | Site De-establisment | Inv Luken Inv 0595 | Col ExpenseActualTotal</t>
  </si>
  <si>
    <t>Cascades_Tracker.xlsx | Table row 65 | Handover Document Complete | Inv Luken Inv 0598 | Col ExpenseActualTotal</t>
  </si>
  <si>
    <t>Cascades_Tracker.xlsx | Table row 66 | End of Defects Period | Inv Luken Inv 0599 | Col ExpenseActualTotal</t>
  </si>
  <si>
    <t>Cascades_Tracker.xlsx | Table row 78 | Platform Supports | Inv Anthony's Steel Inv INA28450 | Col ExpenseActualTotal</t>
  </si>
  <si>
    <t>Platform Supports</t>
  </si>
  <si>
    <t>PO3467-CAS-20241119 - RV Approved</t>
  </si>
  <si>
    <t>Anthony's Steel Inv INA28450</t>
  </si>
  <si>
    <t>Cascades_Tracker.xlsx | Table row 79 | Steel Work For Both Tie Ins | Inv Anthony's Steel:  Inv INA28238 | Col ExpenseActualTotal</t>
  </si>
  <si>
    <t>Steel Work For Both Tie Ins</t>
  </si>
  <si>
    <t>PO3210-CAS-20240703</t>
  </si>
  <si>
    <t>Anthony's Steel:  Inv INA28238</t>
  </si>
  <si>
    <t>Cascades_Tracker.xlsx | Table row 80 | Balance Payable | Inv aNThony's Steel:  Inv INA28243 | Col ExpenseActualTotal</t>
  </si>
  <si>
    <t>Balance Payable</t>
  </si>
  <si>
    <t>aNThony's Steel:  Inv INA28243</t>
  </si>
  <si>
    <t>Cascades_Tracker.xlsx | Table row 81 | Platform Tie In 2 | Inv Anthony's Steel: INV INA28494 | Col ExpenseActualTotal</t>
  </si>
  <si>
    <t>Platform Tie In 2</t>
  </si>
  <si>
    <t>PO3512-CAS-20241205 - RV Approved</t>
  </si>
  <si>
    <t>Anthony's Steel: INV INA28494</t>
  </si>
  <si>
    <t>Cascades_Tracker.xlsx | Table row 82 | Platform Tie In 2 | Inv Anthony's Steel INVINA28646 | Col ExpenseActualTotal</t>
  </si>
  <si>
    <t>Anthony's Steel INVINA28646</t>
  </si>
  <si>
    <t>Cascades_Tracker.xlsx | Table row 83 | Anchor Points - Active Rope ATS - Deposit | Inv ATS Africa Inv: INV-0318 | Col ExpenseActualTotal</t>
  </si>
  <si>
    <t>Anchor Points - Active Rope ATS - Deposit</t>
  </si>
  <si>
    <t>PO3262-CAS-20240726 - RV Approved</t>
  </si>
  <si>
    <t>ATS Africa Inv: INV-0318</t>
  </si>
  <si>
    <t>Cascades_Tracker.xlsx | Table row 84 | Anchor Points - Active Rope ATS - Balance | Inv ATS Africa Inv: INV-0318 | Col ExpenseActualTotal</t>
  </si>
  <si>
    <t>Anchor Points - Active Rope ATS - Balance</t>
  </si>
  <si>
    <t>Cascades_Tracker.xlsx | Table row 86 | Temp Lifelines | Inv ATS Africa Inv: INV-0337 | Col ExpenseActualTotal</t>
  </si>
  <si>
    <t>Temp Lifelines</t>
  </si>
  <si>
    <t>ATS Africa Inv: INV-0337</t>
  </si>
  <si>
    <t>Cascades_Tracker.xlsx | Table row 87 | Panel Clean | Inv Camperdown Solar Inv INA11114 | Col ExpenseActualTotal</t>
  </si>
  <si>
    <t>Panel Clean</t>
  </si>
  <si>
    <t>PO704-CAS-20241107 - RV Approved</t>
  </si>
  <si>
    <t>Camperdown Solar Inv INA11114</t>
  </si>
  <si>
    <t>Cascades_Tracker.xlsx | Table row 88 | Luken Solar AC Cable VO | Inv Luken Inv0591 | Col ExpenseActualTotal</t>
  </si>
  <si>
    <t>Luken Solar AC Cable VO</t>
  </si>
  <si>
    <t>PO3443-CAS-20241031 - RV Approved</t>
  </si>
  <si>
    <t>Luken Inv0591</t>
  </si>
  <si>
    <t>Cascades_Tracker.xlsx | Table row 89 | Luken Solar Tie In Breakers | Inv Luken Inv0592 | Col ExpenseActualTotal</t>
  </si>
  <si>
    <t>Luken Solar Tie In Breakers</t>
  </si>
  <si>
    <t>PO3455-CAS-20241106 - RV Approved</t>
  </si>
  <si>
    <t>Luken Inv0592</t>
  </si>
  <si>
    <t>Cascades_Tracker.xlsx | Table row 91 |   | Inv Luken Inv-0648 | Col ExpenseActualTotal</t>
  </si>
  <si>
    <t xml:space="preserve"> </t>
  </si>
  <si>
    <t>PO3962-CAS-20250527 - RV Approved</t>
  </si>
  <si>
    <t>Luken Inv-0648</t>
  </si>
  <si>
    <t>Cascades_Tracker.xlsx | Table row 92 | Luken Corrective Installation - On Completion | Inv Luken Inv-0651 | Col ExpenseActualTotal</t>
  </si>
  <si>
    <t>Luken Corrective Installation - On Completion</t>
  </si>
  <si>
    <t>Luken Inv-0651</t>
  </si>
  <si>
    <t>Cascades_Tracker.xlsx | Table row 93 | Luken Corrective Installation - Retention | Inv Luken Inv-0652 | Col ExpenseActualTotal</t>
  </si>
  <si>
    <t>Luken Corrective Installation - Retention</t>
  </si>
  <si>
    <t>Luken Inv-0652</t>
  </si>
  <si>
    <t>Cascades_Tracker.xlsx | Table row 95 | Repair Damaged Downpipe | Inv Anthony's Wedlding - INA28967 | Col ExpenseActualTotal</t>
  </si>
  <si>
    <t>Repair Damaged Downpipe</t>
  </si>
  <si>
    <t>PO4206-CAS-20250807 - RV Approved</t>
  </si>
  <si>
    <t>Anthony's Wedlding - INA28967</t>
  </si>
  <si>
    <t>Cascades_Tracker.xlsx | Table row 101 | Project Kick Off | Inv Luken Inv0556 | Col ExpenseActualTotal</t>
  </si>
  <si>
    <t>Cascades_Tracker.xlsx | Table row 102 | Site Establishment | Inv Luken Inv 0559 | Col ExpenseActualTotal</t>
  </si>
  <si>
    <t>Luken Inv 0559</t>
  </si>
  <si>
    <t>Cascades_Tracker.xlsx | Table row 103 | AC Installation Complete | Inv Luken Inv0593 | Col ExpenseActualTotal</t>
  </si>
  <si>
    <t>Cascades_Tracker.xlsx | Table row 104 | DC Installation Complete | Inv Luken Inv 0576 | Col ExpenseActualTotal</t>
  </si>
  <si>
    <t>Cascades_Tracker.xlsx | Table row 105 | Commissioning Complete | Inv Luken Inv 0594 | Col ExpenseActualTotal</t>
  </si>
  <si>
    <t>Cascades_Tracker.xlsx | Table row 106 | Site De-establisment | Inv Luken Inv 0595 | Col ExpenseActualTotal</t>
  </si>
  <si>
    <t>Cascades_Tracker.xlsx | Table row 107 | Handover Document Complete | Inv Luken Inv 0598 | Col ExpenseActualTotal</t>
  </si>
  <si>
    <t>Cascades_Tracker.xlsx | Table row 108 | End of Defects Period | Inv Luken Inv 0599 | Col ExpenseActualTotal</t>
  </si>
  <si>
    <t>Cascades_Tracker.xlsx | Table row 111 | Security Panel Delivery | Inv BEST Inv: 0000020 | Col ExpenseActualTotal</t>
  </si>
  <si>
    <t>Security Panel Delivery</t>
  </si>
  <si>
    <t>PO3293-CAS-20240814 - RV Approved</t>
  </si>
  <si>
    <t>BEST Inv: 0000020</t>
  </si>
  <si>
    <t>Cascades_Tracker.xlsx | Table row 112 | Security additional days | Inv BEST Inv:O0000020 | Col ExpenseActualTotal</t>
  </si>
  <si>
    <t>Security additional days</t>
  </si>
  <si>
    <t>BEST Inv:O0000020</t>
  </si>
  <si>
    <t>Cascades_Tracker.xlsx | Table row 116 | Electrical PrEng sign off - Matthews Group | Inv MG Engineering Inv0002 | Col ExpenseActualTotal</t>
  </si>
  <si>
    <t>Electrical PrEng sign off - Matthews Group</t>
  </si>
  <si>
    <t>PO3269-CAS-20240731 - RV Approved</t>
  </si>
  <si>
    <t>MG Engineering Inv0002</t>
  </si>
  <si>
    <t>Cascades_Tracker.xlsx | Table row 117 | 2x Site visits from L&amp;B and 1x from Candi | Inv  | Col ExpenseActualTotal</t>
  </si>
  <si>
    <t>2x Site visits from L&amp;B and 1x from Candi</t>
  </si>
  <si>
    <t>Cascades_Tracker.xlsx | Table row 118 | Structural Assessment | Inv L&amp;B Invoice: 0996 | Col ExpenseActualTotal</t>
  </si>
  <si>
    <t>L&amp;B Invoice: 0996</t>
  </si>
  <si>
    <t>Cascades_Tracker.xlsx | Table row 119 |  | Inv L&amp;B Invoice:1646 | Col ExpenseActualTotal</t>
  </si>
  <si>
    <t>L&amp;B Invoice:1646</t>
  </si>
  <si>
    <t>Cascades_Tracker.xlsx | Table row 120 | SSEG Extras | Inv  | Col ExpenseActualTotal</t>
  </si>
  <si>
    <t>SSEG Extras</t>
  </si>
  <si>
    <t>Cascades_Tracker.xlsx | Table row 121 | Grid Study - Outside of CoCT | Inv Okhusa Electrical: EE016 | Col ExpenseActualTotal</t>
  </si>
  <si>
    <t>Grid Study - Outside of CoCT</t>
  </si>
  <si>
    <t>PO3926-CAS-20250516 - RV Approved</t>
  </si>
  <si>
    <t>Okhusa Electrical: EE016</t>
  </si>
  <si>
    <t>Cascades_Tracker.xlsx | Table row 122 | Lightning Risk Assessment | Inv LPS Invoice: IN305966 | Col ExpenseActualTotal</t>
  </si>
  <si>
    <t>Lightning Risk Assessment</t>
  </si>
  <si>
    <t>PO3213-CAS-20240703</t>
  </si>
  <si>
    <t>LPS Invoice: IN305966</t>
  </si>
  <si>
    <t>Cascades_Tracker.xlsx | Table row 123 | SSEG Inspection | Inv  | Col ExpenseActualTotal</t>
  </si>
  <si>
    <t>SSEG Inspection</t>
  </si>
  <si>
    <t>PO3907-CAS-20250514 - RV Approved</t>
  </si>
  <si>
    <t>Cascades_Tracker.xlsx | Table row 125 | BDP Commission | Inv Mont Blanc Inv: 273 | Col ExpenseActualTotal</t>
  </si>
  <si>
    <t>BDP Commission</t>
  </si>
  <si>
    <t>Mont Blanc Inv: 273</t>
  </si>
  <si>
    <t>Cascades_Tracker.xlsx | Table row 126 |  | Inv Mont Blanc Inv: 273 | Col ExpenseActualTotal</t>
  </si>
  <si>
    <t>Cascades_Tracker.xlsx | Table row 128 | Matriarch Defects Period | Inv MATRIARCH - INV-3414 | Col ExpenseActualTotal</t>
  </si>
  <si>
    <t>Matriarch Defects Period</t>
  </si>
  <si>
    <t>MATRIARCH - INV-3414</t>
  </si>
  <si>
    <t>Cascades_Tracker.xlsx | Table row 129 | Management | Inv  | Col ExpenseActualTotal</t>
  </si>
  <si>
    <t>Cascades_Tracker.xlsx | Table row 130 | Project manager  | Inv  | Col ExpenseActualTotal</t>
  </si>
  <si>
    <t>Cascades_Tracker.xlsx | Table row 131 | Planner time | Inv  | Col ExpenseActualTotal</t>
  </si>
  <si>
    <t>Cascades_Tracker.xlsx | Table row 132 | De Snagging | Inv  | Col ExpenseActualTotal</t>
  </si>
  <si>
    <t>Cascades_Tracker.xlsx | Table row 136 | Car travel to site | Inv Expense Claim | Col ExpenseActualTotal</t>
  </si>
  <si>
    <t>Car travel to site</t>
  </si>
  <si>
    <t>Cascades_Tracker.xlsx | Table row 137 | Car travel to site | Inv Expense Claim | Col ExpenseActualTotal</t>
  </si>
  <si>
    <t>Cascades_Tracker.xlsx | Table row 138 | Car travel to site | Inv Expense Claim | Col ExpenseActualTotal</t>
  </si>
  <si>
    <t>Cascades_Tracker.xlsx | Table row 139 | Car travel to site | Inv Expense Claim | Col ExpenseActualTotal</t>
  </si>
  <si>
    <t>Cascades_Tracker.xlsx | Table row 140 | Car travel to site | Inv Expense Claim | Col ExpenseActualTotal</t>
  </si>
  <si>
    <t>Cascades_Tracker.xlsx | Table row 141 | Car travel to site | Inv Expense Claim | Col ExpenseActualTotal</t>
  </si>
  <si>
    <t>Cascades_Tracker.xlsx | Table row 142 | Car travel to site | Inv Expense Claim | Col ExpenseActualTotal</t>
  </si>
  <si>
    <t>Cascades_Tracker.xlsx | Table row 143 | Car travel to site | Inv Expense Claim | Col ExpenseActualTotal</t>
  </si>
  <si>
    <t>Cascades_Tracker.xlsx | Table row 144 | Car travel to site | Inv Expense Claim | Col ExpenseActualTotal</t>
  </si>
  <si>
    <t>Cascades_Tracker.xlsx | Table row 145 | Car travel to site | Inv Expense Claim | Col ExpenseActualTotal</t>
  </si>
  <si>
    <t>Cascades_Tracker.xlsx | Table row 146 | Car travel to site | Inv Expense Claim | Col ExpenseActualTotal</t>
  </si>
  <si>
    <t>Cascades_Tracker.xlsx | Table row 147 | Car travel to site | Inv Expense Claim | Col ExpenseActualTotal</t>
  </si>
  <si>
    <t>Cascades_Tracker.xlsx | Table row 149 | APEX Call Out Fee | Inv THULA MOYA - IN04542 | Col ExpenseActualTotal</t>
  </si>
  <si>
    <t>APEX Call Out Fee</t>
  </si>
  <si>
    <t>THULA MOYA - IN04542</t>
  </si>
  <si>
    <t>Cassia_Tracker.xlsx | Table row 52 | Inverter Upgrade - Deposit | Inv HappySolar - INV-0300 | Col ExpenseActualTotal</t>
  </si>
  <si>
    <t>Inverter Upgrade - Deposit</t>
  </si>
  <si>
    <t>PO3777-CASS-20250331 - RV Approved</t>
  </si>
  <si>
    <t>HappySolar - INV-0300</t>
  </si>
  <si>
    <t>Cassia_Tracker.xlsx | Table row 53 | Equipment Onsite | Inv HappySolar - INV-0303 | Col ExpenseActualTotal</t>
  </si>
  <si>
    <t>Equipment Onsite</t>
  </si>
  <si>
    <t>HappySolar - INV-0303</t>
  </si>
  <si>
    <t>Cassia_Tracker.xlsx | Table row 54 | AC &amp; DC Complete | Inv HappySolar - INV-0304 | Col ExpenseActualTotal</t>
  </si>
  <si>
    <t>AC &amp; DC Complete</t>
  </si>
  <si>
    <t>HappySolar - INV-0304</t>
  </si>
  <si>
    <t>Cassia_Tracker.xlsx | Table row 55 | Retention | Inv HappySolar - INV-0312 | Col ExpenseActualTotal</t>
  </si>
  <si>
    <t>Retention</t>
  </si>
  <si>
    <t>HappySolar - INV-0312</t>
  </si>
  <si>
    <t>Cassia_Tracker.xlsx | Table row 75 | Inverter Upgrade - Deposit | Inv HappySolar - INV-0300 | Col ExpenseActualTotal</t>
  </si>
  <si>
    <t>Cassia_Tracker.xlsx | Table row 76 | Equipment Onsite | Inv HappySolar - INV-0303 | Col ExpenseActualTotal</t>
  </si>
  <si>
    <t>Cassia_Tracker.xlsx | Table row 77 | AC &amp; DC Complete | Inv HappySolar - INV-0304 | Col ExpenseActualTotal</t>
  </si>
  <si>
    <t>Cassia_Tracker.xlsx | Table row 78 | Retention | Inv HappySolar - INV-0312 | Col ExpenseActualTotal</t>
  </si>
  <si>
    <t>Cassia_Tracker.xlsx | Table row 80 | Huawei 50KTL | Inv Menlo Inv0002791 | Col ExpenseActualTotal</t>
  </si>
  <si>
    <t>PO3775-CASS-20250328 - RV Approved</t>
  </si>
  <si>
    <t>Menlo Inv0002791</t>
  </si>
  <si>
    <t>Cassia_Tracker.xlsx | Table row 81 | Smartlogger | Inv Menlo Inv0002791 | Col ExpenseActualTotal</t>
  </si>
  <si>
    <t>Cassia_Tracker.xlsx | Table row 82 | Router | Inv ACCUENERGY - INV ASAI-005156 | Col ExpenseActualTotal</t>
  </si>
  <si>
    <t>Router</t>
  </si>
  <si>
    <t>PO3778-CASS-20250331 - RV Approved</t>
  </si>
  <si>
    <t>ACCUENERGY - INV ASAI-005156</t>
  </si>
  <si>
    <t>Cassia_Tracker.xlsx | Table row 86 | Inverter Upgrade - Deposit | Inv HappySolar - INV-0300 | Col ExpenseActualTotal</t>
  </si>
  <si>
    <t>Cassia_Tracker.xlsx | Table row 87 | Equipment Onsite | Inv HappySolar - INV-0303 | Col ExpenseActualTotal</t>
  </si>
  <si>
    <t>Cassia_Tracker.xlsx | Table row 88 | AC &amp; DC Complete | Inv HappySolar - INV-0304 | Col ExpenseActualTotal</t>
  </si>
  <si>
    <t>Cassia_Tracker.xlsx | Table row 89 | Retention | Inv HappySolar - INV-0312 | Col ExpenseActualTotal</t>
  </si>
  <si>
    <t>Cassia_Tracker.xlsx | Table row 114 | Electrical PrEng sign off | Inv  | Col ExpenseActualTotal</t>
  </si>
  <si>
    <t>MI - Cost removed as per AG - 12 May</t>
  </si>
  <si>
    <t>Cassia_Tracker.xlsx | Table row 130 | Travel | Inv Expense Claim | Col ExpenseActualTotal</t>
  </si>
  <si>
    <t>Cassia_Tracker.xlsx | Table row 131 | Travel | Inv Expense Claim | Col ExpenseActualTotal</t>
  </si>
  <si>
    <t>Cassia_Tracker.xlsx | Table row 132 | Travel | Inv Expense Claim | Col ExpenseActualTotal</t>
  </si>
  <si>
    <t>China Town Adhoc_Tracker.xlsx | Table row 30 | Removal and Refit - Deposit | Inv Happy Solar INV-0317 | Col ExpenseActualTotal</t>
  </si>
  <si>
    <t>Removal and Refit - Deposit</t>
  </si>
  <si>
    <t>PO3891-CTOP1-20250604 - RV Approved</t>
  </si>
  <si>
    <t>Happy Solar INV-0317</t>
  </si>
  <si>
    <t>China Town Adhoc_Tracker.xlsx | Table row 31 | Removal and Refit - Balance | Inv Happy Solar INV-0317 | Col ExpenseActualTotal</t>
  </si>
  <si>
    <t>Removal and Refit - Balance</t>
  </si>
  <si>
    <t>China Town Adhoc_Tracker.xlsx | Table row 32 | Removal and Refit - Signoff | Inv Happy Solar INV-0317 | Col ExpenseActualTotal</t>
  </si>
  <si>
    <t>Removal and Refit - Signoff</t>
  </si>
  <si>
    <t>China Town Adhoc_Tracker.xlsx | Table row 78 | Contigency Fund | Inv  | Col ExpenseActualTotal</t>
  </si>
  <si>
    <t>Contigency Fund</t>
  </si>
  <si>
    <t>China Town Adhoc_Tracker.xlsx | Table row 79 | Replacement Mounting Structure | Inv Schletter INV2117 | Col ExpenseActualTotal</t>
  </si>
  <si>
    <t>Replacement Mounting Structure</t>
  </si>
  <si>
    <t>PO4230-CTOP1-20250818 - RV Approved</t>
  </si>
  <si>
    <t>Schletter INV2117</t>
  </si>
  <si>
    <t>China Town Adhoc_Tracker.xlsx | Table row 81 | Additional MS | Inv Solarworld - SASIV-25-00724 | Col ExpenseActualTotal</t>
  </si>
  <si>
    <t>Additional MS</t>
  </si>
  <si>
    <t>PO4527-CTOP1-20251208 - RV Approved</t>
  </si>
  <si>
    <t>Solarworld - SASIV-25-00724</t>
  </si>
  <si>
    <t>China Town Adhoc_Tracker.xlsx | Table row 82 | Optimizer Plates + Installation | Inv Happy Solar INV-0347 | Col ExpenseActualTotal</t>
  </si>
  <si>
    <t>Optimizer Plates + Installation</t>
  </si>
  <si>
    <t>PO4545-CTOP1-20251218 - RV Approved</t>
  </si>
  <si>
    <t>Happy Solar INV-0347</t>
  </si>
  <si>
    <t>China Town Adhoc_Tracker.xlsx | Table row 94 | Removal and Refit - Deposit | Inv Happy Solar INV-0317 | Col ExpenseActualTotal</t>
  </si>
  <si>
    <t>China Town Adhoc_Tracker.xlsx | Table row 95 | Removal and Refit - Balance | Inv Happy Solar INV-0317 | Col ExpenseActualTotal</t>
  </si>
  <si>
    <t>China Town Adhoc_Tracker.xlsx | Table row 96 | Removal and Refit - Signoff | Inv Happy Solar INV-0317 | Col ExpenseActualTotal</t>
  </si>
  <si>
    <t>China Town Adhoc_Tracker.xlsx | Table row 108 | Removal and Refit - Deposit | Inv Happy solar INV-0317 | Col ExpenseActualTotal</t>
  </si>
  <si>
    <t>Happy solar INV-0317</t>
  </si>
  <si>
    <t>China Town Adhoc_Tracker.xlsx | Table row 109 | Removal and Refit - Balance | Inv Happy Solar INV-0317 | Col ExpenseActualTotal</t>
  </si>
  <si>
    <t>China Town Adhoc_Tracker.xlsx | Table row 110 | Removal and Refit - Signoff | Inv Happy Solar INV-0317 | Col ExpenseActualTotal</t>
  </si>
  <si>
    <t>China Town Adhoc_Tracker.xlsx | Table row 139 | Travel | Inv Expense Claim | Col ExpenseActualTotal</t>
  </si>
  <si>
    <t>China Town Adhoc_Tracker.xlsx | Table row 140 | Travel | Inv Expense Claim | Col ExpenseActualTotal</t>
  </si>
  <si>
    <t>China Town Adhoc_Tracker.xlsx | Table row 141 | Travel | Inv Expense Claim | Col ExpenseActualTotal</t>
  </si>
  <si>
    <t>Coega Steels Ph2_Tracker.xlsx | Table row 6 | Jinko 620W - Deposit | Inv Menlo INV0003003 | Col ExpenseActualTotal</t>
  </si>
  <si>
    <t>Jinko 620W - Deposit</t>
  </si>
  <si>
    <t>PO3993-CSPH2-20260610 - RV Approved</t>
  </si>
  <si>
    <t>Menlo INV0003003</t>
  </si>
  <si>
    <t>Coega Steels Ph2_Tracker.xlsx | Table row 8 | Jinko 620W - Ground Mount | Inv Menlo INV0003103 | Col ExpenseActualTotal</t>
  </si>
  <si>
    <t>Jinko 620W - Ground Mount</t>
  </si>
  <si>
    <t>Menlo INV0003103</t>
  </si>
  <si>
    <t>Coega Steels Ph2_Tracker.xlsx | Table row 9 |  | Inv Menlo INV0003103 | Col ExpenseActualTotal</t>
  </si>
  <si>
    <t>Coega Steels Ph2_Tracker.xlsx | Table row 10 |  | Inv Menlo INV0003103 | Col ExpenseActualTotal</t>
  </si>
  <si>
    <t>Coega Steels Ph2_Tracker.xlsx | Table row 11 | Jinko 620W - Rooftop | Inv Menlo INV0003103 | Col ExpenseActualTotal</t>
  </si>
  <si>
    <t>Jinko 620W - Rooftop</t>
  </si>
  <si>
    <t>Coega Steels Ph2_Tracker.xlsx | Table row 12 |  | Inv Menlo INV0003103 | Col ExpenseActualTotal</t>
  </si>
  <si>
    <t>Coega Steels Ph2_Tracker.xlsx | Table row 13 |  | Inv Menlo INV0003103 | Col ExpenseActualTotal</t>
  </si>
  <si>
    <t>Coega Steels Ph2_Tracker.xlsx | Table row 14 |  | Inv Menlo INV0003103 | Col ExpenseActualTotal</t>
  </si>
  <si>
    <t>Coega Steels Ph2_Tracker.xlsx | Table row 15 |  | Inv Menlo INV0003103 | Col ExpenseActualTotal</t>
  </si>
  <si>
    <t>Coega Steels Ph2_Tracker.xlsx | Table row 16 |  | Inv Menlo INV0003103 | Col ExpenseActualTotal</t>
  </si>
  <si>
    <t>Coega Steels Ph2_Tracker.xlsx | Table row 17 | Spare | Inv Menlo INV0003103 | Col ExpenseActualTotal</t>
  </si>
  <si>
    <t>Spare</t>
  </si>
  <si>
    <t>Coega Steels Ph2_Tracker.xlsx | Table row 18 | Extra Pallet | Inv Menlo INV0003160 | Col ExpenseActualTotal</t>
  </si>
  <si>
    <t>Extra Pallet</t>
  </si>
  <si>
    <t>Menlo INV0003160</t>
  </si>
  <si>
    <t>Coega Steels Ph2_Tracker.xlsx | Table row 19 | Extra Pallet | Inv MSA Energy: CRN0000262 | Col ExpenseActualTotal</t>
  </si>
  <si>
    <t>MSA Energy: CRN0000262</t>
  </si>
  <si>
    <t>Coega Steels Ph2_Tracker.xlsx | Table row 21 | Huawei 330KTL - Deposit 30% | Inv Kathea S19625 | Col ExpenseActualTotal</t>
  </si>
  <si>
    <t>Huawei 330KTL - Deposit 30%</t>
  </si>
  <si>
    <t>PO3991-CSPH2-20250610 - JP Approved</t>
  </si>
  <si>
    <t>Kathea S19625</t>
  </si>
  <si>
    <t>Coega Steels Ph2_Tracker.xlsx | Table row 22 | Huawei 330KTL - Balance 70% | Inv Kathea - 519704 | Col ExpenseActualTotal</t>
  </si>
  <si>
    <t>Huawei 330KTL - Balance 70%</t>
  </si>
  <si>
    <t>Kathea - 519704</t>
  </si>
  <si>
    <t>Coega Steels Ph2_Tracker.xlsx | Table row 25 | Huawei SUN2000 HAV5-Inverter Accessories - 330KTL Inverters  | Inv Kathea - 500335 | Col ExpenseActualTotal</t>
  </si>
  <si>
    <t xml:space="preserve">Huawei SUN2000 HAV5-Inverter Accessories - 330KTL Inverters </t>
  </si>
  <si>
    <t>Kathea - 500335</t>
  </si>
  <si>
    <t>Coega Steels Ph2_Tracker.xlsx | Table row 26 |  | Inv Kathea - 500335 | Col ExpenseActualTotal</t>
  </si>
  <si>
    <t>Coega Steels Ph2_Tracker.xlsx | Table row 29 | IBR short rail - Rooftop | Inv Schletter - INV1895 | Col ExpenseActualTotal</t>
  </si>
  <si>
    <t>IBR short rail - Rooftop</t>
  </si>
  <si>
    <t>PO3994-CSPH2-20260610 - RV Approved</t>
  </si>
  <si>
    <t>Schletter - INV1895</t>
  </si>
  <si>
    <t>Coega Steels Ph2_Tracker.xlsx | Table row 30 | Screws - Rooftop | Inv Schletter - INV1895 | Col ExpenseActualTotal</t>
  </si>
  <si>
    <t>Screws - Rooftop</t>
  </si>
  <si>
    <t>Coega Steels Ph2_Tracker.xlsx | Table row 31 | Inner Clamp - 30mm - Rooftop | Inv Schletter - INV1895 | Col ExpenseActualTotal</t>
  </si>
  <si>
    <t>Inner Clamp - 30mm - Rooftop</t>
  </si>
  <si>
    <t>Coega Steels Ph2_Tracker.xlsx | Table row 32 | End Clamp - 30mm - Rooftop | Inv Schletter - INV1895 | Col ExpenseActualTotal</t>
  </si>
  <si>
    <t>End Clamp - 30mm - Rooftop</t>
  </si>
  <si>
    <t>Coega Steels Ph2_Tracker.xlsx | Table row 34 | IBR Mounting clamps - Cable Trays | Inv Schletter - INV1895 | Col ExpenseActualTotal</t>
  </si>
  <si>
    <t>IBR Mounting clamps - Cable Trays</t>
  </si>
  <si>
    <t>Coega Steels Ph2_Tracker.xlsx | Table row 35 | Screws - Cable Trays | Inv Schletter - INV1895 | Col ExpenseActualTotal</t>
  </si>
  <si>
    <t>Screws - Cable Trays</t>
  </si>
  <si>
    <t>Coega Steels Ph2_Tracker.xlsx | Table row 37 | Freight Charges | Inv Schletter - INV1895 | Col ExpenseActualTotal</t>
  </si>
  <si>
    <t>Freight Charges</t>
  </si>
  <si>
    <t>Coega Steels Ph2_Tracker.xlsx | Table row 41 | Ground mount - Deposit | Inv Schletter : INV1887 | Col ExpenseActualTotal</t>
  </si>
  <si>
    <t>Ground mount - Deposit</t>
  </si>
  <si>
    <t>PO3992-CSPH2-20250610 - RV Approved</t>
  </si>
  <si>
    <t>Schletter : INV1887</t>
  </si>
  <si>
    <t>Coega Steels Ph2_Tracker.xlsx | Table row 42 | Ground mount - Balance | Inv Schletter: INV2113 | Col ExpenseActualTotal</t>
  </si>
  <si>
    <t>Ground mount - Balance</t>
  </si>
  <si>
    <t>Schletter: INV2113</t>
  </si>
  <si>
    <t>Coega Steels Ph2_Tracker.xlsx | Table row 43 |  | Inv Schletter - CRN0271 | Col ExpenseActualTotal</t>
  </si>
  <si>
    <t>Schletter - CRN0271</t>
  </si>
  <si>
    <t>Coega Steels Ph2_Tracker.xlsx | Table row 44 |  | Inv Schletter - CRN0272 | Col ExpenseActualTotal</t>
  </si>
  <si>
    <t>Schletter - CRN0272</t>
  </si>
  <si>
    <t>Coega Steels Ph2_Tracker.xlsx | Table row 45 |  | Inv Schletter - INV2231 | Col ExpenseActualTotal</t>
  </si>
  <si>
    <t>Schletter - INV2231</t>
  </si>
  <si>
    <t>Coega Steels Ph2_Tracker.xlsx | Table row 46 | Engineering Signoff - deposit | Inv Schletter : INV1887 | Col ExpenseActualTotal</t>
  </si>
  <si>
    <t>Engineering Signoff - deposit</t>
  </si>
  <si>
    <t>Coega Steels Ph2_Tracker.xlsx | Table row 47 | Engineering Signoff - balance | Inv Schletter: INV2113 | Col ExpenseActualTotal</t>
  </si>
  <si>
    <t>Engineering Signoff - balance</t>
  </si>
  <si>
    <t>Coega Steels Ph2_Tracker.xlsx | Table row 49 | DC Cable Budget | Inv  | Col ExpenseActualTotal</t>
  </si>
  <si>
    <t>DC Cable Budget</t>
  </si>
  <si>
    <t>Coega Steels Ph2_Tracker.xlsx | Table row 50 | DC Cable - Balance to be delivered | Inv Menlo INV0003003 | Col ExpenseActualTotal</t>
  </si>
  <si>
    <t>DC Cable - Balance to be delivered</t>
  </si>
  <si>
    <t>Coega Steels Ph2_Tracker.xlsx | Table row 51 | DC Cable | Inv Menlo INV0003047 | Col ExpenseActualTotal</t>
  </si>
  <si>
    <t>Menlo INV0003047</t>
  </si>
  <si>
    <t>Coega Steels Ph2_Tracker.xlsx | Table row 52 | Jinko Connectors - Male | Inv Menlo INV0003096 | Col ExpenseActualTotal</t>
  </si>
  <si>
    <t>Jinko Connectors - Male</t>
  </si>
  <si>
    <t>PO4154-COEGA-20250723 - RV Approved</t>
  </si>
  <si>
    <t>Menlo INV0003096</t>
  </si>
  <si>
    <t>Coega Steels Ph2_Tracker.xlsx | Table row 53 | Jinko Connectors - Female | Inv Menlo INV0003096 | Col ExpenseActualTotal</t>
  </si>
  <si>
    <t>Jinko Connectors - Female</t>
  </si>
  <si>
    <t>Coega Steels Ph2_Tracker.xlsx | Table row 55 | DC Cable Trays - As Per BOQ | Inv Advanced Strut INV IN152953 | Col ExpenseActualTotal</t>
  </si>
  <si>
    <t>DC Cable Trays - As Per BOQ</t>
  </si>
  <si>
    <t>PO4126-CSPH2-20250716 - RV Approved</t>
  </si>
  <si>
    <t>Advanced Strut INV IN152953</t>
  </si>
  <si>
    <t>Coega Steels Ph2_Tracker.xlsx | Table row 62 | Project Kick Off - Rooftop | Inv Luken Solar Inv: 0654 | Col ExpenseActualTotal</t>
  </si>
  <si>
    <t>Project Kick Off - Rooftop</t>
  </si>
  <si>
    <t>PO4029-CSPH2-20250624 - RV Approved</t>
  </si>
  <si>
    <t>Luken Solar Inv: 0654</t>
  </si>
  <si>
    <t>Coega Steels Ph2_Tracker.xlsx | Table row 63 | DC Equipment Onsite - Rooftop | Inv Luken Solar Inv: 0660 | Col ExpenseActualTotal</t>
  </si>
  <si>
    <t>DC Equipment Onsite - Rooftop</t>
  </si>
  <si>
    <t>Luken Solar Inv: 0660</t>
  </si>
  <si>
    <t>Coega Steels Ph2_Tracker.xlsx | Table row 64 | End of Defects Period - Rooftop | Inv Luken Solar Inv 0665 | Col ExpenseActualTotal</t>
  </si>
  <si>
    <t>End of Defects Period - Rooftop</t>
  </si>
  <si>
    <t>Luken Solar Inv 0665</t>
  </si>
  <si>
    <t>Coega Steels Ph2_Tracker.xlsx | Table row 67 | Project Kick Off - Ground Mount | Inv Luken Solar Inv: 0654 | Col ExpenseActualTotal</t>
  </si>
  <si>
    <t>Project Kick Off - Ground Mount</t>
  </si>
  <si>
    <t>Coega Steels Ph2_Tracker.xlsx | Table row 68 | DC Equipment Onsite - Ground Mount | Inv Luken Solar Inv: 0660 | Col ExpenseActualTotal</t>
  </si>
  <si>
    <t>DC Equipment Onsite - Ground Mount</t>
  </si>
  <si>
    <t>Coega Steels Ph2_Tracker.xlsx | Table row 69 | End of Defects Period - Ground Mount | Inv Luken Solar Inv 0665 | Col ExpenseActualTotal</t>
  </si>
  <si>
    <t>End of Defects Period - Ground Mount</t>
  </si>
  <si>
    <t>Coega Steels Ph2_Tracker.xlsx | Table row 75 | Janitza UMG604 pro | Inv Harmonious Technical - QU100635 | Col ExpenseActualTotal</t>
  </si>
  <si>
    <t>Janitza UMG604 pro</t>
  </si>
  <si>
    <t>PO4129-CSPH2-2020717 - RV Approved</t>
  </si>
  <si>
    <t>Harmonious Technical - QU100635</t>
  </si>
  <si>
    <t>Coega Steels Ph2_Tracker.xlsx | Table row 76 | Delivery of Janitza | Inv DSV Inv: 180140895 | Col ExpenseActualTotal</t>
  </si>
  <si>
    <t>Delivery of Janitza</t>
  </si>
  <si>
    <t>DSV Inv: 180140895</t>
  </si>
  <si>
    <t>Coega Steels Ph2_Tracker.xlsx | Table row 77 | Techsitter | Inv Matriarch - INV-4999 | Col ExpenseActualTotal</t>
  </si>
  <si>
    <t>Coega Steels Ph2_Tracker.xlsx | Table row 78 | Delivery of Techsitter | Inv DSV Inv: 180140895 | Col ExpenseActualTotal</t>
  </si>
  <si>
    <t>Delivery of Techsitter</t>
  </si>
  <si>
    <t>Coega Steels Ph2_Tracker.xlsx | Table row 79 | Encombi controller complete kit | Inv Kathea Inv: 519753 + 519759 + 519762 | Col ExpenseActualTotal</t>
  </si>
  <si>
    <t>Encombi controller complete kit</t>
  </si>
  <si>
    <t>PO4128-CSPH2-20250717 - RV Approved</t>
  </si>
  <si>
    <t>Kathea Inv: 519753 + 519759 + 519762</t>
  </si>
  <si>
    <t>Coega Steels Ph2_Tracker.xlsx | Table row 80 | Router and CTs | Inv AccuEnergy - ASAI-005973 | Col ExpenseActualTotal</t>
  </si>
  <si>
    <t>Router and CTs</t>
  </si>
  <si>
    <t>PO4125-COEG-20250716 - RV Approved</t>
  </si>
  <si>
    <t>AccuEnergy - ASAI-005973</t>
  </si>
  <si>
    <t>Coega Steels Ph2_Tracker.xlsx | Table row 81 | Optic Fiber Installation | Inv Paul van Vuuren Inv: IOG090 | Col ExpenseActualTotal</t>
  </si>
  <si>
    <t>PO4506-CSPH2-20251128 - RV Approve</t>
  </si>
  <si>
    <t>Paul van Vuuren Inv: IOG090</t>
  </si>
  <si>
    <t>Coega Steels Ph2_Tracker.xlsx | Table row 82 |  | Inv Paul van Vuuren - CN000217 | Col ExpenseActualTotal</t>
  </si>
  <si>
    <t>Paul van Vuuren - CN000217</t>
  </si>
  <si>
    <t>Coega Steels Ph2_Tracker.xlsx | Table row 83 | Meanwell MDR-100-24 | Inv Mantech INV1078143 | Col ExpenseActualTotal</t>
  </si>
  <si>
    <t>Meanwell MDR-100-24</t>
  </si>
  <si>
    <t>PO4259-CSHP2-20250821 - RV Approved</t>
  </si>
  <si>
    <t>Mantech INV1078143</t>
  </si>
  <si>
    <t>Coega Steels Ph2_Tracker.xlsx | Table row 85 | Techsitter - Ground Mount | Inv Matriarch - INV-5207 | Col ExpenseActualTotal</t>
  </si>
  <si>
    <t>Techsitter - Ground Mount</t>
  </si>
  <si>
    <t>Coega Steels Ph2_Tracker.xlsx | Table row 86 | Delivery of Techsitter | Inv DSV Inv: 180150385 | Col ExpenseActualTotal</t>
  </si>
  <si>
    <t>Coega Steels Ph2_Tracker.xlsx | Table row 87 | Supply &amp; Delivery - Mode Duplex Fibre Modules  | Inv Paul Van Vuuren - IOG122 | Col ExpenseActualTotal</t>
  </si>
  <si>
    <t xml:space="preserve">Supply &amp; Delivery - Mode Duplex Fibre Modules </t>
  </si>
  <si>
    <t>Paul Van Vuuren - IOG122</t>
  </si>
  <si>
    <t>Coega Steels Ph2_Tracker.xlsx | Table row 88 | AcuRev Energy Meter | Inv AccuEnergy - ASAI-007302 | Col ExpenseActualTotal</t>
  </si>
  <si>
    <t>AcuRev Energy Meter</t>
  </si>
  <si>
    <t>AccuEnergy - ASAI-007302</t>
  </si>
  <si>
    <t>Coega Steels Ph2_Tracker.xlsx | Table row 97 | MCCB Boards | Inv Eastern Switchgear: 16889 | Col ExpenseActualTotal</t>
  </si>
  <si>
    <t>MCCB Boards</t>
  </si>
  <si>
    <t>PO4115-COEG-20250710 - RV Approved</t>
  </si>
  <si>
    <t>Eastern Switchgear: 16889</t>
  </si>
  <si>
    <t>Coega Steels Ph2_Tracker.xlsx | Table row 99 | LV Cable | Inv Herholdts - INV1198397 | Col ExpenseActualTotal</t>
  </si>
  <si>
    <t>LV Cable</t>
  </si>
  <si>
    <t>Herholdts - INV1198397</t>
  </si>
  <si>
    <t>Coega Steels Ph2_Tracker.xlsx | Table row 102 | AC - LV/MV/Earthing Cable | Inv ARB : PLZ-3079494 | Col ExpenseActualTotal</t>
  </si>
  <si>
    <t>AC - LV/MV/Earthing Cable</t>
  </si>
  <si>
    <t>PO4131-CSPH2-20250717 - RV Approved</t>
  </si>
  <si>
    <t>ARB : PLZ-3079494</t>
  </si>
  <si>
    <t>Coega Steels Ph2_Tracker.xlsx | Table row 103 | AC - LV/MV/Earthing Cable - Delivery 1 | Inv ARB : PLZ-3079420 | Col ExpenseActualTotal</t>
  </si>
  <si>
    <t>AC - LV/MV/Earthing Cable - Delivery 1</t>
  </si>
  <si>
    <t>ARB : PLZ-3079420</t>
  </si>
  <si>
    <t>Coega Steels Ph2_Tracker.xlsx | Table row 104 | AC - LV/MV/Earthing Cable - Delivery 2 | Inv ARB: PLZ-3079501 | Col ExpenseActualTotal</t>
  </si>
  <si>
    <t>AC - LV/MV/Earthing Cable - Delivery 2</t>
  </si>
  <si>
    <t>ARB: PLZ-3079501</t>
  </si>
  <si>
    <t>Coega Steels Ph2_Tracker.xlsx | Table row 106 | AC Cable Trays | Inv Advanced Strut INV56863 | Col ExpenseActualTotal</t>
  </si>
  <si>
    <t>AC Cable Trays</t>
  </si>
  <si>
    <t>Advanced Strut INV56863</t>
  </si>
  <si>
    <t>Coega Steels Ph2_Tracker.xlsx | Table row 110 | Project Kick Off - Rooftop | Inv Luken Solar Inv: 0654 | Col ExpenseActualTotal</t>
  </si>
  <si>
    <t>Coega Steels Ph2_Tracker.xlsx | Table row 111 | AC Equipment Onsite - Rooftop | Inv Luken Solar Inv: 0660 | Col ExpenseActualTotal</t>
  </si>
  <si>
    <t>AC Equipment Onsite - Rooftop</t>
  </si>
  <si>
    <t>Coega Steels Ph2_Tracker.xlsx | Table row 112 | End of Defects Period - Rooftop | Inv Luken Solar Inv 0665 | Col ExpenseActualTotal</t>
  </si>
  <si>
    <t>Coega Steels Ph2_Tracker.xlsx | Table row 115 | Project Kick Off - Ground Mount | Inv Luken Solar Inv: 0654 | Col ExpenseActualTotal</t>
  </si>
  <si>
    <t>Coega Steels Ph2_Tracker.xlsx | Table row 116 | AC Equipment Onsite - Ground Mount | Inv Luken Solar Inv: 0660 | Col ExpenseActualTotal</t>
  </si>
  <si>
    <t>AC Equipment Onsite - Ground Mount</t>
  </si>
  <si>
    <t>Coega Steels Ph2_Tracker.xlsx | Table row 117 | End of Defects Period - Ground Mount | Inv Luken Solar Inv 0665 | Col ExpenseActualTotal</t>
  </si>
  <si>
    <t>Coega Steels Ph2_Tracker.xlsx | Table row 122 | Huawei String Inverter Warranty Extensions to 10 years | Inv Kathea S19625 | Col ExpenseActualTotal</t>
  </si>
  <si>
    <t>7.MV Substation</t>
  </si>
  <si>
    <t>Huawei String Inverter Warranty Extensions to 10 years</t>
  </si>
  <si>
    <t>Coega Steels Ph2_Tracker.xlsx | Table row 123 | Huawei String Inverter Warranty Extensions to 10 years | Inv Kathea 500008 | Col ExpenseActualTotal</t>
  </si>
  <si>
    <t>Kathea 500008</t>
  </si>
  <si>
    <t>Coega Steels Ph2_Tracker.xlsx | Table row 125 | Huawei Smart Transformers - 6MVA 0.8/22kV - Deposit | Inv Kathea S19625 | Col ExpenseActualTotal</t>
  </si>
  <si>
    <t>Huawei Smart Transformers - 6MVA 0.8/22kV - Deposit</t>
  </si>
  <si>
    <t>Coega Steels Ph2_Tracker.xlsx | Table row 126 | Huawei Smart Transformers - 6MVA 0.8/22kV - Balance | Inv Kathea 500247 | Col ExpenseActualTotal</t>
  </si>
  <si>
    <t>Huawei Smart Transformers - 6MVA 0.8/22kV - Balance</t>
  </si>
  <si>
    <t>Kathea 500247</t>
  </si>
  <si>
    <t>Coega Steels Ph2_Tracker.xlsx | Table row 127 | 6MVA 0.8/22kV - Warranty Extension 5 Years - Deposit | Inv Kathea S19625 | Col ExpenseActualTotal</t>
  </si>
  <si>
    <t>6MVA 0.8/22kV - Warranty Extension 5 Years - Deposit</t>
  </si>
  <si>
    <t>Coega Steels Ph2_Tracker.xlsx | Table row 128 | 6MVA 0.8/22kV - Warranty Extension 5 Years - Balance | Inv Kathea 500247 | Col ExpenseActualTotal</t>
  </si>
  <si>
    <t>6MVA 0.8/22kV - Warranty Extension 5 Years - Balance</t>
  </si>
  <si>
    <t>Coega Steels Ph2_Tracker.xlsx | Table row 130 | Huawei Smart Transformers - 3MVA 0.8/22kV - Deposit | Inv Kathea S19625 | Col ExpenseActualTotal</t>
  </si>
  <si>
    <t>Huawei Smart Transformers - 3MVA 0.8/22kV - Deposit</t>
  </si>
  <si>
    <t>Coega Steels Ph2_Tracker.xlsx | Table row 131 | Huawei Smart Transformers - 3MVA 0.8/22kV - Balance | Inv Kathea 500247 | Col ExpenseActualTotal</t>
  </si>
  <si>
    <t>Huawei Smart Transformers - 3MVA 0.8/22kV - Balance</t>
  </si>
  <si>
    <t>Coega Steels Ph2_Tracker.xlsx | Table row 132 | 3MVA 0.8/22kV - Warranty Extension 5 Years - Deposit | Inv Kathea S19625 | Col ExpenseActualTotal</t>
  </si>
  <si>
    <t>3MVA 0.8/22kV - Warranty Extension 5 Years - Deposit</t>
  </si>
  <si>
    <t>Coega Steels Ph2_Tracker.xlsx | Table row 133 | 3MVA 0.8/22kV - Warranty Extension 5 Years - Balance | Inv Kathea 500247 | Col ExpenseActualTotal</t>
  </si>
  <si>
    <t>3MVA 0.8/22kV - Warranty Extension 5 Years - Balance</t>
  </si>
  <si>
    <t>Coega Steels Ph2_Tracker.xlsx | Table row 135 | Inverter Assecories with Spares | Inv Kathea S19625 | Col ExpenseActualTotal</t>
  </si>
  <si>
    <t>Inverter Assecories with Spares</t>
  </si>
  <si>
    <t>Coega Steels Ph2_Tracker.xlsx | Table row 136 | Transformer Assecories with Spares | Inv Kathea 500247 | Col ExpenseActualTotal</t>
  </si>
  <si>
    <t>Transformer Assecories with Spares</t>
  </si>
  <si>
    <t>Coega Steels Ph2_Tracker.xlsx | Table row 138 | Transformer UPS - Deposit | Inv Kathea S19625 | Col ExpenseActualTotal</t>
  </si>
  <si>
    <t>Transformer UPS - Deposit</t>
  </si>
  <si>
    <t>Coega Steels Ph2_Tracker.xlsx | Table row 139 | Transformer UPS - Balance | Inv Kathea 500247 | Col ExpenseActualTotal</t>
  </si>
  <si>
    <t>Transformer UPS - Balance</t>
  </si>
  <si>
    <t>Coega Steels Ph2_Tracker.xlsx | Table row 141 | Commissioning Services - Deposit - Kathea | Inv Kathea S19625 | Col ExpenseActualTotal</t>
  </si>
  <si>
    <t>Commissioning Services - Deposit - Kathea</t>
  </si>
  <si>
    <t>Coega Steels Ph2_Tracker.xlsx | Table row 142 | Commissioning Services - Balance - Kathea | Inv Kathea 500247 | Col ExpenseActualTotal</t>
  </si>
  <si>
    <t>Commissioning Services - Balance - Kathea</t>
  </si>
  <si>
    <t>Coega Steels Ph2_Tracker.xlsx | Table row 162 | Manufacture &amp; Install Catladder | Inv The Engineering Hub: INV/2025/07/0546 | Col ExpenseActualTotal</t>
  </si>
  <si>
    <t>Manufacture &amp; Install Catladder</t>
  </si>
  <si>
    <t>PO4124-COEG-20250716 - RV Approved</t>
  </si>
  <si>
    <t>The Engineering Hub: INV/2025/07/0546</t>
  </si>
  <si>
    <t>Coega Steels Ph2_Tracker.xlsx | Table row 163 | Ground mount closure &amp; cages | Inv The Engineering Hub - INV/2025/07/0576 | Col ExpenseActualTotal</t>
  </si>
  <si>
    <t>Ground mount closure &amp; cages</t>
  </si>
  <si>
    <t>PO4189-COEG-20250731 - RV Approved</t>
  </si>
  <si>
    <t>The Engineering Hub - INV/2025/07/0576</t>
  </si>
  <si>
    <t>Coega Steels Ph2_Tracker.xlsx | Table row 164 | Inverter Enclosure | Inv The Engineering Hub - INV/2025/07/0558 | Col ExpenseActualTotal</t>
  </si>
  <si>
    <t>Inverter Enclosure</t>
  </si>
  <si>
    <t>The Engineering Hub - INV/2025/07/0558</t>
  </si>
  <si>
    <t>Coega Steels Ph2_Tracker.xlsx | Table row 165 | Inverter Enclosure | Inv The Engineering Hub - INV/2025/07/0558 | Col ExpenseActualTotal</t>
  </si>
  <si>
    <t>Coega Steels Ph2_Tracker.xlsx | Table row 166 | Plinths - Deposit | Inv Bayview Construction: Inv 338202502 | Col ExpenseActualTotal</t>
  </si>
  <si>
    <t>Plinths - Deposit</t>
  </si>
  <si>
    <t>PO4179-COEG-20250729 - RV Approved</t>
  </si>
  <si>
    <t>Bayview Construction: Inv 338202502</t>
  </si>
  <si>
    <t>Coega Steels Ph2_Tracker.xlsx | Table row 167 | Plinths - Balance | Inv Bayview Construction: Inv 338202502 | Col ExpenseActualTotal</t>
  </si>
  <si>
    <t>Plinths - Balance</t>
  </si>
  <si>
    <t>Coega Steels Ph2_Tracker.xlsx | Table row 168 | Walkways | Inv Onvlee - Inv 1050589 | Col ExpenseActualTotal</t>
  </si>
  <si>
    <t>Walkways</t>
  </si>
  <si>
    <t>PO4030-CSPH2-20250624 - RV Approved</t>
  </si>
  <si>
    <t>Onvlee - Inv 1050589</t>
  </si>
  <si>
    <t>Coega Steels Ph2_Tracker.xlsx | Table row 169 | Walkway Mounting Kit | Inv Onvlee - Inv 1050589 | Col ExpenseActualTotal</t>
  </si>
  <si>
    <t>Walkway Mounting Kit</t>
  </si>
  <si>
    <t>Coega Steels Ph2_Tracker.xlsx | Table row 170 | Transport | Inv Onvlee - Inv 1050589 | Col ExpenseActualTotal</t>
  </si>
  <si>
    <t>Coega Steels Ph2_Tracker.xlsx | Table row 171 | Change in scope - Additional Walkway | Inv Onvlee - Inv 01051083 | Col ExpenseActualTotal</t>
  </si>
  <si>
    <t>Change in scope - Additional Walkway</t>
  </si>
  <si>
    <t>PO4284-CSPH2-20250827 - RV Approved</t>
  </si>
  <si>
    <t>Onvlee - Inv 01051083</t>
  </si>
  <si>
    <t>Coega Steels Ph2_Tracker.xlsx | Table row 174 | Anchor Points - Deposit | Inv EZI Systems - VIN2793 | Col ExpenseActualTotal</t>
  </si>
  <si>
    <t>PO4097-COEG-20250708 - RV Approved</t>
  </si>
  <si>
    <t>EZI Systems - VIN2793</t>
  </si>
  <si>
    <t>Coega Steels Ph2_Tracker.xlsx | Table row 175 | Anchor Points - Balance | Inv Ezi Systems - VIN2863 | Col ExpenseActualTotal</t>
  </si>
  <si>
    <t>Anchor Points - Balance</t>
  </si>
  <si>
    <t>Ezi Systems - VIN2863</t>
  </si>
  <si>
    <t>Coega Steels Ph2_Tracker.xlsx | Table row 177 | Waterpoints - Ground Mount &amp; Roof | Inv  | Col ExpenseActualTotal</t>
  </si>
  <si>
    <t>Waterpoints - Ground Mount &amp; Roof</t>
  </si>
  <si>
    <t>Coega Steels Ph2_Tracker.xlsx | Table row 179 | Poder forFire Extinguisher | Inv Transfire Eastern Cape   -  IN-18217
 | Col ExpenseActualTotal</t>
  </si>
  <si>
    <t>Poder forFire Extinguisher</t>
  </si>
  <si>
    <t xml:space="preserve">Transfire Eastern Cape   -  IN-18217
</t>
  </si>
  <si>
    <t>Coega Steels Ph2_Tracker.xlsx | Table row 181 | Upfront Fedgroup Fee | Inv Fedgroup Green - SPVL000487_250731 | Col ExpenseActualTotal</t>
  </si>
  <si>
    <t>Upfront Fedgroup Fee</t>
  </si>
  <si>
    <t>Fedgroup Green - SPVL000487_250731</t>
  </si>
  <si>
    <t>Coega Steels Ph2_Tracker.xlsx | Table row 184 | Project Kick Off | Inv Luken Solar Inv: 0654 | Col ExpenseActualTotal</t>
  </si>
  <si>
    <t>Coega Steels Ph2_Tracker.xlsx | Table row 185 | Site Establishment | Inv Luken Solar Inv: 0660 | Col ExpenseActualTotal</t>
  </si>
  <si>
    <t>Coega Steels Ph2_Tracker.xlsx | Table row 186 | Mounting Structure Installed | Inv Luken Solar Inv 0665 | Col ExpenseActualTotal</t>
  </si>
  <si>
    <t>Mounting Structure Installed</t>
  </si>
  <si>
    <t>Coega Steels Ph2_Tracker.xlsx | Table row 187 | Cable Trays Installed | Inv Luken Solar Inv 0665 | Col ExpenseActualTotal</t>
  </si>
  <si>
    <t>Cable Trays Installed</t>
  </si>
  <si>
    <t>Coega Steels Ph2_Tracker.xlsx | Table row 188 | Panel Installation Complete | Inv Luken Solar - INV-0701 | Col ExpenseActualTotal</t>
  </si>
  <si>
    <t>Panel Installation Complete</t>
  </si>
  <si>
    <t>Luken Solar - INV-0701</t>
  </si>
  <si>
    <t>Coega Steels Ph2_Tracker.xlsx | Table row 189 | Stringing Complete | Inv Luken Solar - INV-0701 | Col ExpenseActualTotal</t>
  </si>
  <si>
    <t>Stringing Complete</t>
  </si>
  <si>
    <t>Coega Steels Ph2_Tracker.xlsx | Table row 190 | Snag Completion | Inv Luken Solar - INV-0701 | Col ExpenseActualTotal</t>
  </si>
  <si>
    <t>Snag Completion</t>
  </si>
  <si>
    <t>Coega Steels Ph2_Tracker.xlsx | Table row 191 | End of Defects Period | Inv Luken Solar - INV-0701 | Col ExpenseActualTotal</t>
  </si>
  <si>
    <t>Coega Steels Ph2_Tracker.xlsx | Table row 194 | Project Kick Off | Inv Luken Solar Inv: 0654 | Col ExpenseActualTotal</t>
  </si>
  <si>
    <t>Coega Steels Ph2_Tracker.xlsx | Table row 195 | Site Establishment | Inv Luken Solar Inv: 0660 | Col ExpenseActualTotal</t>
  </si>
  <si>
    <t>Coega Steels Ph2_Tracker.xlsx | Table row 196 | Mounting Structure Installed | Inv Luken Solar Inv 0665 | Col ExpenseActualTotal</t>
  </si>
  <si>
    <t>Coega Steels Ph2_Tracker.xlsx | Table row 197 | Cable Trays Installed | Inv Luken Solar Inv 0665 | Col ExpenseActualTotal</t>
  </si>
  <si>
    <t>Coega Steels Ph2_Tracker.xlsx | Table row 198 | Panel Installation Complete 75% | Inv Luken Solar Inv 0665 | Col ExpenseActualTotal</t>
  </si>
  <si>
    <t>Panel Installation Complete 75%</t>
  </si>
  <si>
    <t>Coega Steels Ph2_Tracker.xlsx | Table row 199 | Panel Installation Complete - 25% | Inv Luken Solar Inv 0665 | Col ExpenseActualTotal</t>
  </si>
  <si>
    <t>Panel Installation Complete - 25%</t>
  </si>
  <si>
    <t>Coega Steels Ph2_Tracker.xlsx | Table row 200 | Stringing Complete75% | Inv Luken Solar Inv 0665 | Col ExpenseActualTotal</t>
  </si>
  <si>
    <t>Stringing Complete75%</t>
  </si>
  <si>
    <t>Coega Steels Ph2_Tracker.xlsx | Table row 201 | Stringing Complete 25% | Inv Luken Solar Inv 0665 | Col ExpenseActualTotal</t>
  </si>
  <si>
    <t>Stringing Complete 25%</t>
  </si>
  <si>
    <t>Coega Steels Ph2_Tracker.xlsx | Table row 202 | Snag Completion | Inv Luken Solar - INV-0701 | Col ExpenseActualTotal</t>
  </si>
  <si>
    <t>Coega Steels Ph2_Tracker.xlsx | Table row 203 | End of Defects Period | Inv Luken Solar - INV-0701 | Col ExpenseActualTotal</t>
  </si>
  <si>
    <t>Coega Steels Ph2_Tracker.xlsx | Table row 206 | Project Kick Off | Inv Luken Solar Inv: 0654 | Col ExpenseActualTotal</t>
  </si>
  <si>
    <t>Coega Steels Ph2_Tracker.xlsx | Table row 207 | Site Establishment | Inv Luken Solar Inv: 0660 | Col ExpenseActualTotal</t>
  </si>
  <si>
    <t>Coega Steels Ph2_Tracker.xlsx | Table row 208 | Inverter Installation Complete | Inv Luken Solar Inv 0665 | Col ExpenseActualTotal</t>
  </si>
  <si>
    <t>Inverter Installation Complete</t>
  </si>
  <si>
    <t>Coega Steels Ph2_Tracker.xlsx | Table row 209 | PVDB Installation Complete | Inv Luken Solar Inv 0665 | Col ExpenseActualTotal</t>
  </si>
  <si>
    <t>PVDB Installation Complete</t>
  </si>
  <si>
    <t>Coega Steels Ph2_Tracker.xlsx | Table row 210 | AC Cabling &amp; Racking Complete | Inv Luken Solar Inv 0665 | Col ExpenseActualTotal</t>
  </si>
  <si>
    <t>AC Cabling &amp; Racking Complete</t>
  </si>
  <si>
    <t>Coega Steels Ph2_Tracker.xlsx | Table row 211 | AC Cabling &amp; Racking Complete | Inv Luken Solar Inv 0665 | Col ExpenseActualTotal</t>
  </si>
  <si>
    <t>Coega Steels Ph2_Tracker.xlsx | Table row 212 | Commissioning Complete | Inv Luken Solar Inv 0665 | Col ExpenseActualTotal</t>
  </si>
  <si>
    <t>Coega Steels Ph2_Tracker.xlsx | Table row 213 | Snag Completion | Inv Luken Solar - INV-0701 | Col ExpenseActualTotal</t>
  </si>
  <si>
    <t>Coega Steels Ph2_Tracker.xlsx | Table row 214 | End of Defects Period | Inv Luken Solar - INV-0701 | Col ExpenseActualTotal</t>
  </si>
  <si>
    <t>Coega Steels Ph2_Tracker.xlsx | Table row 217 | Project Kick Off | Inv Bayview Construction: Inv 338202501 | Col ExpenseActualTotal</t>
  </si>
  <si>
    <t>PO4178-COEG-20250728 - RV Approved</t>
  </si>
  <si>
    <t>Bayview Construction: Inv 338202501</t>
  </si>
  <si>
    <t>Coega Steels Ph2_Tracker.xlsx | Table row 218 | Site Establishment | Inv Bayview Construction: Inv 338202501 | Col ExpenseActualTotal</t>
  </si>
  <si>
    <t>Coega Steels Ph2_Tracker.xlsx | Table row 219 | Installation Complete | Inv Bayview Construction: Inv 338202501 | Col ExpenseActualTotal</t>
  </si>
  <si>
    <t>Installation Complete</t>
  </si>
  <si>
    <t>Coega Steels Ph2_Tracker.xlsx | Table row 220 |  | Inv Bayview Construction: Inv 338202501 | Col ExpenseActualTotal</t>
  </si>
  <si>
    <t>Coega Steels Ph2_Tracker.xlsx | Table row 221 |  | Inv Bayview Construction: Inv 338202501 | Col ExpenseActualTotal</t>
  </si>
  <si>
    <t>Coega Steels Ph2_Tracker.xlsx | Table row 222 | End of Defects Period | Inv Bayview Construction: Inv 338202501 | Col ExpenseActualTotal</t>
  </si>
  <si>
    <t>Coega Steels Ph2_Tracker.xlsx | Table row 228 | Omega Security | Inv Omega OM038568 | Col ExpenseActualTotal</t>
  </si>
  <si>
    <t>Omega Security</t>
  </si>
  <si>
    <t>PO4248-CSPH2-20250820 - RV Approved</t>
  </si>
  <si>
    <t>Omega OM038568</t>
  </si>
  <si>
    <t>Coega Steels Ph2_Tracker.xlsx | Table row 229 |  | Inv Omega OM038568 | Col ExpenseActualTotal</t>
  </si>
  <si>
    <t>Coega Steels Ph2_Tracker.xlsx | Table row 230 |  | Inv Omega - OM040496 | Col ExpenseActualTotal</t>
  </si>
  <si>
    <t>Omega - OM040496</t>
  </si>
  <si>
    <t>Coega Steels Ph2_Tracker.xlsx | Table row 231 |  | Inv Omega - OM040593 | Col ExpenseActualTotal</t>
  </si>
  <si>
    <t>Omega - OM040593</t>
  </si>
  <si>
    <t>Coega Steels Ph2_Tracker.xlsx | Table row 232 | Omega Security - January  | Inv Omega - OM040944 | Col ExpenseActualTotal</t>
  </si>
  <si>
    <t xml:space="preserve">Omega Security - January </t>
  </si>
  <si>
    <t>Omega - OM040944</t>
  </si>
  <si>
    <t>Coega Steels Ph2_Tracker.xlsx | Table row 233 | Installation of Fuard Secure | Inv Omega - OMO40594 | Col ExpenseActualTotal</t>
  </si>
  <si>
    <t>Installation of Fuard Secure</t>
  </si>
  <si>
    <t>Omega - OMO40594</t>
  </si>
  <si>
    <t>Coega Steels Ph2_Tracker.xlsx | Table row 235 | Project Kick Off - Rooftop | Inv Luken Solar Inv: 0654 | Col ExpenseActualTotal</t>
  </si>
  <si>
    <t>Coega Steels Ph2_Tracker.xlsx | Table row 236 | Lifting Equipment Onsite - Rooftop | Inv Luken Solar Inv: 0660 | Col ExpenseActualTotal</t>
  </si>
  <si>
    <t>Lifting Equipment Onsite - Rooftop</t>
  </si>
  <si>
    <t>Coega Steels Ph2_Tracker.xlsx | Table row 237 | Site De-establisment - Rooftop | Inv Luken Solar Inv 0665 | Col ExpenseActualTotal</t>
  </si>
  <si>
    <t>Site De-establisment - Rooftop</t>
  </si>
  <si>
    <t>Coega Steels Ph2_Tracker.xlsx | Table row 241 | Project Kick Off - Ground Mount | Inv Luken Solar Inv: 0654 | Col ExpenseActualTotal</t>
  </si>
  <si>
    <t>Coega Steels Ph2_Tracker.xlsx | Table row 242 | Lifting Equipment Onsite - Ground Mount | Inv Luken Solar Inv: 0660 | Col ExpenseActualTotal</t>
  </si>
  <si>
    <t>Lifting Equipment Onsite - Ground Mount</t>
  </si>
  <si>
    <t>Coega Steels Ph2_Tracker.xlsx | Table row 243 | Site De-establisment - Ground Mount | Inv Luken Solar Inv 0665 | Col ExpenseActualTotal</t>
  </si>
  <si>
    <t>Site De-establisment - Ground Mount</t>
  </si>
  <si>
    <t>Coega Steels Ph2_Tracker.xlsx | Table row 245 | Container Hire - June | Inv Container World PFP9167 | Col ExpenseActualTotal</t>
  </si>
  <si>
    <t>Container Hire - June</t>
  </si>
  <si>
    <t>Container World PFP9167</t>
  </si>
  <si>
    <t>Coega Steels Ph2_Tracker.xlsx | Table row 246 | Container Hire - July | Inv Container World PFP9174 | Col ExpenseActualTotal</t>
  </si>
  <si>
    <t>Container Hire - July</t>
  </si>
  <si>
    <t>Container World PFP9174</t>
  </si>
  <si>
    <t>Coega Steels Ph2_Tracker.xlsx | Table row 247 | Container Hire - August | Inv Container World P587568 | Col ExpenseActualTotal</t>
  </si>
  <si>
    <t>Container Hire - August</t>
  </si>
  <si>
    <t>Container World P587568</t>
  </si>
  <si>
    <t>Coega Steels Ph2_Tracker.xlsx | Table row 248 | Container Hire - August | Inv Container World PFP911 | Col ExpenseActualTotal</t>
  </si>
  <si>
    <t>Container World PFP911</t>
  </si>
  <si>
    <t>Coega Steels Ph2_Tracker.xlsx | Table row 249 | Container Hire - September | Inv Container World P591046 | Col ExpenseActualTotal</t>
  </si>
  <si>
    <t>Container Hire - September</t>
  </si>
  <si>
    <t>Container World P591046</t>
  </si>
  <si>
    <t>Coega Steels Ph2_Tracker.xlsx | Table row 250 | Container Hire - September - Container 2 | Inv Container World P591048 | Col ExpenseActualTotal</t>
  </si>
  <si>
    <t>Container Hire - September - Container 2</t>
  </si>
  <si>
    <t>Container World P591048</t>
  </si>
  <si>
    <t>Coega Steels Ph2_Tracker.xlsx | Table row 251 | Container Hire | Inv Container World - P584103 | Col ExpenseActualTotal</t>
  </si>
  <si>
    <t>Container Hire</t>
  </si>
  <si>
    <t>Container World - P584103</t>
  </si>
  <si>
    <t>Coega Steels Ph2_Tracker.xlsx | Table row 252 | Container Hire | Inv Container World - P594608 | Col ExpenseActualTotal</t>
  </si>
  <si>
    <t>Container World - P594608</t>
  </si>
  <si>
    <t>Coega Steels Ph2_Tracker.xlsx | Table row 253 | Container Hire | Inv Container World - P594597 | Col ExpenseActualTotal</t>
  </si>
  <si>
    <t>Container World - P594597</t>
  </si>
  <si>
    <t>Coega Steels Ph2_Tracker.xlsx | Table row 254 | Container Hire | Inv Container World - P594595 | Col ExpenseActualTotal</t>
  </si>
  <si>
    <t>Container World - P594595</t>
  </si>
  <si>
    <t>Coega Steels Ph2_Tracker.xlsx | Table row 255 | Office Container - Rental | Inv Container World - PF591061 | Col ExpenseActualTotal</t>
  </si>
  <si>
    <t>Office Container - Rental</t>
  </si>
  <si>
    <t>Container World - PF591061</t>
  </si>
  <si>
    <t>Coega Steels Ph2_Tracker.xlsx | Table row 256 | Office Container - Rental | Inv Container World - P587570 | Col ExpenseActualTotal</t>
  </si>
  <si>
    <t>Container World - P587570</t>
  </si>
  <si>
    <t>Coega Steels Ph2_Tracker.xlsx | Table row 257 | Container Hire - November- Container | Inv Container World - P598167 | Col ExpenseActualTotal</t>
  </si>
  <si>
    <t>Container Hire - November- Container</t>
  </si>
  <si>
    <t>Container World - P598167</t>
  </si>
  <si>
    <t>Coega Steels Ph2_Tracker.xlsx | Table row 258 | Container Hire - November- Container | Inv Container World - P598169 | Col ExpenseActualTotal</t>
  </si>
  <si>
    <t>Container World - P598169</t>
  </si>
  <si>
    <t>Coega Steels Ph2_Tracker.xlsx | Table row 259 | Container Hire - November- Container | Inv Container World - P598179 | Col ExpenseActualTotal</t>
  </si>
  <si>
    <t>Container World - P598179</t>
  </si>
  <si>
    <t>Coega Steels Ph2_Tracker.xlsx | Table row 260 | Container Hire - December - Container 1 | Inv Container World - P601672 | Col ExpenseActualTotal</t>
  </si>
  <si>
    <t>Container Hire - December - Container 1</t>
  </si>
  <si>
    <t>Container World - P601672</t>
  </si>
  <si>
    <t>Coega Steels Ph2_Tracker.xlsx | Table row 261 | Container Hire - December - Container 2 | Inv Container World - P601674 | Col ExpenseActualTotal</t>
  </si>
  <si>
    <t>Container Hire - December - Container 2</t>
  </si>
  <si>
    <t>Container World - P601674</t>
  </si>
  <si>
    <t>Coega Steels Ph2_Tracker.xlsx | Table row 262 | Container Hire - December - Office Container  | Inv Container World P601684 | Col ExpenseActualTotal</t>
  </si>
  <si>
    <t xml:space="preserve">Container Hire - December - Office Container </t>
  </si>
  <si>
    <t>Container World P601684</t>
  </si>
  <si>
    <t>Coega Steels Ph2_Tracker.xlsx | Table row 263 | Container Hire - January - Container 1 | Inv Container World P605064 | Col ExpenseActualTotal</t>
  </si>
  <si>
    <t>Container Hire - January - Container 1</t>
  </si>
  <si>
    <t>Container World P605064</t>
  </si>
  <si>
    <t>Coega Steels Ph2_Tracker.xlsx | Table row 264 | Container Hire - January - Container 2 | Inv Container World P605066 | Col ExpenseActualTotal</t>
  </si>
  <si>
    <t>Container Hire - January - Container 2</t>
  </si>
  <si>
    <t>Container World P605066</t>
  </si>
  <si>
    <t>Coega Steels Ph2_Tracker.xlsx | Table row 265 | Container Hire - January - Office Container  | Inv Container World P605075 | Col ExpenseActualTotal</t>
  </si>
  <si>
    <t xml:space="preserve">Container Hire - January - Office Container </t>
  </si>
  <si>
    <t>Container World P605075</t>
  </si>
  <si>
    <t>Coega Steels Ph2_Tracker.xlsx | Table row 266 | Container Hire - February - Office Container  | Inv Container World P608429 | Col ExpenseActualTotal</t>
  </si>
  <si>
    <t xml:space="preserve">Container Hire - February - Office Container </t>
  </si>
  <si>
    <t>Container World P608429</t>
  </si>
  <si>
    <t>Coega Steels Ph2_Tracker.xlsx | Table row 267 | Container Hire - February - Office Container  | Inv Container World P608431 | Col ExpenseActualTotal</t>
  </si>
  <si>
    <t>Container World P608431</t>
  </si>
  <si>
    <t>Coega Steels Ph2_Tracker.xlsx | Table row 268 | Container Hire - February - Office Container  | Inv Container World P608440 | Col ExpenseActualTotal</t>
  </si>
  <si>
    <t>Container World P608440</t>
  </si>
  <si>
    <t>Coega Steels Ph2_Tracker.xlsx | Table row 270 | Site Ablutions - August | Inv Talisman Hire:Inv 00211311 | Col ExpenseActualTotal</t>
  </si>
  <si>
    <t>Site Ablutions - August</t>
  </si>
  <si>
    <t>Talisman Hire:Inv 00211311</t>
  </si>
  <si>
    <t>Coega Steels Ph2_Tracker.xlsx | Table row 271 | Site Ablutions - September | Inv Talisman Hire:Inv 212767 | Col ExpenseActualTotal</t>
  </si>
  <si>
    <t>Site Ablutions - September</t>
  </si>
  <si>
    <t>Talisman Hire:Inv 212767</t>
  </si>
  <si>
    <t>Coega Steels Ph2_Tracker.xlsx | Table row 272 | Site Ablutions - October | Inv Talisman Hire:Inv 00214681 + 00214480 | Col ExpenseActualTotal</t>
  </si>
  <si>
    <t>Site Ablutions - October</t>
  </si>
  <si>
    <t>Talisman Hire:Inv 00214681 + 00214480</t>
  </si>
  <si>
    <t>Coega Steels Ph2_Tracker.xlsx | Table row 273 | Site Ablutions - November | Inv Talisman Hire - 00216276 | Col ExpenseActualTotal</t>
  </si>
  <si>
    <t>Site Ablutions - November</t>
  </si>
  <si>
    <t>Talisman Hire - 00216276</t>
  </si>
  <si>
    <t>Coega Steels Ph2_Tracker.xlsx | Table row 274 | Site Ablutions - December | Inv Talisman Hire - 00217594 | Col ExpenseActualTotal</t>
  </si>
  <si>
    <t>Site Ablutions - December</t>
  </si>
  <si>
    <t>Talisman Hire - 00217594</t>
  </si>
  <si>
    <t>Coega Steels Ph2_Tracker.xlsx | Table row 275 | Site Ablutions - December | Inv Talisman Hire - 00217616 | Col ExpenseActualTotal</t>
  </si>
  <si>
    <t>Talisman Hire - 00217616</t>
  </si>
  <si>
    <t>Coega Steels Ph2_Tracker.xlsx | Table row 276 | Site Ablutions - January | Inv Talisman Hire - 00218837 | Col ExpenseActualTotal</t>
  </si>
  <si>
    <t>Site Ablutions - January</t>
  </si>
  <si>
    <t>Talisman Hire - 00218837</t>
  </si>
  <si>
    <t>Coega Steels Ph2_Tracker.xlsx | Table row 277 | Site Ablutions - January | Inv Talisman Hire - 00218853 | Col ExpenseActualTotal</t>
  </si>
  <si>
    <t>Talisman Hire - 00218853</t>
  </si>
  <si>
    <t>Coega Steels Ph2_Tracker.xlsx | Table row 283 | Electrical PrEng sign off | Inv  | Col ExpenseActualTotal</t>
  </si>
  <si>
    <t>Coega Steels Ph2_Tracker.xlsx | Table row 284 | Technical Review - Onsite inspection and reporting - Final Inspection | Inv 2XTwo - EME-262 | Col ExpenseActualTotal</t>
  </si>
  <si>
    <t>Technical Review - Onsite inspection and reporting - Final Inspection</t>
  </si>
  <si>
    <t>PO4372-CSPH2-20251020 - RV Approved</t>
  </si>
  <si>
    <t>2XTwo - EME-262</t>
  </si>
  <si>
    <t>Coega Steels Ph2_Tracker.xlsx | Table row 285 | Prelim Onsite Inspection &amp; Snag Reporting | Inv 2Xtwo - 785 | Col ExpenseActualTotal</t>
  </si>
  <si>
    <t>Prelim Onsite Inspection &amp; Snag Reporting</t>
  </si>
  <si>
    <t>PO4400-CSPH2-20251030 - RV Approved</t>
  </si>
  <si>
    <t>2Xtwo - 785</t>
  </si>
  <si>
    <t>Coega Steels Ph2_Tracker.xlsx | Table row 290 | Structural Sign Off | Inv L&amp;B Consulting  INV-2013 | Col ExpenseActualTotal</t>
  </si>
  <si>
    <t>PO4075-COEG-20250630 - RV Approved</t>
  </si>
  <si>
    <t>L&amp;B Consulting  INV-2013</t>
  </si>
  <si>
    <t>Coega Steels Ph2_Tracker.xlsx | Table row 291 | Grid Study | Inv Okusha - EE18 | Col ExpenseActualTotal</t>
  </si>
  <si>
    <t>PO4078-COEG-20250701 - RV Approved</t>
  </si>
  <si>
    <t>Okusha - EE18</t>
  </si>
  <si>
    <t>Coega Steels Ph2_Tracker.xlsx | Table row 292 | Protection Design | Inv Okusha EE21 | Col ExpenseActualTotal</t>
  </si>
  <si>
    <t>Protection Design</t>
  </si>
  <si>
    <t>PO4180-COEG-20250730 - RV Approved</t>
  </si>
  <si>
    <t>Okusha EE21</t>
  </si>
  <si>
    <t>Coega Steels Ph2_Tracker.xlsx | Table row 295 | Red Team Inspection - Dec - 1 | Inv  | Col ExpenseActualTotal</t>
  </si>
  <si>
    <t>Red Team Inspection - Dec - 1</t>
  </si>
  <si>
    <t>Coega Steels Ph2_Tracker.xlsx | Table row 296 | Red Team Inspection - Dec - 2 | Inv  | Col ExpenseActualTotal</t>
  </si>
  <si>
    <t>Red Team Inspection - Dec - 2</t>
  </si>
  <si>
    <t>Coega Steels Ph2_Tracker.xlsx | Table row 299 | PD Fee | Inv  | Col ExpenseActualTotal</t>
  </si>
  <si>
    <t>Coega Steels Ph2_Tracker.xlsx | Table row 301 | Performance Guarantee | Inv  | Col ExpenseActualTotal</t>
  </si>
  <si>
    <t>Performance Guarantee</t>
  </si>
  <si>
    <t>Coega Steels Ph2_Tracker.xlsx | Table row 302 | Matriarch O &amp; M Fee - Phase 1 | Inv Matriarch Inv: 5015 | Col ExpenseActualTotal</t>
  </si>
  <si>
    <t>Matriarch O &amp; M Fee - Phase 1</t>
  </si>
  <si>
    <t>Matriarch Inv: 5015</t>
  </si>
  <si>
    <t>Coega Steels Ph2_Tracker.xlsx | Table row 303 | Matriarch O &amp; M Fee - Phase 1 - Sept | Inv Matriarch Inv: 5050 | Col ExpenseActualTotal</t>
  </si>
  <si>
    <t>Matriarch O &amp; M Fee - Phase 1 - Sept</t>
  </si>
  <si>
    <t>Matriarch Inv: 5050</t>
  </si>
  <si>
    <t>Coega Steels Ph2_Tracker.xlsx | Table row 304 | Matriarch O &amp; M Fee - Phase 1 - Oct | Inv Matriarch Inv: 5241 | Col ExpenseActualTotal</t>
  </si>
  <si>
    <t>Matriarch O &amp; M Fee - Phase 1 - Oct</t>
  </si>
  <si>
    <t>Matriarch Inv: 5241</t>
  </si>
  <si>
    <t>Coega Steels Ph2_Tracker.xlsx | Table row 305 | Matriarch O &amp; M Fee - Phase 1 - Nov | Inv Matriarch - INV-5464 | Col ExpenseActualTotal</t>
  </si>
  <si>
    <t>Matriarch O &amp; M Fee - Phase 1 - Nov</t>
  </si>
  <si>
    <t>Matriarch - INV-5464</t>
  </si>
  <si>
    <t>Coega Steels Ph2_Tracker.xlsx | Table row 306 | Matriarch O &amp; M Fee - Phase 1 - Dec | Inv Matriarch - INV-5801 | Col ExpenseActualTotal</t>
  </si>
  <si>
    <t>Matriarch O &amp; M Fee - Phase 1 - Dec</t>
  </si>
  <si>
    <t>Matriarch - INV-5801</t>
  </si>
  <si>
    <t>Coega Steels Ph2_Tracker.xlsx | Table row 307 | Matriarch O &amp; M Fee - Phase 1 - Jan | Inv Matriarch - INV-6102 | Col ExpenseActualTotal</t>
  </si>
  <si>
    <t>Matriarch O &amp; M Fee - Phase 1 - Jan</t>
  </si>
  <si>
    <t>Matriarch - INV-6102</t>
  </si>
  <si>
    <t>Coega Steels Ph2_Tracker.xlsx | Table row 308 | Panel Clean | Inv Matriarch - INV-6216 | Col ExpenseActualTotal</t>
  </si>
  <si>
    <t>Matriarch - INV-6216</t>
  </si>
  <si>
    <t>Coega Steels Ph2_Tracker.xlsx | Table row 311 | Travel | Inv Expense Claim | Col ExpenseActualTotal</t>
  </si>
  <si>
    <t>Coega Steels Ph2_Tracker.xlsx | Table row 312 | Travel | Inv Expense Claim | Col ExpenseActualTotal</t>
  </si>
  <si>
    <t>Coega Steels Ph2_Tracker.xlsx | Table row 313 | Travel | Inv Expense Claim | Col ExpenseActualTotal</t>
  </si>
  <si>
    <t>Coega Steels Ph2_Tracker.xlsx | Table row 314 | Travel | Inv Expense Claim | Col ExpenseActualTotal</t>
  </si>
  <si>
    <t>Coega Steels Ph2_Tracker.xlsx | Table row 315 | Travel | Inv Expense Claim | Col ExpenseActualTotal</t>
  </si>
  <si>
    <t>Coega Steels Ph2_Tracker.xlsx | Table row 316 | Travel | Inv Expense Claim | Col ExpenseActualTotal</t>
  </si>
  <si>
    <t>Coega Steels Ph2_Tracker.xlsx | Table row 317 | Travel | Inv Expense Claim | Col ExpenseActualTotal</t>
  </si>
  <si>
    <t>Coega Steels Ph2_Tracker.xlsx | Table row 318 | Travel | Inv Expense Claim | Col ExpenseActualTotal</t>
  </si>
  <si>
    <t>Coega Steels Ph2_Tracker.xlsx | Table row 319 | Travel | Inv Expense Claim | Col ExpenseActualTotal</t>
  </si>
  <si>
    <t>Coega Steels Ph2_Tracker.xlsx | Table row 320 | Travel | Inv  | Col ExpenseActualTotal</t>
  </si>
  <si>
    <t>Coega Steels Ph2_Tracker.xlsx | Table row 326 | Evaluation of fitness certificates | Inv Coega Development Corporation INV78403 | Col ExpenseActualTotal</t>
  </si>
  <si>
    <t>Evaluation of fitness certificates</t>
  </si>
  <si>
    <t>PO4554-CSPH2-20260116 - RV Approved</t>
  </si>
  <si>
    <t>Coega Development Corporation INV78403</t>
  </si>
  <si>
    <t>Coega Steels Ph2_Tracker.xlsx | Table row 327 | Evaluation of fitness certificates | Inv Coega Development Corporation INV 76004 | Col ExpenseActualTotal</t>
  </si>
  <si>
    <t>PO4216-COEG-20250812 - RV Approved</t>
  </si>
  <si>
    <t>Coega Development Corporation INV 76004</t>
  </si>
  <si>
    <t>Coega Steels Ph2_Tracker.xlsx | Table row 328 | Evaluation of fitness certificates | Inv Coega Development Corporation - QUO0005126 | Col ExpenseActualTotal</t>
  </si>
  <si>
    <t>PO4232-COEG-20250818 - RV Approved</t>
  </si>
  <si>
    <t>Coega Development Corporation - QUO0005126</t>
  </si>
  <si>
    <t>Coega Steels Ph2_Tracker.xlsx | Table row 329 | Evaluation of fitness certificates | Inv Coega Development Corporation INV 76087 | Col ExpenseActualTotal</t>
  </si>
  <si>
    <t>PO4249-CSPH2-20250820 - RV Approved</t>
  </si>
  <si>
    <t>Coega Development Corporation INV 76087</t>
  </si>
  <si>
    <t>Coega Steels Ph2_Tracker.xlsx | Table row 330 | Evaluation of fitness certificates | Inv Coega Development Corporation INV 76267 | Col ExpenseActualTotal</t>
  </si>
  <si>
    <t>PO4281-CSPH2-20250826 - RV Approved</t>
  </si>
  <si>
    <t>Coega Development Corporation INV 76267</t>
  </si>
  <si>
    <t>Coega Steels Ph2_Tracker.xlsx | Table row 331 | Evaluation of fitness certificates | Inv Coega Development Corporation INV76502 | Col ExpenseActualTotal</t>
  </si>
  <si>
    <t>PO4303-CSPH2-20250909 - RV Approved</t>
  </si>
  <si>
    <t>Coega Development Corporation INV76502</t>
  </si>
  <si>
    <t>Coega Steels Ph2_Tracker.xlsx | Table row 332 | Evaluation of fitness certificates | Inv Coega Development Corporation INV76691 | Col ExpenseActualTotal</t>
  </si>
  <si>
    <t>PO4323-CSPH2-20250922 - RV Approved</t>
  </si>
  <si>
    <t>Coega Development Corporation INV76691</t>
  </si>
  <si>
    <t>Coega Steels Ph2_Tracker.xlsx | Table row 333 | Evaluation of fitness certificates | Inv Coega Development Corporation INV76718 | Col ExpenseActualTotal</t>
  </si>
  <si>
    <t>PO4324-CSPH2-20250925 - RV Approved</t>
  </si>
  <si>
    <t>Coega Development Corporation INV76718</t>
  </si>
  <si>
    <t>Coega Steels Ph2_Tracker.xlsx | Table row 334 | Evaluation of fitness certificates | Inv Coega Development Corporation INV76726 | Col ExpenseActualTotal</t>
  </si>
  <si>
    <t>PO4344-CSPH2-20250930 - RV Approved</t>
  </si>
  <si>
    <t>Coega Development Corporation INV76726</t>
  </si>
  <si>
    <t>Coega Steels Ph2_Tracker.xlsx | Table row 335 | Evaluation of fitness certificates | Inv Coega Development Corporation INV76801 | Col ExpenseActualTotal</t>
  </si>
  <si>
    <t>PO4351-CSPH2-20251002 - RV Approved</t>
  </si>
  <si>
    <t>Coega Development Corporation INV76801</t>
  </si>
  <si>
    <t>Coega Steels Ph2_Tracker.xlsx | Table row 336 | Labour Management Fee | Inv Coega Development Corporation INV76861 | Col ExpenseActualTotal</t>
  </si>
  <si>
    <t>Labour Management Fee</t>
  </si>
  <si>
    <t>PO4399-CSPH2-20251023 - RV Approved</t>
  </si>
  <si>
    <t>Coega Development Corporation INV76861</t>
  </si>
  <si>
    <t>Coega Steels Ph2_Tracker.xlsx | Table row 337 | Labour Management Fee | Inv Coega Development Corporation - INV77241 | Col ExpenseActualTotal</t>
  </si>
  <si>
    <t>PO4446-CSPH2-20251106 - RV Approved</t>
  </si>
  <si>
    <t>Coega Development Corporation - INV77241</t>
  </si>
  <si>
    <t>Coega Steels Ph2_Tracker.xlsx | Table row 338 | Labour Management Fee | Inv Coega Development Corporation - INV77755 | Col ExpenseActualTotal</t>
  </si>
  <si>
    <t>Coega Development Corporation - INV77755</t>
  </si>
  <si>
    <t>Coega Steels Ph2_Tracker.xlsx | Table row 339 | Labour Management Fee | Inv Coega Development Corporation - INV78326 | Col ExpenseActualTotal</t>
  </si>
  <si>
    <t>PO4550-CSPH2-20260112 - RV Approved</t>
  </si>
  <si>
    <t>Coega Development Corporation - INV78326</t>
  </si>
  <si>
    <t>Coega Steels Ph2_Tracker.xlsx | Table row 340 | Labour Management Fee | Inv Coega Development Corporation - 06-02-26 | Col ExpenseActualTotal</t>
  </si>
  <si>
    <t>PO4613-CSPH2-20260206 - RV Approved</t>
  </si>
  <si>
    <t>Coega Development Corporation - 06-02-26</t>
  </si>
  <si>
    <t>Coega Steels Ph2_Tracker.xlsx | Table row 343 | courier of Utility Meter | Inv DSV Inv: 180157893 | Col ExpenseActualTotal</t>
  </si>
  <si>
    <t>courier of Utility Meter</t>
  </si>
  <si>
    <t>DSV Inv: 180157893</t>
  </si>
  <si>
    <t>Coega Steels Ph2_Tracker.xlsx | Table row 347 | Directional Drilling | Inv Alpha Omega Inv 102784 | Col ExpenseActualTotal</t>
  </si>
  <si>
    <t>PO4417-CSPH2-20251028 - RV Approved</t>
  </si>
  <si>
    <t>Alpha Omega Inv 102784</t>
  </si>
  <si>
    <t>Coega Steels Ph2_Tracker.xlsx | Table row 348 | 5000L Water | Inv Ultimate Soltions INV 2636 | Col ExpenseActualTotal</t>
  </si>
  <si>
    <t>5000L Water</t>
  </si>
  <si>
    <t>PO4371-CSPH2-20251015 - RV Approved</t>
  </si>
  <si>
    <t>Ultimate Soltions INV 2636</t>
  </si>
  <si>
    <t>Coega Steels Ph2_Tracker.xlsx | Table row 349 | 5000L Water | Inv Ultimate Soltions INV 2647 | Col ExpenseActualTotal</t>
  </si>
  <si>
    <t>PO4419-CSPH2-20251029 - RV Approved</t>
  </si>
  <si>
    <t>Ultimate Soltions INV 2647</t>
  </si>
  <si>
    <t>Coega Steels Ph2_Tracker.xlsx | Table row 350 | 5000L Water | Inv Ultimate Soltions INV 2667 | Col ExpenseActualTotal</t>
  </si>
  <si>
    <t>PO4473-CSPH2-20251114 - RV Approved</t>
  </si>
  <si>
    <t>Ultimate Soltions INV 2667</t>
  </si>
  <si>
    <t>Coega Steels Ph2_Tracker.xlsx | Table row 351 | 5000L Water | Inv  | Col ExpenseActualTotal</t>
  </si>
  <si>
    <t>PO4512-CSPH2-20251201 - RV Approved</t>
  </si>
  <si>
    <t>Coega Steels Ph2_Tracker.xlsx | Table row 352 | 5000L Water | Inv  | Col ExpenseActualTotal</t>
  </si>
  <si>
    <t>PO4531-CSPH2-20251209 - RV Approved</t>
  </si>
  <si>
    <t>Coega Steels Ph2_Tracker.xlsx | Table row 353 | 240mm Alu XLPE 22kV - Tie In - TBC | Inv  | Col ExpenseActualTotal</t>
  </si>
  <si>
    <t>240mm Alu XLPE 22kV - Tie In - TBC</t>
  </si>
  <si>
    <t>Coega Steels Ph2_Tracker.xlsx | Table row 354 | 240mm Alu XLPE 22kV - Ground Mount Transforme - TBC | Inv  | Col ExpenseActualTotal</t>
  </si>
  <si>
    <t>240mm Alu XLPE 22kV - Ground Mount Transforme - TBC</t>
  </si>
  <si>
    <t>Coega Steels Ph2_Tracker.xlsx | Table row 355 | Labour - TBC | Inv  | Col ExpenseActualTotal</t>
  </si>
  <si>
    <t>Labour - TBC</t>
  </si>
  <si>
    <t>Coega Steels Ph2_Tracker.xlsx | Table row 357 | Delay Damages | Inv  | Col ExpenseActualTotal</t>
  </si>
  <si>
    <t>Delay Damages</t>
  </si>
  <si>
    <t>Coega Steels Ph2_Tracker.xlsx | Table row 358 | Coega Steel PH2 - December 2025 Interest | Inv Fedgroup - LT000589_251231 | Col ExpenseActualTotal</t>
  </si>
  <si>
    <t>Coega Steel PH2 - December 2025 Interest</t>
  </si>
  <si>
    <t>Fedgroup - LT000589_251231</t>
  </si>
  <si>
    <t>Coega Steels Ph2_Tracker.xlsx | Table row 359 | RS485 protection | Inv Luken Solar INV-0708 | Col ExpenseActualTotal</t>
  </si>
  <si>
    <t>RS485 protection</t>
  </si>
  <si>
    <t>Luken Solar INV-0708</t>
  </si>
  <si>
    <t>Corporate Park_Tracker.xlsx | Table row 6 | Jinko 620W - Menlo | Inv Menlo INV0003028 | Col ExpenseActualTotal</t>
  </si>
  <si>
    <t>Jinko 620W - Menlo</t>
  </si>
  <si>
    <t>PO3909-DIP-PH2-CORP-20250514</t>
  </si>
  <si>
    <t>Menlo INV0003028</t>
  </si>
  <si>
    <t>Corporate Park_Tracker.xlsx | Table row 8 |  | Inv Menlo - INV0003230 | Col ExpenseActualTotal</t>
  </si>
  <si>
    <t>Menlo - INV0003230</t>
  </si>
  <si>
    <t>Corporate Park_Tracker.xlsx | Table row 13 | Huawei 100KTL | Inv Menlo INV0003028 | Col ExpenseActualTotal</t>
  </si>
  <si>
    <t>Corporate Park_Tracker.xlsx | Table row 21 | Schletter Structure | Inv Schletter - INV1883 | Col ExpenseActualTotal</t>
  </si>
  <si>
    <t>PO3902-DSS-20250603 - RV Approved</t>
  </si>
  <si>
    <t>Schletter - INV1883</t>
  </si>
  <si>
    <t>Corporate Park_Tracker.xlsx | Table row 28 | DC Cable - Menlo | Inv Menlo INV0003028 | Col ExpenseActualTotal</t>
  </si>
  <si>
    <t>Corporate Park_Tracker.xlsx | Table row 32 | Project Kick Off | Inv The Greenway - INV0001397 | Col ExpenseActualTotal</t>
  </si>
  <si>
    <t>The Greenway - INV0001397</t>
  </si>
  <si>
    <t>Corporate Park_Tracker.xlsx | Table row 33 | Project Kick Off (top up) | Inv The Greenway - INV0001403 | Col ExpenseActualTotal</t>
  </si>
  <si>
    <t xml:space="preserve">4. DC Equipment </t>
  </si>
  <si>
    <t>Project Kick Off (top up)</t>
  </si>
  <si>
    <t>The Greenway - INV0001403</t>
  </si>
  <si>
    <t>Corporate Park_Tracker.xlsx | Table row 34 | Site Establishment | Inv The Greenway - INV0001404 | Col ExpenseActualTotal</t>
  </si>
  <si>
    <t>The Greenway - INV0001404</t>
  </si>
  <si>
    <t>Corporate Park_Tracker.xlsx | Table row 35 | AC Installation Complete | Inv The Greenway- INV0001426 | Col ExpenseActualTotal</t>
  </si>
  <si>
    <t>The Greenway- INV0001426</t>
  </si>
  <si>
    <t>Corporate Park_Tracker.xlsx | Table row 36 | DC Installation Complete | Inv The Greenway- INV0001426 | Col ExpenseActualTotal</t>
  </si>
  <si>
    <t>Corporate Park_Tracker.xlsx | Table row 37 | Commissioning Complete | Inv The Greenway- INV0001426 | Col ExpenseActualTotal</t>
  </si>
  <si>
    <t>Corporate Park_Tracker.xlsx | Table row 38 | Site De-establisment | Inv The Greenway- INV0001426 | Col ExpenseActualTotal</t>
  </si>
  <si>
    <t>Corporate Park_Tracker.xlsx | Table row 39 | Handover Document Complete | Inv The Greenway- INV0001426 | Col ExpenseActualTotal</t>
  </si>
  <si>
    <t>Corporate Park_Tracker.xlsx | Table row 40 | End of Defects Period | Inv The Greenway- INV0001426 | Col ExpenseActualTotal</t>
  </si>
  <si>
    <t>Corporate Park_Tracker.xlsx | Table row 45 | Smartlogger - Menlo | Inv Menlo INV0002936 | Col ExpenseActualTotal</t>
  </si>
  <si>
    <t>Smartlogger - Menlo</t>
  </si>
  <si>
    <t>Menlo INV0002936</t>
  </si>
  <si>
    <t>Corporate Park_Tracker.xlsx | Table row 46 |  | Inv Menlo INV0003243 | Col ExpenseActualTotal</t>
  </si>
  <si>
    <t>Menlo INV0003243</t>
  </si>
  <si>
    <t>Corporate Park_Tracker.xlsx | Table row 47 | Smartlogger - Menlo RMA replacement  | Inv  | Col ExpenseActualTotal</t>
  </si>
  <si>
    <t xml:space="preserve">Smartlogger - Menlo RMA replacement </t>
  </si>
  <si>
    <t>Corporate Park_Tracker.xlsx | Table row 48 | CTs &amp; Meters | Inv Accuenergy Inv: ASAI-005365 | Col ExpenseActualTotal</t>
  </si>
  <si>
    <t>PO3839-DIP-Ph2-Corp-20250429 - RV Approved</t>
  </si>
  <si>
    <t>Accuenergy Inv: ASAI-005365</t>
  </si>
  <si>
    <t>Corporate Park_Tracker.xlsx | Table row 49 |  | Inv Accenergy - INV ASAI-005800 | Col ExpenseActualTotal</t>
  </si>
  <si>
    <t>Accenergy - INV ASAI-005800</t>
  </si>
  <si>
    <t>Corporate Park_Tracker.xlsx | Table row 50 | Techsitter | Inv Matriarch - INV-4999 | Col ExpenseActualTotal</t>
  </si>
  <si>
    <t>Corporate Park_Tracker.xlsx | Table row 51 | UPS | Inv Frontline INV725690 | Col ExpenseActualTotal</t>
  </si>
  <si>
    <t>UPS</t>
  </si>
  <si>
    <t>Frontline INV725690</t>
  </si>
  <si>
    <t>Corporate Park_Tracker.xlsx | Table row 52 | Apex Device and License - Allocated to IconSA KZN | Inv Rubicon INVWCRE-0069677 | Col ExpenseActualTotal</t>
  </si>
  <si>
    <t>Apex Device and License - Allocated to IconSA KZN</t>
  </si>
  <si>
    <t>PO4176-DCP-20250728 - RV Approved</t>
  </si>
  <si>
    <t>Rubicon INVWCRE-0069677</t>
  </si>
  <si>
    <t>Corporate Park_Tracker.xlsx | Table row 53 | Apex Device and License - Allocated to IconSA KZN | Inv Allocated to Icon SA - KZN | Col ExpenseActualTotal</t>
  </si>
  <si>
    <t>Allocated to Icon SA - KZN</t>
  </si>
  <si>
    <t>Corporate Park_Tracker.xlsx | Table row 54 | Apex Device allocated from Seshego Circle | Inv Allocated from Seshego Circle | Col ExpenseActualTotal</t>
  </si>
  <si>
    <t>Apex Device allocated from Seshego Circle</t>
  </si>
  <si>
    <t>PO4077-DSHC-20250630 - RV Approved</t>
  </si>
  <si>
    <t>Allocated from Seshego Circle</t>
  </si>
  <si>
    <t>Corporate Park_Tracker.xlsx | Table row 55 | Delivery of Apex | Inv DSV Inv: 180144979 | Col ExpenseActualTotal</t>
  </si>
  <si>
    <t>Delivery of Apex</t>
  </si>
  <si>
    <t>DSV Inv: 180144979</t>
  </si>
  <si>
    <t>Corporate Park_Tracker.xlsx | Table row 56 | GivEnergy - Transceiver Kit | Inv GivEnergy: INV000009 | Col ExpenseActualTotal</t>
  </si>
  <si>
    <t>GivEnergy - Transceiver Kit</t>
  </si>
  <si>
    <t>PO3972-DIP-Ph2-Corp P-20250530 - RV Approved</t>
  </si>
  <si>
    <t>GivEnergy: INV000009</t>
  </si>
  <si>
    <t>Corporate Park_Tracker.xlsx | Table row 60 | PVDB | Inv Switchboard 2-SOI002242 | Col ExpenseActualTotal</t>
  </si>
  <si>
    <t>PO3930-DIP-Ph2-Corp P-20250519 - RV Approved</t>
  </si>
  <si>
    <t>Switchboard 2-SOI002242</t>
  </si>
  <si>
    <t>Corporate Park_Tracker.xlsx | Table row 65 | Project Kick Off | Inv The Greenway - INV0001397 | Col ExpenseActualTotal</t>
  </si>
  <si>
    <t>Corporate Park_Tracker.xlsx | Table row 66 | Project Kick Off (top up) | Inv The Greenway - INV0001403 | Col ExpenseActualTotal</t>
  </si>
  <si>
    <t>Corporate Park_Tracker.xlsx | Table row 67 | Site Establishment | Inv The Greenway - INV0001404 | Col ExpenseActualTotal</t>
  </si>
  <si>
    <t>Corporate Park_Tracker.xlsx | Table row 68 | AC Installation Complete | Inv The Greenway- INV0001426 | Col ExpenseActualTotal</t>
  </si>
  <si>
    <t>Corporate Park_Tracker.xlsx | Table row 69 | DC Installation Complete | Inv The Greenway- INV0001426 | Col ExpenseActualTotal</t>
  </si>
  <si>
    <t>Corporate Park_Tracker.xlsx | Table row 70 | Commissioning Complete | Inv The Greenway- INV0001426 | Col ExpenseActualTotal</t>
  </si>
  <si>
    <t>Corporate Park_Tracker.xlsx | Table row 71 | Site De-establisment | Inv The Greenway- INV0001426 | Col ExpenseActualTotal</t>
  </si>
  <si>
    <t>Corporate Park_Tracker.xlsx | Table row 72 | Handover Document Complete | Inv The Greenway- INV0001426 | Col ExpenseActualTotal</t>
  </si>
  <si>
    <t>Corporate Park_Tracker.xlsx | Table row 73 | End of Defects Period | Inv The Greenway- INV0001426 | Col ExpenseActualTotal</t>
  </si>
  <si>
    <t>Corporate Park_Tracker.xlsx | Table row 89 | E-Stop | Inv The Greenway - INV0001510 | Col ExpenseActualTotal</t>
  </si>
  <si>
    <t>E-Stop</t>
  </si>
  <si>
    <t>PO4383-DCP-20251020 - RV Approved</t>
  </si>
  <si>
    <t>The Greenway - INV0001510</t>
  </si>
  <si>
    <t>Corporate Park_Tracker.xlsx | Table row 91 | Inverter Cage with roof - Deposit | Inv Van Staden Three - Inv3075 | Col ExpenseActualTotal</t>
  </si>
  <si>
    <t>Inverter Cage with roof - Deposit</t>
  </si>
  <si>
    <t>PO4483-DCP-20251124 - RV Approved</t>
  </si>
  <si>
    <t>Van Staden Three - Inv3075</t>
  </si>
  <si>
    <t>Corporate Park_Tracker.xlsx | Table row 92 | Inverter Cage with roof - Balance | Inv Van Staden Three - Inv3110 | Col ExpenseActualTotal</t>
  </si>
  <si>
    <t>Inverter Cage with roof - Balance</t>
  </si>
  <si>
    <t>Van Staden Three - Inv3110</t>
  </si>
  <si>
    <t>Corporate Park_Tracker.xlsx | Table row 93 | Waterpoints | Inv Toys 4Boys - 12392 | Col ExpenseActualTotal</t>
  </si>
  <si>
    <t>Waterpoints</t>
  </si>
  <si>
    <t>Toys 4Boys - 12392</t>
  </si>
  <si>
    <t>Corporate Park_Tracker.xlsx | Table row 98 | Project Kick Off | Inv The Greenway - INV0001397 | Col ExpenseActualTotal</t>
  </si>
  <si>
    <t>Corporate Park_Tracker.xlsx | Table row 99 | Project Kick Off (top up) | Inv The Greenway - INV0001403 | Col ExpenseActualTotal</t>
  </si>
  <si>
    <t>Corporate Park_Tracker.xlsx | Table row 100 | Site Establishment | Inv The Greenway - INV0001404 | Col ExpenseActualTotal</t>
  </si>
  <si>
    <t>Corporate Park_Tracker.xlsx | Table row 101 | AC Installation Complete | Inv The Greenway- INV0001426 | Col ExpenseActualTotal</t>
  </si>
  <si>
    <t>Corporate Park_Tracker.xlsx | Table row 102 | DC Installation Complete | Inv The Greenway- INV0001426 | Col ExpenseActualTotal</t>
  </si>
  <si>
    <t>Corporate Park_Tracker.xlsx | Table row 103 | Commissioning Complete | Inv The Greenway- INV0001426 | Col ExpenseActualTotal</t>
  </si>
  <si>
    <t>Corporate Park_Tracker.xlsx | Table row 104 | Site De-establisment | Inv The Greenway- INV0001426 | Col ExpenseActualTotal</t>
  </si>
  <si>
    <t>Corporate Park_Tracker.xlsx | Table row 105 | Handover Document Complete | Inv The Greenway- INV0001426 | Col ExpenseActualTotal</t>
  </si>
  <si>
    <t>Corporate Park_Tracker.xlsx | Table row 106 | End of Defects Period | Inv The Greenway- INV0001426 | Col ExpenseActualTotal</t>
  </si>
  <si>
    <t>Corporate Park_Tracker.xlsx | Table row 115 | Project Kick Off | Inv The Greenway - INV0001397 | Col ExpenseActualTotal</t>
  </si>
  <si>
    <t>Corporate Park_Tracker.xlsx | Table row 116 | Project Kick Off (top up) | Inv The Greenway - INV0001403 | Col ExpenseActualTotal</t>
  </si>
  <si>
    <t>Corporate Park_Tracker.xlsx | Table row 117 |  | Inv The Greenway - INV0001403 | Col ExpenseActualTotal</t>
  </si>
  <si>
    <t>Corporate Park_Tracker.xlsx | Table row 118 |  | Inv The Greenway - INV0001403 | Col ExpenseActualTotal</t>
  </si>
  <si>
    <t>Corporate Park_Tracker.xlsx | Table row 119 | Site Establishment | Inv The Greenway - INV0001404 | Col ExpenseActualTotal</t>
  </si>
  <si>
    <t>Corporate Park_Tracker.xlsx | Table row 120 |  | Inv The Greenway - INV0001404 | Col ExpenseActualTotal</t>
  </si>
  <si>
    <t>Corporate Park_Tracker.xlsx | Table row 121 |  | Inv The Greenway - INV0001404 | Col ExpenseActualTotal</t>
  </si>
  <si>
    <t>Corporate Park_Tracker.xlsx | Table row 122 | AC Installation Complete | Inv The Greenway- INV0001426 | Col ExpenseActualTotal</t>
  </si>
  <si>
    <t>Corporate Park_Tracker.xlsx | Table row 123 | DC Installation Complete | Inv The Greenway- INV0001426 | Col ExpenseActualTotal</t>
  </si>
  <si>
    <t>Corporate Park_Tracker.xlsx | Table row 124 | Commissioning Complete | Inv The Greenway- INV0001426 | Col ExpenseActualTotal</t>
  </si>
  <si>
    <t>Corporate Park_Tracker.xlsx | Table row 125 |  | Inv The Greenway- INV0001426 | Col ExpenseActualTotal</t>
  </si>
  <si>
    <t>Corporate Park_Tracker.xlsx | Table row 126 |  | Inv The Greenway- INV0001426 | Col ExpenseActualTotal</t>
  </si>
  <si>
    <t>Corporate Park_Tracker.xlsx | Table row 127 | Site De-establisment | Inv The Greenway- INV0001426 | Col ExpenseActualTotal</t>
  </si>
  <si>
    <t>Corporate Park_Tracker.xlsx | Table row 128 |  | Inv The Greenway- INV0001426 | Col ExpenseActualTotal</t>
  </si>
  <si>
    <t>Corporate Park_Tracker.xlsx | Table row 129 |  | Inv The Greenway- INV0001426 | Col ExpenseActualTotal</t>
  </si>
  <si>
    <t>Corporate Park_Tracker.xlsx | Table row 130 | Handover Document Complete | Inv The Greenway- INV0001426 | Col ExpenseActualTotal</t>
  </si>
  <si>
    <t>Corporate Park_Tracker.xlsx | Table row 131 | End of Defects Period | Inv The Greenway- INV0001426 | Col ExpenseActualTotal</t>
  </si>
  <si>
    <t>Corporate Park_Tracker.xlsx | Table row 132 | Contingency | Inv The Greenway- INV0001426 | Col ExpenseActualTotal</t>
  </si>
  <si>
    <t>Contingency</t>
  </si>
  <si>
    <t>Corporate Park_Tracker.xlsx | Table row 133 |  | Inv The Greenway- INV0001426 | Col ExpenseActualTotal</t>
  </si>
  <si>
    <t>Corporate Park_Tracker.xlsx | Table row 136 | Electrical PrEng sign off | Inv Sunspot - E027 | Col ExpenseActualTotal</t>
  </si>
  <si>
    <t>Sunspot - E027</t>
  </si>
  <si>
    <t>Corporate Park_Tracker.xlsx | Table row 137 | Structural Sign Off | Inv  L&amp;B Consulting - Invoice 1934 | Col ExpenseActualTotal</t>
  </si>
  <si>
    <t>PO3745-DIP-Ph2-20250313 - RV Approved</t>
  </si>
  <si>
    <t xml:space="preserve"> L&amp;B Consulting - Invoice 1934</t>
  </si>
  <si>
    <t>Corporate Park_Tracker.xlsx | Table row 138 | Red Team Inspection | Inv Matriarch - INV-4987 | Col ExpenseActualTotal</t>
  </si>
  <si>
    <t>Corporate Park_Tracker.xlsx | Table row 145 | Matriarch Defects Period - 1.25% | Inv Matriarch - INV-4986 | Col ExpenseActualTotal</t>
  </si>
  <si>
    <t>Corporate Park_Tracker.xlsx | Table row 146 | Management | Inv  | Col ExpenseActualTotal</t>
  </si>
  <si>
    <t>Corporate Park_Tracker.xlsx | Table row 147 | Project manager  | Inv  | Col ExpenseActualTotal</t>
  </si>
  <si>
    <t>Corporate Park_Tracker.xlsx | Table row 148 | Planner time | Inv  | Col ExpenseActualTotal</t>
  </si>
  <si>
    <t>Corporate Park_Tracker.xlsx | Table row 149 | De Snagging | Inv  | Col ExpenseActualTotal</t>
  </si>
  <si>
    <t>Corporate Park_Tracker.xlsx | Table row 152 | Travel | Inv Site Visit | Col ExpenseActualTotal</t>
  </si>
  <si>
    <t>Site Visit</t>
  </si>
  <si>
    <t>Corporate Park_Tracker.xlsx | Table row 153 | Travel | Inv Expense Claims | Col ExpenseActualTotal</t>
  </si>
  <si>
    <t>Corporate Park_Tracker.xlsx | Table row 154 | Travel | Inv Expense Claims | Col ExpenseActualTotal</t>
  </si>
  <si>
    <t>Corporate Park_Tracker.xlsx | Table row 155 | Travel | Inv Expense Claims | Col ExpenseActualTotal</t>
  </si>
  <si>
    <t>Corporate Park_Tracker.xlsx | Table row 156 | Travel | Inv Expense Claims | Col ExpenseActualTotal</t>
  </si>
  <si>
    <t>Corporate Park_Tracker.xlsx | Table row 157 | Travel | Inv Expense Claims | Col ExpenseActualTotal</t>
  </si>
  <si>
    <t>Corporate Park_Tracker.xlsx | Table row 158 | Travel | Inv Expense Claims | Col ExpenseActualTotal</t>
  </si>
  <si>
    <t>Corporate Park_Tracker.xlsx | Table row 159 | Travel | Inv Expense Claims | Col ExpenseActualTotal</t>
  </si>
  <si>
    <t>Corporate Park_Tracker.xlsx | Table row 160 | Travel | Inv  | Col ExpenseActualTotal</t>
  </si>
  <si>
    <t>Corporate Park_Tracker.xlsx | Table row 161 | Travel | Inv  | Col ExpenseActualTotal</t>
  </si>
  <si>
    <t>Corporate Park_Tracker.xlsx | Table row 165 | Welcome Bonus - Site Establishment | Inv Luxanio Trading - 23407/202506/274904/I | Col ExpenseActualTotal</t>
  </si>
  <si>
    <t>Welcome Bonus - Site Establishment</t>
  </si>
  <si>
    <t>Luxanio Trading - 23407/202506/274904/I</t>
  </si>
  <si>
    <t>Corporate Park_Tracker.xlsx | Table row 166 | Welcome Bonus - Commissioning | Inv Luxanio Trading - 23407/202506/274904/I | Col ExpenseActualTotal</t>
  </si>
  <si>
    <t>Welcome Bonus - Commissioning</t>
  </si>
  <si>
    <t>Corporate Park_Tracker.xlsx | Table row 168 | Courier of EE Sonel Meter for Curve Testing | Inv DSV Inv:180147748 | Col ExpenseActualTotal</t>
  </si>
  <si>
    <t>Courier of EE Sonel Meter for Curve Testing</t>
  </si>
  <si>
    <t>DSV Inv:180147748</t>
  </si>
  <si>
    <t>Corporate Park_Tracker.xlsx | Table row 172 | Standing time and delay - VO | Inv Greenway Solar INV0001515 | Col ExpenseActualTotal</t>
  </si>
  <si>
    <t>Standing time and delay - VO</t>
  </si>
  <si>
    <t>Greenway Solar INV0001515</t>
  </si>
  <si>
    <t>Corporate Park_Tracker.xlsx | Table row 173 |  | Inv Greenway Solar INV0001515 | Col ExpenseActualTotal</t>
  </si>
  <si>
    <t>De Drift_Tracker.xlsx | Table row 6 | Jinko Tiger Neo N-type66HL4M-BDV - 610W. | Inv  | Col ExpenseActualTotal</t>
  </si>
  <si>
    <t>Jinko Tiger Neo N-type66HL4M-BDV - 610W.</t>
  </si>
  <si>
    <t>De Drift_Tracker.xlsx | Table row 14 | Huawei 100KTL | Inv  | Col ExpenseActualTotal</t>
  </si>
  <si>
    <t>De Drift_Tracker.xlsx | Table row 21 | Schletter Structure | Inv  | Col ExpenseActualTotal</t>
  </si>
  <si>
    <t>De Drift_Tracker.xlsx | Table row 28 | DC Cable | Inv  | Col ExpenseActualTotal</t>
  </si>
  <si>
    <t>De Drift_Tracker.xlsx | Table row 32 | Project Kick Off | Inv  | Col ExpenseActualTotal</t>
  </si>
  <si>
    <t>De Drift_Tracker.xlsx | Table row 33 | Site Establishment | Inv  | Col ExpenseActualTotal</t>
  </si>
  <si>
    <t>De Drift_Tracker.xlsx | Table row 34 | AC Installation Complete | Inv  | Col ExpenseActualTotal</t>
  </si>
  <si>
    <t>De Drift_Tracker.xlsx | Table row 35 | DC Installation Complete | Inv  | Col ExpenseActualTotal</t>
  </si>
  <si>
    <t>De Drift_Tracker.xlsx | Table row 36 | Commissioning Complete | Inv  | Col ExpenseActualTotal</t>
  </si>
  <si>
    <t>De Drift_Tracker.xlsx | Table row 37 | Site De-establisment | Inv  | Col ExpenseActualTotal</t>
  </si>
  <si>
    <t>De Drift_Tracker.xlsx | Table row 38 | Handover Document Complete | Inv  | Col ExpenseActualTotal</t>
  </si>
  <si>
    <t>De Drift_Tracker.xlsx | Table row 39 | End of Defects Period | Inv  | Col ExpenseActualTotal</t>
  </si>
  <si>
    <t>De Drift_Tracker.xlsx | Table row 44 | Smartlogger 3000 | Inv  | Col ExpenseActualTotal</t>
  </si>
  <si>
    <t>De Drift_Tracker.xlsx | Table row 45 | Comms DB | Inv  | Col ExpenseActualTotal</t>
  </si>
  <si>
    <t>De Drift_Tracker.xlsx | Table row 46 | Revenue Grade Meter | Inv  | Col ExpenseActualTotal</t>
  </si>
  <si>
    <t>De Drift_Tracker.xlsx | Table row 53 | PVDB | Inv  | Col ExpenseActualTotal</t>
  </si>
  <si>
    <t>De Drift_Tracker.xlsx | Table row 58 | Project Kick Off | Inv  | Col ExpenseActualTotal</t>
  </si>
  <si>
    <t>De Drift_Tracker.xlsx | Table row 59 | Site Establishment | Inv  | Col ExpenseActualTotal</t>
  </si>
  <si>
    <t>De Drift_Tracker.xlsx | Table row 60 | AC Installation Complete | Inv  | Col ExpenseActualTotal</t>
  </si>
  <si>
    <t>De Drift_Tracker.xlsx | Table row 61 | DC Installation Complete | Inv  | Col ExpenseActualTotal</t>
  </si>
  <si>
    <t>De Drift_Tracker.xlsx | Table row 62 | Commissioning Complete | Inv  | Col ExpenseActualTotal</t>
  </si>
  <si>
    <t>De Drift_Tracker.xlsx | Table row 63 | Site De-establisment | Inv  | Col ExpenseActualTotal</t>
  </si>
  <si>
    <t>De Drift_Tracker.xlsx | Table row 64 | Handover Document Complete | Inv  | Col ExpenseActualTotal</t>
  </si>
  <si>
    <t>De Drift_Tracker.xlsx | Table row 65 | End of Defects Period | Inv  | Col ExpenseActualTotal</t>
  </si>
  <si>
    <t>De Drift_Tracker.xlsx | Table row 90 | Project Kick Off | Inv  | Col ExpenseActualTotal</t>
  </si>
  <si>
    <t>De Drift_Tracker.xlsx | Table row 91 | Site Establishment | Inv  | Col ExpenseActualTotal</t>
  </si>
  <si>
    <t>De Drift_Tracker.xlsx | Table row 92 | AC Installation Complete | Inv  | Col ExpenseActualTotal</t>
  </si>
  <si>
    <t>De Drift_Tracker.xlsx | Table row 93 | DC Installation Complete | Inv  | Col ExpenseActualTotal</t>
  </si>
  <si>
    <t>De Drift_Tracker.xlsx | Table row 94 | Commissioning Complete | Inv  | Col ExpenseActualTotal</t>
  </si>
  <si>
    <t>De Drift_Tracker.xlsx | Table row 95 | Site De-establisment | Inv  | Col ExpenseActualTotal</t>
  </si>
  <si>
    <t>De Drift_Tracker.xlsx | Table row 96 | Handover Document Complete | Inv  | Col ExpenseActualTotal</t>
  </si>
  <si>
    <t>De Drift_Tracker.xlsx | Table row 97 | End of Defects Period | Inv  | Col ExpenseActualTotal</t>
  </si>
  <si>
    <t>De Drift_Tracker.xlsx | Table row 102 | Security | Inv  | Col ExpenseActualTotal</t>
  </si>
  <si>
    <t>De Drift_Tracker.xlsx | Table row 106 | Project Kick Off | Inv  | Col ExpenseActualTotal</t>
  </si>
  <si>
    <t>De Drift_Tracker.xlsx | Table row 107 | Site Establishment | Inv  | Col ExpenseActualTotal</t>
  </si>
  <si>
    <t>De Drift_Tracker.xlsx | Table row 108 | AC Installation Complete | Inv  | Col ExpenseActualTotal</t>
  </si>
  <si>
    <t>De Drift_Tracker.xlsx | Table row 109 | DC Installation Complete | Inv  | Col ExpenseActualTotal</t>
  </si>
  <si>
    <t>De Drift_Tracker.xlsx | Table row 110 | Commissioning Complete | Inv  | Col ExpenseActualTotal</t>
  </si>
  <si>
    <t>De Drift_Tracker.xlsx | Table row 111 | Site De-establisment | Inv  | Col ExpenseActualTotal</t>
  </si>
  <si>
    <t>De Drift_Tracker.xlsx | Table row 112 | Handover Document Complete | Inv  | Col ExpenseActualTotal</t>
  </si>
  <si>
    <t>De Drift_Tracker.xlsx | Table row 113 | End of Defects Period | Inv  | Col ExpenseActualTotal</t>
  </si>
  <si>
    <t>De Drift_Tracker.xlsx | Table row 118 | Electrical PrEng sign off | Inv  | Col ExpenseActualTotal</t>
  </si>
  <si>
    <t>De Drift_Tracker.xlsx | Table row 119 | Structural Sign Off | Inv  | Col ExpenseActualTotal</t>
  </si>
  <si>
    <t>De Drift_Tracker.xlsx | Table row 120 | Grid Study | Inv  | Col ExpenseActualTotal</t>
  </si>
  <si>
    <t>De Drift_Tracker.xlsx | Table row 121 | Red Team Inspection | Inv  | Col ExpenseActualTotal</t>
  </si>
  <si>
    <t>De Drift_Tracker.xlsx | Table row 124 | PD Fee | Inv  | Col ExpenseActualTotal</t>
  </si>
  <si>
    <t>De Drift_Tracker.xlsx | Table row 127 | Matriarch Defects Period - 1.25% | Inv  | Col ExpenseActualTotal</t>
  </si>
  <si>
    <t>De Drift_Tracker.xlsx | Table row 134 | Travel | Inv  | Col ExpenseActualTotal</t>
  </si>
  <si>
    <t>De Drift_Tracker.xlsx | Table row 135 | Travel | Inv  | Col ExpenseActualTotal</t>
  </si>
  <si>
    <t>De Drift_Tracker.xlsx | Table row 136 | Travel | Inv  | Col ExpenseActualTotal</t>
  </si>
  <si>
    <t>De Drift_Tracker.xlsx | Table row 137 | Travel | Inv  | Col ExpenseActualTotal</t>
  </si>
  <si>
    <t>Dobsonpoint_Tracker.xlsx | Table row 6 | Jinko 620W = MENLO | Inv Menlo: INV0002939 | Col ExpenseActualTotal</t>
  </si>
  <si>
    <t>Jinko 620W = MENLO</t>
  </si>
  <si>
    <t>PO3903-DIP-PH2-DOB-20250514</t>
  </si>
  <si>
    <t>Menlo: INV0002939</t>
  </si>
  <si>
    <t>Dobsonpoint_Tracker.xlsx | Table row 8 | Jinko 620W = MENLO - Replacements | Inv MSA Energy INV0003444 | Col ExpenseActualTotal</t>
  </si>
  <si>
    <t>Jinko 620W = MENLO - Replacements</t>
  </si>
  <si>
    <t>MSA Energy INV0003444</t>
  </si>
  <si>
    <t>Dobsonpoint_Tracker.xlsx | Table row 9 | Transport | Inv MSA Energy INV0003444 | Col ExpenseActualTotal</t>
  </si>
  <si>
    <t>Dobsonpoint_Tracker.xlsx | Table row 13 | Huawei 100KTL - MENLO | Inv Menlo: Inv0002912 | Col ExpenseActualTotal</t>
  </si>
  <si>
    <t>Huawei 100KTL - MENLO</t>
  </si>
  <si>
    <t>Menlo: Inv0002912</t>
  </si>
  <si>
    <t>Dobsonpoint_Tracker.xlsx | Table row 21 | Schletter Structure | Inv Schletter INV1794 | Col ExpenseActualTotal</t>
  </si>
  <si>
    <t>PO3944-DDC-20250521 - RV Approved</t>
  </si>
  <si>
    <t>Schletter INV1794</t>
  </si>
  <si>
    <t>Dobsonpoint_Tracker.xlsx | Table row 28 | DC Cable - MENLO | Inv Menlo: Inv0002912 | Col ExpenseActualTotal</t>
  </si>
  <si>
    <t>DC Cable - MENLO</t>
  </si>
  <si>
    <t>Dobsonpoint_Tracker.xlsx | Table row 32 | Project Kick Off | Inv Thula Moya Inv: IN04720 | Col ExpenseActualTotal</t>
  </si>
  <si>
    <t>PO3877-DDC-20250513 - RV Approved</t>
  </si>
  <si>
    <t>Thula Moya Inv: IN04720</t>
  </si>
  <si>
    <t>Dobsonpoint_Tracker.xlsx | Table row 33 | Site Establishment | Inv Thula Moya Inv: IN04720 | Col ExpenseActualTotal</t>
  </si>
  <si>
    <t>Dobsonpoint_Tracker.xlsx | Table row 34 | AC Installation Complete | Inv Thula Moya Inv: IN04800 | Col ExpenseActualTotal</t>
  </si>
  <si>
    <t>Thula Moya Inv: IN04800</t>
  </si>
  <si>
    <t>Dobsonpoint_Tracker.xlsx | Table row 35 | DC Installation Complete | Inv Thula Moya IN04777 | Col ExpenseActualTotal</t>
  </si>
  <si>
    <t>Thula Moya IN04777</t>
  </si>
  <si>
    <t>Dobsonpoint_Tracker.xlsx | Table row 36 | DC Installation Complete | Inv Thula Moya IN04851 | Col ExpenseActualTotal</t>
  </si>
  <si>
    <t>Thula Moya IN04851</t>
  </si>
  <si>
    <t>Dobsonpoint_Tracker.xlsx | Table row 37 | Commissioning Complete | Inv Thula Moya IN04852 | Col ExpenseActualTotal</t>
  </si>
  <si>
    <t>Thula Moya IN04852</t>
  </si>
  <si>
    <t>Dobsonpoint_Tracker.xlsx | Table row 38 | Site De-establisment | Inv Thula Moya IN04964 | Col ExpenseActualTotal</t>
  </si>
  <si>
    <t>Thula Moya IN04964</t>
  </si>
  <si>
    <t>Dobsonpoint_Tracker.xlsx | Table row 39 | Handover Document Complete | Inv Thula Moya IN04965 | Col ExpenseActualTotal</t>
  </si>
  <si>
    <t>Thula Moya IN04965</t>
  </si>
  <si>
    <t>Dobsonpoint_Tracker.xlsx | Table row 40 | End of Defects Period | Inv Thula Moya IN05014 | Col ExpenseActualTotal</t>
  </si>
  <si>
    <t>Thula Moya IN05014</t>
  </si>
  <si>
    <t>Dobsonpoint_Tracker.xlsx | Table row 45 | Smartlogger - MENLO | Inv Menlo: Inv0002912 | Col ExpenseActualTotal</t>
  </si>
  <si>
    <t>Smartlogger - MENLO</t>
  </si>
  <si>
    <t>Dobsonpoint_Tracker.xlsx | Table row 46 | CTs &amp; Meters | Inv Accuenergy - INV ASAI-005360 | Col ExpenseActualTotal</t>
  </si>
  <si>
    <t>PO3834-DIP-Ph2-Dobs-20250429 - RV Approved</t>
  </si>
  <si>
    <t>Accuenergy - INV ASAI-005360</t>
  </si>
  <si>
    <t>Dobsonpoint_Tracker.xlsx | Table row 47 |  | Inv Accenergy - INV ASAI-005800 | Col ExpenseActualTotal</t>
  </si>
  <si>
    <t>Dobsonpoint_Tracker.xlsx | Table row 48 | Techsitter | Inv Matriarch Inv: 4451 | Col ExpenseActualTotal</t>
  </si>
  <si>
    <t>Matriarch Inv: 4451</t>
  </si>
  <si>
    <t>Dobsonpoint_Tracker.xlsx | Table row 49 | UPS | Inv Frontline INV725690 | Col ExpenseActualTotal</t>
  </si>
  <si>
    <t>PO3863-DIP Ph2-20250509 - RV Approved</t>
  </si>
  <si>
    <t>Dobsonpoint_Tracker.xlsx | Table row 55 | PVDB | Inv Switchboard Inv: 2-SOI002096 | Col ExpenseActualTotal</t>
  </si>
  <si>
    <t>PO3885-DIP-Ph2-Dobson-20250513 - RV Approved</t>
  </si>
  <si>
    <t>Switchboard Inv: 2-SOI002096</t>
  </si>
  <si>
    <t>Dobsonpoint_Tracker.xlsx | Table row 60 | Project Kick Off | Inv Thula Moya Inv: IN04720 | Col ExpenseActualTotal</t>
  </si>
  <si>
    <t>Dobsonpoint_Tracker.xlsx | Table row 61 | Site Establishment | Inv Thula Moya Inv: IN04720 | Col ExpenseActualTotal</t>
  </si>
  <si>
    <t>Dobsonpoint_Tracker.xlsx | Table row 62 | AC Installation Complete | Inv Thula Moya Inv: IN04800 | Col ExpenseActualTotal</t>
  </si>
  <si>
    <t>Dobsonpoint_Tracker.xlsx | Table row 63 | DC Installation Complete | Inv Thula Moya IN04777 | Col ExpenseActualTotal</t>
  </si>
  <si>
    <t>Dobsonpoint_Tracker.xlsx | Table row 64 | DC Installation Complete | Inv Thula Moya IN04851 | Col ExpenseActualTotal</t>
  </si>
  <si>
    <t>Dobsonpoint_Tracker.xlsx | Table row 65 | Commissioning Complete | Inv Thula Moya IN04852 | Col ExpenseActualTotal</t>
  </si>
  <si>
    <t>Dobsonpoint_Tracker.xlsx | Table row 66 | Site De-establisment | Inv Thula Moya IN04964 | Col ExpenseActualTotal</t>
  </si>
  <si>
    <t>Dobsonpoint_Tracker.xlsx | Table row 67 | Handover Document Complete | Inv Thula Moya IN04965 | Col ExpenseActualTotal</t>
  </si>
  <si>
    <t>Dobsonpoint_Tracker.xlsx | Table row 68 | End of Defects Period | Inv Thula Moya IN05014 | Col ExpenseActualTotal</t>
  </si>
  <si>
    <t>Dobsonpoint_Tracker.xlsx | Table row 83 | Site Delay | Inv Thula Moya IN04757 | Col ExpenseActualTotal</t>
  </si>
  <si>
    <t>Site Delay</t>
  </si>
  <si>
    <t>Thula Moya IN04757</t>
  </si>
  <si>
    <t>Dobsonpoint_Tracker.xlsx | Table row 84 | Inverter Cage with Roof - JRL Engineering - Deposit | Inv JRL Engineering INV00338 | Col ExpenseActualTotal</t>
  </si>
  <si>
    <t>Inverter Cage with Roof - JRL Engineering - Deposit</t>
  </si>
  <si>
    <t>PO4016-DDC-20250620 - RV Approved</t>
  </si>
  <si>
    <t>JRL Engineering INV00338</t>
  </si>
  <si>
    <t>Dobsonpoint_Tracker.xlsx | Table row 85 | Inverter Cage with Roof - JRL Engineering - Balance | Inv JRL Engineering INV00338 | Col ExpenseActualTotal</t>
  </si>
  <si>
    <t>Inverter Cage with Roof - JRL Engineering - Balance</t>
  </si>
  <si>
    <t>Dobsonpoint_Tracker.xlsx | Table row 86 | Inverter Cage Amends- JRL Engineering | Inv JRL Engineering INV00359 | Col ExpenseActualTotal</t>
  </si>
  <si>
    <t>Inverter Cage Amends- JRL Engineering</t>
  </si>
  <si>
    <t>PO4250-DDC-20250820 - RV Approved</t>
  </si>
  <si>
    <t>JRL Engineering INV00359</t>
  </si>
  <si>
    <t>Dobsonpoint_Tracker.xlsx | Table row 88 | Waterpoints | Inv Lutendo Construction: Inv INV00826 | Col ExpenseActualTotal</t>
  </si>
  <si>
    <t>PO4354-DDC-20251006 - RV Approved</t>
  </si>
  <si>
    <t>Lutendo Construction: Inv INV00826</t>
  </si>
  <si>
    <t>Dobsonpoint_Tracker.xlsx | Table row 93 | Project Kick Off | Inv Thula Moya Inv: IN04720 | Col ExpenseActualTotal</t>
  </si>
  <si>
    <t>Dobsonpoint_Tracker.xlsx | Table row 94 | Site Establishment | Inv Thula Moya Inv: IN04720 | Col ExpenseActualTotal</t>
  </si>
  <si>
    <t>Dobsonpoint_Tracker.xlsx | Table row 95 | AC Installation Complete | Inv Thula Moya Inv: IN04800 | Col ExpenseActualTotal</t>
  </si>
  <si>
    <t>Dobsonpoint_Tracker.xlsx | Table row 96 | DC Installation Complete | Inv Thula Moya Inv : IN04777 | Col ExpenseActualTotal</t>
  </si>
  <si>
    <t>Thula Moya Inv : IN04777</t>
  </si>
  <si>
    <t>Dobsonpoint_Tracker.xlsx | Table row 97 | DC Installation Complete | Inv Thula Moya IN04851 | Col ExpenseActualTotal</t>
  </si>
  <si>
    <t>Dobsonpoint_Tracker.xlsx | Table row 98 | Commissioning Complete | Inv Thula Moya IN04852 | Col ExpenseActualTotal</t>
  </si>
  <si>
    <t>Dobsonpoint_Tracker.xlsx | Table row 99 | Site De-establisment | Inv Thula Moya IN04964 | Col ExpenseActualTotal</t>
  </si>
  <si>
    <t>Dobsonpoint_Tracker.xlsx | Table row 100 | Handover Document Complete | Inv Thula Moya IN04965 | Col ExpenseActualTotal</t>
  </si>
  <si>
    <t>Dobsonpoint_Tracker.xlsx | Table row 101 | End of Defects Period | Inv Thula Moya IN05014 | Col ExpenseActualTotal</t>
  </si>
  <si>
    <t>Dobsonpoint_Tracker.xlsx | Table row 107 | Security - May: JeeryG &amp; Sons | Inv JerryG &amp; Sons InvPO3978-DDC-20250603 | Col ExpenseActualTotal</t>
  </si>
  <si>
    <t>Security - May: JeeryG &amp; Sons</t>
  </si>
  <si>
    <t>PO3978-DDC-20250603 - RV Approved</t>
  </si>
  <si>
    <t>JerryG &amp; Sons InvPO3978-DDC-20250603</t>
  </si>
  <si>
    <t>Dobsonpoint_Tracker.xlsx | Table row 109 | Security - June | Inv JerryG &amp; Sons INV 5 | Col ExpenseActualTotal</t>
  </si>
  <si>
    <t>Security - June</t>
  </si>
  <si>
    <t>JerryG &amp; Sons INV 5</t>
  </si>
  <si>
    <t>Dobsonpoint_Tracker.xlsx | Table row 110 | Security - July | Inv JerryG &amp; Sons INV 8 | Col ExpenseActualTotal</t>
  </si>
  <si>
    <t>Security - July</t>
  </si>
  <si>
    <t>JerryG &amp; Sons INV 8</t>
  </si>
  <si>
    <t>Dobsonpoint_Tracker.xlsx | Table row 111 | Security - August | Inv JerryG &amp; Sons INV11 | Col ExpenseActualTotal</t>
  </si>
  <si>
    <t>Security - August</t>
  </si>
  <si>
    <t>JerryG &amp; Sons INV11</t>
  </si>
  <si>
    <t>Dobsonpoint_Tracker.xlsx | Table row 112 | Security - September | Inv JerryG &amp; Sons INV13 | Col ExpenseActualTotal</t>
  </si>
  <si>
    <t>Security - September</t>
  </si>
  <si>
    <t>JerryG &amp; Sons INV13</t>
  </si>
  <si>
    <t>Dobsonpoint_Tracker.xlsx | Table row 113 | Security - October | Inv JerryG &amp; Sons INV17 | Col ExpenseActualTotal</t>
  </si>
  <si>
    <t>Security - October</t>
  </si>
  <si>
    <t>JerryG &amp; Sons INV17</t>
  </si>
  <si>
    <t>Dobsonpoint_Tracker.xlsx | Table row 114 | Security - November | Inv JerryG &amp; Sons INV21 | Col ExpenseActualTotal</t>
  </si>
  <si>
    <t>Security - November</t>
  </si>
  <si>
    <t>JerryG &amp; Sons INV21</t>
  </si>
  <si>
    <t>Dobsonpoint_Tracker.xlsx | Table row 116 | Project Kick Off | Inv Thula Moya Inv: IN04720 | Col ExpenseActualTotal</t>
  </si>
  <si>
    <t>Dobsonpoint_Tracker.xlsx | Table row 117 | Site Establishment | Inv Thula Moya Inv: IN04720 | Col ExpenseActualTotal</t>
  </si>
  <si>
    <t>Dobsonpoint_Tracker.xlsx | Table row 118 | AC Installation Complete | Inv Thula Moya Inv: IN04800 | Col ExpenseActualTotal</t>
  </si>
  <si>
    <t>Dobsonpoint_Tracker.xlsx | Table row 119 | DC Installation Complete | Inv Thula Moya Inv:  IN04777 | Col ExpenseActualTotal</t>
  </si>
  <si>
    <t>Thula Moya Inv:  IN04777</t>
  </si>
  <si>
    <t>Dobsonpoint_Tracker.xlsx | Table row 120 | DC Installation Complete | Inv Thula Moya IN04851 | Col ExpenseActualTotal</t>
  </si>
  <si>
    <t>Dobsonpoint_Tracker.xlsx | Table row 121 | Commissioning Complete | Inv Thula Moya IN04852 | Col ExpenseActualTotal</t>
  </si>
  <si>
    <t>Dobsonpoint_Tracker.xlsx | Table row 122 | Site De-establisment | Inv Thula Moya IN04964 | Col ExpenseActualTotal</t>
  </si>
  <si>
    <t>Dobsonpoint_Tracker.xlsx | Table row 123 | Handover Document Complete | Inv Thula Moya IN04965 | Col ExpenseActualTotal</t>
  </si>
  <si>
    <t>Dobsonpoint_Tracker.xlsx | Table row 124 | End of Defects Period | Inv Thula Moya IN05014 | Col ExpenseActualTotal</t>
  </si>
  <si>
    <t>Dobsonpoint_Tracker.xlsx | Table row 129 | Electrical PrEng sign off | Inv Sunspot Investments E027 | Col ExpenseActualTotal</t>
  </si>
  <si>
    <t>Sunspot Investments E027</t>
  </si>
  <si>
    <t>Dobsonpoint_Tracker.xlsx | Table row 130 | Structural Sign Off | Inv L&amp;B Consulting - Invoice 1934 | Col ExpenseActualTotal</t>
  </si>
  <si>
    <t>L&amp;B Consulting - Invoice 1934</t>
  </si>
  <si>
    <t>Dobsonpoint_Tracker.xlsx | Table row 131 | Red Team Inspection | Inv Matriarch - INV-5975 | Col ExpenseActualTotal</t>
  </si>
  <si>
    <t>Matriarch - INV-5975</t>
  </si>
  <si>
    <t>Dobsonpoint_Tracker.xlsx | Table row 132 | Lightning Risk Assessment | Inv LPS Inv: IN306837 | Col ExpenseActualTotal</t>
  </si>
  <si>
    <t>PO3844-Dipula Ph2-20250430 - RV Approved</t>
  </si>
  <si>
    <t>LPS Inv: IN306837</t>
  </si>
  <si>
    <t>Dobsonpoint_Tracker.xlsx | Table row 138 | Matriarch Defects Period - 1.25% | Inv  | Col ExpenseActualTotal</t>
  </si>
  <si>
    <t>Dobsonpoint_Tracker.xlsx | Table row 139 | Management | Inv  | Col ExpenseActualTotal</t>
  </si>
  <si>
    <t>Dobsonpoint_Tracker.xlsx | Table row 140 | Project manager  | Inv  | Col ExpenseActualTotal</t>
  </si>
  <si>
    <t>Dobsonpoint_Tracker.xlsx | Table row 141 | Planner time | Inv  | Col ExpenseActualTotal</t>
  </si>
  <si>
    <t>Dobsonpoint_Tracker.xlsx | Table row 142 | De Snagging | Inv  | Col ExpenseActualTotal</t>
  </si>
  <si>
    <t>Dobsonpoint_Tracker.xlsx | Table row 145 | Travel | Inv  | Col ExpenseActualTotal</t>
  </si>
  <si>
    <t>Dobsonpoint_Tracker.xlsx | Table row 146 | Travel | Inv  | Col ExpenseActualTotal</t>
  </si>
  <si>
    <t>Dobsonpoint_Tracker.xlsx | Table row 147 | Travel | Inv Expense Claim | Col ExpenseActualTotal</t>
  </si>
  <si>
    <t>Dobsonpoint_Tracker.xlsx | Table row 148 | Travel | Inv Expense Claim | Col ExpenseActualTotal</t>
  </si>
  <si>
    <t>Dobsonpoint_Tracker.xlsx | Table row 149 | Travel | Inv Expense Claim | Col ExpenseActualTotal</t>
  </si>
  <si>
    <t>Dobsonpoint_Tracker.xlsx | Table row 150 | Travel | Inv Expense Claim | Col ExpenseActualTotal</t>
  </si>
  <si>
    <t>Dobsonpoint_Tracker.xlsx | Table row 151 | Travel | Inv Expense Claim | Col ExpenseActualTotal</t>
  </si>
  <si>
    <t>Dobsonpoint_Tracker.xlsx | Table row 152 | Travel | Inv Expense Claim | Col ExpenseActualTotal</t>
  </si>
  <si>
    <t>Dobsonpoint_Tracker.xlsx | Table row 153 | Travel | Inv Expense Claim | Col ExpenseActualTotal</t>
  </si>
  <si>
    <t>Dobsonpoint_Tracker.xlsx | Table row 154 | Travel | Inv Expense Claim | Col ExpenseActualTotal</t>
  </si>
  <si>
    <t>Dobsonpoint_Tracker.xlsx | Table row 155 | Travel | Inv Expense Claim | Col ExpenseActualTotal</t>
  </si>
  <si>
    <t>Dobsonpoint_Tracker.xlsx | Table row 161 | VO - Installation of DC | Inv Thula Moya - IN04887 | Col ExpenseActualTotal</t>
  </si>
  <si>
    <t>VO - Installation of DC</t>
  </si>
  <si>
    <t>Thula Moya - IN04887</t>
  </si>
  <si>
    <t>Dobsonpoint_Tracker.xlsx | Table row 162 |  | Inv Thula Moya - IN04887 | Col ExpenseActualTotal</t>
  </si>
  <si>
    <t>Gezina Galleries_Tracker.xlsx | Table row 6 | Jinko 620W - Menlo | Inv Menlo Inv INV0003032 | Col ExpenseActualTotal</t>
  </si>
  <si>
    <t>PO3894-DIP-PH2=20250514</t>
  </si>
  <si>
    <t>Menlo Inv INV0003032</t>
  </si>
  <si>
    <t>Gezina Galleries_Tracker.xlsx | Table row 7 |  | Inv Menlo Inv INV0003032 | Col ExpenseActualTotal</t>
  </si>
  <si>
    <t>Gezina Galleries_Tracker.xlsx | Table row 9 | Jinko 620W - Menlo | Inv MSA Energy Solutions INV0003443 | Col ExpenseActualTotal</t>
  </si>
  <si>
    <t>MSA Energy Solutions INV0003443</t>
  </si>
  <si>
    <t>Gezina Galleries_Tracker.xlsx | Table row 10 | Transport | Inv MSA Energy Solutions INV0003443 | Col ExpenseActualTotal</t>
  </si>
  <si>
    <t>Gezina Galleries_Tracker.xlsx | Table row 13 | Huawei 100KTL - Menlo | Inv Menlo Inv INV0003032 | Col ExpenseActualTotal</t>
  </si>
  <si>
    <t>Huawei 100KTL - Menlo</t>
  </si>
  <si>
    <t>Gezina Galleries_Tracker.xlsx | Table row 21 | Schletter Structure | Inv Schletter - INV1902 | Col ExpenseActualTotal</t>
  </si>
  <si>
    <t>PO3917-DIP-Ph2-Gezi-20250515 - RVApproved</t>
  </si>
  <si>
    <t>Schletter - INV1902</t>
  </si>
  <si>
    <t>Gezina Galleries_Tracker.xlsx | Table row 22 | Additional Clamps | Inv Schletter - INV2459 | Col ExpenseActualTotal</t>
  </si>
  <si>
    <t>Additional Clamps</t>
  </si>
  <si>
    <t>PO4484-DIP-Ph2-Gezi-20251124 - RV Approved</t>
  </si>
  <si>
    <t>Schletter - INV2459</t>
  </si>
  <si>
    <t>Gezina Galleries_Tracker.xlsx | Table row 28 | DC Cable - Menlo | Inv Menlo Inv INV0003032 | Col ExpenseActualTotal</t>
  </si>
  <si>
    <t>PO3894-DIP-PH2-20250514</t>
  </si>
  <si>
    <t>Gezina Galleries_Tracker.xlsx | Table row 29 | DC Cable - Menlo | Inv Menlo Inv INV0003032 | Col ExpenseActualTotal</t>
  </si>
  <si>
    <t>Gezina Galleries_Tracker.xlsx | Table row 30 | DC Cable - Helukabel | Inv Helukabel - PSI0047534 | Col ExpenseActualTotal</t>
  </si>
  <si>
    <t>DC Cable - Helukabel</t>
  </si>
  <si>
    <t>PO4495-GEZ-20251126 - RV Approved</t>
  </si>
  <si>
    <t>Helukabel - PSI0047534</t>
  </si>
  <si>
    <t>Gezina Galleries_Tracker.xlsx | Table row 31 | DC Cable - Rubicon | Inv Rubicon Inv: INVWCRE-0072974 | Col ExpenseActualTotal</t>
  </si>
  <si>
    <t>DC Cable - Rubicon</t>
  </si>
  <si>
    <t>Rubicon Inv: INVWCRE-0072974</t>
  </si>
  <si>
    <t>Gezina Galleries_Tracker.xlsx | Table row 32 | Project Kick Off | Inv Cosmic Sun: CS_GZG_001 | Col ExpenseActualTotal</t>
  </si>
  <si>
    <t>PO3868-DIP-Ph2-Gezi-20250512 - RV Approved</t>
  </si>
  <si>
    <t>Cosmic Sun: CS_GZG_001</t>
  </si>
  <si>
    <t>Gezina Galleries_Tracker.xlsx | Table row 33 | Site Establishment | Inv Cosmic Sun: CS_GZG_002 | Col ExpenseActualTotal</t>
  </si>
  <si>
    <t>Cosmic Sun: CS_GZG_002</t>
  </si>
  <si>
    <t>Gezina Galleries_Tracker.xlsx | Table row 34 | AC Installation Complete | Inv Cosmic Sun - CS_GZG_004 | Col ExpenseActualTotal</t>
  </si>
  <si>
    <t>Cosmic Sun - CS_GZG_004</t>
  </si>
  <si>
    <t>Gezina Galleries_Tracker.xlsx | Table row 35 | DC Installation Complete | Inv Cosmic Sun - CS_GZG_003 A | Col ExpenseActualTotal</t>
  </si>
  <si>
    <t>Cosmic Sun - CS_GZG_003 A</t>
  </si>
  <si>
    <t>Gezina Galleries_Tracker.xlsx | Table row 36 | Commissioning Complete | Inv Cosmic Sun - CS_GZG_005 A | Col ExpenseActualTotal</t>
  </si>
  <si>
    <t>Cosmic Sun - CS_GZG_005 A</t>
  </si>
  <si>
    <t>Gezina Galleries_Tracker.xlsx | Table row 37 | Site De-establisment | Inv Cosmic Sun - CS_GZG_006 A | Col ExpenseActualTotal</t>
  </si>
  <si>
    <t>Cosmic Sun - CS_GZG_006 A</t>
  </si>
  <si>
    <t>Gezina Galleries_Tracker.xlsx | Table row 38 | Handover Document Complete | Inv Cosmic Sun - CS_GZG_007 A | Col ExpenseActualTotal</t>
  </si>
  <si>
    <t>Cosmic Sun - CS_GZG_007 A</t>
  </si>
  <si>
    <t>Gezina Galleries_Tracker.xlsx | Table row 39 | End of Defects Period | Inv Cosmic Sun - CS_GZG_008 A | Col ExpenseActualTotal</t>
  </si>
  <si>
    <t>Cosmic Sun - CS_GZG_008 A</t>
  </si>
  <si>
    <t>Gezina Galleries_Tracker.xlsx | Table row 44 | Smartlogger - Menlo | Inv Menlo Inv: INV0002928 | Col ExpenseActualTotal</t>
  </si>
  <si>
    <t>Menlo Inv: INV0002928</t>
  </si>
  <si>
    <t>Gezina Galleries_Tracker.xlsx | Table row 45 | CTs &amp; Meters | Inv Accuenergy - Inv ASAI-005354 | Col ExpenseActualTotal</t>
  </si>
  <si>
    <t>PO3828-DIP-Ph2-Gezi-20250429 - RV Approved</t>
  </si>
  <si>
    <t>Accuenergy - Inv ASAI-005354</t>
  </si>
  <si>
    <t>Gezina Galleries_Tracker.xlsx | Table row 46 |  | Inv Accenergy - INV ASAI-005800 | Col ExpenseActualTotal</t>
  </si>
  <si>
    <t>Gezina Galleries_Tracker.xlsx | Table row 47 | Techsitter | Inv Matriarch Inv: 4451 | Col ExpenseActualTotal</t>
  </si>
  <si>
    <t>Gezina Galleries_Tracker.xlsx | Table row 48 | UPS | Inv Frontline Electrical - INV725690 | Col ExpenseActualTotal</t>
  </si>
  <si>
    <t>Frontline Electrical - INV725690</t>
  </si>
  <si>
    <t>Gezina Galleries_Tracker.xlsx | Table row 54 | PVDB | Inv Switchboard Inv: 2-SOI002101 | Col ExpenseActualTotal</t>
  </si>
  <si>
    <t>PO3892-DIP-Ph2-Gezina-20250513 - RV Approved</t>
  </si>
  <si>
    <t>Switchboard Inv: 2-SOI002101</t>
  </si>
  <si>
    <t>Gezina Galleries_Tracker.xlsx | Table row 59 | Project Kick Off | Inv Cosmic Sun: CS_GZG_001 | Col ExpenseActualTotal</t>
  </si>
  <si>
    <t>Gezina Galleries_Tracker.xlsx | Table row 60 | Site Establishment | Inv Cosmic Sun: CS_GZG_002 | Col ExpenseActualTotal</t>
  </si>
  <si>
    <t>Gezina Galleries_Tracker.xlsx | Table row 61 | AC Installation Complete | Inv Cosmic Sun - CS_GZG_004 | Col ExpenseActualTotal</t>
  </si>
  <si>
    <t>Gezina Galleries_Tracker.xlsx | Table row 62 | DC Installation Complete | Inv Cosmic Sun - CS_GZG_003 A | Col ExpenseActualTotal</t>
  </si>
  <si>
    <t>Gezina Galleries_Tracker.xlsx | Table row 63 | Commissioning Complete | Inv Cosmic Sun - CS_GZG_005 A | Col ExpenseActualTotal</t>
  </si>
  <si>
    <t>Gezina Galleries_Tracker.xlsx | Table row 64 | Site De-establisment | Inv Cosmic Sun - CS_GZG_006 A | Col ExpenseActualTotal</t>
  </si>
  <si>
    <t>Gezina Galleries_Tracker.xlsx | Table row 65 | Handover Document Complete | Inv Cosmic Sun - CS_GZG_007 A | Col ExpenseActualTotal</t>
  </si>
  <si>
    <t>Gezina Galleries_Tracker.xlsx | Table row 66 | End of Defects Period | Inv Cosmic Sun - CS_GZG_008 A | Col ExpenseActualTotal</t>
  </si>
  <si>
    <t>Gezina Galleries_Tracker.xlsx | Table row 80 | Estop | Inv Cosmic Sun - CS_GZG_011_VO | Col ExpenseActualTotal</t>
  </si>
  <si>
    <t>Estop</t>
  </si>
  <si>
    <t>PO4393-DIP-Ph2-Gezi-20251023 - RV Approved</t>
  </si>
  <si>
    <t>Cosmic Sun - CS_GZG_011_VO</t>
  </si>
  <si>
    <t>Gezina Galleries_Tracker.xlsx | Table row 81 | Installation of SPD - Recover Cost from SWB | Inv Cosmic Sun - CS_GZG_012 | Col ExpenseActualTotal</t>
  </si>
  <si>
    <t>Installation of SPD - Recover Cost from SWB</t>
  </si>
  <si>
    <t>PO4562-DIP-Ph2-Gezi-20260121 - RV Approved</t>
  </si>
  <si>
    <t>Cosmic Sun - CS_GZG_012</t>
  </si>
  <si>
    <t>Gezina Galleries_Tracker.xlsx | Table row 82 | Installation of SPD - Recover Cost from SWB | Inv Switchboard - 2-ARI001536 | Col ExpenseActualTotal</t>
  </si>
  <si>
    <t>Switchboard - 2-ARI001536</t>
  </si>
  <si>
    <t>Gezina Galleries_Tracker.xlsx | Table row 83 | Inverter Cage with Roof | Inv The Engineering Hub INV/2025/06/05765 | Col ExpenseActualTotal</t>
  </si>
  <si>
    <t>Inverter Cage with Roof</t>
  </si>
  <si>
    <t>PO4019-DIP-Ph2-Gezi-20250623 - RV Approved</t>
  </si>
  <si>
    <t>The Engineering Hub INV/2025/06/05765</t>
  </si>
  <si>
    <t>Gezina Galleries_Tracker.xlsx | Table row 86 | Waterpoints | Inv NDAWONGA TRADING - 1485 | Col ExpenseActualTotal</t>
  </si>
  <si>
    <t>PO4339-DIP-Ph2-Gezi-20250929 - RV Approved</t>
  </si>
  <si>
    <t>NDAWONGA TRADING - 1485</t>
  </si>
  <si>
    <t>Gezina Galleries_Tracker.xlsx | Table row 88 | CS - Tie In Kiosk | Inv Cosmic Sun - CS_GZG_010 | Col ExpenseActualTotal</t>
  </si>
  <si>
    <t>CS - Tie In Kiosk</t>
  </si>
  <si>
    <t>PO4351-DIP-Ph2-Gezi-20251006 - RV Approved</t>
  </si>
  <si>
    <t>Cosmic Sun - CS_GZG_010</t>
  </si>
  <si>
    <t>Gezina Galleries_Tracker.xlsx | Table row 89 | Modification on inverter cage | Inv The Engineering Hub INV/2026/01/0248 | Col ExpenseActualTotal</t>
  </si>
  <si>
    <t>Modification on inverter cage</t>
  </si>
  <si>
    <t>PO4579-DIP-Ph2-Gezi-20260127 - RV Approved</t>
  </si>
  <si>
    <t>The Engineering Hub INV/2026/01/0248</t>
  </si>
  <si>
    <t>Gezina Galleries_Tracker.xlsx | Table row 92 | Project Kick Off | Inv Cosmic Sun: CS_GZG_001 | Col ExpenseActualTotal</t>
  </si>
  <si>
    <t>Gezina Galleries_Tracker.xlsx | Table row 93 | Site Establishment | Inv Cosmic Sun: CS_GZG_002 | Col ExpenseActualTotal</t>
  </si>
  <si>
    <t>Gezina Galleries_Tracker.xlsx | Table row 94 | AC Installation Complete | Inv Cosmic Sun - CS_GZG_004 | Col ExpenseActualTotal</t>
  </si>
  <si>
    <t>Gezina Galleries_Tracker.xlsx | Table row 95 | DC Installation Complete | Inv Cosmic Sun - CS_GZG_003_B | Col ExpenseActualTotal</t>
  </si>
  <si>
    <t>Cosmic Sun - CS_GZG_003_B</t>
  </si>
  <si>
    <t>Gezina Galleries_Tracker.xlsx | Table row 96 | Commissioning Complete | Inv Cosmic Sun - CS_GZG_005_B | Col ExpenseActualTotal</t>
  </si>
  <si>
    <t>Cosmic Sun - CS_GZG_005_B</t>
  </si>
  <si>
    <t>Gezina Galleries_Tracker.xlsx | Table row 97 | Site De-establisment | Inv Cosmic Sun - CS_GZG_006_B | Col ExpenseActualTotal</t>
  </si>
  <si>
    <t>Cosmic Sun - CS_GZG_006_B</t>
  </si>
  <si>
    <t>Gezina Galleries_Tracker.xlsx | Table row 98 | Handover Document Complete | Inv Cosmic Sun - CS_GZG_007_B | Col ExpenseActualTotal</t>
  </si>
  <si>
    <t>Cosmic Sun - CS_GZG_007_B</t>
  </si>
  <si>
    <t>Gezina Galleries_Tracker.xlsx | Table row 99 | End of Defects Period | Inv Cosmic Sun - CS_GZG_008_B | Col ExpenseActualTotal</t>
  </si>
  <si>
    <t>Cosmic Sun - CS_GZG_008_B</t>
  </si>
  <si>
    <t>Gezina Galleries_Tracker.xlsx | Table row 106 | Security - July | Inv Bidvest Protea Coin: 749745 | Col ExpenseActualTotal</t>
  </si>
  <si>
    <t>PO4055-DIP-Ph2-Gezi-20250627 - RV Approved</t>
  </si>
  <si>
    <t>Bidvest Protea Coin: 749745</t>
  </si>
  <si>
    <t>Gezina Galleries_Tracker.xlsx | Table row 107 | Security - August | Inv Bidvest Protea Coin: 760988 | Col ExpenseActualTotal</t>
  </si>
  <si>
    <t>Bidvest Protea Coin: 760988</t>
  </si>
  <si>
    <t>Gezina Galleries_Tracker.xlsx | Table row 108 | Security - September | Inv Bidvest Protea Coin: 760989 | Col ExpenseActualTotal</t>
  </si>
  <si>
    <t>Bidvest Protea Coin: 760989</t>
  </si>
  <si>
    <t>Gezina Galleries_Tracker.xlsx | Table row 109 | Security - October | Inv Bidvest Protea Coin: 763696 | Col ExpenseActualTotal</t>
  </si>
  <si>
    <t>Bidvest Protea Coin: 763696</t>
  </si>
  <si>
    <t>Gezina Galleries_Tracker.xlsx | Table row 110 | Security - November | Inv Bidvest Protea Coin: 773193 | Col ExpenseActualTotal</t>
  </si>
  <si>
    <t>Bidvest Protea Coin: 773193</t>
  </si>
  <si>
    <t>Gezina Galleries_Tracker.xlsx | Table row 111 | Security - December | Inv Bidvest Protea Coin: 768743 | Col ExpenseActualTotal</t>
  </si>
  <si>
    <t>Security - December</t>
  </si>
  <si>
    <t>Bidvest Protea Coin: 768743</t>
  </si>
  <si>
    <t>Gezina Galleries_Tracker.xlsx | Table row 113 | Project Kick Off | Inv Cosmic Sun: CS_GZG_001 | Col ExpenseActualTotal</t>
  </si>
  <si>
    <t>Gezina Galleries_Tracker.xlsx | Table row 114 | Site Establishment | Inv Cosmic Sun: CS_GZG_002 | Col ExpenseActualTotal</t>
  </si>
  <si>
    <t>Gezina Galleries_Tracker.xlsx | Table row 115 | AC Installation Complete | Inv Cosmic Sun - CS_GZG_004 | Col ExpenseActualTotal</t>
  </si>
  <si>
    <t>Gezina Galleries_Tracker.xlsx | Table row 116 | DC Installation Complete | Inv Cosmic Sun - CS_GZG_003_B | Col ExpenseActualTotal</t>
  </si>
  <si>
    <t>Gezina Galleries_Tracker.xlsx | Table row 117 | Commissioning Complete | Inv Cosmic Sun - CS_GZG_005_B | Col ExpenseActualTotal</t>
  </si>
  <si>
    <t>Gezina Galleries_Tracker.xlsx | Table row 118 | Site De-establisment | Inv Cosmic Sun - CS_GZG_006_B | Col ExpenseActualTotal</t>
  </si>
  <si>
    <t>Gezina Galleries_Tracker.xlsx | Table row 119 | Handover Document Complete | Inv Cosmic Sun - CS_GZG_007_B | Col ExpenseActualTotal</t>
  </si>
  <si>
    <t>Gezina Galleries_Tracker.xlsx | Table row 120 | End of Defects Period | Inv Cosmic Sun - CS_GZG_008_B | Col ExpenseActualTotal</t>
  </si>
  <si>
    <t>Gezina Galleries_Tracker.xlsx | Table row 125 | Electrical PrEng sign off | Inv Sunspot Investments E027 | Col ExpenseActualTotal</t>
  </si>
  <si>
    <t>Gezina Galleries_Tracker.xlsx | Table row 126 | Structural Sign Off (Includes Seshego Circle) | Inv L&amp;B Consulting - Invoice 1934  | Col ExpenseActualTotal</t>
  </si>
  <si>
    <t>Structural Sign Off (Includes Seshego Circle)</t>
  </si>
  <si>
    <t xml:space="preserve">L&amp;B Consulting - Invoice 1934 </t>
  </si>
  <si>
    <t>Gezina Galleries_Tracker.xlsx | Table row 127 | Grid Study | Inv Okusha EE19 | Col ExpenseActualTotal</t>
  </si>
  <si>
    <t>PO4079-DIP-Ph2-Gezi-20250701 - RV Approved</t>
  </si>
  <si>
    <t>Okusha EE19</t>
  </si>
  <si>
    <t>Gezina Galleries_Tracker.xlsx | Table row 128 | Lightning Risk Assessment | Inv LPS Inv: IN306837 | Col ExpenseActualTotal</t>
  </si>
  <si>
    <t>Gezina Galleries_Tracker.xlsx | Table row 129 | Red Team Inspection | Inv  | Col ExpenseActualTotal</t>
  </si>
  <si>
    <t>Gezina Galleries_Tracker.xlsx | Table row 134 | Matriarch Defects Period - 1.25% | Inv  | Col ExpenseActualTotal</t>
  </si>
  <si>
    <t>Gezina Galleries_Tracker.xlsx | Table row 135 | Management | Inv  | Col ExpenseActualTotal</t>
  </si>
  <si>
    <t>Gezina Galleries_Tracker.xlsx | Table row 136 | Project manager  | Inv  | Col ExpenseActualTotal</t>
  </si>
  <si>
    <t>Gezina Galleries_Tracker.xlsx | Table row 137 | Planner time | Inv  | Col ExpenseActualTotal</t>
  </si>
  <si>
    <t>Gezina Galleries_Tracker.xlsx | Table row 138 | De Snagging | Inv  | Col ExpenseActualTotal</t>
  </si>
  <si>
    <t>Gezina Galleries_Tracker.xlsx | Table row 141 | Travel | Inv Site Visit | Col ExpenseActualTotal</t>
  </si>
  <si>
    <t>Gezina Galleries_Tracker.xlsx | Table row 142 | Travel | Inv Expense Claim | Col ExpenseActualTotal</t>
  </si>
  <si>
    <t>Gezina Galleries_Tracker.xlsx | Table row 143 | Travel | Inv Expense Claim | Col ExpenseActualTotal</t>
  </si>
  <si>
    <t>Gezina Galleries_Tracker.xlsx | Table row 144 | Travel | Inv Expense Claim | Col ExpenseActualTotal</t>
  </si>
  <si>
    <t>Gezina Galleries_Tracker.xlsx | Table row 145 | Travel | Inv Expense Claim | Col ExpenseActualTotal</t>
  </si>
  <si>
    <t>Gezina Galleries_Tracker.xlsx | Table row 146 | Travel | Inv Expense Claim | Col ExpenseActualTotal</t>
  </si>
  <si>
    <t>Gezina Galleries_Tracker.xlsx | Table row 147 | Travel | Inv Expense Claim | Col ExpenseActualTotal</t>
  </si>
  <si>
    <t>Gezina Galleries_Tracker.xlsx | Table row 148 | Travel | Inv Expense Claim | Col ExpenseActualTotal</t>
  </si>
  <si>
    <t>Gezina Galleries_Tracker.xlsx | Table row 149 | Travel | Inv Expense Claim | Col ExpenseActualTotal</t>
  </si>
  <si>
    <t>Gezina Galleries_Tracker.xlsx | Table row 150 | Travel | Inv Expense Claim | Col ExpenseActualTotal</t>
  </si>
  <si>
    <t>Gezina Galleries_Tracker.xlsx | Table row 151 | Travel | Inv Expense Claim | Col ExpenseActualTotal</t>
  </si>
  <si>
    <t>Gezina Galleries_Tracker.xlsx | Table row 152 | Travel | Inv  | Col ExpenseActualTotal</t>
  </si>
  <si>
    <t>Gezina Galleries_Tracker.xlsx | Table row 155 | Welcome Bonus- Site Establishment | Inv Luxanio Trading - 23400/202506/274897/I | Col ExpenseActualTotal</t>
  </si>
  <si>
    <t>Welcome Bonus- Site Establishment</t>
  </si>
  <si>
    <t>Luxanio Trading - 23400/202506/274897/I</t>
  </si>
  <si>
    <t>Gezina Galleries_Tracker.xlsx | Table row 156 | Welcome Bonus- Commissioning | Inv Luxanio Trading - 23400/202506/274897/I | Col ExpenseActualTotal</t>
  </si>
  <si>
    <t>Welcome Bonus- Commissioning</t>
  </si>
  <si>
    <t>Gezina Galleries_Tracker.xlsx | Table row 158 | Community Engagement | Inv  | Col ExpenseActualTotal</t>
  </si>
  <si>
    <t>Community Engagement</t>
  </si>
  <si>
    <t>Gezina Galleries_Tracker.xlsx | Table row 160 | CS - Standing Time - VO | Inv Cosmic Sun - CS_GZG_009 | Col ExpenseActualTotal</t>
  </si>
  <si>
    <t>CS - Standing Time - VO</t>
  </si>
  <si>
    <t>Cosmic Sun - CS_GZG_009</t>
  </si>
  <si>
    <t>Gezina Galleries_Tracker.xlsx | Table row 162 | Client Electrician Labour | Inv Ecom Electrical | Col ExpenseActualTotal</t>
  </si>
  <si>
    <t>Client Electrician Labour</t>
  </si>
  <si>
    <t>PO4500-DIP-Ph2-Gezi-20251127 - RV Approved</t>
  </si>
  <si>
    <t>Ecom Electrical</t>
  </si>
  <si>
    <t>Gillwell_Tracker.xlsx | Table row 6 | Longi 605W Krannich  | Inv Krannich - INV 15-10012801 | Col ExpenseActualTotal</t>
  </si>
  <si>
    <t xml:space="preserve">Longi 605W Krannich </t>
  </si>
  <si>
    <t>PO3935-DIP-Ph2-Gillwell-20250519 - RV Approved</t>
  </si>
  <si>
    <t>Krannich - INV 15-10012801</t>
  </si>
  <si>
    <t>Gillwell_Tracker.xlsx | Table row 7 | EPR Tax | Inv Krannich - INV 15-10012801 | Col ExpenseActualTotal</t>
  </si>
  <si>
    <t>EPR Tax</t>
  </si>
  <si>
    <t>Gillwell_Tracker.xlsx | Table row 8 | Chemitek | Inv Krannich - INV 15-10012801 | Col ExpenseActualTotal</t>
  </si>
  <si>
    <t>Chemitek</t>
  </si>
  <si>
    <t>Gillwell_Tracker.xlsx | Table row 13 | Huawei 100KTL (Krannich) | Inv Krannich - INV 15-10012764 | Col ExpenseActualTotal</t>
  </si>
  <si>
    <t>Krannich - INV 15-10012764</t>
  </si>
  <si>
    <t>Gillwell_Tracker.xlsx | Table row 14 | EPR Fees | Inv Krannich - INV 15-10012764 | Col ExpenseActualTotal</t>
  </si>
  <si>
    <t>Gillwell_Tracker.xlsx | Table row 21 | Schletter Structure | Inv Schletter - INV1787 | Col ExpenseActualTotal</t>
  </si>
  <si>
    <t>PO3921-DIP2GILL-20250515 - RV Approved</t>
  </si>
  <si>
    <t>Schletter - INV1787</t>
  </si>
  <si>
    <t>Gillwell_Tracker.xlsx | Table row 22 | Seam clamps (kliplock) - PE stock | Inv Allocated from PE Stockroom | Col ExpenseActualTotal</t>
  </si>
  <si>
    <t>Seam clamps (kliplock) - PE stock</t>
  </si>
  <si>
    <t>Allocated from PE Stockroom</t>
  </si>
  <si>
    <t>Gillwell_Tracker.xlsx | Table row 23 | Available Budget | Inv  | Col ExpenseActualTotal</t>
  </si>
  <si>
    <t>Available Budget</t>
  </si>
  <si>
    <t>Gillwell_Tracker.xlsx | Table row 28 | DC Cable Krannich  | Inv Krannich - INV 15-10012737 | Col ExpenseActualTotal</t>
  </si>
  <si>
    <t xml:space="preserve">DC Cable Krannich </t>
  </si>
  <si>
    <t>Krannich - INV 15-10012737</t>
  </si>
  <si>
    <t>Gillwell_Tracker.xlsx | Table row 29 | Delivery Fee | Inv Krannich - INV 15-10012737 | Col ExpenseActualTotal</t>
  </si>
  <si>
    <t>Delivery Fee</t>
  </si>
  <si>
    <t>Gillwell_Tracker.xlsx | Table row 30 | Additional DC Cable - Rubicon - VO | Inv Rubicon INVCRE-0068802 | Col ExpenseActualTotal</t>
  </si>
  <si>
    <t>Additional DC Cable - Rubicon - VO</t>
  </si>
  <si>
    <t>PO4022-DGW-20250623 - RV Approved</t>
  </si>
  <si>
    <t>Rubicon INVCRE-0068802</t>
  </si>
  <si>
    <t>Gillwell_Tracker.xlsx | Table row 32 | Project Kick Off | Inv CS_GWM_001 | Col ExpenseActualTotal</t>
  </si>
  <si>
    <t>PO3883-DIP2GILL-20250503 - RV Approved</t>
  </si>
  <si>
    <t>CS_GWM_001</t>
  </si>
  <si>
    <t>Gillwell_Tracker.xlsx | Table row 33 | Site Establishment | Inv CS_GWM_002 | Col ExpenseActualTotal</t>
  </si>
  <si>
    <t>CS_GWM_002</t>
  </si>
  <si>
    <t>Gillwell_Tracker.xlsx | Table row 34 | AC Installation Complete | Inv CS_GWM_004 | Col ExpenseActualTotal</t>
  </si>
  <si>
    <t>CS_GWM_004</t>
  </si>
  <si>
    <t>Gillwell_Tracker.xlsx | Table row 35 | DC Installation Complete | Inv CS_GWM_003 | Col ExpenseActualTotal</t>
  </si>
  <si>
    <t>CS_GWM_003</t>
  </si>
  <si>
    <t>Gillwell_Tracker.xlsx | Table row 36 | Commissioning Complete | Inv Cosmic Sun - CS_GWM_005 | Col ExpenseActualTotal</t>
  </si>
  <si>
    <t>Cosmic Sun - CS_GWM_005</t>
  </si>
  <si>
    <t>Gillwell_Tracker.xlsx | Table row 37 | Site De-establisment | Inv Cosmic Sun - CS_GWM_006 | Col ExpenseActualTotal</t>
  </si>
  <si>
    <t>Cosmic Sun - CS_GWM_006</t>
  </si>
  <si>
    <t>Gillwell_Tracker.xlsx | Table row 38 | Handover Document Complete | Inv Cosmic Sun - CS_GWM_007 | Col ExpenseActualTotal</t>
  </si>
  <si>
    <t>Cosmic Sun - CS_GWM_007</t>
  </si>
  <si>
    <t>Gillwell_Tracker.xlsx | Table row 39 | End of Defects Period | Inv Cosmic Sun - CS_GWM_008 | Col ExpenseActualTotal</t>
  </si>
  <si>
    <t>Cosmic Sun - CS_GWM_008</t>
  </si>
  <si>
    <t>Gillwell_Tracker.xlsx | Table row 44 | Smartlogger Krannich  | Inv Krannich - INV 15-10012764 | Col ExpenseActualTotal</t>
  </si>
  <si>
    <t xml:space="preserve">Smartlogger Krannich </t>
  </si>
  <si>
    <t>Gillwell_Tracker.xlsx | Table row 45 | CTs, Meters, Router, Ethernet Switch, Power Supply | Inv Accuenergy - Inv ASAI-005353 | Col ExpenseActualTotal</t>
  </si>
  <si>
    <t>CTs, Meters, Router, Ethernet Switch, Power Supply</t>
  </si>
  <si>
    <t>PO3827-DIP-Ph2-Gill-20250429 - RV Approved</t>
  </si>
  <si>
    <t>Accuenergy - Inv ASAI-005353</t>
  </si>
  <si>
    <t>Gillwell_Tracker.xlsx | Table row 46 |  | Inv Accuenergy - Inv ASAI-005800 | Col ExpenseActualTotal</t>
  </si>
  <si>
    <t>Accuenergy - Inv ASAI-005800</t>
  </si>
  <si>
    <t>Gillwell_Tracker.xlsx | Table row 47 | Techsitter | Inv Matriarch Inv: 4451 | Col ExpenseActualTotal</t>
  </si>
  <si>
    <t>Gillwell_Tracker.xlsx | Table row 48 | APEX Emulator &amp; Licenses | Inv Rubicon INVWCRE-0068579 | Col ExpenseActualTotal</t>
  </si>
  <si>
    <t>APEX Emulator &amp; Licenses</t>
  </si>
  <si>
    <t>PO3971-GILL-20250529 - RV Approved</t>
  </si>
  <si>
    <t>Rubicon INVWCRE-0068579</t>
  </si>
  <si>
    <t>Gillwell_Tracker.xlsx | Table row 49 | UPS | Inv Frontline INV725690 | Col ExpenseActualTotal</t>
  </si>
  <si>
    <t>Gillwell_Tracker.xlsx | Table row 50 | Apex Edge Device | Inv Rubicon INWCRE-0068504 | Col ExpenseActualTotal</t>
  </si>
  <si>
    <t>Apex Edge Device</t>
  </si>
  <si>
    <t>PO3986-DIP-Ph2-Gill-20250609 - RV Approved</t>
  </si>
  <si>
    <t>Rubicon INWCRE-0068504</t>
  </si>
  <si>
    <t>Gillwell_Tracker.xlsx | Table row 54 | PVDB | Inv Switchboard Inv: 2-SOI002100 | Col ExpenseActualTotal</t>
  </si>
  <si>
    <t>PO3872-DIP-Ph2-Gill-20250512 - RV Approved</t>
  </si>
  <si>
    <t>Switchboard Inv: 2-SOI002100</t>
  </si>
  <si>
    <t>Gillwell_Tracker.xlsx | Table row 59 | Project Kick Off | Inv CS_GWM_001 | Col ExpenseActualTotal</t>
  </si>
  <si>
    <t>Gillwell_Tracker.xlsx | Table row 60 | Site Establishment | Inv CS_GWM_002 | Col ExpenseActualTotal</t>
  </si>
  <si>
    <t>Gillwell_Tracker.xlsx | Table row 61 | AC Installation Complete | Inv CS_GWM_004 | Col ExpenseActualTotal</t>
  </si>
  <si>
    <t>Gillwell_Tracker.xlsx | Table row 62 | DC Installation Complete | Inv CS_GWM_003 | Col ExpenseActualTotal</t>
  </si>
  <si>
    <t>Gillwell_Tracker.xlsx | Table row 63 | Commissioning Complete | Inv Cosmic Sun - CS_GWM_005 | Col ExpenseActualTotal</t>
  </si>
  <si>
    <t>Gillwell_Tracker.xlsx | Table row 64 | Site De-establisment | Inv Cosmic Sun - CS_GWM_006 | Col ExpenseActualTotal</t>
  </si>
  <si>
    <t>Gillwell_Tracker.xlsx | Table row 65 | Handover Document Complete | Inv Cosmic Sun - CS_GWM_007 | Col ExpenseActualTotal</t>
  </si>
  <si>
    <t>Gillwell_Tracker.xlsx | Table row 66 | End of Defects Period | Inv Cosmic Sun - CS_GWM_008 | Col ExpenseActualTotal</t>
  </si>
  <si>
    <t>Gillwell_Tracker.xlsx | Table row 80 | Estop | Inv Cosmic Sun - CS_GWM_010 | Col ExpenseActualTotal</t>
  </si>
  <si>
    <t>PO4395-GILL-20251023 - RV Approved</t>
  </si>
  <si>
    <t>Cosmic Sun - CS_GWM_010</t>
  </si>
  <si>
    <t>Gillwell_Tracker.xlsx | Table row 82 | Waterpoints | Inv Sizisa Ukhanyo Developments Inv: A0018 | Col ExpenseActualTotal</t>
  </si>
  <si>
    <t>PO4317-GILL-20250916 - RV Approved</t>
  </si>
  <si>
    <t>Sizisa Ukhanyo Developments Inv: A0018</t>
  </si>
  <si>
    <t>Gillwell_Tracker.xlsx | Table row 84 | Inverter Cage Modification  | Inv The Engineering Hub INV/2026/01/0250 | Col ExpenseActualTotal</t>
  </si>
  <si>
    <t xml:space="preserve">Inverter Cage Modification </t>
  </si>
  <si>
    <t>PO4575-DIP2GILL-20260126 - RV Approved</t>
  </si>
  <si>
    <t>The Engineering Hub INV/2026/01/0250</t>
  </si>
  <si>
    <t>Gillwell_Tracker.xlsx | Table row 85 | Inverter Cage | Inv The Engineering Hub INV/2025/06/0578 | Col ExpenseActualTotal</t>
  </si>
  <si>
    <t>Inverter Cage</t>
  </si>
  <si>
    <t>PO3979-GILL-20250603 - RV Approved</t>
  </si>
  <si>
    <t>The Engineering Hub INV/2025/06/0578</t>
  </si>
  <si>
    <t>Gillwell_Tracker.xlsx | Table row 86 | Longi 610w panels (replacement - damaged by installer) - VO | Inv Krannich - INV 15-10013984 | Col ExpenseActualTotal</t>
  </si>
  <si>
    <t>Longi 610w panels (replacement - damaged by installer) - VO</t>
  </si>
  <si>
    <t>Krannich - INV 15-10013984</t>
  </si>
  <si>
    <t>Gillwell_Tracker.xlsx | Table row 87 | CS payment for broken panels - VO | Inv Emergent Invoice: 004910 | Col ExpenseActualTotal</t>
  </si>
  <si>
    <t>CS payment for broken panels - VO</t>
  </si>
  <si>
    <t>Emergent Invoice: 004910</t>
  </si>
  <si>
    <t>Gillwell_Tracker.xlsx | Table row 90 | Project Kick Off | Inv CS_GWM_001 | Col ExpenseActualTotal</t>
  </si>
  <si>
    <t>Gillwell_Tracker.xlsx | Table row 91 | Site Establishment | Inv CS_GWM_002 | Col ExpenseActualTotal</t>
  </si>
  <si>
    <t>Gillwell_Tracker.xlsx | Table row 92 | AC Installation Complete | Inv CS_GWM_004 | Col ExpenseActualTotal</t>
  </si>
  <si>
    <t>Gillwell_Tracker.xlsx | Table row 93 | DC Installation Complete | Inv CS_GWM_003 | Col ExpenseActualTotal</t>
  </si>
  <si>
    <t>Gillwell_Tracker.xlsx | Table row 94 | Commissioning Complete | Inv Cosmic Sun - CS_GWM_005 | Col ExpenseActualTotal</t>
  </si>
  <si>
    <t>Gillwell_Tracker.xlsx | Table row 95 | Site De-establisment | Inv Cosmic Sun - CS_GWM_006 | Col ExpenseActualTotal</t>
  </si>
  <si>
    <t>Gillwell_Tracker.xlsx | Table row 96 | Handover Document Complete | Inv Cosmic Sun - CS_GWM_007 | Col ExpenseActualTotal</t>
  </si>
  <si>
    <t>Gillwell_Tracker.xlsx | Table row 97 | End of Defects Period | Inv Cosmic Sun - CS_GWM_008 | Col ExpenseActualTotal</t>
  </si>
  <si>
    <t>Gillwell_Tracker.xlsx | Table row 106 | Project Kick Off | Inv CS_GWM_001 | Col ExpenseActualTotal</t>
  </si>
  <si>
    <t>Gillwell_Tracker.xlsx | Table row 107 | Site Establishment | Inv CS_GWM_002 | Col ExpenseActualTotal</t>
  </si>
  <si>
    <t>Gillwell_Tracker.xlsx | Table row 108 | AC Installation Complete | Inv CS_GWM_004 | Col ExpenseActualTotal</t>
  </si>
  <si>
    <t>Gillwell_Tracker.xlsx | Table row 109 | DC Installation Complete | Inv CS_GWM_003 | Col ExpenseActualTotal</t>
  </si>
  <si>
    <t>Gillwell_Tracker.xlsx | Table row 110 | Commissioning Complete | Inv Cosmic Sun - CS_GWM_005 | Col ExpenseActualTotal</t>
  </si>
  <si>
    <t>Gillwell_Tracker.xlsx | Table row 111 | Site De-establisment | Inv Cosmic Sun - CS_GWM_006 | Col ExpenseActualTotal</t>
  </si>
  <si>
    <t>Gillwell_Tracker.xlsx | Table row 112 | Handover Document Complete | Inv Cosmic Sun - CS_GWM_007 | Col ExpenseActualTotal</t>
  </si>
  <si>
    <t>Gillwell_Tracker.xlsx | Table row 113 | End of Defects Period | Inv Cosmic Sun - CS_GWM_008 | Col ExpenseActualTotal</t>
  </si>
  <si>
    <t>Gillwell_Tracker.xlsx | Table row 118 | Electrical PrEng sign off | Inv Sunspot E027 | Col ExpenseActualTotal</t>
  </si>
  <si>
    <t>Sunspot E027</t>
  </si>
  <si>
    <t>Gillwell_Tracker.xlsx | Table row 119 | Structural Sign Off | Inv L&amp;B Consulting - Invoice 1934 | Col ExpenseActualTotal</t>
  </si>
  <si>
    <t>Gillwell_Tracker.xlsx | Table row 120 | Grid Study | Inv Okusha Engineering Inv EE13 | Col ExpenseActualTotal</t>
  </si>
  <si>
    <t>PO3813-GILL-20250417 - RV Approved</t>
  </si>
  <si>
    <t>Okusha Engineering Inv EE13</t>
  </si>
  <si>
    <t>Gillwell_Tracker.xlsx | Table row 121 | Red Team Inspection | Inv Matriarch - INV-4987 | Col ExpenseActualTotal</t>
  </si>
  <si>
    <t>Gillwell_Tracker.xlsx | Table row 127 | Matriarch Defects Period - 1.25% | Inv Matriarch - INV-4987 | Col ExpenseActualTotal</t>
  </si>
  <si>
    <t>Gillwell_Tracker.xlsx | Table row 128 | Management | Inv  | Col ExpenseActualTotal</t>
  </si>
  <si>
    <t>Gillwell_Tracker.xlsx | Table row 129 | Project manager  | Inv  | Col ExpenseActualTotal</t>
  </si>
  <si>
    <t>Gillwell_Tracker.xlsx | Table row 130 | Planner time | Inv  | Col ExpenseActualTotal</t>
  </si>
  <si>
    <t>Gillwell_Tracker.xlsx | Table row 131 | De Snagging | Inv  | Col ExpenseActualTotal</t>
  </si>
  <si>
    <t>Gillwell_Tracker.xlsx | Table row 134 | Travel | Inv  | Col ExpenseActualTotal</t>
  </si>
  <si>
    <t>Gillwell_Tracker.xlsx | Table row 135 | Travel | Inv  | Col ExpenseActualTotal</t>
  </si>
  <si>
    <t>Gillwell_Tracker.xlsx | Table row 136 | Travel | Inv Expense Claim | Col ExpenseActualTotal</t>
  </si>
  <si>
    <t>Gillwell_Tracker.xlsx | Table row 137 | Travel | Inv Expense Claim | Col ExpenseActualTotal</t>
  </si>
  <si>
    <t>Gillwell_Tracker.xlsx | Table row 138 | Travel | Inv Expense Claim | Col ExpenseActualTotal</t>
  </si>
  <si>
    <t>Gillwell_Tracker.xlsx | Table row 139 | Travel | Inv Expense Claim | Col ExpenseActualTotal</t>
  </si>
  <si>
    <t>Gillwell_Tracker.xlsx | Table row 140 | Travel | Inv Expense Claim | Col ExpenseActualTotal</t>
  </si>
  <si>
    <t>Gillwell_Tracker.xlsx | Table row 141 | Travel | Inv Expense Claim | Col ExpenseActualTotal</t>
  </si>
  <si>
    <t>Gillwell_Tracker.xlsx | Table row 142 | Travel | Inv Expense Claim | Col ExpenseActualTotal</t>
  </si>
  <si>
    <t>Gillwell_Tracker.xlsx | Table row 143 | Travel | Inv  | Col ExpenseActualTotal</t>
  </si>
  <si>
    <t>Gillwell_Tracker.xlsx | Table row 147 | Welcome Bonus - Site Establishment | Inv Gillwell Taxi - 23397/202506/274841/I | Col ExpenseActualTotal</t>
  </si>
  <si>
    <t>Gillwell Taxi - 23397/202506/274841/I</t>
  </si>
  <si>
    <t>Gillwell_Tracker.xlsx | Table row 148 | Welcome Bonus - Commissioning Complete | Inv Gillwell Taxi - 23397/202506/274841/I | Col ExpenseActualTotal</t>
  </si>
  <si>
    <t>Welcome Bonus - Commissioning Complete</t>
  </si>
  <si>
    <t>Gillwell_Tracker.xlsx | Table row 150 | Community Engagement | Inv  | Col ExpenseActualTotal</t>
  </si>
  <si>
    <t>Gillwell_Tracker.xlsx | Table row 151 | Cosmic Sun - Establishment and Re-establishment - VO | Inv Cosmic Sun - CS_GWM_009 | Col ExpenseActualTotal</t>
  </si>
  <si>
    <t>Cosmic Sun - Establishment and Re-establishment - VO</t>
  </si>
  <si>
    <t>Cosmic Sun - CS_GWM_009</t>
  </si>
  <si>
    <t>Hungry Lion_Citrusdal_Tracker.xlsx | Table row 6 | Longi 610W - Krannich | Inv Krannich 15-10014209 | Col ExpenseActualTotal</t>
  </si>
  <si>
    <t>Longi 610W - Krannich</t>
  </si>
  <si>
    <t>Krannich 15-10014209</t>
  </si>
  <si>
    <t>Hungry Lion_Citrusdal_Tracker.xlsx | Table row 7 |  | Inv  | Col ExpenseActualTotal</t>
  </si>
  <si>
    <t>Hungry Lion_Citrusdal_Tracker.xlsx | Table row 8 | EPR Fees | Inv Krannich 15-10014209 | Col ExpenseActualTotal</t>
  </si>
  <si>
    <t>Hungry Lion_Citrusdal_Tracker.xlsx | Table row 9 | Longi 610 to stock - reduction in scope | Inv Allocated to Cpt Storeroom | Col ExpenseActualTotal</t>
  </si>
  <si>
    <t>Longi 610 to stock - reduction in scope</t>
  </si>
  <si>
    <t>Allocated to Cpt Storeroom</t>
  </si>
  <si>
    <t>Hungry Lion_Citrusdal_Tracker.xlsx | Table row 10 | Delivery Fee | Inv Krannich 17-01001217 | Col ExpenseActualTotal</t>
  </si>
  <si>
    <t>Krannich 17-01001217</t>
  </si>
  <si>
    <t>Hungry Lion_Citrusdal_Tracker.xlsx | Table row 14 | Huawei 100KTL | Inv Krannich 15-10014209 | Col ExpenseActualTotal</t>
  </si>
  <si>
    <t>Hungry Lion_Citrusdal_Tracker.xlsx | Table row 22 | Schletter Structure | Inv Schletter INV2383 | Col ExpenseActualTotal</t>
  </si>
  <si>
    <t>Schletter INV2383</t>
  </si>
  <si>
    <t>Hungry Lion_Citrusdal_Tracker.xlsx | Table row 23 | Additional Structures | Inv Schletter INV2383 | Col ExpenseActualTotal</t>
  </si>
  <si>
    <t>Additional Structures</t>
  </si>
  <si>
    <t>Hungry Lion_Citrusdal_Tracker.xlsx | Table row 30 | DC Cable - stock CPT | Inv Allocated from Cpt Storeroom | Col ExpenseActualTotal</t>
  </si>
  <si>
    <t>DC Cable - stock CPT</t>
  </si>
  <si>
    <t>Hungry Lion_Citrusdal_Tracker.xlsx | Table row 31 | DC Cable - Stock CPT Red | Inv Allocated from Cpt Storeroom | Col ExpenseActualTotal</t>
  </si>
  <si>
    <t>DC Cable - Stock CPT Red</t>
  </si>
  <si>
    <t>Hungry Lion_Citrusdal_Tracker.xlsx | Table row 34 | Project Kick Off | Inv JA Electrical Inv 1108 | Col ExpenseActualTotal</t>
  </si>
  <si>
    <t>PO4379-HLCD-20251017 - RV Approved</t>
  </si>
  <si>
    <t>JA Electrical Inv 1108</t>
  </si>
  <si>
    <t>Hungry Lion_Citrusdal_Tracker.xlsx | Table row 35 | Site Establishment | Inv JA Electrical Inv 1118 | Col ExpenseActualTotal</t>
  </si>
  <si>
    <t>JA Electrical Inv 1118</t>
  </si>
  <si>
    <t>Hungry Lion_Citrusdal_Tracker.xlsx | Table row 36 | AC Installation Complete | Inv JA Electrical Inv 1125 | Col ExpenseActualTotal</t>
  </si>
  <si>
    <t>JA Electrical Inv 1125</t>
  </si>
  <si>
    <t>Hungry Lion_Citrusdal_Tracker.xlsx | Table row 37 | AC Installation Complete | Inv JA Electrical Inv 1141 | Col ExpenseActualTotal</t>
  </si>
  <si>
    <t>JA Electrical Inv 1141</t>
  </si>
  <si>
    <t>Hungry Lion_Citrusdal_Tracker.xlsx | Table row 38 | DC Installation Complete | Inv JA Electrical Inv 1125 | Col ExpenseActualTotal</t>
  </si>
  <si>
    <t>Hungry Lion_Citrusdal_Tracker.xlsx | Table row 39 | DC Installation Complete | Inv JA Electrical Inv 1130 | Col ExpenseActualTotal</t>
  </si>
  <si>
    <t>JA Electrical Inv 1130</t>
  </si>
  <si>
    <t>Hungry Lion_Citrusdal_Tracker.xlsx | Table row 40 | Commissioning Complete | Inv JA Electrical Inv 1137 | Col ExpenseActualTotal</t>
  </si>
  <si>
    <t>JA Electrical Inv 1137</t>
  </si>
  <si>
    <t>Hungry Lion_Citrusdal_Tracker.xlsx | Table row 41 | Site De-establisment | Inv JA Electrical Inv 1138 | Col ExpenseActualTotal</t>
  </si>
  <si>
    <t>JA Electrical Inv 1138</t>
  </si>
  <si>
    <t>Hungry Lion_Citrusdal_Tracker.xlsx | Table row 42 | Handover Document Complete | Inv JA Electrical Inv 1139 | Col ExpenseActualTotal</t>
  </si>
  <si>
    <t>JA Electrical Inv 1139</t>
  </si>
  <si>
    <t>Hungry Lion_Citrusdal_Tracker.xlsx | Table row 43 | End of Defects Period | Inv JA Electrical Inv 1140 | Col ExpenseActualTotal</t>
  </si>
  <si>
    <t>JA Electrical Inv 1140</t>
  </si>
  <si>
    <t>Hungry Lion_Citrusdal_Tracker.xlsx | Table row 48 | Smartlogger | Inv Menlo INV0003384 | Col ExpenseActualTotal</t>
  </si>
  <si>
    <t>Menlo INV0003384</t>
  </si>
  <si>
    <t>Hungry Lion_Citrusdal_Tracker.xlsx | Table row 49 | Transport | Inv Menlo INV0003384 | Col ExpenseActualTotal</t>
  </si>
  <si>
    <t>Hungry Lion_Citrusdal_Tracker.xlsx | Table row 50 | CTs &amp; Meters | Inv AccuEnergy ASAI-006654 | Col ExpenseActualTotal</t>
  </si>
  <si>
    <t>PO4370-HLCD-20251015 - RV Approved</t>
  </si>
  <si>
    <t>AccuEnergy ASAI-006654</t>
  </si>
  <si>
    <t>Hungry Lion_Citrusdal_Tracker.xlsx | Table row 51 | Techsitter | Inv Matriarch Inv: 5366 | Col ExpenseActualTotal</t>
  </si>
  <si>
    <t>Matriarch Inv: 5366</t>
  </si>
  <si>
    <t>Hungry Lion_Citrusdal_Tracker.xlsx | Table row 52 | Delivery of Techsitter  | Inv DSV Inv:180153158 | Col ExpenseActualTotal</t>
  </si>
  <si>
    <t xml:space="preserve">Delivery of Techsitter </t>
  </si>
  <si>
    <t>DSV Inv:180153158</t>
  </si>
  <si>
    <t>Hungry Lion_Citrusdal_Tracker.xlsx | Table row 53 | Battery  | Inv Red Pole - SO-35912 | Col ExpenseActualTotal</t>
  </si>
  <si>
    <t>Hungry Lion_Citrusdal_Tracker.xlsx | Table row 54 | Delivery of Comms Equip | Inv Uber | Col ExpenseActualTotal</t>
  </si>
  <si>
    <t>Delivery of Comms Equip</t>
  </si>
  <si>
    <t>Uber</t>
  </si>
  <si>
    <t>Hungry Lion_Citrusdal_Tracker.xlsx | Table row 55 |  | Inv Uber | Col ExpenseActualTotal</t>
  </si>
  <si>
    <t>Hungry Lion_Citrusdal_Tracker.xlsx | Table row 56 | Power Supply | Inv Allocated from Cpt Storeroom | Col ExpenseActualTotal</t>
  </si>
  <si>
    <t>Hungry Lion_Citrusdal_Tracker.xlsx | Table row 60 | PVDB | Inv Switchboard 2-SOI002609 | Col ExpenseActualTotal</t>
  </si>
  <si>
    <t>PO4327-HLCD-20250925 - MI Approved</t>
  </si>
  <si>
    <t>Switchboard 2-SOI002609</t>
  </si>
  <si>
    <t>Hungry Lion_Citrusdal_Tracker.xlsx | Table row 65 | Project Kick Off | Inv JA Electrical Inv 1108 | Col ExpenseActualTotal</t>
  </si>
  <si>
    <t>Hungry Lion_Citrusdal_Tracker.xlsx | Table row 66 | Site Establishment | Inv JA Electrical Inv 1118 | Col ExpenseActualTotal</t>
  </si>
  <si>
    <t>Hungry Lion_Citrusdal_Tracker.xlsx | Table row 67 | AC Installation Complete | Inv JA Electrical Inv 1125 | Col ExpenseActualTotal</t>
  </si>
  <si>
    <t>Hungry Lion_Citrusdal_Tracker.xlsx | Table row 68 | AC Installation Complete | Inv JA Electrical Inv 1141 | Col ExpenseActualTotal</t>
  </si>
  <si>
    <t>Hungry Lion_Citrusdal_Tracker.xlsx | Table row 69 | DC Installation Complete | Inv JA Electrical Inv 1125 | Col ExpenseActualTotal</t>
  </si>
  <si>
    <t>Hungry Lion_Citrusdal_Tracker.xlsx | Table row 70 | DC Installation Complete | Inv JA Electrical Inv 1130 | Col ExpenseActualTotal</t>
  </si>
  <si>
    <t>Hungry Lion_Citrusdal_Tracker.xlsx | Table row 71 | Commissioning Complete | Inv JA Electrical Inv 1137 | Col ExpenseActualTotal</t>
  </si>
  <si>
    <t>Hungry Lion_Citrusdal_Tracker.xlsx | Table row 72 | Site De-establisment | Inv JA Electrical Inv 1138 | Col ExpenseActualTotal</t>
  </si>
  <si>
    <t>Hungry Lion_Citrusdal_Tracker.xlsx | Table row 73 | Handover Document Complete | Inv JA Electrical Inv 1139 | Col ExpenseActualTotal</t>
  </si>
  <si>
    <t>Hungry Lion_Citrusdal_Tracker.xlsx | Table row 74 | End of Defects Period | Inv JA Electrical Inv 1140 | Col ExpenseActualTotal</t>
  </si>
  <si>
    <t>Hungry Lion_Citrusdal_Tracker.xlsx | Table row 89 | Inverter Cage | Inv Barrier Projects : 507 | Col ExpenseActualTotal</t>
  </si>
  <si>
    <t>PO4359-HLCD-20251007 - RV Approved</t>
  </si>
  <si>
    <t>Barrier Projects : 507</t>
  </si>
  <si>
    <t>Hungry Lion_Citrusdal_Tracker.xlsx | Table row 90 |  | Inv Barrier Projects : 507 | Col ExpenseActualTotal</t>
  </si>
  <si>
    <t>Hungry Lion_Citrusdal_Tracker.xlsx | Table row 91 |  | Inv Barrier Projects Credit : 507 | Col ExpenseActualTotal</t>
  </si>
  <si>
    <t>Barrier Projects Credit : 507</t>
  </si>
  <si>
    <t>Hungry Lion_Citrusdal_Tracker.xlsx | Table row 92 |  | Inv Barrier Projects : 507 | Col ExpenseActualTotal</t>
  </si>
  <si>
    <t>Hungry Lion_Citrusdal_Tracker.xlsx | Table row 99 | Project Kick Off | Inv JA Electrical Inv 1108 | Col ExpenseActualTotal</t>
  </si>
  <si>
    <t>Hungry Lion_Citrusdal_Tracker.xlsx | Table row 100 | Site Establishment | Inv JA Electrical Inv 1118 | Col ExpenseActualTotal</t>
  </si>
  <si>
    <t>Hungry Lion_Citrusdal_Tracker.xlsx | Table row 101 | AC Installation Complete | Inv JA Electrical Inv 1125 | Col ExpenseActualTotal</t>
  </si>
  <si>
    <t>Hungry Lion_Citrusdal_Tracker.xlsx | Table row 102 | AC Installation Complete | Inv JA Electrical Inv 1141 | Col ExpenseActualTotal</t>
  </si>
  <si>
    <t>Hungry Lion_Citrusdal_Tracker.xlsx | Table row 103 | DC Installation Complete | Inv JA Electrical Inv 1125 | Col ExpenseActualTotal</t>
  </si>
  <si>
    <t>Hungry Lion_Citrusdal_Tracker.xlsx | Table row 104 | DC Installation Complete | Inv JA Electrical Inv 1130 | Col ExpenseActualTotal</t>
  </si>
  <si>
    <t>Hungry Lion_Citrusdal_Tracker.xlsx | Table row 105 | Commissioning Complete | Inv JA Electrical Inv 1137 | Col ExpenseActualTotal</t>
  </si>
  <si>
    <t>Hungry Lion_Citrusdal_Tracker.xlsx | Table row 106 | Site De-establisment | Inv JA Electrical Inv 1138 | Col ExpenseActualTotal</t>
  </si>
  <si>
    <t>Hungry Lion_Citrusdal_Tracker.xlsx | Table row 107 | Handover Document Complete | Inv JA Electrical Inv 1139 | Col ExpenseActualTotal</t>
  </si>
  <si>
    <t>Hungry Lion_Citrusdal_Tracker.xlsx | Table row 108 | End of Defects Period | Inv JA Electrical Inv 1140 | Col ExpenseActualTotal</t>
  </si>
  <si>
    <t>Hungry Lion_Citrusdal_Tracker.xlsx | Table row 113 | Security | Inv HP Security Inv 3951 | Col ExpenseActualTotal</t>
  </si>
  <si>
    <t>PO4486-HLCD-20251124 - RV Approved</t>
  </si>
  <si>
    <t>HP Security Inv 3951</t>
  </si>
  <si>
    <t>Hungry Lion_Citrusdal_Tracker.xlsx | Table row 117 | Project Kick Off | Inv JA Electrical Inv 1108 | Col ExpenseActualTotal</t>
  </si>
  <si>
    <t>Hungry Lion_Citrusdal_Tracker.xlsx | Table row 118 | Site Establishment | Inv JA Electrical Inv 1118 | Col ExpenseActualTotal</t>
  </si>
  <si>
    <t>Hungry Lion_Citrusdal_Tracker.xlsx | Table row 119 | AC Installation Complete | Inv JA Electrical Inv 1125 | Col ExpenseActualTotal</t>
  </si>
  <si>
    <t>Hungry Lion_Citrusdal_Tracker.xlsx | Table row 120 | AC Installation Complete | Inv JA Electrical Inv 1141 | Col ExpenseActualTotal</t>
  </si>
  <si>
    <t>Hungry Lion_Citrusdal_Tracker.xlsx | Table row 121 | DC Installation Complete | Inv JA Electrical Inv 1125 | Col ExpenseActualTotal</t>
  </si>
  <si>
    <t>Hungry Lion_Citrusdal_Tracker.xlsx | Table row 122 | DC Installation Complete | Inv JA Electrical Inv 1130 | Col ExpenseActualTotal</t>
  </si>
  <si>
    <t>Hungry Lion_Citrusdal_Tracker.xlsx | Table row 123 | Commissioning Complete | Inv JA Electrical Inv 1137 | Col ExpenseActualTotal</t>
  </si>
  <si>
    <t>Hungry Lion_Citrusdal_Tracker.xlsx | Table row 124 | Site De-establisment | Inv JA Electrical Inv 1138 | Col ExpenseActualTotal</t>
  </si>
  <si>
    <t>Hungry Lion_Citrusdal_Tracker.xlsx | Table row 125 | Handover Document Complete | Inv JA Electrical Inv 1139 | Col ExpenseActualTotal</t>
  </si>
  <si>
    <t>Hungry Lion_Citrusdal_Tracker.xlsx | Table row 126 | End of Defects Period | Inv JA Electrical Inv 1140 | Col ExpenseActualTotal</t>
  </si>
  <si>
    <t>Hungry Lion_Citrusdal_Tracker.xlsx | Table row 131 | Electrical PrEng sign off | Inv SunSpot - E034 | Col ExpenseActualTotal</t>
  </si>
  <si>
    <t>SunSpot - E034</t>
  </si>
  <si>
    <t>Hungry Lion_Citrusdal_Tracker.xlsx | Table row 132 | Structural Sign Off | Inv  | Col ExpenseActualTotal</t>
  </si>
  <si>
    <t>Hungry Lion_Citrusdal_Tracker.xlsx | Table row 134 | Red Team Inspection | Inv Matriarch - INV-5975 | Col ExpenseActualTotal</t>
  </si>
  <si>
    <t>Hungry Lion_Citrusdal_Tracker.xlsx | Table row 137 | PD Fee | Inv  | Col ExpenseActualTotal</t>
  </si>
  <si>
    <t>Hungry Lion_Citrusdal_Tracker.xlsx | Table row 140 | Matriarch Defects Period - 1.25% | Inv Matriarch - INV-6234 | Col ExpenseActualTotal</t>
  </si>
  <si>
    <t>Matriarch - INV-6234</t>
  </si>
  <si>
    <t>Hungry Lion_Citrusdal_Tracker.xlsx | Table row 142 | Project manager  | Inv  | Col ExpenseActualTotal</t>
  </si>
  <si>
    <t>Hungry Lion_Citrusdal_Tracker.xlsx | Table row 143 | Planner time | Inv  | Col ExpenseActualTotal</t>
  </si>
  <si>
    <t>Hungry Lion_Citrusdal_Tracker.xlsx | Table row 144 | De Snagging | Inv  | Col ExpenseActualTotal</t>
  </si>
  <si>
    <t>Hungry Lion_Citrusdal_Tracker.xlsx | Table row 148 | Travel | Inv Expense Claim | Col ExpenseActualTotal</t>
  </si>
  <si>
    <t>Hungry Lion_Citrusdal_Tracker.xlsx | Table row 149 | Travel | Inv Expense Claim | Col ExpenseActualTotal</t>
  </si>
  <si>
    <t>Hungry Lion_Citrusdal_Tracker.xlsx | Table row 150 | Travel | Inv Expense Claim | Col ExpenseActualTotal</t>
  </si>
  <si>
    <t>Hungry Lion_Citrusdal_Tracker.xlsx | Table row 162 | Domestic Transport  | Inv ABL Transport - 0217 | Col ExpenseActualTotal</t>
  </si>
  <si>
    <t xml:space="preserve">Domestic Transport </t>
  </si>
  <si>
    <t>ABL Transport - 0217</t>
  </si>
  <si>
    <t>IconsSA_KZN_Tracker.xlsx | Table row 6 | Jinko 620W modules - 66HL4M-BDV - Menlo | Inv Menlo INV0003176 | Col ExpenseActualTotal</t>
  </si>
  <si>
    <t>Jinko 620W modules - 66HL4M-BDV - Menlo</t>
  </si>
  <si>
    <t>PO4273-IKZN-20250825 - RV Approved</t>
  </si>
  <si>
    <t>Menlo INV0003176</t>
  </si>
  <si>
    <t>IconsSA_KZN_Tracker.xlsx | Table row 7 | Delivery | Inv Menlo INV0003176 | Col ExpenseActualTotal</t>
  </si>
  <si>
    <t>IconsSA_KZN_Tracker.xlsx | Table row 13 | Huawei 36KTL - Menlo | Inv Menlo INV003176 | Col ExpenseActualTotal</t>
  </si>
  <si>
    <t>Huawei 36KTL - Menlo</t>
  </si>
  <si>
    <t>Menlo INV003176</t>
  </si>
  <si>
    <t>IconsSA_KZN_Tracker.xlsx | Table row 21 | Schletter Structure | Inv Schletter Inv: INV2149 | Col ExpenseActualTotal</t>
  </si>
  <si>
    <t>PO4272-IKZN-20250825 - RV Approved</t>
  </si>
  <si>
    <t>Schletter Inv: INV2149</t>
  </si>
  <si>
    <t>IconsSA_KZN_Tracker.xlsx | Table row 22 | Lintels | Inv Precast Structural - IN44436 | Col ExpenseActualTotal</t>
  </si>
  <si>
    <t>PO4293-IKZN-20250902 - RV Approved</t>
  </si>
  <si>
    <t>Precast Structural - IN44436</t>
  </si>
  <si>
    <t>IconsSA_KZN_Tracker.xlsx | Table row 28 | DC Cable - Rubicon | Inv Rubicon - INVWCRE-0070283 | Col ExpenseActualTotal</t>
  </si>
  <si>
    <t>Rubicon - INVWCRE-0070283</t>
  </si>
  <si>
    <t>IconsSA_KZN_Tracker.xlsx | Table row 32 | Project Kick Off | Inv Thula Moya IN04863 | Col ExpenseActualTotal</t>
  </si>
  <si>
    <t>PO4270-IKZN-20250825 - RV Approved</t>
  </si>
  <si>
    <t>Thula Moya IN04863</t>
  </si>
  <si>
    <t>IconsSA_KZN_Tracker.xlsx | Table row 33 | Site Establishment | Inv Thula Moya IN04864 | Col ExpenseActualTotal</t>
  </si>
  <si>
    <t>Thula Moya IN04864</t>
  </si>
  <si>
    <t>IconsSA_KZN_Tracker.xlsx | Table row 34 | AC Installation Complete | Inv Thula Moya IN04865 | Col ExpenseActualTotal</t>
  </si>
  <si>
    <t>Thula Moya IN04865</t>
  </si>
  <si>
    <t>IconsSA_KZN_Tracker.xlsx | Table row 35 | DC Installation Complete | Inv Thula Moya IN04866 | Col ExpenseActualTotal</t>
  </si>
  <si>
    <t>Thula Moya IN04866</t>
  </si>
  <si>
    <t>IconsSA_KZN_Tracker.xlsx | Table row 36 | Commissioning Complete | Inv Thula Moya IN04867 | Col ExpenseActualTotal</t>
  </si>
  <si>
    <t>Thula Moya IN04867</t>
  </si>
  <si>
    <t>IconsSA_KZN_Tracker.xlsx | Table row 37 | Site De-establisment | Inv Thula Moya IN04868 | Col ExpenseActualTotal</t>
  </si>
  <si>
    <t>Thula Moya IN04868</t>
  </si>
  <si>
    <t>IconsSA_KZN_Tracker.xlsx | Table row 38 | Handover Document Complete | Inv Thula Moya IN04869 | Col ExpenseActualTotal</t>
  </si>
  <si>
    <t>Thula Moya IN04869</t>
  </si>
  <si>
    <t>IconsSA_KZN_Tracker.xlsx | Table row 39 | End of Defects Period | Inv Thula Moya IN04870 | Col ExpenseActualTotal</t>
  </si>
  <si>
    <t>Thula Moya IN04870</t>
  </si>
  <si>
    <t>IconsSA_KZN_Tracker.xlsx | Table row 44 | Smartlogger | Inv Menlo INV003176 | Col ExpenseActualTotal</t>
  </si>
  <si>
    <t>IconsSA_KZN_Tracker.xlsx | Table row 45 | CTs &amp; Meters | Inv AccuEnergy ASAI-006226 | Col ExpenseActualTotal</t>
  </si>
  <si>
    <t>PO4271-IKZN-20250825 - RV Approved</t>
  </si>
  <si>
    <t>AccuEnergy ASAI-006226</t>
  </si>
  <si>
    <t>IconsSA_KZN_Tracker.xlsx | Table row 46 | Techsitter | Inv Matriarch - INV-4999 | Col ExpenseActualTotal</t>
  </si>
  <si>
    <t>IconsSA_KZN_Tracker.xlsx | Table row 47 | Apex - Allocated from Corporate Park | Inv Allocated from Corporate PArk | Col ExpenseActualTotal</t>
  </si>
  <si>
    <t>Apex - Allocated from Corporate Park</t>
  </si>
  <si>
    <t>Allocated from Corporate PArk</t>
  </si>
  <si>
    <t>IconsSA_KZN_Tracker.xlsx | Table row 48 | Delivery of Apex &amp; Techsitter + Power Supply | Inv DSV Inv: 180150385 | Col ExpenseActualTotal</t>
  </si>
  <si>
    <t>Delivery of Apex &amp; Techsitter + Power Supply</t>
  </si>
  <si>
    <t>IconsSA_KZN_Tracker.xlsx | Table row 49 | Battery &amp; Power Supply  | Inv Red Pole - SO-35912 | Col ExpenseActualTotal</t>
  </si>
  <si>
    <t xml:space="preserve">Battery &amp; Power Supply </t>
  </si>
  <si>
    <t>IconsSA_KZN_Tracker.xlsx | Table row 50 | Battery &amp; Power Supply  | Inv Allocated from Cpt Storeroom | Col ExpenseActualTotal</t>
  </si>
  <si>
    <t>IconsSA_KZN_Tracker.xlsx | Table row 51 | Antenna | Inv Accuenergy - ASAI-006874 | Col ExpenseActualTotal</t>
  </si>
  <si>
    <t>Antenna</t>
  </si>
  <si>
    <t>PO4472-IKZN-20251114 - RV Approved</t>
  </si>
  <si>
    <t>Accuenergy - ASAI-006874</t>
  </si>
  <si>
    <t>IconsSA_KZN_Tracker.xlsx | Table row 59 | Project Kick Off | Inv Thula Moya IN04863 | Col ExpenseActualTotal</t>
  </si>
  <si>
    <t>IconsSA_KZN_Tracker.xlsx | Table row 60 | Site Establishment | Inv Thula Moya IN04864 | Col ExpenseActualTotal</t>
  </si>
  <si>
    <t>IconsSA_KZN_Tracker.xlsx | Table row 61 | AC Installation Complete | Inv Thula Moya IN04865 | Col ExpenseActualTotal</t>
  </si>
  <si>
    <t>IconsSA_KZN_Tracker.xlsx | Table row 62 | DC Installation Complete | Inv Thula Moya IN04866 | Col ExpenseActualTotal</t>
  </si>
  <si>
    <t>IconsSA_KZN_Tracker.xlsx | Table row 63 | Commissioning Complete | Inv Thula Moya IN04867 | Col ExpenseActualTotal</t>
  </si>
  <si>
    <t>IconsSA_KZN_Tracker.xlsx | Table row 64 | Site De-establisment | Inv Thula Moya IN04868 | Col ExpenseActualTotal</t>
  </si>
  <si>
    <t>IconsSA_KZN_Tracker.xlsx | Table row 65 | Handover Document Complete | Inv Thula Moya IN04869 | Col ExpenseActualTotal</t>
  </si>
  <si>
    <t>IconsSA_KZN_Tracker.xlsx | Table row 66 | End of Defects Period | Inv Thula Moya IN04870 | Col ExpenseActualTotal</t>
  </si>
  <si>
    <t>IconsSA_KZN_Tracker.xlsx | Table row 91 | Project Kick Off | Inv Thula Moya IN04863 | Col ExpenseActualTotal</t>
  </si>
  <si>
    <t>IconsSA_KZN_Tracker.xlsx | Table row 92 | Site Establishment | Inv Thula Moya IN04864 | Col ExpenseActualTotal</t>
  </si>
  <si>
    <t>IconsSA_KZN_Tracker.xlsx | Table row 93 | AC Installation Complete | Inv Thula Moya IN04921 | Col ExpenseActualTotal</t>
  </si>
  <si>
    <t>Thula Moya IN04921</t>
  </si>
  <si>
    <t>IconsSA_KZN_Tracker.xlsx | Table row 94 | DC Installation Complete | Inv Thula Moya IN04921 | Col ExpenseActualTotal</t>
  </si>
  <si>
    <t>IconsSA_KZN_Tracker.xlsx | Table row 95 | Commissioning Complete | Inv Thula Moya IN04921 | Col ExpenseActualTotal</t>
  </si>
  <si>
    <t>IconsSA_KZN_Tracker.xlsx | Table row 96 | Site De-establisment | Inv Thula Moya IN04921 | Col ExpenseActualTotal</t>
  </si>
  <si>
    <t>IconsSA_KZN_Tracker.xlsx | Table row 97 | Handover Document Complete | Inv Thula Moya IN04921 | Col ExpenseActualTotal</t>
  </si>
  <si>
    <t>IconsSA_KZN_Tracker.xlsx | Table row 98 | End of Defects Period | Inv Thula Moya IN04921 | Col ExpenseActualTotal</t>
  </si>
  <si>
    <t>IconsSA_KZN_Tracker.xlsx | Table row 104 | Security | Inv Excellerate Inv 442934 | Col ExpenseActualTotal</t>
  </si>
  <si>
    <t>PO42788-IKZN-20250828 - RV Approved</t>
  </si>
  <si>
    <t>Excellerate Inv 442934</t>
  </si>
  <si>
    <t>IconsSA_KZN_Tracker.xlsx | Table row 107 | Project Kick Off | Inv Thula Moya IN04863 | Col ExpenseActualTotal</t>
  </si>
  <si>
    <t>IconsSA_KZN_Tracker.xlsx | Table row 108 | Site Establishment | Inv Thula Moya IN04864 | Col ExpenseActualTotal</t>
  </si>
  <si>
    <t>IconsSA_KZN_Tracker.xlsx | Table row 109 | AC Installation Complete | Inv Thula Moya IN04865 | Col ExpenseActualTotal</t>
  </si>
  <si>
    <t>IconsSA_KZN_Tracker.xlsx | Table row 110 | DC Installation Complete | Inv Thula Moya IN04866 | Col ExpenseActualTotal</t>
  </si>
  <si>
    <t>IconsSA_KZN_Tracker.xlsx | Table row 111 | Commissioning Complete | Inv Thula Moya IN04867 | Col ExpenseActualTotal</t>
  </si>
  <si>
    <t>IconsSA_KZN_Tracker.xlsx | Table row 112 | Site De-establisment | Inv Thula Moya IN04868 | Col ExpenseActualTotal</t>
  </si>
  <si>
    <t>IconsSA_KZN_Tracker.xlsx | Table row 113 | Handover Document Complete | Inv Thula Moya IN04869 | Col ExpenseActualTotal</t>
  </si>
  <si>
    <t>IconsSA_KZN_Tracker.xlsx | Table row 114 | End of Defects Period | Inv Thula Moya IN04870 | Col ExpenseActualTotal</t>
  </si>
  <si>
    <t>IconsSA_KZN_Tracker.xlsx | Table row 119 | Electrical PrEng sign off | Inv SunSpot - E039 | Col ExpenseActualTotal</t>
  </si>
  <si>
    <t>SunSpot - E039</t>
  </si>
  <si>
    <t>IconsSA_KZN_Tracker.xlsx | Table row 120 | Structural Sign Off | Inv  | Col ExpenseActualTotal</t>
  </si>
  <si>
    <t>IconsSA_KZN_Tracker.xlsx | Table row 122 | Red Team Inspection | Inv Matriarch - INV-5370 | Col ExpenseActualTotal</t>
  </si>
  <si>
    <t>Matriarch - INV-5370</t>
  </si>
  <si>
    <t>IconsSA_KZN_Tracker.xlsx | Table row 128 | Matriarch Defects Period - 1.25% | Inv Matriarch - INV-5369 | Col ExpenseActualTotal</t>
  </si>
  <si>
    <t>Matriarch - INV-5369</t>
  </si>
  <si>
    <t>IconsSA_KZN_Tracker.xlsx | Table row 130 | Project manager  | Inv  | Col ExpenseActualTotal</t>
  </si>
  <si>
    <t>IconsSA_KZN_Tracker.xlsx | Table row 131 | Planner time | Inv  | Col ExpenseActualTotal</t>
  </si>
  <si>
    <t>IconsSA_KZN_Tracker.xlsx | Table row 132 | De Snagging | Inv  | Col ExpenseActualTotal</t>
  </si>
  <si>
    <t>IconsSA_KZN_Tracker.xlsx | Table row 135 | Travel | Inv  | Col ExpenseActualTotal</t>
  </si>
  <si>
    <t>IconsSA_KZN_Tracker.xlsx | Table row 136 | Travel | Inv  | Col ExpenseActualTotal</t>
  </si>
  <si>
    <t>IconsSA_KZN_Tracker.xlsx | Table row 137 | Travel | Inv  | Col ExpenseActualTotal</t>
  </si>
  <si>
    <t>IconsSA_KZN_Tracker.xlsx | Table row 138 | Travel | Inv Expense Claim | Col ExpenseActualTotal</t>
  </si>
  <si>
    <t>IconsSA_KZN_Tracker.xlsx | Table row 148 | Courier of Sonnel Meter | Inv DSV Inv: 180154233 | Col ExpenseActualTotal</t>
  </si>
  <si>
    <t>Courier of Sonnel Meter</t>
  </si>
  <si>
    <t>DSV Inv: 180154233</t>
  </si>
  <si>
    <t>Kroonstad_Tracker.xlsx | Table row 6 | Jinko 620W - MENLO | Inv Menlo INV0002963 | Col ExpenseActualTotal</t>
  </si>
  <si>
    <t>Jinko 620W - MENLO</t>
  </si>
  <si>
    <t>PO3904-DIP-PH2-PNP-20250514</t>
  </si>
  <si>
    <t>Menlo INV0002963</t>
  </si>
  <si>
    <t>Kroonstad_Tracker.xlsx | Table row 13 | Huawei 100KTL - MENLO | Inv Menlo INV0002963 | Col ExpenseActualTotal</t>
  </si>
  <si>
    <t>Kroonstad_Tracker.xlsx | Table row 21 | Schletter Structure | Inv Schletter - INV1786 | Col ExpenseActualTotal</t>
  </si>
  <si>
    <t>PO3946-DPK-20250521 - RV Approved</t>
  </si>
  <si>
    <t>Schletter - INV1786</t>
  </si>
  <si>
    <t>Kroonstad_Tracker.xlsx | Table row 22 | Schletter PRO 551 clamps ( stock from PE store) | Inv Allocated from PE Stockroom | Col ExpenseActualTotal</t>
  </si>
  <si>
    <t>Schletter PRO 551 clamps ( stock from PE store)</t>
  </si>
  <si>
    <t>Kroonstad_Tracker.xlsx | Table row 23 | Schletter PRO 551 clamps ( stock from PE store) | Inv Allocated to PE Stockroom | Col ExpenseActualTotal</t>
  </si>
  <si>
    <t>Allocated to PE Stockroom</t>
  </si>
  <si>
    <t>Kroonstad_Tracker.xlsx | Table row 24 | End Clamps | Inv Allocated to PE Stockroom | Col ExpenseActualTotal</t>
  </si>
  <si>
    <t>End Clamps</t>
  </si>
  <si>
    <t>Kroonstad_Tracker.xlsx | Table row 25 | Delivery Fee | Inv DSV Invoice: 180135241 | Col ExpenseActualTotal</t>
  </si>
  <si>
    <t>DSV Invoice: 180135241</t>
  </si>
  <si>
    <t>Kroonstad_Tracker.xlsx | Table row 31 | DC Cable = Menlo | Inv Menlo INV0002963 | Col ExpenseActualTotal</t>
  </si>
  <si>
    <t>DC Cable = Menlo</t>
  </si>
  <si>
    <t>Kroonstad_Tracker.xlsx | Table row 32 | DC Cable = Menlo | Inv Menlo INV0002963 | Col ExpenseActualTotal</t>
  </si>
  <si>
    <t>Kroonstad_Tracker.xlsx | Table row 33 | DC Cable = Menlo _Top Up - VO | Inv Menlo INV0003033 | Col ExpenseActualTotal</t>
  </si>
  <si>
    <t>DC Cable = Menlo _Top Up - VO</t>
  </si>
  <si>
    <t>PO4017-DPK-20250520 - RV Approved</t>
  </si>
  <si>
    <t>Menlo INV0003033</t>
  </si>
  <si>
    <t>Kroonstad_Tracker.xlsx | Table row 35 | Project Kick Off | Inv Cosmic Sun: CS_KRN_001 | Col ExpenseActualTotal</t>
  </si>
  <si>
    <t>PO3879-DPK-20250513 - RV Approved</t>
  </si>
  <si>
    <t>Cosmic Sun: CS_KRN_001</t>
  </si>
  <si>
    <t>Kroonstad_Tracker.xlsx | Table row 36 | Site Establishment | Inv Cosmic Sun: CS_KRN_002 | Col ExpenseActualTotal</t>
  </si>
  <si>
    <t>Cosmic Sun: CS_KRN_002</t>
  </si>
  <si>
    <t>Kroonstad_Tracker.xlsx | Table row 37 | AC Installation Complete | Inv Cosmic Sun: CS_KRN_004 | Col ExpenseActualTotal</t>
  </si>
  <si>
    <t>Cosmic Sun: CS_KRN_004</t>
  </si>
  <si>
    <t>Kroonstad_Tracker.xlsx | Table row 38 | DC Installation Complete | Inv Cosmic Sun: CS_KRN_003 | Col ExpenseActualTotal</t>
  </si>
  <si>
    <t>Cosmic Sun: CS_KRN_003</t>
  </si>
  <si>
    <t>Kroonstad_Tracker.xlsx | Table row 39 | Commissioning Complete | Inv Cosmic Sun: CS_KRN_005 | Col ExpenseActualTotal</t>
  </si>
  <si>
    <t>Cosmic Sun: CS_KRN_005</t>
  </si>
  <si>
    <t>Kroonstad_Tracker.xlsx | Table row 40 | Site De-establisment | Inv Cosmic Sun: CS_KRN_006 | Col ExpenseActualTotal</t>
  </si>
  <si>
    <t>Cosmic Sun: CS_KRN_006</t>
  </si>
  <si>
    <t>Kroonstad_Tracker.xlsx | Table row 41 | Handover Document Complete | Inv Cosmic Sun: CS_KRN_007 | Col ExpenseActualTotal</t>
  </si>
  <si>
    <t>Cosmic Sun: CS_KRN_007</t>
  </si>
  <si>
    <t>Kroonstad_Tracker.xlsx | Table row 42 | End of Defects Period | Inv Cosmic Sun: CS_KRN_008 | Col ExpenseActualTotal</t>
  </si>
  <si>
    <t>Cosmic Sun: CS_KRN_008</t>
  </si>
  <si>
    <t>Kroonstad_Tracker.xlsx | Table row 47 | Smartlogger - Menlo - faulty awaiting RMA | Inv Menlo INV0002933 | Col ExpenseActualTotal</t>
  </si>
  <si>
    <t>Smartlogger - Menlo - faulty awaiting RMA</t>
  </si>
  <si>
    <t>Menlo INV0002933</t>
  </si>
  <si>
    <t>Kroonstad_Tracker.xlsx | Table row 48 |  | Inv Menlo INV0003159 | Col ExpenseActualTotal</t>
  </si>
  <si>
    <t>Menlo INV0003159</t>
  </si>
  <si>
    <t>Kroonstad_Tracker.xlsx | Table row 49 | Smartlogger - Moveto BMG Fluid Tech | Inv Allocated to BMG Fluid Tech | Col ExpenseActualTotal</t>
  </si>
  <si>
    <t>Smartlogger - Moveto BMG Fluid Tech</t>
  </si>
  <si>
    <t>Allocated to BMG Fluid Tech</t>
  </si>
  <si>
    <t>Kroonstad_Tracker.xlsx | Table row 50 | CTs &amp; Meters | Inv Accuenergy - INV ASAI-005361 | Col ExpenseActualTotal</t>
  </si>
  <si>
    <t>PO3835-DIP-Ph2-PnP-20250429 - RV Approved</t>
  </si>
  <si>
    <t>Accuenergy - INV ASAI-005361</t>
  </si>
  <si>
    <t>Kroonstad_Tracker.xlsx | Table row 51 |  | Inv Accuenergy - Inv ASAI-005800 | Col ExpenseActualTotal</t>
  </si>
  <si>
    <t>Kroonstad_Tracker.xlsx | Table row 52 | Techsitter | Inv Matriarch Inv: 4451 | Col ExpenseActualTotal</t>
  </si>
  <si>
    <t>Kroonstad_Tracker.xlsx | Table row 53 | UPS | Inv Frontline INV725690 | Col ExpenseActualTotal</t>
  </si>
  <si>
    <t>Kroonstad_Tracker.xlsx | Table row 59 | PVDB | Inv Switchboard - Inv 2-SOI002093 | Col ExpenseActualTotal</t>
  </si>
  <si>
    <t>PO3884-DIP-Ph2-Kroon-20250513 - RV Approved</t>
  </si>
  <si>
    <t>Switchboard - Inv 2-SOI002093</t>
  </si>
  <si>
    <t>Kroonstad_Tracker.xlsx | Table row 64 | Project Kick Off | Inv Cosmic Sun: CS_KRN_001 | Col ExpenseActualTotal</t>
  </si>
  <si>
    <t>Kroonstad_Tracker.xlsx | Table row 65 | Site Establishment | Inv Cosmic Sun: CS_KRN_002 | Col ExpenseActualTotal</t>
  </si>
  <si>
    <t>Kroonstad_Tracker.xlsx | Table row 66 | AC Installation Complete | Inv Cosmic Sun: CS_KRN_004 | Col ExpenseActualTotal</t>
  </si>
  <si>
    <t>Kroonstad_Tracker.xlsx | Table row 67 | DC Installation Complete | Inv Cosmic Sun: CS_KRN_003 | Col ExpenseActualTotal</t>
  </si>
  <si>
    <t>Kroonstad_Tracker.xlsx | Table row 68 | Commissioning Complete | Inv Cosmic Sun: CS_KRN_005 | Col ExpenseActualTotal</t>
  </si>
  <si>
    <t>Kroonstad_Tracker.xlsx | Table row 69 | Site De-establisment | Inv Cosmic Sun: CS_KRN_006 | Col ExpenseActualTotal</t>
  </si>
  <si>
    <t>Kroonstad_Tracker.xlsx | Table row 70 | Handover Document Complete | Inv Cosmic Sun: CS_KRN_007 | Col ExpenseActualTotal</t>
  </si>
  <si>
    <t>Kroonstad_Tracker.xlsx | Table row 71 | End of Defects Period | Inv Cosmic Sun: CS_KRN_008 | Col ExpenseActualTotal</t>
  </si>
  <si>
    <t>Kroonstad_Tracker.xlsx | Table row 87 | Aircons Supply and Install - Rubycon | Inv Rubycon - RD0710251 | Col ExpenseActualTotal</t>
  </si>
  <si>
    <t>Aircons Supply and Install - Rubycon</t>
  </si>
  <si>
    <t>PO4534-DPK-20251210 - RV Approved</t>
  </si>
  <si>
    <t>Rubycon - RD0710251</t>
  </si>
  <si>
    <t>Kroonstad_Tracker.xlsx | Table row 88 | Burglar Door Added Security | Inv Rubycon - RD1112253 | Col ExpenseActualTotal</t>
  </si>
  <si>
    <t>Burglar Door Added Security</t>
  </si>
  <si>
    <t>PO4355-DPK-20251006 - RV Approved</t>
  </si>
  <si>
    <t>Rubycon - RD1112253</t>
  </si>
  <si>
    <t>Kroonstad_Tracker.xlsx | Table row 89 | Waterpoints | Inv Rubycon - RD2310251 | Col ExpenseActualTotal</t>
  </si>
  <si>
    <t>PO4387-DPK-202510210 - RVApproved</t>
  </si>
  <si>
    <t>Rubycon - RD2310251</t>
  </si>
  <si>
    <t>Kroonstad_Tracker.xlsx | Table row 90 | Delivery of Clamps for Waterpoints | Inv DSV Inv: 180158820 | Col ExpenseActualTotal</t>
  </si>
  <si>
    <t>Delivery of Clamps for Waterpoints</t>
  </si>
  <si>
    <t>DSV Inv: 180158820</t>
  </si>
  <si>
    <t>Kroonstad_Tracker.xlsx | Table row 91 | Clamps | Inv Allocated from Joburg Storeroom | Col ExpenseActualTotal</t>
  </si>
  <si>
    <t>Clamps</t>
  </si>
  <si>
    <t>Allocated from Joburg Storeroom</t>
  </si>
  <si>
    <t>31/01/2025</t>
  </si>
  <si>
    <t>Kroonstad_Tracker.xlsx | Table row 96 | Project Kick Off | Inv Cosmic Sun: CS_KRN_001 | Col ExpenseActualTotal</t>
  </si>
  <si>
    <t>Kroonstad_Tracker.xlsx | Table row 97 | Site Establishment | Inv Cosmic Sun: CS_KRN_002 | Col ExpenseActualTotal</t>
  </si>
  <si>
    <t>Kroonstad_Tracker.xlsx | Table row 98 | AC Installation Complete | Inv Cosmic Sun: CS_KRN_004 | Col ExpenseActualTotal</t>
  </si>
  <si>
    <t>Kroonstad_Tracker.xlsx | Table row 99 | DC Installation Complete | Inv Cosmic Sun: CS_KRN_003 | Col ExpenseActualTotal</t>
  </si>
  <si>
    <t>Kroonstad_Tracker.xlsx | Table row 100 | Commissioning Complete | Inv Cosmic Sun: CS_KRN_005 | Col ExpenseActualTotal</t>
  </si>
  <si>
    <t>Kroonstad_Tracker.xlsx | Table row 101 | Site De-establisment | Inv Cosmic Sun: CS_KRN_006 | Col ExpenseActualTotal</t>
  </si>
  <si>
    <t>Kroonstad_Tracker.xlsx | Table row 102 | Handover Document Complete | Inv Cosmic Sun: CS_KRN_007 | Col ExpenseActualTotal</t>
  </si>
  <si>
    <t>Kroonstad_Tracker.xlsx | Table row 103 | End of Defects Period | Inv Cosmic Sun: CS_KRN_008 | Col ExpenseActualTotal</t>
  </si>
  <si>
    <t>Kroonstad_Tracker.xlsx | Table row 110 | Security - June: Monika Security Services | Inv Monika Security - INV0002664 | Col ExpenseActualTotal</t>
  </si>
  <si>
    <t>Security - June: Monika Security Services</t>
  </si>
  <si>
    <t>PO3984-DPK-20250606 - RV Approved</t>
  </si>
  <si>
    <t>Monika Security - INV0002664</t>
  </si>
  <si>
    <t>Kroonstad_Tracker.xlsx | Table row 117 | Project Kick Off | Inv Cosmic Sun: CS_KRN_001 | Col ExpenseActualTotal</t>
  </si>
  <si>
    <t>Kroonstad_Tracker.xlsx | Table row 118 | Site Establishment | Inv Cosmic Sun: CS_KRN_002 | Col ExpenseActualTotal</t>
  </si>
  <si>
    <t>Kroonstad_Tracker.xlsx | Table row 119 | AC Installation Complete | Inv Cosmic Sun: CS_KRN_004 | Col ExpenseActualTotal</t>
  </si>
  <si>
    <t>Kroonstad_Tracker.xlsx | Table row 120 | DC Installation Complete | Inv Cosmic Sun: CS_KRN_003 | Col ExpenseActualTotal</t>
  </si>
  <si>
    <t>Kroonstad_Tracker.xlsx | Table row 121 | Commissioning Complete | Inv Cosmic Sun: CS_KRN_005 | Col ExpenseActualTotal</t>
  </si>
  <si>
    <t>Kroonstad_Tracker.xlsx | Table row 122 | Site De-establisment | Inv Cosmic Sun: CS_KRN_006 | Col ExpenseActualTotal</t>
  </si>
  <si>
    <t>Kroonstad_Tracker.xlsx | Table row 123 | Handover Document Complete | Inv Cosmic Sun: CS_KRN_007 | Col ExpenseActualTotal</t>
  </si>
  <si>
    <t>Kroonstad_Tracker.xlsx | Table row 124 | End of Defects Period | Inv Cosmic Sun: CS_KRN_008 | Col ExpenseActualTotal</t>
  </si>
  <si>
    <t>Kroonstad_Tracker.xlsx | Table row 129 | Electrical PrEng sign off | Inv Sunspot E027 | Col ExpenseActualTotal</t>
  </si>
  <si>
    <t>Kroonstad_Tracker.xlsx | Table row 130 | Structural Sign Off | Inv  L&amp;B Consulting - Invoice 1934 | Col ExpenseActualTotal</t>
  </si>
  <si>
    <t>Kroonstad_Tracker.xlsx | Table row 132 | Lightning Risk Assessment | Inv LPS Inv: IN306837 | Col ExpenseActualTotal</t>
  </si>
  <si>
    <t>Kroonstad_Tracker.xlsx | Table row 133 | Red Team Inspection | Inv Matriarch - IN-4753 | Col ExpenseActualTotal</t>
  </si>
  <si>
    <t>Matriarch - IN-4753</t>
  </si>
  <si>
    <t>Kroonstad_Tracker.xlsx | Table row 138 | Matriarch Defects Period - 1.25% | Inv Matriarch - INV-4752 | Col ExpenseActualTotal</t>
  </si>
  <si>
    <t>Matriarch - INV-4752</t>
  </si>
  <si>
    <t>Kroonstad_Tracker.xlsx | Table row 139 | Management | Inv  | Col ExpenseActualTotal</t>
  </si>
  <si>
    <t>Kroonstad_Tracker.xlsx | Table row 140 | Project manager  | Inv  | Col ExpenseActualTotal</t>
  </si>
  <si>
    <t>Kroonstad_Tracker.xlsx | Table row 141 | Planner time | Inv  | Col ExpenseActualTotal</t>
  </si>
  <si>
    <t>Kroonstad_Tracker.xlsx | Table row 142 | De Snagging | Inv  | Col ExpenseActualTotal</t>
  </si>
  <si>
    <t>Kroonstad_Tracker.xlsx | Table row 145 | Travel | Inv Site Visit | Col ExpenseActualTotal</t>
  </si>
  <si>
    <t>Kroonstad_Tracker.xlsx | Table row 146 | Travel | Inv  | Col ExpenseActualTotal</t>
  </si>
  <si>
    <t>Kroonstad_Tracker.xlsx | Table row 147 | Travel | Inv Expense Claim | Col ExpenseActualTotal</t>
  </si>
  <si>
    <t>Kroonstad_Tracker.xlsx | Table row 148 | Travel | Inv Expense Claim | Col ExpenseActualTotal</t>
  </si>
  <si>
    <t>Kroonstad_Tracker.xlsx | Table row 149 | Travel | Inv Expense Claim | Col ExpenseActualTotal</t>
  </si>
  <si>
    <t>Kroonstad_Tracker.xlsx | Table row 150 | Travel | Inv Expense Claim | Col ExpenseActualTotal</t>
  </si>
  <si>
    <t>Kroonstad_Tracker.xlsx | Table row 151 | Travel | Inv Expense Claim | Col ExpenseActualTotal</t>
  </si>
  <si>
    <t>Kroonstad_Tracker.xlsx | Table row 152 | Travel | Inv Expense Claim | Col ExpenseActualTotal</t>
  </si>
  <si>
    <t>Kroonstad_Tracker.xlsx | Table row 153 | Travel | Inv  | Col ExpenseActualTotal</t>
  </si>
  <si>
    <t>Kroonstad_Tracker.xlsx | Table row 154 | Travel | Inv  | Col ExpenseActualTotal</t>
  </si>
  <si>
    <t>Kroonstad_Tracker.xlsx | Table row 158 | Welcome Bonus - Site Establishment | Inv Luxanio Trading - 23398/202506/274844/I | Col ExpenseActualTotal</t>
  </si>
  <si>
    <t>Luxanio Trading - 23398/202506/274844/I</t>
  </si>
  <si>
    <t>Kroonstad_Tracker.xlsx | Table row 159 | Welcome Bonus - Commissioning | Inv Luxanio Trading - 23398/202506/274844/I | Col ExpenseActualTotal</t>
  </si>
  <si>
    <t>Kroonstad_Tracker.xlsx | Table row 161 | Community Engagement | Inv  | Col ExpenseActualTotal</t>
  </si>
  <si>
    <t>Kroonstad_Tracker.xlsx | Table row 162 | CS - Establishment and re-establishment - VO | Inv Cosmic Sun: CS_KRN_009 | Col ExpenseActualTotal</t>
  </si>
  <si>
    <t>CS - Establishment and re-establishment - VO</t>
  </si>
  <si>
    <t>PO4342-DPK-20250930 - RV Approved</t>
  </si>
  <si>
    <t>Cosmic Sun: CS_KRN_009</t>
  </si>
  <si>
    <t>Kroonstad_Tracker.xlsx | Table row 163 | Matriarch - Labour &amp; Call Out - VO | Inv Matriarch - INV-5208 | Col ExpenseActualTotal</t>
  </si>
  <si>
    <t>Matriarch - Labour &amp; Call Out - VO</t>
  </si>
  <si>
    <t>PO4345-DPK-20251003 - RV Approved</t>
  </si>
  <si>
    <t>Matriarch - INV-5208</t>
  </si>
  <si>
    <t>Kroonstad_Tracker.xlsx | Table row 164 | CS - Installation of E Stop - VO | Inv Cosmic Sun - CS_KRN_010 | Col ExpenseActualTotal</t>
  </si>
  <si>
    <t>CS - Installation of E Stop - VO</t>
  </si>
  <si>
    <t>Cosmic Sun - CS_KRN_010</t>
  </si>
  <si>
    <t>Lynnridge Mall_Tracker_1.xlsx | Table row 6 | Jinko 590 - Menlo | Inv Menlo Inv0003034 | Col ExpenseActualTotal</t>
  </si>
  <si>
    <t>Jinko 590 - Menlo</t>
  </si>
  <si>
    <t>Menlo Inv0003034</t>
  </si>
  <si>
    <t>Lynnridge Mall_Tracker_1.xlsx | Table row 7 | Jinko 590 - Menlo (additional panel) | Inv Menlo - INV0003138 | Col ExpenseActualTotal</t>
  </si>
  <si>
    <t>Jinko 590 - Menlo (additional panel)</t>
  </si>
  <si>
    <t>Menlo - INV0003138</t>
  </si>
  <si>
    <t>Lynnridge Mall_Tracker_1.xlsx | Table row 13 | SMA Core 2 - Krannich | Inv Krannich - Inv 15-10012990 | Col ExpenseActualTotal</t>
  </si>
  <si>
    <t>SMA Core 2 - Krannich</t>
  </si>
  <si>
    <t>PO4001-LYNN-20250617 - RV Approved</t>
  </si>
  <si>
    <t>Krannich - Inv 15-10012990</t>
  </si>
  <si>
    <t>Lynnridge Mall_Tracker_1.xlsx | Table row 14 | Delivery | Inv Krannich - Inv 15-10012990 | Col ExpenseActualTotal</t>
  </si>
  <si>
    <t>Lynnridge Mall_Tracker_1.xlsx | Table row 15 | EPR Fees | Inv Krannich - Inv 15-10012990 | Col ExpenseActualTotal</t>
  </si>
  <si>
    <t>Lynnridge Mall_Tracker_1.xlsx | Table row 16 |  | Inv  | Col ExpenseActualTotal</t>
  </si>
  <si>
    <t>Lynnridge Mall_Tracker_1.xlsx | Table row 20 | Kliplok order | Inv Schletter - INV1888 | Col ExpenseActualTotal</t>
  </si>
  <si>
    <t>Kliplok order</t>
  </si>
  <si>
    <t>PO4011-LYNN-20250619 - RV Approved</t>
  </si>
  <si>
    <t>Schletter - INV1888</t>
  </si>
  <si>
    <t>Lynnridge Mall_Tracker_1.xlsx | Table row 22 | Additional Clamps | Inv Schletter - INV1909 | Col ExpenseActualTotal</t>
  </si>
  <si>
    <t>PO4043-LYNN-20250627 - RV Approved</t>
  </si>
  <si>
    <t>Schletter - INV1909</t>
  </si>
  <si>
    <t>Lynnridge Mall_Tracker_1.xlsx | Table row 24 | Replacement Clamps | Inv Schletter - INV2069 | Col ExpenseActualTotal</t>
  </si>
  <si>
    <t>Replacement Clamps</t>
  </si>
  <si>
    <t>PO4223-LYNN-20250814 - RV Approved</t>
  </si>
  <si>
    <t>Schletter - INV2069</t>
  </si>
  <si>
    <t>Lynnridge Mall_Tracker_1.xlsx | Table row 33 | DC Cable  | Inv Krannich - Inv 15-10013067 | Col ExpenseActualTotal</t>
  </si>
  <si>
    <t xml:space="preserve">DC Cable </t>
  </si>
  <si>
    <t>Krannich - Inv 15-10013067</t>
  </si>
  <si>
    <t>Lynnridge Mall_Tracker_1.xlsx | Table row 34 | Delivery | Inv Krannich - Inv 15-10013067 | Col ExpenseActualTotal</t>
  </si>
  <si>
    <t>Lynnridge Mall_Tracker_1.xlsx | Table row 35 | DC Cable - Cape Town Store (3 red, 4 black) | Inv Allocated from Cpt Storage | Col ExpenseActualTotal</t>
  </si>
  <si>
    <t>DC Cable - Cape Town Store (3 red, 4 black)</t>
  </si>
  <si>
    <t>Allocated from Cpt Storage</t>
  </si>
  <si>
    <t>Lynnridge Mall_Tracker_1.xlsx | Table row 36 | DC Cable - JHB store (red) | Inv Allocated from Jhb Storage | Col ExpenseActualTotal</t>
  </si>
  <si>
    <t>DC Cable - JHB store (red)</t>
  </si>
  <si>
    <t>Allocated from Jhb Storage</t>
  </si>
  <si>
    <t>Lynnridge Mall_Tracker_1.xlsx | Table row 37 | DC Cable - Red (Check stock count) | Inv Allocated from Jhb Storage | Col ExpenseActualTotal</t>
  </si>
  <si>
    <t>DC Cable - Red (Check stock count)</t>
  </si>
  <si>
    <t>Lynnridge Mall_Tracker_1.xlsx | Table row 38 | DC Cable - Red  | Inv Rubicon - INVWCRE-0070295 | Col ExpenseActualTotal</t>
  </si>
  <si>
    <t xml:space="preserve">DC Cable - Red </t>
  </si>
  <si>
    <t>Rubicon - INVWCRE-0070295</t>
  </si>
  <si>
    <t>Lynnridge Mall_Tracker_1.xlsx | Table row 39 | Delivery of Cable | Inv DSV Inv: 180144108 | Col ExpenseActualTotal</t>
  </si>
  <si>
    <t>Delivery of Cable</t>
  </si>
  <si>
    <t>DSV Inv: 180144108</t>
  </si>
  <si>
    <t>Lynnridge Mall_Tracker_1.xlsx | Table row 41 | Project Kick Off | Inv JA ELECTRICAL - Inv 1070 | Col ExpenseActualTotal</t>
  </si>
  <si>
    <t>PO3998-LYNN-20260613 - RV Approved</t>
  </si>
  <si>
    <t>JA ELECTRICAL - Inv 1070</t>
  </si>
  <si>
    <t>Lynnridge Mall_Tracker_1.xlsx | Table row 42 | Site Establishment | Inv JA ELECTRICAL - Inv 1070 | Col ExpenseActualTotal</t>
  </si>
  <si>
    <t>Lynnridge Mall_Tracker_1.xlsx | Table row 43 | AC Installation Complete | Inv JA ELECTRICAL - Inv 1070 | Col ExpenseActualTotal</t>
  </si>
  <si>
    <t>Lynnridge Mall_Tracker_1.xlsx | Table row 44 | DC Installation Complete | Inv JA ELECTRICAL - Inv 1070 | Col ExpenseActualTotal</t>
  </si>
  <si>
    <t>Lynnridge Mall_Tracker_1.xlsx | Table row 45 | DC Installation Complete | Inv JA ELECTRICAL - Inv 1070 | Col ExpenseActualTotal</t>
  </si>
  <si>
    <t>Lynnridge Mall_Tracker_1.xlsx | Table row 46 | Commissioning Complete | Inv JA ELECTRICAL - Inv 1070 | Col ExpenseActualTotal</t>
  </si>
  <si>
    <t>Lynnridge Mall_Tracker_1.xlsx | Table row 47 | Site De-establisment | Inv JA ELECTRICAL - Inv 1070 | Col ExpenseActualTotal</t>
  </si>
  <si>
    <t>Lynnridge Mall_Tracker_1.xlsx | Table row 48 | Handover Document Complete | Inv JA ELECTRICAL - Inv 1070 | Col ExpenseActualTotal</t>
  </si>
  <si>
    <t>Lynnridge Mall_Tracker_1.xlsx | Table row 49 | End of Defects Period | Inv JA ELECTRICAL - Inv 1070 | Col ExpenseActualTotal</t>
  </si>
  <si>
    <t>Lynnridge Mall_Tracker_1.xlsx | Table row 51 | SMA Data Manager | Inv IBC Inv ZA22502201 | Col ExpenseActualTotal</t>
  </si>
  <si>
    <t>SMA Data Manager</t>
  </si>
  <si>
    <t>PO4277-LYNN-20250826 - RV Approved</t>
  </si>
  <si>
    <t>IBC Inv ZA22502201</t>
  </si>
  <si>
    <t>Lynnridge Mall_Tracker_1.xlsx | Table row 52 | CTs &amp; Meters | Inv AccuEnergy ASAI-005849 | Col ExpenseActualTotal</t>
  </si>
  <si>
    <t>PO4067-LYNN-20250630 - RV Approved</t>
  </si>
  <si>
    <t>AccuEnergy ASAI-005849</t>
  </si>
  <si>
    <t>Lynnridge Mall_Tracker_1.xlsx | Table row 53 |  | Inv Accuenergy - CN-00224 | Col ExpenseActualTotal</t>
  </si>
  <si>
    <t>Accuenergy - CN-00224</t>
  </si>
  <si>
    <t>Lynnridge Mall_Tracker_1.xlsx | Table row 54 |  | Inv Accuenergy - ASAI-006153 | Col ExpenseActualTotal</t>
  </si>
  <si>
    <t>Accuenergy - ASAI-006153</t>
  </si>
  <si>
    <t>Lynnridge Mall_Tracker_1.xlsx | Table row 55 | SMA Power Supply | Inv Krannich - Inv 15-10012990 | Col ExpenseActualTotal</t>
  </si>
  <si>
    <t>SMA Power Supply</t>
  </si>
  <si>
    <t>Lynnridge Mall_Tracker_1.xlsx | Table row 56 | Apex Controller | Inv Rubicon - INVWCRE-0069678 | Col ExpenseActualTotal</t>
  </si>
  <si>
    <t>Apex Controller</t>
  </si>
  <si>
    <t>PO4121-LYNN-20250714 - RV Approved</t>
  </si>
  <si>
    <t>Rubicon - INVWCRE-0069678</t>
  </si>
  <si>
    <t>Lynnridge Mall_Tracker_1.xlsx | Table row 57 | Revenue Grade Meter | Inv Matriarch - INV-4742 | Col ExpenseActualTotal</t>
  </si>
  <si>
    <t>Lynnridge Mall_Tracker_1.xlsx | Table row 58 | Anntenna | Inv Accuenergy Inv: ASAI-005952 | Col ExpenseActualTotal</t>
  </si>
  <si>
    <t>Anntenna</t>
  </si>
  <si>
    <t>PO4082-LYNN-20250702 - RV Approved</t>
  </si>
  <si>
    <t>Accuenergy Inv: ASAI-005952</t>
  </si>
  <si>
    <t>Lynnridge Mall_Tracker_1.xlsx | Table row 59 | UPS | Inv Frontline INV733385 | Col ExpenseActualTotal</t>
  </si>
  <si>
    <t>Frontline INV733385</t>
  </si>
  <si>
    <t>Lynnridge Mall_Tracker_1.xlsx | Table row 62 | Project Kick Off | Inv JA ELECTRICAL - Inv 1070 | Col ExpenseActualTotal</t>
  </si>
  <si>
    <t>Lynnridge Mall_Tracker_1.xlsx | Table row 63 | Site Establishment | Inv JA ELECTRICAL - Inv 1070 | Col ExpenseActualTotal</t>
  </si>
  <si>
    <t>Lynnridge Mall_Tracker_1.xlsx | Table row 64 | AC Installation Complete | Inv JA ELECTRICAL - Inv 1070 | Col ExpenseActualTotal</t>
  </si>
  <si>
    <t>Lynnridge Mall_Tracker_1.xlsx | Table row 65 | DC Installation Complete | Inv JA ELECTRICAL - Inv 1070 | Col ExpenseActualTotal</t>
  </si>
  <si>
    <t>Lynnridge Mall_Tracker_1.xlsx | Table row 66 | Commissioning Complete | Inv JA ELECTRICAL - Inv 1070 | Col ExpenseActualTotal</t>
  </si>
  <si>
    <t>Lynnridge Mall_Tracker_1.xlsx | Table row 67 | Site De-establisment | Inv JA ELECTRICAL - Inv 1070 | Col ExpenseActualTotal</t>
  </si>
  <si>
    <t>Lynnridge Mall_Tracker_1.xlsx | Table row 68 | Handover Document Complete | Inv JA ELECTRICAL - Inv 1070 | Col ExpenseActualTotal</t>
  </si>
  <si>
    <t>Lynnridge Mall_Tracker_1.xlsx | Table row 69 | End of Defects Period | Inv JA ELECTRICAL - Inv 1070 | Col ExpenseActualTotal</t>
  </si>
  <si>
    <t>Lynnridge Mall_Tracker_1.xlsx | Table row 80 | Catladder | Inv JRL Engineering | Col ExpenseActualTotal</t>
  </si>
  <si>
    <t>PO4145-LYNN-20250722 - RV Approved</t>
  </si>
  <si>
    <t>JRL Engineering</t>
  </si>
  <si>
    <t>Lynnridge Mall_Tracker_1.xlsx | Table row 81 | Inverter Cage/Awning Deposit  | Inv JRL Engineering INV00343 | Col ExpenseActualTotal</t>
  </si>
  <si>
    <t xml:space="preserve">Inverter Cage/Awning Deposit </t>
  </si>
  <si>
    <t xml:space="preserve">PO4102-LYNN-20250709 -MI Approved </t>
  </si>
  <si>
    <t>JRL Engineering INV00343</t>
  </si>
  <si>
    <t>Lynnridge Mall_Tracker_1.xlsx | Table row 82 |  | Inv JRL Engineering INV00343 | Col ExpenseActualTotal</t>
  </si>
  <si>
    <t xml:space="preserve">PO4103LYNN-20250709 - MI Approved </t>
  </si>
  <si>
    <t>Lynnridge Mall_Tracker_1.xlsx | Table row 83 | DB box | Inv JRL Engineering INV00344 | Col ExpenseActualTotal</t>
  </si>
  <si>
    <t>DB box</t>
  </si>
  <si>
    <t>JRL Engineering INV00344</t>
  </si>
  <si>
    <t>Lynnridge Mall_Tracker_1.xlsx | Table row 84 | Additional Work | Inv JRL Engineering INV00349 | Col ExpenseActualTotal</t>
  </si>
  <si>
    <t>Additional Work</t>
  </si>
  <si>
    <t>PO4237-LYNN-20250819 - RV Approved</t>
  </si>
  <si>
    <t>JRL Engineering INV00349</t>
  </si>
  <si>
    <t>Lynnridge Mall_Tracker_1.xlsx | Table row 85 | Cable Route VO | Inv JA Electrical - Inv 1087 | Col ExpenseActualTotal</t>
  </si>
  <si>
    <t>Cable Route VO</t>
  </si>
  <si>
    <t>PO4152-LYNN-20250723 - RV Approved</t>
  </si>
  <si>
    <t>JA Electrical - Inv 1087</t>
  </si>
  <si>
    <t>Lynnridge Mall_Tracker_1.xlsx | Table row 87 | Project Kick Off | Inv JA ELECTRICAL - Inv 1079 | Col ExpenseActualTotal</t>
  </si>
  <si>
    <t>JA ELECTRICAL - Inv 1079</t>
  </si>
  <si>
    <t>Lynnridge Mall_Tracker_1.xlsx | Table row 88 | Site Establishment | Inv JA ELECTRICAL - Inv 1079 | Col ExpenseActualTotal</t>
  </si>
  <si>
    <t>Lynnridge Mall_Tracker_1.xlsx | Table row 89 | AC Installation Complete | Inv JA ELECTRICAL - Inv 1079 | Col ExpenseActualTotal</t>
  </si>
  <si>
    <t>Lynnridge Mall_Tracker_1.xlsx | Table row 90 | DC Installation Complete | Inv JA ELECTRICAL - Inv 1079 | Col ExpenseActualTotal</t>
  </si>
  <si>
    <t>Lynnridge Mall_Tracker_1.xlsx | Table row 91 | Commissioning Complete | Inv JA ELECTRICAL - Inv 1079 | Col ExpenseActualTotal</t>
  </si>
  <si>
    <t>Lynnridge Mall_Tracker_1.xlsx | Table row 92 | Site De-establisment | Inv JA ELECTRICAL - Inv 1079 | Col ExpenseActualTotal</t>
  </si>
  <si>
    <t>Lynnridge Mall_Tracker_1.xlsx | Table row 93 | Handover Document Complete | Inv JA ELECTRICAL - Inv 1079 | Col ExpenseActualTotal</t>
  </si>
  <si>
    <t>Lynnridge Mall_Tracker_1.xlsx | Table row 94 | End of Defects Period | Inv JA ELECTRICAL - Inv 1079 | Col ExpenseActualTotal</t>
  </si>
  <si>
    <t>Lynnridge Mall_Tracker_1.xlsx | Table row 96 | Security | Inv Nightguard Security | Col ExpenseActualTotal</t>
  </si>
  <si>
    <t>PO4285-LYNN-20250827 - RV Approved</t>
  </si>
  <si>
    <t>Nightguard Security</t>
  </si>
  <si>
    <t>Lynnridge Mall_Tracker_1.xlsx | Table row 97 | Project Kick Off | Inv JA ELECTRICAL - Inv 1070 | Col ExpenseActualTotal</t>
  </si>
  <si>
    <t>Lynnridge Mall_Tracker_1.xlsx | Table row 98 | Site Establishment | Inv JA ELECTRICAL - Inv 1070 | Col ExpenseActualTotal</t>
  </si>
  <si>
    <t>Lynnridge Mall_Tracker_1.xlsx | Table row 99 | AC Installation Complete | Inv JA ELECTRICAL - Inv 1070 | Col ExpenseActualTotal</t>
  </si>
  <si>
    <t>Lynnridge Mall_Tracker_1.xlsx | Table row 100 | DC Installation Complete | Inv JA ELECTRICAL - Inv 1070 | Col ExpenseActualTotal</t>
  </si>
  <si>
    <t>Lynnridge Mall_Tracker_1.xlsx | Table row 101 | Commissioning Complete | Inv JA ELECTRICAL - Inv 1070 | Col ExpenseActualTotal</t>
  </si>
  <si>
    <t>Lynnridge Mall_Tracker_1.xlsx | Table row 102 | Site De-establisment | Inv JA ELECTRICAL - Inv 1070 | Col ExpenseActualTotal</t>
  </si>
  <si>
    <t>Lynnridge Mall_Tracker_1.xlsx | Table row 103 | Handover Document Complete | Inv JA ELECTRICAL - Inv 1070 | Col ExpenseActualTotal</t>
  </si>
  <si>
    <t>Lynnridge Mall_Tracker_1.xlsx | Table row 104 | End of Defects Period | Inv JA ELECTRICAL - Inv 1070 | Col ExpenseActualTotal</t>
  </si>
  <si>
    <t>Lynnridge Mall_Tracker_1.xlsx | Table row 106 | Electrical PrEng sign off | Inv Sunspot E029 | Col ExpenseActualTotal</t>
  </si>
  <si>
    <t>Sunspot E029</t>
  </si>
  <si>
    <t>Lynnridge Mall_Tracker_1.xlsx | Table row 107 | Structural sign off | Inv L&amp;B - INV-1872 | Col ExpenseActualTotal</t>
  </si>
  <si>
    <t>L&amp;B - INV-1872</t>
  </si>
  <si>
    <t>Lynnridge Mall_Tracker_1.xlsx | Table row 108 | Red Team | Inv Matriarch - INV-4987 | Col ExpenseActualTotal</t>
  </si>
  <si>
    <t>Red Team</t>
  </si>
  <si>
    <t>Lynnridge Mall_Tracker_1.xlsx | Table row 109 | Grid Study - Outside of CoCT | Inv Okusha Engineering Inv EE11 | Col ExpenseActualTotal</t>
  </si>
  <si>
    <t>PO3688-LYNN-20250220 - RV Approved</t>
  </si>
  <si>
    <t>Okusha Engineering Inv EE11</t>
  </si>
  <si>
    <t>Lynnridge Mall_Tracker_1.xlsx | Table row 110 | Lightning Risk Assessment | Inv LPS IN307022 | Col ExpenseActualTotal</t>
  </si>
  <si>
    <t>PO4008-LYNN-20250618 - RV Approved</t>
  </si>
  <si>
    <t>LPS IN307022</t>
  </si>
  <si>
    <t>Lynnridge Mall_Tracker_1.xlsx | Table row 112 |  | Inv Auxilio Dei - INV 032 | Col ExpenseActualTotal</t>
  </si>
  <si>
    <t>Auxilio Dei - INV 032</t>
  </si>
  <si>
    <t>Lynnridge Mall_Tracker_1.xlsx | Table row 113 |  | Inv Auxilio Dei - INV 032 | Col ExpenseActualTotal</t>
  </si>
  <si>
    <t>Lynnridge Mall_Tracker_1.xlsx | Table row 116 | Matriarch Defects Period | Inv Matriarch - INV-4986 | Col ExpenseActualTotal</t>
  </si>
  <si>
    <t>Lynnridge Mall_Tracker_1.xlsx | Table row 117 | Management | Inv  | Col ExpenseActualTotal</t>
  </si>
  <si>
    <t>Lynnridge Mall_Tracker_1.xlsx | Table row 118 | Project manager  | Inv  | Col ExpenseActualTotal</t>
  </si>
  <si>
    <t>Lynnridge Mall_Tracker_1.xlsx | Table row 119 | Planner time | Inv  | Col ExpenseActualTotal</t>
  </si>
  <si>
    <t>Lynnridge Mall_Tracker_1.xlsx | Table row 120 | De Snagging | Inv  | Col ExpenseActualTotal</t>
  </si>
  <si>
    <t>Lynnridge Mall_Tracker_1.xlsx | Table row 124 | Car travel to site | Inv Expense Claim | Col ExpenseActualTotal</t>
  </si>
  <si>
    <t>Lynnridge Mall_Tracker_1.xlsx | Table row 125 |  | Inv Expense Claim | Col ExpenseActualTotal</t>
  </si>
  <si>
    <t>Lynnridge Mall_Tracker_1.xlsx | Table row 126 |  | Inv Expense Claim | Col ExpenseActualTotal</t>
  </si>
  <si>
    <t>Lynnridge Mall_Tracker_1.xlsx | Table row 127 |  | Inv Expense Claim | Col ExpenseActualTotal</t>
  </si>
  <si>
    <t>Lynnridge Mall_Tracker_1.xlsx | Table row 132 | Additional labour | Inv JA Electrical - INV1092 | Col ExpenseActualTotal</t>
  </si>
  <si>
    <t>Additional labour</t>
  </si>
  <si>
    <t>PO4296-LYNN-20250903 - RV Approved</t>
  </si>
  <si>
    <t>JA Electrical - INV1092</t>
  </si>
  <si>
    <t>Mahikeng Builders Express_Tracker.xlsx | Table row 6 | Jinko 590W - Menlo | Inv Menlo INV0003366 | Col ExpenseActualTotal</t>
  </si>
  <si>
    <t>Jinko 590W - Menlo</t>
  </si>
  <si>
    <t>Menlo INV0003366</t>
  </si>
  <si>
    <t>Mahikeng Builders Express_Tracker.xlsx | Table row 13 | Huawei 50KTL (Menlo) | Inv Menlo INV0003366 | Col ExpenseActualTotal</t>
  </si>
  <si>
    <t>Huawei 50KTL (Menlo)</t>
  </si>
  <si>
    <t>Mahikeng Builders Express_Tracker.xlsx | Table row 21 | Schletter - Mounting Structure | Inv Schletter INV 2353 | Col ExpenseActualTotal</t>
  </si>
  <si>
    <t>Schletter - Mounting Structure</t>
  </si>
  <si>
    <t>PO4401-MBE-20251023 - RV Approved</t>
  </si>
  <si>
    <t>Schletter INV 2353</t>
  </si>
  <si>
    <t>Mahikeng Builders Express_Tracker.xlsx | Table row 22 | Delivery | Inv Schletter INV 2353 | Col ExpenseActualTotal</t>
  </si>
  <si>
    <t>Mahikeng Builders Express_Tracker.xlsx | Table row 28 | DC Cable - Menlo | Inv Menlo INV0003366 | Col ExpenseActualTotal</t>
  </si>
  <si>
    <t>Mahikeng Builders Express_Tracker.xlsx | Table row 29 | DC Cable -Red  Move to stock JHB) | Inv Allocated to Joburg Storeroom | Col ExpenseActualTotal</t>
  </si>
  <si>
    <t>DC Cable -Red  Move to stock JHB)</t>
  </si>
  <si>
    <t>Allocated to Joburg Storeroom</t>
  </si>
  <si>
    <t>Mahikeng Builders Express_Tracker.xlsx | Table row 30 | DC Cable - BlackMove to stock JHB) | Inv Allocated to Joburg Storeroom | Col ExpenseActualTotal</t>
  </si>
  <si>
    <t>DC Cable - BlackMove to stock JHB)</t>
  </si>
  <si>
    <t>Mahikeng Builders Express_Tracker.xlsx | Table row 32 | Project Kick Off | Inv The Greenway INV0001528 | Col ExpenseActualTotal</t>
  </si>
  <si>
    <t>PO4415-MBE-20251028 - RV Approved</t>
  </si>
  <si>
    <t>The Greenway INV0001528</t>
  </si>
  <si>
    <t>Mahikeng Builders Express_Tracker.xlsx | Table row 33 | Site Establishment | Inv The Greenway INV0001529 | Col ExpenseActualTotal</t>
  </si>
  <si>
    <t>The Greenway INV0001529</t>
  </si>
  <si>
    <t>Mahikeng Builders Express_Tracker.xlsx | Table row 34 | AC Installation Complete | Inv The Greenway INV0001555 | Col ExpenseActualTotal</t>
  </si>
  <si>
    <t>The Greenway INV0001555</t>
  </si>
  <si>
    <t>Mahikeng Builders Express_Tracker.xlsx | Table row 35 | DC Installation Complete | Inv The Greenway INV0001556 | Col ExpenseActualTotal</t>
  </si>
  <si>
    <t>The Greenway INV0001556</t>
  </si>
  <si>
    <t>Mahikeng Builders Express_Tracker.xlsx | Table row 36 | Commissioning Complete | Inv The Greenway INV0001557 | Col ExpenseActualTotal</t>
  </si>
  <si>
    <t>The Greenway INV0001557</t>
  </si>
  <si>
    <t>Mahikeng Builders Express_Tracker.xlsx | Table row 37 | Site De-establisment | Inv The Greenway INV0001564 | Col ExpenseActualTotal</t>
  </si>
  <si>
    <t>The Greenway INV0001564</t>
  </si>
  <si>
    <t>Mahikeng Builders Express_Tracker.xlsx | Table row 38 | Handover Document Complete | Inv The Greenway - INV0001565 | Col ExpenseActualTotal</t>
  </si>
  <si>
    <t>The Greenway - INV0001565</t>
  </si>
  <si>
    <t>Mahikeng Builders Express_Tracker.xlsx | Table row 39 | End of Defects Period | Inv  | Col ExpenseActualTotal</t>
  </si>
  <si>
    <t>Mahikeng Builders Express_Tracker.xlsx | Table row 44 | Smartlogger | Inv Menlo INV0003366 | Col ExpenseActualTotal</t>
  </si>
  <si>
    <t>Mahikeng Builders Express_Tracker.xlsx | Table row 45 | CTs &amp; Meters | Inv Accuenergy Inv:ASAI-006830 | Col ExpenseActualTotal</t>
  </si>
  <si>
    <t>PO4458-MBE-2025111 - RV Approved</t>
  </si>
  <si>
    <t>Accuenergy Inv:ASAI-006830</t>
  </si>
  <si>
    <t>Mahikeng Builders Express_Tracker.xlsx | Table row 46 | Techsitter | Inv Matriarch Inv: 6200 | Col ExpenseActualTotal</t>
  </si>
  <si>
    <t>Matriarch Inv: 6200</t>
  </si>
  <si>
    <t>Mahikeng Builders Express_Tracker.xlsx | Table row 47 | Delivery of Techsitter | Inv DSV Inv: 180156930 | Col ExpenseActualTotal</t>
  </si>
  <si>
    <t>DSV Inv: 180156930</t>
  </si>
  <si>
    <t>Mahikeng Builders Express_Tracker.xlsx | Table row 48 | Meteocontrol Data manager + Station | Inv IBC Solar - ZA12502620 | Col ExpenseActualTotal</t>
  </si>
  <si>
    <t>Meteocontrol Data manager + Station</t>
  </si>
  <si>
    <t>PO4451-MBE-20251107 - RV Approved</t>
  </si>
  <si>
    <t>IBC Solar - ZA12502620</t>
  </si>
  <si>
    <t>Mahikeng Builders Express_Tracker.xlsx | Table row 54 | PVDB | Inv  | Col ExpenseActualTotal</t>
  </si>
  <si>
    <t>Mahikeng Builders Express_Tracker.xlsx | Table row 59 | Project Kick Off | Inv The Greenway INV0001528 | Col ExpenseActualTotal</t>
  </si>
  <si>
    <t>Mahikeng Builders Express_Tracker.xlsx | Table row 60 | Site Establishment | Inv The Greenway INV0001529 | Col ExpenseActualTotal</t>
  </si>
  <si>
    <t>Mahikeng Builders Express_Tracker.xlsx | Table row 61 | AC Installation Complete | Inv The Greenway INV0001555 | Col ExpenseActualTotal</t>
  </si>
  <si>
    <t>Mahikeng Builders Express_Tracker.xlsx | Table row 62 | DC Installation Complete | Inv The Greenway INV0001556 | Col ExpenseActualTotal</t>
  </si>
  <si>
    <t>Mahikeng Builders Express_Tracker.xlsx | Table row 63 | Commissioning Complete | Inv The Greenway INV0001557 | Col ExpenseActualTotal</t>
  </si>
  <si>
    <t>Mahikeng Builders Express_Tracker.xlsx | Table row 64 | Site De-establisment | Inv The Greenway INV0001564 | Col ExpenseActualTotal</t>
  </si>
  <si>
    <t>Mahikeng Builders Express_Tracker.xlsx | Table row 65 | Handover Document Complete | Inv The Greenway - INV0001565 | Col ExpenseActualTotal</t>
  </si>
  <si>
    <t>Mahikeng Builders Express_Tracker.xlsx | Table row 66 | End of Defects Period | Inv  | Col ExpenseActualTotal</t>
  </si>
  <si>
    <t>Mahikeng Builders Express_Tracker.xlsx | Table row 80 | Walkways - 300m | Inv Onvlee - Inv01051750 | Col ExpenseActualTotal</t>
  </si>
  <si>
    <t>Walkways - 300m</t>
  </si>
  <si>
    <t>Onvlee - Inv01051750</t>
  </si>
  <si>
    <t>Mahikeng Builders Express_Tracker.xlsx | Table row 81 | Walkways - 20m  | Inv Onvlee - PO-4505-MBE-20251128 | Col ExpenseActualTotal</t>
  </si>
  <si>
    <t xml:space="preserve">Walkways - 20m </t>
  </si>
  <si>
    <t>PO4505-MBE-20251128 - RV Approved</t>
  </si>
  <si>
    <t>Onvlee - PO-4505-MBE-20251128</t>
  </si>
  <si>
    <t>Mahikeng Builders Express_Tracker.xlsx | Table row 82 | Installation of additional 170m Walkway | Inv The Greenway - INV0001563 | Col ExpenseActualTotal</t>
  </si>
  <si>
    <t>Installation of additional 170m Walkway</t>
  </si>
  <si>
    <t>PO4529-MBE-20251209 - RV Approved</t>
  </si>
  <si>
    <t>The Greenway - INV0001563</t>
  </si>
  <si>
    <t>Mahikeng Builders Express_Tracker.xlsx | Table row 88 | Catladder  | Inv Boukon -25/11/2025 | Col ExpenseActualTotal</t>
  </si>
  <si>
    <t xml:space="preserve">Catladder </t>
  </si>
  <si>
    <t>PO4499-MBE-20251126 - RV Approved</t>
  </si>
  <si>
    <t>Boukon -25/11/2025</t>
  </si>
  <si>
    <t>Mahikeng Builders Express_Tracker.xlsx | Table row 93 | Lightning Protection | Inv LPS - IN307595 | Col ExpenseActualTotal</t>
  </si>
  <si>
    <t>Lightning Protection</t>
  </si>
  <si>
    <t>PO4482-MBE-20251124 - RV Approved</t>
  </si>
  <si>
    <t>LPS - IN307595</t>
  </si>
  <si>
    <t>Mahikeng Builders Express_Tracker.xlsx | Table row 94 | Lightning Risk Assessment | Inv LPS - IN307444 | Col ExpenseActualTotal</t>
  </si>
  <si>
    <t>PO4406-MBE-20251024 - RV Approved</t>
  </si>
  <si>
    <t>LPS - IN307444</t>
  </si>
  <si>
    <t>1//2026</t>
  </si>
  <si>
    <t>Mahikeng Builders Express_Tracker.xlsx | Table row 96 | Tie-in Panel | Inv  | Col ExpenseActualTotal</t>
  </si>
  <si>
    <t>Tie-in Panel</t>
  </si>
  <si>
    <t>Mahikeng Builders Express_Tracker.xlsx | Table row 99 | Temporary Fencing for storage Container | Inv  | Col ExpenseActualTotal</t>
  </si>
  <si>
    <t>Temporary Fencing for storage Container</t>
  </si>
  <si>
    <t>Mahikeng Builders Express_Tracker.xlsx | Table row 102 | Inverter Cage | Inv JJL Steel &amp; Construction INV251112 | Col ExpenseActualTotal</t>
  </si>
  <si>
    <t>JJL Steel &amp; Construction INV251112</t>
  </si>
  <si>
    <t>Mahikeng Builders Express_Tracker.xlsx | Table row 103 |  | Inv JJL Steel &amp; Construction INV251112 | Col ExpenseActualTotal</t>
  </si>
  <si>
    <t>Mahikeng Builders Express_Tracker.xlsx | Table row 104 | Enclosure Modification | Inv  | Col ExpenseActualTotal</t>
  </si>
  <si>
    <t>Enclosure Modification</t>
  </si>
  <si>
    <t>PO4583-MBE-20260127 - RV Approved</t>
  </si>
  <si>
    <t>Mahikeng Builders Express_Tracker.xlsx | Table row 105 | Safety Life Lines - 140m - Deposit | Inv ATS Africa - INV-0468 | Col ExpenseActualTotal</t>
  </si>
  <si>
    <t>Safety Life Lines - 140m - Deposit</t>
  </si>
  <si>
    <t>PO4552-MBE-20260116 - RV Approved</t>
  </si>
  <si>
    <t>ATS Africa - INV-0468</t>
  </si>
  <si>
    <t>Mahikeng Builders Express_Tracker.xlsx | Table row 106 | Safety Life Lines - 140m - Balance | Inv ATS Africa - INV-0468 | Col ExpenseActualTotal</t>
  </si>
  <si>
    <t>Safety Life Lines - 140m - Balance</t>
  </si>
  <si>
    <t>Mahikeng Builders Express_Tracker.xlsx | Table row 108 | DC Gantry - Greenway  | Inv The Greenway - INV0001558 | Col ExpenseActualTotal</t>
  </si>
  <si>
    <t xml:space="preserve">DC Gantry - Greenway </t>
  </si>
  <si>
    <t>PO4508-MBE-20251201 - RV Approved</t>
  </si>
  <si>
    <t>The Greenway - INV0001558</t>
  </si>
  <si>
    <t>Mahikeng Builders Express_Tracker.xlsx | Table row 110 | Mains Comms Equipment &amp; Installation | Inv The Greenway - INV0001559 | Col ExpenseActualTotal</t>
  </si>
  <si>
    <t>Mains Comms Equipment &amp; Installation</t>
  </si>
  <si>
    <t>PO4509-MBE-20251201 - RV Approved</t>
  </si>
  <si>
    <t>The Greenway - INV0001559</t>
  </si>
  <si>
    <t>Mahikeng Builders Express_Tracker.xlsx | Table row 111 | Cable Trays | Inv The Greenway - INV0001559 | Col ExpenseActualTotal</t>
  </si>
  <si>
    <t>Cable Trays</t>
  </si>
  <si>
    <t>Mahikeng Builders Express_Tracker.xlsx | Table row 115 | Project Kick Off | Inv The Greenway INV0001528 | Col ExpenseActualTotal</t>
  </si>
  <si>
    <t>Mahikeng Builders Express_Tracker.xlsx | Table row 116 | Site Establishment | Inv The Greenway INV0001529 | Col ExpenseActualTotal</t>
  </si>
  <si>
    <t>Mahikeng Builders Express_Tracker.xlsx | Table row 117 | AC Installation Complete | Inv The Greenway INV0001555 | Col ExpenseActualTotal</t>
  </si>
  <si>
    <t>Mahikeng Builders Express_Tracker.xlsx | Table row 118 | DC Installation Complete | Inv The Greenway INV0001556 | Col ExpenseActualTotal</t>
  </si>
  <si>
    <t>Mahikeng Builders Express_Tracker.xlsx | Table row 119 | Commissioning Complete | Inv The Greenway INV0001557 | Col ExpenseActualTotal</t>
  </si>
  <si>
    <t>Mahikeng Builders Express_Tracker.xlsx | Table row 120 | Site De-establisment | Inv The Greenway INV0001564 | Col ExpenseActualTotal</t>
  </si>
  <si>
    <t>Mahikeng Builders Express_Tracker.xlsx | Table row 121 | Handover Document Complete | Inv The Greenway - INV0001565 | Col ExpenseActualTotal</t>
  </si>
  <si>
    <t>Mahikeng Builders Express_Tracker.xlsx | Table row 122 | End of Defects Period | Inv  | Col ExpenseActualTotal</t>
  </si>
  <si>
    <t>Mahikeng Builders Express_Tracker.xlsx | Table row 127 | Security | Inv Setso Security - SET001551 | Col ExpenseActualTotal</t>
  </si>
  <si>
    <t>PO4409-MBE-20251027 - RV Approved</t>
  </si>
  <si>
    <t>Setso Security - SET001551</t>
  </si>
  <si>
    <t>Mahikeng Builders Express_Tracker.xlsx | Table row 131 | Project Kick Off | Inv The Greenway INV0001528 | Col ExpenseActualTotal</t>
  </si>
  <si>
    <t>Mahikeng Builders Express_Tracker.xlsx | Table row 132 | Site Establishment | Inv The Greenway INV0001529 | Col ExpenseActualTotal</t>
  </si>
  <si>
    <t>Mahikeng Builders Express_Tracker.xlsx | Table row 133 | AC Installation Complete | Inv The Greenway INV0001555 | Col ExpenseActualTotal</t>
  </si>
  <si>
    <t>Mahikeng Builders Express_Tracker.xlsx | Table row 134 | DC Installation Complete | Inv The Greenway INV0001556 | Col ExpenseActualTotal</t>
  </si>
  <si>
    <t>Mahikeng Builders Express_Tracker.xlsx | Table row 135 | Commissioning Complete | Inv The Greenway INV0001557 | Col ExpenseActualTotal</t>
  </si>
  <si>
    <t>Mahikeng Builders Express_Tracker.xlsx | Table row 136 | Site De-establisment | Inv The Greenway INV0001564 | Col ExpenseActualTotal</t>
  </si>
  <si>
    <t>Mahikeng Builders Express_Tracker.xlsx | Table row 137 | Handover Document Complete | Inv The Greenway - INV0001565 | Col ExpenseActualTotal</t>
  </si>
  <si>
    <t>Mahikeng Builders Express_Tracker.xlsx | Table row 138 | End of Defects Period | Inv  | Col ExpenseActualTotal</t>
  </si>
  <si>
    <t>Mahikeng Builders Express_Tracker.xlsx | Table row 143 | Electrical PrEng sign off | Inv SunSpot - E035 | Col ExpenseActualTotal</t>
  </si>
  <si>
    <t>SunSpot - E035</t>
  </si>
  <si>
    <t>Mahikeng Builders Express_Tracker.xlsx | Table row 144 | Structural Sign Off - LnB Consulting | Inv L&amp;B Consulting IN-2113 | Col ExpenseActualTotal</t>
  </si>
  <si>
    <t>Structural Sign Off - LnB Consulting</t>
  </si>
  <si>
    <t>PO4385-MBE-20251021 - RV Approved</t>
  </si>
  <si>
    <t>L&amp;B Consulting IN-2113</t>
  </si>
  <si>
    <t>Mahikeng Builders Express_Tracker.xlsx | Table row 145 | Roof Report - Cosmic Sun | Inv Cosmic Sun - CS_MHK_001 | Col ExpenseActualTotal</t>
  </si>
  <si>
    <t>Roof Report - Cosmic Sun</t>
  </si>
  <si>
    <t>PO4386-MBE-20251021 - RV Approved</t>
  </si>
  <si>
    <t>Cosmic Sun - CS_MHK_001</t>
  </si>
  <si>
    <t>Mahikeng Builders Express_Tracker.xlsx | Table row 146 | Red Team Inspection | Inv  | Col ExpenseActualTotal</t>
  </si>
  <si>
    <t>Mahikeng Builders Express_Tracker.xlsx | Table row 147 | Safety Officer | Inv WAGMA - INV-000001 | Col ExpenseActualTotal</t>
  </si>
  <si>
    <t>Safety Officer</t>
  </si>
  <si>
    <t>PO4422-MBE-20251029 - RV Approved</t>
  </si>
  <si>
    <t>WAGMA - INV-000001</t>
  </si>
  <si>
    <t>Mahikeng Builders Express_Tracker.xlsx | Table row 148 | Safety Officer | Inv WAGMA - INV-000010 | Col ExpenseActualTotal</t>
  </si>
  <si>
    <t>WAGMA - INV-000010</t>
  </si>
  <si>
    <t>Mahikeng Builders Express_Tracker.xlsx | Table row 149 | Safety Officer | Inv WAGMA - INV-000023 | Col ExpenseActualTotal</t>
  </si>
  <si>
    <t>WAGMA - INV-000023</t>
  </si>
  <si>
    <t>Mahikeng Builders Express_Tracker.xlsx | Table row 151 | PD Fee | Inv  | Col ExpenseActualTotal</t>
  </si>
  <si>
    <t>Mahikeng Builders Express_Tracker.xlsx | Table row 154 | Matriarch Defects Period - 1.25% | Inv  | Col ExpenseActualTotal</t>
  </si>
  <si>
    <t>Mahikeng Builders Express_Tracker.xlsx | Table row 161 | Travel | Inv Expense Claim | Col ExpenseActualTotal</t>
  </si>
  <si>
    <t>Mahikeng Builders Express_Tracker.xlsx | Table row 162 | Travel | Inv Expense Claim | Col ExpenseActualTotal</t>
  </si>
  <si>
    <t>Mahikeng Builders Express_Tracker.xlsx | Table row 163 | Travel | Inv Expense Claim | Col ExpenseActualTotal</t>
  </si>
  <si>
    <t>Mahikeng Builders Express_Tracker.xlsx | Table row 164 | Travel | Inv Expense Claim | Col ExpenseActualTotal</t>
  </si>
  <si>
    <t>Mahikeng Builders Express_Tracker.xlsx | Table row 165 | Travel | Inv  | Col ExpenseActualTotal</t>
  </si>
  <si>
    <t>Mahikeng Builders Express_Tracker.xlsx | Table row 175 | Roof Remedial Work Deposit - Client Cost | Inv Evolution Coatings - INV0000122 | Col ExpenseActualTotal</t>
  </si>
  <si>
    <t>Roof Remedial Work Deposit - Client Cost</t>
  </si>
  <si>
    <t>PO4436-MBE-20251102 - RV Approved</t>
  </si>
  <si>
    <t>Evolution Coatings - INV0000122</t>
  </si>
  <si>
    <t>Mahikeng Builders Express_Tracker.xlsx | Table row 176 | Roof Remedial Work Balance - Client Cost | Inv Evolution Coatings - INV0000122 | Col ExpenseActualTotal</t>
  </si>
  <si>
    <t>Roof Remedial Work Balance - Client Cost</t>
  </si>
  <si>
    <t>Mahikeng Builders Express_Tracker.xlsx | Table row 177 | Waterpoints  | Inv Evolution Coatings - INV0000138 | Col ExpenseActualTotal</t>
  </si>
  <si>
    <t xml:space="preserve">Waterpoints </t>
  </si>
  <si>
    <t>Evolution Coatings - INV0000138</t>
  </si>
  <si>
    <t>Mahikeng Builders Express_Tracker.xlsx | Table row 178 | Waterproofing - Client Cost | Inv  | Col ExpenseActualTotal</t>
  </si>
  <si>
    <t>Waterproofing - Client Cost</t>
  </si>
  <si>
    <t>PO4519-MBE-20251203 - RV Approved</t>
  </si>
  <si>
    <t>Mahikeng Builders Express_Tracker.xlsx | Table row 179 | Cable support signoff | Inv L&amp;B Consulting IN-2175 | Col ExpenseActualTotal</t>
  </si>
  <si>
    <t>Cable support signoff</t>
  </si>
  <si>
    <t>PO4543-MBE-20251217 - RV Approved</t>
  </si>
  <si>
    <t>L&amp;B Consulting IN-2175</t>
  </si>
  <si>
    <t>Mahikeng Builders Express_Tracker.xlsx | Table row 180 | Delivery of Sonel Meter | Inv DSV Inv: 180158820 | Col ExpenseActualTotal</t>
  </si>
  <si>
    <t>Delivery of Sonel Meter</t>
  </si>
  <si>
    <t>Malvern Ph2_Tracker.xlsx | Table row 6 | Panels Budget - Longi 610W | Inv Krannich - 15-10014204 | Col ExpenseActualTotal</t>
  </si>
  <si>
    <t>Panels Budget - Longi 610W</t>
  </si>
  <si>
    <t>Krannich - 15-10014204</t>
  </si>
  <si>
    <t>Malvern Ph2_Tracker.xlsx | Table row 7 | EPR Fees | Inv Krannich - 15-10014204 | Col ExpenseActualTotal</t>
  </si>
  <si>
    <t>Malvern Ph2_Tracker.xlsx | Table row 8 | Delivery | Inv Krannich - 15-10014204 | Col ExpenseActualTotal</t>
  </si>
  <si>
    <t>Malvern Ph2_Tracker.xlsx | Table row 9 | Longi 610w | Inv IBC Solar - ZA42502733 | Col ExpenseActualTotal</t>
  </si>
  <si>
    <t>Longi 610w</t>
  </si>
  <si>
    <t>IBC Solar - ZA42502733</t>
  </si>
  <si>
    <t>Malvern Ph2_Tracker.xlsx | Table row 13 | SMA Core 2 | Inv Krannich - 15-10014204 | Col ExpenseActualTotal</t>
  </si>
  <si>
    <t>SMA Core 2</t>
  </si>
  <si>
    <t>Malvern Ph2_Tracker.xlsx | Table row 21 |   | Inv Schletter Inv: 2352 | Col ExpenseActualTotal</t>
  </si>
  <si>
    <t>PO4402-MVE2-20251023 - RV Approved</t>
  </si>
  <si>
    <t>Schletter Inv: 2352</t>
  </si>
  <si>
    <t>Malvern Ph2_Tracker.xlsx | Table row 22 | Seam clamp Pro551/4  | Inv Schletter - INV2378 | Col ExpenseActualTotal</t>
  </si>
  <si>
    <t xml:space="preserve">Seam clamp Pro551/4 </t>
  </si>
  <si>
    <t>PO4428-MVE2-20251030 - RV Approved</t>
  </si>
  <si>
    <t>Schletter - INV2378</t>
  </si>
  <si>
    <t>Malvern Ph2_Tracker.xlsx | Table row 23 | 40x End Clamps - Busamed Medical | Inv Allocated from Cpt Storeoom | Col ExpenseActualTotal</t>
  </si>
  <si>
    <t>40x End Clamps - Busamed Medical</t>
  </si>
  <si>
    <t>Allocated from Cpt Storeoom</t>
  </si>
  <si>
    <t>Malvern Ph2_Tracker.xlsx | Table row 24 | End Clamps  | Inv Allocated from Cpt Storeoom | Col ExpenseActualTotal</t>
  </si>
  <si>
    <t xml:space="preserve">End Clamps </t>
  </si>
  <si>
    <t>Malvern Ph2_Tracker.xlsx | Table row 25 | End Clamps  | Inv Allocated from Cpt Storeoom | Col ExpenseActualTotal</t>
  </si>
  <si>
    <t>Malvern Ph2_Tracker.xlsx | Table row 26 | 548x Mid Clamps - Northpoint | Inv Allocared from Cpt Storeoom | Col ExpenseActualTotal</t>
  </si>
  <si>
    <t>548x Mid Clamps - Northpoint</t>
  </si>
  <si>
    <t>Allocared from Cpt Storeoom</t>
  </si>
  <si>
    <t>Malvern Ph2_Tracker.xlsx | Table row 27 | 119x Clampfit Pro - The Studios | Inv Allocated from The Sudios | Col ExpenseActualTotal</t>
  </si>
  <si>
    <t>119x Clampfit Pro - The Studios</t>
  </si>
  <si>
    <t>Allocated from The Sudios</t>
  </si>
  <si>
    <t>Malvern Ph2_Tracker.xlsx | Table row 31 | Delivery of MS | Inv DSV Inv: 180153158 | Col ExpenseActualTotal</t>
  </si>
  <si>
    <t>Delivery of MS</t>
  </si>
  <si>
    <t>DSV Inv: 180153158</t>
  </si>
  <si>
    <t>Malvern Ph2_Tracker.xlsx | Table row 32 | Clampfit Pro - Returned | Inv Schletter - CRN0281 | Col ExpenseActualTotal</t>
  </si>
  <si>
    <t>Clampfit Pro - Returned</t>
  </si>
  <si>
    <t>Schletter - CRN0281</t>
  </si>
  <si>
    <t>Malvern Ph2_Tracker.xlsx | Table row 35 | DC Cable | Inv Menlo - INV0003367 | Col ExpenseActualTotal</t>
  </si>
  <si>
    <t>Menlo - INV0003367</t>
  </si>
  <si>
    <t>Malvern Ph2_Tracker.xlsx | Table row 39 | Project Kick Off | Inv JA Electrical INV 111 | Col ExpenseActualTotal</t>
  </si>
  <si>
    <t>PO4403-MVE2-20251023 - RV Approved</t>
  </si>
  <si>
    <t>JA Electrical INV 111</t>
  </si>
  <si>
    <t>Malvern Ph2_Tracker.xlsx | Table row 40 | Site Establishment | Inv JA Electrical INV 1117 | Col ExpenseActualTotal</t>
  </si>
  <si>
    <t>JA Electrical INV 1117</t>
  </si>
  <si>
    <t>Malvern Ph2_Tracker.xlsx | Table row 41 | AC Installation Complete | Inv JA Electrical INV 1129 | Col ExpenseActualTotal</t>
  </si>
  <si>
    <t>JA Electrical INV 1129</t>
  </si>
  <si>
    <t>Malvern Ph2_Tracker.xlsx | Table row 42 | DC Installation Complete | Inv JA Electrical INV 1132 | Col ExpenseActualTotal</t>
  </si>
  <si>
    <t>JA Electrical INV 1132</t>
  </si>
  <si>
    <t>Malvern Ph2_Tracker.xlsx | Table row 43 | Commissioning Complete | Inv JA Electrical INV 1133 | Col ExpenseActualTotal</t>
  </si>
  <si>
    <t>JA Electrical INV 1133</t>
  </si>
  <si>
    <t>Malvern Ph2_Tracker.xlsx | Table row 44 | Site De-establisment | Inv JA Electrical INV 1134 | Col ExpenseActualTotal</t>
  </si>
  <si>
    <t>JA Electrical INV 1134</t>
  </si>
  <si>
    <t>Malvern Ph2_Tracker.xlsx | Table row 45 | Handover Document Complete | Inv JA Electrical INV 1135 | Col ExpenseActualTotal</t>
  </si>
  <si>
    <t>JA Electrical INV 1135</t>
  </si>
  <si>
    <t>Malvern Ph2_Tracker.xlsx | Table row 46 | End of Defects Period | Inv JA Electrical INV 1136 | Col ExpenseActualTotal</t>
  </si>
  <si>
    <t>JA Electrical INV 1136</t>
  </si>
  <si>
    <t>Malvern Ph2_Tracker.xlsx | Table row 53 | Techsitter | Inv Matriarch Inv: 6200 | Col ExpenseActualTotal</t>
  </si>
  <si>
    <t>Roedolph to confirm cost, what happened to PH1 meter?</t>
  </si>
  <si>
    <t>Malvern Ph2_Tracker.xlsx | Table row 54 | Delivery of Techsitter &amp; CT's | Inv DSV Inv: 180156055 | Col ExpenseActualTotal</t>
  </si>
  <si>
    <t>Delivery of Techsitter &amp; CT's</t>
  </si>
  <si>
    <t>DSV Inv: 180156055</t>
  </si>
  <si>
    <t>Malvern Ph2_Tracker.xlsx | Table row 65 | Project Kick Off | Inv JA Electrical INV 111 | Col ExpenseActualTotal</t>
  </si>
  <si>
    <t>Malvern Ph2_Tracker.xlsx | Table row 66 | Site Establishment | Inv JA Electrical INV 1117 | Col ExpenseActualTotal</t>
  </si>
  <si>
    <t>Malvern Ph2_Tracker.xlsx | Table row 67 | AC Installation Complete | Inv JA Electrical INV 1129 | Col ExpenseActualTotal</t>
  </si>
  <si>
    <t>Malvern Ph2_Tracker.xlsx | Table row 68 | DC Installation Complete | Inv JA Electrical INV 1132 | Col ExpenseActualTotal</t>
  </si>
  <si>
    <t>Malvern Ph2_Tracker.xlsx | Table row 69 | Commissioning Complete | Inv JA Electrical INV 1133 | Col ExpenseActualTotal</t>
  </si>
  <si>
    <t>Malvern Ph2_Tracker.xlsx | Table row 70 | Site De-establisment | Inv JA Electrical INV 1134 | Col ExpenseActualTotal</t>
  </si>
  <si>
    <t>Malvern Ph2_Tracker.xlsx | Table row 71 | Handover Document Complete | Inv JA Electrical INV 1135 | Col ExpenseActualTotal</t>
  </si>
  <si>
    <t>Malvern Ph2_Tracker.xlsx | Table row 72 | End of Defects Period | Inv JA Electrical INV 1136 | Col ExpenseActualTotal</t>
  </si>
  <si>
    <t>Malvern Ph2_Tracker.xlsx | Table row 87 | Inverter Awning - JRL Eng | Inv JRL Engineering INV00427 | Col ExpenseActualTotal</t>
  </si>
  <si>
    <t>Inverter Awning - JRL Eng</t>
  </si>
  <si>
    <t>PO4504-MVE2-20251128 - RV Approved</t>
  </si>
  <si>
    <t>JRL Engineering INV00427</t>
  </si>
  <si>
    <t>Malvern Ph2_Tracker.xlsx | Table row 97 | Project Kick Off | Inv JA Electrical INV 111 | Col ExpenseActualTotal</t>
  </si>
  <si>
    <t>Malvern Ph2_Tracker.xlsx | Table row 98 | Site Establishment | Inv JA Electrical INV 1117 | Col ExpenseActualTotal</t>
  </si>
  <si>
    <t>Malvern Ph2_Tracker.xlsx | Table row 99 | AC Installation Complete | Inv JA Electrical INV 1129 | Col ExpenseActualTotal</t>
  </si>
  <si>
    <t>Malvern Ph2_Tracker.xlsx | Table row 100 | DC Installation Complete | Inv JA Electrical INV 1132 | Col ExpenseActualTotal</t>
  </si>
  <si>
    <t>Malvern Ph2_Tracker.xlsx | Table row 101 | Commissioning Complete | Inv JA Electrical INV 1133 | Col ExpenseActualTotal</t>
  </si>
  <si>
    <t>Malvern Ph2_Tracker.xlsx | Table row 102 | Site De-establisment | Inv JA Electrical INV 1134 | Col ExpenseActualTotal</t>
  </si>
  <si>
    <t>Malvern Ph2_Tracker.xlsx | Table row 103 | Handover Document Complete | Inv JA Electrical INV 1135 | Col ExpenseActualTotal</t>
  </si>
  <si>
    <t>Malvern Ph2_Tracker.xlsx | Table row 104 | End of Defects Period | Inv JA Electrical INV 1136 | Col ExpenseActualTotal</t>
  </si>
  <si>
    <t>Malvern Ph2_Tracker.xlsx | Table row 110 | Security | Inv Gaul Solution - Inv 2318 | Col ExpenseActualTotal</t>
  </si>
  <si>
    <t>Gaul Solution - Inv 2318</t>
  </si>
  <si>
    <t>Malvern Ph2_Tracker.xlsx | Table row 113 | Project Kick Off | Inv JA Electrical INV 111 | Col ExpenseActualTotal</t>
  </si>
  <si>
    <t>Malvern Ph2_Tracker.xlsx | Table row 114 | Site Establishment | Inv JA Electrical INV 1117 | Col ExpenseActualTotal</t>
  </si>
  <si>
    <t>Malvern Ph2_Tracker.xlsx | Table row 115 | AC Installation Complete | Inv JA Electrical INV 1129 | Col ExpenseActualTotal</t>
  </si>
  <si>
    <t>Malvern Ph2_Tracker.xlsx | Table row 116 | DC Installation Complete | Inv JA Electrical INV 1132 | Col ExpenseActualTotal</t>
  </si>
  <si>
    <t>Malvern Ph2_Tracker.xlsx | Table row 117 | Commissioning Complete | Inv JA Electrical INV 1133 | Col ExpenseActualTotal</t>
  </si>
  <si>
    <t>Malvern Ph2_Tracker.xlsx | Table row 118 | Site De-establisment | Inv JA Electrical INV 1134 | Col ExpenseActualTotal</t>
  </si>
  <si>
    <t>Malvern Ph2_Tracker.xlsx | Table row 119 | Handover Document Complete | Inv JA Electrical INV 1135 | Col ExpenseActualTotal</t>
  </si>
  <si>
    <t>Malvern Ph2_Tracker.xlsx | Table row 120 | End of Defects Period | Inv JA Electrical INV 1136 | Col ExpenseActualTotal</t>
  </si>
  <si>
    <t>Malvern Ph2_Tracker.xlsx | Table row 125 | Electrical PrEng sign off | Inv SunSpot - E033 | Col ExpenseActualTotal</t>
  </si>
  <si>
    <t>Malvern Ph2_Tracker.xlsx | Table row 127 | Lightning Risk Assessment | Inv LPS - IN307443 | Col ExpenseActualTotal</t>
  </si>
  <si>
    <t>PO4407-MVE2-20251024 - RV Approved</t>
  </si>
  <si>
    <t>LPS - IN307443</t>
  </si>
  <si>
    <t>Malvern Ph2_Tracker.xlsx | Table row 128 | Red Team Inspection | Inv Matriarch - INV-6235 | Col ExpenseActualTotal</t>
  </si>
  <si>
    <t>Malvern Ph2_Tracker.xlsx | Table row 131 | PD Fee | Inv  | Col ExpenseActualTotal</t>
  </si>
  <si>
    <t>Malvern Ph2_Tracker.xlsx | Table row 134 | Matriarch Defects Period - 1.25% | Inv  | Col ExpenseActualTotal</t>
  </si>
  <si>
    <t>Malvern Ph2_Tracker.xlsx | Table row 135 | Management | Inv  | Col ExpenseActualTotal</t>
  </si>
  <si>
    <t>Malvern Ph2_Tracker.xlsx | Table row 136 | Project manager  | Inv  | Col ExpenseActualTotal</t>
  </si>
  <si>
    <t>Malvern Ph2_Tracker.xlsx | Table row 137 | Planner time | Inv  | Col ExpenseActualTotal</t>
  </si>
  <si>
    <t>Malvern Ph2_Tracker.xlsx | Table row 138 | De Snagging | Inv  | Col ExpenseActualTotal</t>
  </si>
  <si>
    <t>Malvern Ph2_Tracker.xlsx | Table row 141 | Travel | Inv Expense claim | Col ExpenseActualTotal</t>
  </si>
  <si>
    <t>Expense claim</t>
  </si>
  <si>
    <t>Malvern Ph2_Tracker.xlsx | Table row 142 | Travel | Inv Expense claim | Col ExpenseActualTotal</t>
  </si>
  <si>
    <t>Malvern Ph2_Tracker.xlsx | Table row 143 | Travel | Inv Expense claim | Col ExpenseActualTotal</t>
  </si>
  <si>
    <t>Malvern Ph2_Tracker.xlsx | Table row 144 | Travel | Inv Expense claim | Col ExpenseActualTotal</t>
  </si>
  <si>
    <t>Malvern Ph2_Tracker.xlsx | Table row 145 | Travel | Inv  | Col ExpenseActualTotal</t>
  </si>
  <si>
    <t>Malvern Ph2_Tracker.xlsx | Table row 154 | Higeco Commissioning - Infinity Renewables | Inv Infinity Renewable - IN002297 | Col ExpenseActualTotal</t>
  </si>
  <si>
    <t>Higeco Commissioning - Infinity Renewables</t>
  </si>
  <si>
    <t>PO4491-MVE2-20251126 - RV Approved</t>
  </si>
  <si>
    <t>Infinity Renewable - IN002297</t>
  </si>
  <si>
    <t>Marikana Old Church_Tracker.xlsx | Table row 6 | Jinko 620W - Menlo  | Inv Menlo Inv0003030 | Col ExpenseActualTotal</t>
  </si>
  <si>
    <t xml:space="preserve">Jinko 620W - Menlo </t>
  </si>
  <si>
    <t>PO3910-DIP-PH2-OLDCHUR-20250514</t>
  </si>
  <si>
    <t>Menlo Inv0003030</t>
  </si>
  <si>
    <t>Marikana Old Church_Tracker.xlsx | Table row 13 | Huawei 100KTL - Menlo  | Inv Menlo Inv0003030 | Col ExpenseActualTotal</t>
  </si>
  <si>
    <t xml:space="preserve">Huawei 100KTL - Menlo </t>
  </si>
  <si>
    <t>Marikana Old Church_Tracker.xlsx | Table row 21 | Schletter Structure | Inv Schletter Inv: 1851 | Col ExpenseActualTotal</t>
  </si>
  <si>
    <t>PO3980-MAROC-20250604 - RV Approved</t>
  </si>
  <si>
    <t>Schletter Inv: 1851</t>
  </si>
  <si>
    <t>Marikana Old Church_Tracker.xlsx | Table row 28 | DC Cable - Menlo | Inv Menlo Inv0003030 | Col ExpenseActualTotal</t>
  </si>
  <si>
    <t>Marikana Old Church_Tracker.xlsx | Table row 32 | Project Kick Off | Inv Greenway Solar - INV0001378 | Col ExpenseActualTotal</t>
  </si>
  <si>
    <t>PO3938-DIP-Ph2OldChurch-20250520 - RV Approved</t>
  </si>
  <si>
    <t>Greenway Solar - INV0001378</t>
  </si>
  <si>
    <t>Marikana Old Church_Tracker.xlsx | Table row 33 | Site Establishment | Inv Greenway Solar - INV0001390 | Col ExpenseActualTotal</t>
  </si>
  <si>
    <t>Greenway Solar - INV0001390</t>
  </si>
  <si>
    <t>Marikana Old Church_Tracker.xlsx | Table row 34 | AC Installation Complete | Inv Greenway Solar - INV0001424 | Col ExpenseActualTotal</t>
  </si>
  <si>
    <t>Greenway Solar - INV0001424</t>
  </si>
  <si>
    <t>Marikana Old Church_Tracker.xlsx | Table row 35 | DC Installation Complete | Inv Greenway Solar - INV0001424 | Col ExpenseActualTotal</t>
  </si>
  <si>
    <t>Marikana Old Church_Tracker.xlsx | Table row 36 | Commissioning Complete | Inv Greenway Solar - INV0001424 | Col ExpenseActualTotal</t>
  </si>
  <si>
    <t>Marikana Old Church_Tracker.xlsx | Table row 37 | Site De-establisment | Inv Greenway Solar - INV0001424 | Col ExpenseActualTotal</t>
  </si>
  <si>
    <t>Marikana Old Church_Tracker.xlsx | Table row 38 | Handover Document Complete | Inv Greenway Solar - INV0001424 | Col ExpenseActualTotal</t>
  </si>
  <si>
    <t>Marikana Old Church_Tracker.xlsx | Table row 39 | End of Defects Period | Inv Greenway Solar - INV0001424 | Col ExpenseActualTotal</t>
  </si>
  <si>
    <t>Marikana Old Church_Tracker.xlsx | Table row 44 | Smartlogger - Menlo | Inv Menlo INV0002937 | Col ExpenseActualTotal</t>
  </si>
  <si>
    <t>Menlo INV0002937</t>
  </si>
  <si>
    <t>Marikana Old Church_Tracker.xlsx | Table row 45 | CTs &amp; Meters | Inv Accuenergy Inv: ASAI-005366 | Col ExpenseActualTotal</t>
  </si>
  <si>
    <t>PO3840-DIP-Ph2-Mari-Chu-20250429 - RV Approved</t>
  </si>
  <si>
    <t>Accuenergy Inv: ASAI-005366</t>
  </si>
  <si>
    <t>Marikana Old Church_Tracker.xlsx | Table row 46 |  | Inv Accuenergy - Inv ASAI-005800 | Col ExpenseActualTotal</t>
  </si>
  <si>
    <t>Marikana Old Church_Tracker.xlsx | Table row 47 | Techsitter | Inv Matriarch Inv: 4451 | Col ExpenseActualTotal</t>
  </si>
  <si>
    <t>Marikana Old Church_Tracker.xlsx | Table row 48 | UPS | Inv Frontline INV725690 | Col ExpenseActualTotal</t>
  </si>
  <si>
    <t>Marikana Old Church_Tracker.xlsx | Table row 54 | PVDB | Inv Switchboard Inv:2-SOI002192 | Col ExpenseActualTotal</t>
  </si>
  <si>
    <t>PO3929-DIP-Ph2-OldChurch-20250519 - RV Approved</t>
  </si>
  <si>
    <t>Switchboard Inv:2-SOI002192</t>
  </si>
  <si>
    <t>Marikana Old Church_Tracker.xlsx | Table row 59 | Project Kick Off | Inv Greenway Solar - INV0001378 | Col ExpenseActualTotal</t>
  </si>
  <si>
    <t>Marikana Old Church_Tracker.xlsx | Table row 60 | Site Establishment | Inv Greenway Solar - INV0001390 | Col ExpenseActualTotal</t>
  </si>
  <si>
    <t>Marikana Old Church_Tracker.xlsx | Table row 61 | AC Installation Complete | Inv Greenway Solar - INV0001424 | Col ExpenseActualTotal</t>
  </si>
  <si>
    <t>Marikana Old Church_Tracker.xlsx | Table row 62 | DC Installation Complete | Inv Greenway Solar - INV0001424 | Col ExpenseActualTotal</t>
  </si>
  <si>
    <t>Marikana Old Church_Tracker.xlsx | Table row 63 | Commissioning Complete | Inv Greenway Solar - INV0001424 | Col ExpenseActualTotal</t>
  </si>
  <si>
    <t>Marikana Old Church_Tracker.xlsx | Table row 64 | Site De-establisment | Inv Greenway Solar - INV0001424 | Col ExpenseActualTotal</t>
  </si>
  <si>
    <t>Marikana Old Church_Tracker.xlsx | Table row 65 | Handover Document Complete | Inv Greenway Solar - INV0001424 | Col ExpenseActualTotal</t>
  </si>
  <si>
    <t>Marikana Old Church_Tracker.xlsx | Table row 66 | End of Defects Period | Inv Greenway Solar - INV0001424 | Col ExpenseActualTotal</t>
  </si>
  <si>
    <t>Marikana Old Church_Tracker.xlsx | Table row 80 | Estop | Inv The Greenway - INV0001511 | Col ExpenseActualTotal</t>
  </si>
  <si>
    <t>PO4397-MAROC-20251023 - RV Approved</t>
  </si>
  <si>
    <t>The Greenway - INV0001511</t>
  </si>
  <si>
    <t>Marikana Old Church_Tracker.xlsx | Table row 82 | Inverter Cage with Roof | Inv The Engineering Hub INV/2025/06/0577 | Col ExpenseActualTotal</t>
  </si>
  <si>
    <t>PO4024-MAR-OC-20250623 - RV Approved</t>
  </si>
  <si>
    <t>The Engineering Hub INV/2025/06/0577</t>
  </si>
  <si>
    <t>Marikana Old Church_Tracker.xlsx | Table row 84 | Inverter room Budget | Inv Van Staden Three INV3000 | Col ExpenseActualTotal</t>
  </si>
  <si>
    <t>Inverter room Budget</t>
  </si>
  <si>
    <t>PO4321-MAR-OC-20250919 - RV Approved</t>
  </si>
  <si>
    <t>Van Staden Three INV3000</t>
  </si>
  <si>
    <t>Marikana Old Church_Tracker.xlsx | Table row 85 |  | Inv Van Staden Three INV3038 | Col ExpenseActualTotal</t>
  </si>
  <si>
    <t>Van Staden Three INV3038</t>
  </si>
  <si>
    <t>Marikana Old Church_Tracker.xlsx | Table row 86 | Waterpoints | Inv Van Staden Group Inv: 1655 | Col ExpenseActualTotal</t>
  </si>
  <si>
    <t>PO4326-MAR-OC-20250929 - RV Approved</t>
  </si>
  <si>
    <t>Van Staden Group Inv: 1655</t>
  </si>
  <si>
    <t>Marikana Old Church_Tracker.xlsx | Table row 87 | Strapping of Trays | Inv The Greenway INV0001525 | Col ExpenseActualTotal</t>
  </si>
  <si>
    <t>Strapping of Trays</t>
  </si>
  <si>
    <t>PO4412-MAROC-20251027 - RV Approved</t>
  </si>
  <si>
    <t>The Greenway INV0001525</t>
  </si>
  <si>
    <t>Marikana Old Church_Tracker.xlsx | Table row 88 | Modification of inverter cage | Inv The Engineering Hub INV/2026/01/0253 | Col ExpenseActualTotal</t>
  </si>
  <si>
    <t>Modification of inverter cage</t>
  </si>
  <si>
    <t>PO4574-MAROC-20260126 - RV Approved</t>
  </si>
  <si>
    <t>The Engineering Hub INV/2026/01/0253</t>
  </si>
  <si>
    <t>Marikana Old Church_Tracker.xlsx | Table row 91 | Project Kick Off | Inv Greenway Solar - INV0001378 | Col ExpenseActualTotal</t>
  </si>
  <si>
    <t>Marikana Old Church_Tracker.xlsx | Table row 92 | Site Establishment | Inv Greenway Solar - INV0001390 | Col ExpenseActualTotal</t>
  </si>
  <si>
    <t>Marikana Old Church_Tracker.xlsx | Table row 93 | AC Installation Complete | Inv Greenway Solar - INV0001424 | Col ExpenseActualTotal</t>
  </si>
  <si>
    <t>Marikana Old Church_Tracker.xlsx | Table row 94 | DC Installation Complete | Inv Greenway Solar - INV0001424 | Col ExpenseActualTotal</t>
  </si>
  <si>
    <t>Marikana Old Church_Tracker.xlsx | Table row 95 | Commissioning Complete | Inv Greenway Solar - INV0001424 | Col ExpenseActualTotal</t>
  </si>
  <si>
    <t>Marikana Old Church_Tracker.xlsx | Table row 96 | Site De-establisment | Inv Greenway Solar - INV0001424 | Col ExpenseActualTotal</t>
  </si>
  <si>
    <t>Marikana Old Church_Tracker.xlsx | Table row 97 | Handover Document Complete | Inv Greenway Solar - INV0001424 | Col ExpenseActualTotal</t>
  </si>
  <si>
    <t>Marikana Old Church_Tracker.xlsx | Table row 98 | End of Defects Period | Inv Greenway Solar - INV0001424 | Col ExpenseActualTotal</t>
  </si>
  <si>
    <t>Marikana Old Church_Tracker.xlsx | Table row 107 | Security - August | Inv JerryG &amp; Sons INV12 | Col ExpenseActualTotal</t>
  </si>
  <si>
    <t>PO4256-MAROC-20250831 - RV Approved</t>
  </si>
  <si>
    <t>JerryG &amp; Sons INV12</t>
  </si>
  <si>
    <t>Marikana Old Church_Tracker.xlsx | Table row 108 | Security - October | Inv JerryG &amp; Sons INV15 | Col ExpenseActualTotal</t>
  </si>
  <si>
    <t>JerryG &amp; Sons INV15</t>
  </si>
  <si>
    <t>Marikana Old Church_Tracker.xlsx | Table row 109 | Security - November | Inv JerryG&amp; Sons INV19 | Col ExpenseActualTotal</t>
  </si>
  <si>
    <t>JerryG&amp; Sons INV19</t>
  </si>
  <si>
    <t>Marikana Old Church_Tracker.xlsx | Table row 110 | Security - December | Inv JerryG&amp; Sons INV23 | Col ExpenseActualTotal</t>
  </si>
  <si>
    <t>JerryG&amp; Sons INV23</t>
  </si>
  <si>
    <t>Marikana Old Church_Tracker.xlsx | Table row 111 | Security - January | Inv JerryG &amp; Sons INV25 | Col ExpenseActualTotal</t>
  </si>
  <si>
    <t>Security - January</t>
  </si>
  <si>
    <t>JerryG &amp; Sons INV25</t>
  </si>
  <si>
    <t>Marikana Old Church_Tracker.xlsx | Table row 113 | Project Kick Off | Inv Greenway Solar - INV0001378 | Col ExpenseActualTotal</t>
  </si>
  <si>
    <t>Marikana Old Church_Tracker.xlsx | Table row 114 | Site Establishment | Inv Greenway Solar - INV0001390 | Col ExpenseActualTotal</t>
  </si>
  <si>
    <t>Marikana Old Church_Tracker.xlsx | Table row 115 | AC Installation Complete | Inv Greenway Solar - INV0001424 | Col ExpenseActualTotal</t>
  </si>
  <si>
    <t>Marikana Old Church_Tracker.xlsx | Table row 116 | DC Installation Complete | Inv Greenway Solar - INV0001424 | Col ExpenseActualTotal</t>
  </si>
  <si>
    <t>Marikana Old Church_Tracker.xlsx | Table row 117 | Commissioning Complete | Inv Greenway Solar - INV0001424 | Col ExpenseActualTotal</t>
  </si>
  <si>
    <t>Marikana Old Church_Tracker.xlsx | Table row 118 | Site De-establisment | Inv Greenway Solar - INV0001424 | Col ExpenseActualTotal</t>
  </si>
  <si>
    <t>Marikana Old Church_Tracker.xlsx | Table row 119 | Handover Document Complete | Inv Greenway Solar - INV0001424 | Col ExpenseActualTotal</t>
  </si>
  <si>
    <t>Marikana Old Church_Tracker.xlsx | Table row 120 | End of Defects Period | Inv Greenway Solar - INV0001424 | Col ExpenseActualTotal</t>
  </si>
  <si>
    <t>Marikana Old Church_Tracker.xlsx | Table row 125 | Electrical PrEng sign off | Inv Sunspot E027 | Col ExpenseActualTotal</t>
  </si>
  <si>
    <t>Marikana Old Church_Tracker.xlsx | Table row 126 | Structural Sign Off | Inv L&amp;B Consulting - Invoice 1934 | Col ExpenseActualTotal</t>
  </si>
  <si>
    <t>Marikana Old Church_Tracker.xlsx | Table row 127 | Red Team Inspection | Inv Matriarch - INV-5370 | Col ExpenseActualTotal</t>
  </si>
  <si>
    <t>Marikana Old Church_Tracker.xlsx | Table row 134 | Matriarch Defects Period - 1.25% | Inv Matriarch - INV-5369 | Col ExpenseActualTotal</t>
  </si>
  <si>
    <t>Marikana Old Church_Tracker.xlsx | Table row 135 | Management | Inv  | Col ExpenseActualTotal</t>
  </si>
  <si>
    <t>Marikana Old Church_Tracker.xlsx | Table row 136 | Project manager  | Inv  | Col ExpenseActualTotal</t>
  </si>
  <si>
    <t>Marikana Old Church_Tracker.xlsx | Table row 137 | Planner time | Inv  | Col ExpenseActualTotal</t>
  </si>
  <si>
    <t>Marikana Old Church_Tracker.xlsx | Table row 138 | De Snagging | Inv  | Col ExpenseActualTotal</t>
  </si>
  <si>
    <t>Marikana Old Church_Tracker.xlsx | Table row 141 | Travel | Inv  | Col ExpenseActualTotal</t>
  </si>
  <si>
    <t>Marikana Old Church_Tracker.xlsx | Table row 142 | Travel | Inv  | Col ExpenseActualTotal</t>
  </si>
  <si>
    <t>Marikana Old Church_Tracker.xlsx | Table row 143 | Travel | Inv  | Col ExpenseActualTotal</t>
  </si>
  <si>
    <t>Marikana Old Church_Tracker.xlsx | Table row 144 | Travel | Inv Expense Claim | Col ExpenseActualTotal</t>
  </si>
  <si>
    <t>Marikana Old Church_Tracker.xlsx | Table row 145 | Travel | Inv Expense Claim | Col ExpenseActualTotal</t>
  </si>
  <si>
    <t>Marikana Old Church_Tracker.xlsx | Table row 146 | Travel | Inv Expense Claim | Col ExpenseActualTotal</t>
  </si>
  <si>
    <t>Marikana Old Church_Tracker.xlsx | Table row 147 | Travel | Inv Expense Claim | Col ExpenseActualTotal</t>
  </si>
  <si>
    <t>Marikana Old Church_Tracker.xlsx | Table row 148 | Travel | Inv Expense Claim | Col ExpenseActualTotal</t>
  </si>
  <si>
    <t>Marikana Old Church_Tracker.xlsx | Table row 149 | Travel | Inv Expense Claim | Col ExpenseActualTotal</t>
  </si>
  <si>
    <t>Marikana Old Church_Tracker.xlsx | Table row 150 | Travel | Inv  | Col ExpenseActualTotal</t>
  </si>
  <si>
    <t>Marikana Old Church_Tracker.xlsx | Table row 157 | Community Engagement | Inv  | Col ExpenseActualTotal</t>
  </si>
  <si>
    <t>Marikana Old Church_Tracker.xlsx | Table row 160 | New Installer Contigency Fund | Inv  | Col ExpenseActualTotal</t>
  </si>
  <si>
    <t>New Installer Contigency Fund</t>
  </si>
  <si>
    <t>Marikana Old Church_Tracker.xlsx | Table row 162 | Delays and standing time - VO | Inv The Greenway Soalr - INV0001516 | Col ExpenseActualTotal</t>
  </si>
  <si>
    <t>Delays and standing time - VO</t>
  </si>
  <si>
    <t>PO4433-MAROC-20251031 - RV Approved</t>
  </si>
  <si>
    <t>The Greenway Soalr - INV0001516</t>
  </si>
  <si>
    <t>Marikana Old Church_Tracker.xlsx | Table row 163 |  | Inv The Greenway Soalr - INV0001516 | Col ExpenseActualTotal</t>
  </si>
  <si>
    <t>Marikana Shoprite_Tracker.xlsx | Table row 6 | Jinko 585W - Menlo | Inv Menlo INV0002855 | Col ExpenseActualTotal</t>
  </si>
  <si>
    <t>Jinko 585W - Menlo</t>
  </si>
  <si>
    <t>po3911-dip-ph2-mari-20250514</t>
  </si>
  <si>
    <t>Menlo INV0002855</t>
  </si>
  <si>
    <t>Marikana Shoprite_Tracker.xlsx | Table row 9 | Jinko 585W | Inv Menlo INV0002946 | Col ExpenseActualTotal</t>
  </si>
  <si>
    <t>Jinko 585W</t>
  </si>
  <si>
    <t>Menlo INV0002946</t>
  </si>
  <si>
    <t>Marikana Shoprite_Tracker.xlsx | Table row 13 | Huawei 100KTL - Menlo | Inv Menlo Inv:INV0003031 | Col ExpenseActualTotal</t>
  </si>
  <si>
    <t>PO3896-DIP-PH2-MARI=20250514</t>
  </si>
  <si>
    <t>Menlo Inv:INV0003031</t>
  </si>
  <si>
    <t>Marikana Shoprite_Tracker.xlsx | Table row 14 | Huawei 100KTL - Menlo | Inv Menlo - INV0003291 | Col ExpenseActualTotal</t>
  </si>
  <si>
    <t>Menlo - INV0003291</t>
  </si>
  <si>
    <t>Marikana Shoprite_Tracker.xlsx | Table row 15 |  | Inv Menlo - INV0003291 | Col ExpenseActualTotal</t>
  </si>
  <si>
    <t>Marikana Shoprite_Tracker.xlsx | Table row 16 |  | Inv Menlo - CRN0000261 | Col ExpenseActualTotal</t>
  </si>
  <si>
    <t>Menlo - CRN0000261</t>
  </si>
  <si>
    <t>Marikana Shoprite_Tracker.xlsx | Table row 21 | Schletter Structure | Inv Schletter Inv: 1853 | Col ExpenseActualTotal</t>
  </si>
  <si>
    <t>PO3982-MARSR-20250604 - RV Approved</t>
  </si>
  <si>
    <t>Schletter Inv: 1853</t>
  </si>
  <si>
    <t>Marikana Shoprite_Tracker.xlsx | Table row 22 | Seam Clamps (From PE Store) | Inv Allocated from PE Storeroom | Col ExpenseActualTotal</t>
  </si>
  <si>
    <t>Seam Clamps (From PE Store)</t>
  </si>
  <si>
    <t>Allocated from PE Storeroom</t>
  </si>
  <si>
    <t>Marikana Shoprite_Tracker.xlsx | Table row 23 | Seam Clamps (Returned PE Store) | Inv Allocated to PE Storeroom | Col ExpenseActualTotal</t>
  </si>
  <si>
    <t>Seam Clamps (Returned PE Store)</t>
  </si>
  <si>
    <t>Allocated to PE Storeroom</t>
  </si>
  <si>
    <t>Marikana Shoprite_Tracker.xlsx | Table row 24 | End Clamps | Inv Allocated from PE Storeroom | Col ExpenseActualTotal</t>
  </si>
  <si>
    <t>Marikana Shoprite_Tracker.xlsx | Table row 28 | DC Cable - Menlo | Inv Menlo INV0002855 | Col ExpenseActualTotal</t>
  </si>
  <si>
    <t>PO3911-DIP-PH2-MARI-20250514</t>
  </si>
  <si>
    <t>Marikana Shoprite_Tracker.xlsx | Table row 32 | Project Kick Off | Inv Greenway Solar: INV0001377 | Col ExpenseActualTotal</t>
  </si>
  <si>
    <t>PO3937-DIP-Ph2-Mari-20250520 - RV Approved</t>
  </si>
  <si>
    <t>Greenway Solar: INV0001377</t>
  </si>
  <si>
    <t>Marikana Shoprite_Tracker.xlsx | Table row 33 | Site Establishment | Inv Greenway Solar: INV0001389 | Col ExpenseActualTotal</t>
  </si>
  <si>
    <t>Greenway Solar: INV0001389</t>
  </si>
  <si>
    <t>Marikana Shoprite_Tracker.xlsx | Table row 34 | AC Installation Complete | Inv Greenway Solar: INV0001425 | Col ExpenseActualTotal</t>
  </si>
  <si>
    <t>Greenway Solar: INV0001425</t>
  </si>
  <si>
    <t>Marikana Shoprite_Tracker.xlsx | Table row 35 | DC Installation Complete | Inv Greenway Solar: INV0001425 | Col ExpenseActualTotal</t>
  </si>
  <si>
    <t>Marikana Shoprite_Tracker.xlsx | Table row 36 | Commissioning Complete | Inv Greenway Solar: INV0001425 | Col ExpenseActualTotal</t>
  </si>
  <si>
    <t>Marikana Shoprite_Tracker.xlsx | Table row 37 | Site De-establisment | Inv Greenway Solar: INV0001425 | Col ExpenseActualTotal</t>
  </si>
  <si>
    <t>Marikana Shoprite_Tracker.xlsx | Table row 38 | Handover Document Complete | Inv Greenway Solar: INV0001425 | Col ExpenseActualTotal</t>
  </si>
  <si>
    <t>Marikana Shoprite_Tracker.xlsx | Table row 39 | End of Defects Period | Inv Greenway Solar: INV0001425 | Col ExpenseActualTotal</t>
  </si>
  <si>
    <t>Marikana Shoprite_Tracker.xlsx | Table row 44 | Smartlogger | Inv Menlo INV0002930 | Col ExpenseActualTotal</t>
  </si>
  <si>
    <t>PO3896-DIP-PH2-MARI-20250514</t>
  </si>
  <si>
    <t>Menlo INV0002930</t>
  </si>
  <si>
    <t>Marikana Shoprite_Tracker.xlsx | Table row 45 | CTs &amp; Meters | Inv Accuenergy - INV ASAI-005356 | Col ExpenseActualTotal</t>
  </si>
  <si>
    <t>PO3830-DIP-Ph2-Mari-20250429 - RV Approved</t>
  </si>
  <si>
    <t>Accuenergy - INV ASAI-005356</t>
  </si>
  <si>
    <t>Marikana Shoprite_Tracker.xlsx | Table row 46 | DIN Rail | Inv Accuenergy - Inv ASAI-005800 | Col ExpenseActualTotal</t>
  </si>
  <si>
    <t>DIN Rail</t>
  </si>
  <si>
    <t>Marikana Shoprite_Tracker.xlsx | Table row 47 | Techsitter | Inv Matriarch Inv: 4451 | Col ExpenseActualTotal</t>
  </si>
  <si>
    <t>Marikana Shoprite_Tracker.xlsx | Table row 48 | UPS | Inv Frontline Electrical: INV725690 | Col ExpenseActualTotal</t>
  </si>
  <si>
    <t>Frontline Electrical: INV725690</t>
  </si>
  <si>
    <t>Marikana Shoprite_Tracker.xlsx | Table row 54 | PVDB | Inv Switchboard - Inv 2-SOI002190 | Col ExpenseActualTotal</t>
  </si>
  <si>
    <t>PO3890-DIP-Ph2-Marikana-20250513 - RV Approved</t>
  </si>
  <si>
    <t>Switchboard - Inv 2-SOI002190</t>
  </si>
  <si>
    <t>Marikana Shoprite_Tracker.xlsx | Table row 59 | Project Kick Off | Inv Greenway Solar: INV0001377 | Col ExpenseActualTotal</t>
  </si>
  <si>
    <t>Marikana Shoprite_Tracker.xlsx | Table row 60 | Site Establishment | Inv Greenway Solar: INV0001389 | Col ExpenseActualTotal</t>
  </si>
  <si>
    <t>Marikana Shoprite_Tracker.xlsx | Table row 61 | AC Installation Complete | Inv Greenway Solar: INV0001425 | Col ExpenseActualTotal</t>
  </si>
  <si>
    <t>Marikana Shoprite_Tracker.xlsx | Table row 62 | DC Installation Complete | Inv Greenway Solar: INV0001425 | Col ExpenseActualTotal</t>
  </si>
  <si>
    <t>Marikana Shoprite_Tracker.xlsx | Table row 63 | Commissioning Complete | Inv Greenway Solar: INV0001425 | Col ExpenseActualTotal</t>
  </si>
  <si>
    <t>Marikana Shoprite_Tracker.xlsx | Table row 64 | Site De-establisment | Inv Greenway Solar: INV0001425 | Col ExpenseActualTotal</t>
  </si>
  <si>
    <t>Marikana Shoprite_Tracker.xlsx | Table row 65 | Handover Document Complete | Inv Greenway Solar: INV0001425 | Col ExpenseActualTotal</t>
  </si>
  <si>
    <t>Marikana Shoprite_Tracker.xlsx | Table row 66 | End of Defects Period | Inv Greenway Solar: INV0001425 | Col ExpenseActualTotal</t>
  </si>
  <si>
    <t>Marikana Shoprite_Tracker.xlsx | Table row 80 | Estop | Inv The Greenway - INV0001512 | Col ExpenseActualTotal</t>
  </si>
  <si>
    <t>PO4396-MARSR-20251023 - RV Approved</t>
  </si>
  <si>
    <t>The Greenway - INV0001512</t>
  </si>
  <si>
    <t>Marikana Shoprite_Tracker.xlsx | Table row 81 | Modification on inverter cage | Inv The Engineering Hub Inv: INV/2026/01/0252 | Col ExpenseActualTotal</t>
  </si>
  <si>
    <t>PO4573-MARSH-20260126 - RV Approved</t>
  </si>
  <si>
    <t>The Engineering Hub Inv: INV/2026/01/0252</t>
  </si>
  <si>
    <t>Marikana Shoprite_Tracker.xlsx | Table row 82 | Inverter Cage with Roof | Inv The Engineering Hub Inv: INV/2025/06/0572 | Col ExpenseActualTotal</t>
  </si>
  <si>
    <t>The Engineering Hub Inv: INV/2025/06/0572</t>
  </si>
  <si>
    <t>Marikana Shoprite_Tracker.xlsx | Table row 83 | Replace Stolen Earth Cable | Inv The Greenway Solar Inv: INV0001585 | Col ExpenseActualTotal</t>
  </si>
  <si>
    <t>Replace Stolen Earth Cable</t>
  </si>
  <si>
    <t>PO4535-MARSR-20251210 - RV Approved</t>
  </si>
  <si>
    <t>The Greenway Solar Inv: INV0001585</t>
  </si>
  <si>
    <t>Marikana Shoprite_Tracker.xlsx | Table row 84 | Inverter Room Budget | Inv Van Staden Three INV3001 | Col ExpenseActualTotal</t>
  </si>
  <si>
    <t>Inverter Room Budget</t>
  </si>
  <si>
    <t>PO4322-MAR-SR-20250919 - RV Approved</t>
  </si>
  <si>
    <t>Van Staden Three INV3001</t>
  </si>
  <si>
    <t>Marikana Shoprite_Tracker.xlsx | Table row 85 |  | Inv Van Staden Three INV3039 | Col ExpenseActualTotal</t>
  </si>
  <si>
    <t>Van Staden Three INV3039</t>
  </si>
  <si>
    <t>Marikana Shoprite_Tracker.xlsx | Table row 86 | Waterpoints | Inv Van Staden Group Inv: 1656 | Col ExpenseActualTotal</t>
  </si>
  <si>
    <t>PO4326-MAR-OC-2025092 - RV Approved</t>
  </si>
  <si>
    <t>Van Staden Group Inv: 1656</t>
  </si>
  <si>
    <t>Marikana Shoprite_Tracker.xlsx | Table row 87 | Strapping of Trays | Inv The Greenway - INV0001527 | Col ExpenseActualTotal</t>
  </si>
  <si>
    <t>PO4411-MARSR-20251027 - RV Approved</t>
  </si>
  <si>
    <t>The Greenway - INV0001527</t>
  </si>
  <si>
    <t>Marikana Shoprite_Tracker.xlsx | Table row 88 | Replacement of Earth Cable - VO | Inv The Greenway - INV0001518 | Col ExpenseActualTotal</t>
  </si>
  <si>
    <t>Replacement of Earth Cable - VO</t>
  </si>
  <si>
    <t>PO4410-MARSR-20251027 - RV Approved</t>
  </si>
  <si>
    <t>The Greenway - INV0001518</t>
  </si>
  <si>
    <t>Marikana Shoprite_Tracker.xlsx | Table row 91 | Project Kick Off | Inv Greenway Solar: INV0001377 | Col ExpenseActualTotal</t>
  </si>
  <si>
    <t>Marikana Shoprite_Tracker.xlsx | Table row 92 | Site Establishment | Inv Greenway Solar: INV0001389 | Col ExpenseActualTotal</t>
  </si>
  <si>
    <t>Marikana Shoprite_Tracker.xlsx | Table row 93 | AC Installation Complete | Inv Greenway Solar: INV0001425 | Col ExpenseActualTotal</t>
  </si>
  <si>
    <t>Marikana Shoprite_Tracker.xlsx | Table row 94 | DC Installation Complete | Inv Greenway Solar: INV0001425 | Col ExpenseActualTotal</t>
  </si>
  <si>
    <t>Marikana Shoprite_Tracker.xlsx | Table row 95 | Commissioning Complete | Inv Greenway Solar: INV0001425 | Col ExpenseActualTotal</t>
  </si>
  <si>
    <t>Marikana Shoprite_Tracker.xlsx | Table row 96 | Site De-establisment | Inv Greenway Solar: INV0001425 | Col ExpenseActualTotal</t>
  </si>
  <si>
    <t>Marikana Shoprite_Tracker.xlsx | Table row 97 | Handover Document Complete | Inv Greenway Solar: INV0001425 | Col ExpenseActualTotal</t>
  </si>
  <si>
    <t>Marikana Shoprite_Tracker.xlsx | Table row 98 | End of Defects Period | Inv Greenway Solar: INV0001425 | Col ExpenseActualTotal</t>
  </si>
  <si>
    <t>Marikana Shoprite_Tracker.xlsx | Table row 105 | Security - June | Inv JerryG &amp; Sons INV6 | Col ExpenseActualTotal</t>
  </si>
  <si>
    <t>PO4033-MAR-20250625 - RV Approved</t>
  </si>
  <si>
    <t>JerryG &amp; Sons INV6</t>
  </si>
  <si>
    <t>Marikana Shoprite_Tracker.xlsx | Table row 106 | Security - July | Inv JerryG &amp; Sons INV9 | Col ExpenseActualTotal</t>
  </si>
  <si>
    <t>JerryG &amp; Sons INV9</t>
  </si>
  <si>
    <t>Marikana Shoprite_Tracker.xlsx | Table row 107 | Security - August | Inv JerryG &amp; Sons INV10 | Col ExpenseActualTotal</t>
  </si>
  <si>
    <t>JerryG &amp; Sons INV10</t>
  </si>
  <si>
    <t>Marikana Shoprite_Tracker.xlsx | Table row 108 | Security - September | Inv JerryG &amp; Sons: INV14 | Col ExpenseActualTotal</t>
  </si>
  <si>
    <t>JerryG &amp; Sons: INV14</t>
  </si>
  <si>
    <t>Marikana Shoprite_Tracker.xlsx | Table row 109 | Security - October | Inv JerryG &amp; Sons: INV16 | Col ExpenseActualTotal</t>
  </si>
  <si>
    <t>JerryG &amp; Sons: INV16</t>
  </si>
  <si>
    <t>Marikana Shoprite_Tracker.xlsx | Table row 110 | Security - November | Inv JerryG &amp; Sons INV20 | Col ExpenseActualTotal</t>
  </si>
  <si>
    <t>JerryG &amp; Sons INV20</t>
  </si>
  <si>
    <t>Marikana Shoprite_Tracker.xlsx | Table row 111 | Security - December | Inv JerryG &amp; Sons INV23 | Col ExpenseActualTotal</t>
  </si>
  <si>
    <t>JerryG &amp; Sons INV23</t>
  </si>
  <si>
    <t>Marikana Shoprite_Tracker.xlsx | Table row 112 | Security - January | Inv JerryG &amp; Sons INV26 | Col ExpenseActualTotal</t>
  </si>
  <si>
    <t>JerryG &amp; Sons INV26</t>
  </si>
  <si>
    <t>Marikana Shoprite_Tracker.xlsx | Table row 115 | Project Kick Off | Inv Greenway Solar: INV0001377 | Col ExpenseActualTotal</t>
  </si>
  <si>
    <t>Marikana Shoprite_Tracker.xlsx | Table row 116 | Site Establishment | Inv Greenway Solar: INV0001389 | Col ExpenseActualTotal</t>
  </si>
  <si>
    <t>Marikana Shoprite_Tracker.xlsx | Table row 117 | AC Installation Complete | Inv Greenway Solar: INV0001425 | Col ExpenseActualTotal</t>
  </si>
  <si>
    <t>Marikana Shoprite_Tracker.xlsx | Table row 118 | DC Installation Complete | Inv Greenway Solar: INV0001425 | Col ExpenseActualTotal</t>
  </si>
  <si>
    <t>Marikana Shoprite_Tracker.xlsx | Table row 119 | Commissioning Complete | Inv Greenway Solar: INV0001425 | Col ExpenseActualTotal</t>
  </si>
  <si>
    <t>Marikana Shoprite_Tracker.xlsx | Table row 120 | Site De-establisment | Inv Greenway Solar: INV0001425 | Col ExpenseActualTotal</t>
  </si>
  <si>
    <t>Marikana Shoprite_Tracker.xlsx | Table row 121 | Handover Document Complete | Inv Greenway Solar: INV0001425 | Col ExpenseActualTotal</t>
  </si>
  <si>
    <t>Marikana Shoprite_Tracker.xlsx | Table row 122 | End of Defects Period | Inv Greenway Solar: INV0001425 | Col ExpenseActualTotal</t>
  </si>
  <si>
    <t>Marikana Shoprite_Tracker.xlsx | Table row 127 | Electrical PrEng sign off | Inv Sunspot E027 | Col ExpenseActualTotal</t>
  </si>
  <si>
    <t>Marikana Shoprite_Tracker.xlsx | Table row 128 | Structural Sign Off | Inv  L&amp;B Consulting - Invoice 1934  | Col ExpenseActualTotal</t>
  </si>
  <si>
    <t xml:space="preserve"> L&amp;B Consulting - Invoice 1934 </t>
  </si>
  <si>
    <t>Marikana Shoprite_Tracker.xlsx | Table row 129 | Red Team Inspection | Inv Matriarch - INV-5370 | Col ExpenseActualTotal</t>
  </si>
  <si>
    <t>Marikana Shoprite_Tracker.xlsx | Table row 136 | Matriarch Defects Period - 1.25% | Inv Matriarch - INV-5369 | Col ExpenseActualTotal</t>
  </si>
  <si>
    <t>Marikana Shoprite_Tracker.xlsx | Table row 137 | Management | Inv  | Col ExpenseActualTotal</t>
  </si>
  <si>
    <t>Marikana Shoprite_Tracker.xlsx | Table row 138 | Project manager  | Inv  | Col ExpenseActualTotal</t>
  </si>
  <si>
    <t>Marikana Shoprite_Tracker.xlsx | Table row 139 | Planner time | Inv  | Col ExpenseActualTotal</t>
  </si>
  <si>
    <t>Marikana Shoprite_Tracker.xlsx | Table row 140 | De Snagging | Inv  | Col ExpenseActualTotal</t>
  </si>
  <si>
    <t>Marikana Shoprite_Tracker.xlsx | Table row 143 | Travel | Inv Site Visit | Col ExpenseActualTotal</t>
  </si>
  <si>
    <t>Marikana Shoprite_Tracker.xlsx | Table row 144 | Travel | Inv  | Col ExpenseActualTotal</t>
  </si>
  <si>
    <t>Marikana Shoprite_Tracker.xlsx | Table row 145 | Travel | Inv Expense Claim | Col ExpenseActualTotal</t>
  </si>
  <si>
    <t>Marikana Shoprite_Tracker.xlsx | Table row 146 | Travel | Inv Expense Claim | Col ExpenseActualTotal</t>
  </si>
  <si>
    <t>Marikana Shoprite_Tracker.xlsx | Table row 147 | Travel | Inv Expense Claim | Col ExpenseActualTotal</t>
  </si>
  <si>
    <t>Marikana Shoprite_Tracker.xlsx | Table row 148 | Travel | Inv Expense Claim | Col ExpenseActualTotal</t>
  </si>
  <si>
    <t>Marikana Shoprite_Tracker.xlsx | Table row 149 | Travel | Inv Expense Claim | Col ExpenseActualTotal</t>
  </si>
  <si>
    <t>Marikana Shoprite_Tracker.xlsx | Table row 150 | Travel | Inv Expense Claim | Col ExpenseActualTotal</t>
  </si>
  <si>
    <t>Marikana Shoprite_Tracker.xlsx | Table row 151 | Travel | Inv Expense Claim | Col ExpenseActualTotal</t>
  </si>
  <si>
    <t>Marikana Shoprite_Tracker.xlsx | Table row 152 | Travel | Inv  | Col ExpenseActualTotal</t>
  </si>
  <si>
    <t>Marikana Shoprite_Tracker.xlsx | Table row 156 | Welcome Bonus - Site Establishsment | Inv Hynorex - Inv 23409/202506/274917/I | Col ExpenseActualTotal</t>
  </si>
  <si>
    <t>Welcome Bonus - Site Establishsment</t>
  </si>
  <si>
    <t>Hynorex - Inv 23409/202506/274917/I</t>
  </si>
  <si>
    <t>Marikana Shoprite_Tracker.xlsx | Table row 157 | Welcome Bonus - Commissioning | Inv Hynorex - Inv 23409/202506/274917/I | Col ExpenseActualTotal</t>
  </si>
  <si>
    <t>Marikana Shoprite_Tracker.xlsx | Table row 162 | New Installer Contigency fund | Inv  | Col ExpenseActualTotal</t>
  </si>
  <si>
    <t>New Installer Contigency fund</t>
  </si>
  <si>
    <t>Marikana Shoprite_Tracker.xlsx | Table row 163 | Delays and standing time - VO | Inv The Greenway - INV0001517 | Col ExpenseActualTotal</t>
  </si>
  <si>
    <t>PO4434-MARSR-20251031 - RV Approved</t>
  </si>
  <si>
    <t>The Greenway - INV0001517</t>
  </si>
  <si>
    <t>Marikana Shoprite_Tracker.xlsx | Table row 164 |  | Inv The Greenway - INV0001517 | Col ExpenseActualTotal</t>
  </si>
  <si>
    <t>Mayo Macs_Tracker.xlsx | Table row 4 | Product/ Service | Inv INVOICE NUMBER | Col ExpenseActualTotal</t>
  </si>
  <si>
    <t>Mayo Macs_Tracker.xlsx | Table row 6 | 1. Panels | Inv Menlo Inv0002362 | Col ExpenseActualTotal</t>
  </si>
  <si>
    <t>908317,8</t>
  </si>
  <si>
    <t>Menlo Inv0002362</t>
  </si>
  <si>
    <t>Mayo Macs_Tracker.xlsx | Table row 13 | 2. Inverters | Inv Menlo Inv0002362 | Col ExpenseActualTotal</t>
  </si>
  <si>
    <t>206611,05</t>
  </si>
  <si>
    <t>Mayo Macs_Tracker.xlsx | Table row 14 | 2. Inverters | Inv Menlo INV0002702 | Col ExpenseActualTotal</t>
  </si>
  <si>
    <t>43190,78</t>
  </si>
  <si>
    <t>Menlo INV0002702</t>
  </si>
  <si>
    <t>Mayo Macs_Tracker.xlsx | Table row 15 | 2. Inverters | Inv Allocated to Joburg Storeroom | Col ExpenseActualTotal</t>
  </si>
  <si>
    <t>Huawei 100KTL - Moved to stock (JHB)</t>
  </si>
  <si>
    <t>-68870</t>
  </si>
  <si>
    <t>Mayo Macs_Tracker.xlsx | Table row 20 | 3. Mounting Structures | Inv Allocated from Stock | Col ExpenseActualTotal</t>
  </si>
  <si>
    <t>3</t>
  </si>
  <si>
    <t>End Clamps Top Up - JHB Warehouse</t>
  </si>
  <si>
    <t>1148</t>
  </si>
  <si>
    <t>Mayo Macs_Tracker.xlsx | Table row 21 | 3. Mounting Structures | Inv Schletter - INV1611 | Col ExpenseActualTotal</t>
  </si>
  <si>
    <t>End Clamps Top Up - Scheltter</t>
  </si>
  <si>
    <t>Schletter - INV1611</t>
  </si>
  <si>
    <t>Mayo Macs_Tracker.xlsx | Table row 23 | 4. DC Equipment | Inv Menlo Inv0002362 | Col ExpenseActualTotal</t>
  </si>
  <si>
    <t>159600</t>
  </si>
  <si>
    <t>Mayo Macs_Tracker.xlsx | Table row 25 | 4. DC Equipment | Inv MENLO - INV0002594 | Col ExpenseActualTotal</t>
  </si>
  <si>
    <t>DC Cable - Additional order due to inverter room placement  - VO</t>
  </si>
  <si>
    <t>53200</t>
  </si>
  <si>
    <t>MENLO - INV0002594</t>
  </si>
  <si>
    <t>Mayo Macs_Tracker.xlsx | Table row 26 | 4. DC Equipment | Inv Matthews Group INV 1423 | Col ExpenseActualTotal</t>
  </si>
  <si>
    <t>9425</t>
  </si>
  <si>
    <t>Matthews Group INV 1423</t>
  </si>
  <si>
    <t>Mayo Macs_Tracker.xlsx | Table row 27 | 4. DC Equipment | Inv Matthews Group INV-1424 | Col ExpenseActualTotal</t>
  </si>
  <si>
    <t>14137,5</t>
  </si>
  <si>
    <t>Matthews Group INV-1424</t>
  </si>
  <si>
    <t>Mayo Macs_Tracker.xlsx | Table row 28 | 4. DC Equipment | Inv Matthews Group INV-1451 | Col ExpenseActualTotal</t>
  </si>
  <si>
    <t>18850</t>
  </si>
  <si>
    <t>Matthews Group INV-1451</t>
  </si>
  <si>
    <t>Mayo Macs_Tracker.xlsx | Table row 29 | 4. DC Equipment | Inv Matthews Group INV 1445 | Col ExpenseActualTotal</t>
  </si>
  <si>
    <t>23562,5</t>
  </si>
  <si>
    <t>Matthews Group INV 1445</t>
  </si>
  <si>
    <t>Mayo Macs_Tracker.xlsx | Table row 30 | 4. DC Equipment | Inv Matthews Group INV 1452 | Col ExpenseActualTotal</t>
  </si>
  <si>
    <t>Matthews Group INV 1452</t>
  </si>
  <si>
    <t>Mayo Macs_Tracker.xlsx | Table row 31 | 4. DC Equipment | Inv Matthews Group INV-1461 | Col ExpenseActualTotal</t>
  </si>
  <si>
    <t>Matthews Group INV-1461</t>
  </si>
  <si>
    <t>Mayo Macs_Tracker.xlsx | Table row 32 | 4. DC Equipment | Inv Matthews Group INV-1462 | Col ExpenseActualTotal</t>
  </si>
  <si>
    <t>4712,5</t>
  </si>
  <si>
    <t>Matthews Group INV-1462</t>
  </si>
  <si>
    <t>Mayo Macs_Tracker.xlsx | Table row 33 | 4. DC Equipment | Inv Matthews Group INV-1463 | Col ExpenseActualTotal</t>
  </si>
  <si>
    <t>Matthews Group INV-1463</t>
  </si>
  <si>
    <t>Mayo Macs_Tracker.xlsx | Table row 44 | 6. AC Equipment | Inv Matthews Group INV 1423 | Col ExpenseActualTotal</t>
  </si>
  <si>
    <t>116752,77</t>
  </si>
  <si>
    <t>Mayo Macs_Tracker.xlsx | Table row 45 | 6. AC Equipment | Inv Matthews Group INV-1424 | Col ExpenseActualTotal</t>
  </si>
  <si>
    <t>175129,15</t>
  </si>
  <si>
    <t>Mayo Macs_Tracker.xlsx | Table row 46 | 6. AC Equipment | Inv Matthews Group INV-1451 | Col ExpenseActualTotal</t>
  </si>
  <si>
    <t>233505,53</t>
  </si>
  <si>
    <t>Mayo Macs_Tracker.xlsx | Table row 47 | 6. AC Equipment | Inv Matthews Group INV 1445 | Col ExpenseActualTotal</t>
  </si>
  <si>
    <t>291881,91249999998</t>
  </si>
  <si>
    <t>Mayo Macs_Tracker.xlsx | Table row 48 | 6. AC Equipment | Inv Matthews Group INV 1452 | Col ExpenseActualTotal</t>
  </si>
  <si>
    <t>116752,765</t>
  </si>
  <si>
    <t>Mayo Macs_Tracker.xlsx | Table row 49 | 6. AC Equipment | Inv Matthews Group INV-1461 | Col ExpenseActualTotal</t>
  </si>
  <si>
    <t>Mayo Macs_Tracker.xlsx | Table row 50 | 6. AC Equipment | Inv Matthews Group INV-1462 | Col ExpenseActualTotal</t>
  </si>
  <si>
    <t>58376,3825</t>
  </si>
  <si>
    <t>Mayo Macs_Tracker.xlsx | Table row 51 | 6. AC Equipment | Inv Matthews Group INV-1463 | Col ExpenseActualTotal</t>
  </si>
  <si>
    <t>Mayo Macs_Tracker.xlsx | Table row 57 | 7. Battery Systems | Inv Herholdts INV994324 | Col ExpenseActualTotal</t>
  </si>
  <si>
    <t>FW-800/560-HV+</t>
  </si>
  <si>
    <t>4922894</t>
  </si>
  <si>
    <t>Herholdts INV994324</t>
  </si>
  <si>
    <t>Mayo Macs_Tracker.xlsx | Table row 66 | 8. Product Add On  | Inv Oryx Revamp: Inv 1892 | Col ExpenseActualTotal</t>
  </si>
  <si>
    <t>Roof Remedial - Oryx Revamp</t>
  </si>
  <si>
    <t>94959,2</t>
  </si>
  <si>
    <t>Oryx Revamp: Inv 1892</t>
  </si>
  <si>
    <t>Mayo Macs_Tracker.xlsx | Table row 68 | 8. Product Add On  | Inv RCF Tech Inv004 | Col ExpenseActualTotal</t>
  </si>
  <si>
    <t>Additional Aircons 2x 60000BTU - RCF Tech - VO</t>
  </si>
  <si>
    <t>83068</t>
  </si>
  <si>
    <t>RCF Tech Inv004</t>
  </si>
  <si>
    <t>Mayo Macs_Tracker.xlsx | Table row 78 | 9. AC &amp; DC installation | Inv Matthews Group INV 1423 | Col ExpenseActualTotal</t>
  </si>
  <si>
    <t>9</t>
  </si>
  <si>
    <t>67695,199999999997</t>
  </si>
  <si>
    <t>Mayo Macs_Tracker.xlsx | Table row 79 | 9. AC &amp; DC installation | Inv Matthews Group INV-1424 | Col ExpenseActualTotal</t>
  </si>
  <si>
    <t>101542,8</t>
  </si>
  <si>
    <t>Mayo Macs_Tracker.xlsx | Table row 80 | 9. AC &amp; DC installation | Inv Matthews Group INV-1451 | Col ExpenseActualTotal</t>
  </si>
  <si>
    <t>135390,39999999999</t>
  </si>
  <si>
    <t>Mayo Macs_Tracker.xlsx | Table row 81 | 9. AC &amp; DC installation | Inv Matthews Group INV 1445 | Col ExpenseActualTotal</t>
  </si>
  <si>
    <t>169238</t>
  </si>
  <si>
    <t>Mayo Macs_Tracker.xlsx | Table row 82 | 9. AC &amp; DC installation | Inv Matthews Group INV 1452 | Col ExpenseActualTotal</t>
  </si>
  <si>
    <t>Mayo Macs_Tracker.xlsx | Table row 83 | 9. AC &amp; DC installation | Inv Matthews Group INV-1461 | Col ExpenseActualTotal</t>
  </si>
  <si>
    <t>Mayo Macs_Tracker.xlsx | Table row 84 | 9. AC &amp; DC installation | Inv Matthews Group INV-1462 | Col ExpenseActualTotal</t>
  </si>
  <si>
    <t>33847,599999999999</t>
  </si>
  <si>
    <t>Mayo Macs_Tracker.xlsx | Table row 85 | 9. AC &amp; DC installation | Inv Matthews Group INV-1463 | Col ExpenseActualTotal</t>
  </si>
  <si>
    <t>Mayo Macs_Tracker.xlsx | Table row 89 | 10. Site Logistics | Inv Matthews Group INV 1423 | Col ExpenseActualTotal</t>
  </si>
  <si>
    <t>9123,7000000000007</t>
  </si>
  <si>
    <t>Mayo Macs_Tracker.xlsx | Table row 90 | 10. Site Logistics | Inv Matthews Group INV-1424 | Col ExpenseActualTotal</t>
  </si>
  <si>
    <t>13685,55</t>
  </si>
  <si>
    <t>Mayo Macs_Tracker.xlsx | Table row 91 | 10. Site Logistics | Inv Matthews Group INV-1451 | Col ExpenseActualTotal</t>
  </si>
  <si>
    <t>18247,400000000001</t>
  </si>
  <si>
    <t>Mayo Macs_Tracker.xlsx | Table row 92 | 10. Site Logistics | Inv Matthews Group INV 1445 | Col ExpenseActualTotal</t>
  </si>
  <si>
    <t>22809,25</t>
  </si>
  <si>
    <t>Mayo Macs_Tracker.xlsx | Table row 93 | 10. Site Logistics | Inv Matthews Group INV 1452 | Col ExpenseActualTotal</t>
  </si>
  <si>
    <t>Mayo Macs_Tracker.xlsx | Table row 94 | 10. Site Logistics | Inv Matthews Group INV-1461 | Col ExpenseActualTotal</t>
  </si>
  <si>
    <t>Mayo Macs_Tracker.xlsx | Table row 95 | 10. Site Logistics | Inv Matthews Group INV-1462 | Col ExpenseActualTotal</t>
  </si>
  <si>
    <t>4561,8500000000004</t>
  </si>
  <si>
    <t>Mayo Macs_Tracker.xlsx | Table row 96 | 10. Site Logistics | Inv Matthews Group INV-1463 | Col ExpenseActualTotal</t>
  </si>
  <si>
    <t>Mayo Macs_Tracker.xlsx | Table row 136 | 15. Service Add On | Inv Matthews Group INV 1456 | Col ExpenseActualTotal</t>
  </si>
  <si>
    <t>15</t>
  </si>
  <si>
    <t>AC Cable &amp; DC Trunking VO - VO</t>
  </si>
  <si>
    <t>95381,07</t>
  </si>
  <si>
    <t>Matthews Group INV 1456</t>
  </si>
  <si>
    <t>Mayo Macs_Tracker.xlsx | Table row 140 | 15. Service Add On | Inv Matthews Group INV 1456 | Col ExpenseActualTotal</t>
  </si>
  <si>
    <t>AC Cable &amp; DC Trunking VO</t>
  </si>
  <si>
    <t>MPPT Installation Labour and Sundries - Matthews Group - VO</t>
  </si>
  <si>
    <t>105835,65</t>
  </si>
  <si>
    <t>MEGA_PARK_P2_Tracker.xlsx | Table row 6 | Jinko 550Wp | Inv  | Col ExpenseActualTotal</t>
  </si>
  <si>
    <t>Panels</t>
  </si>
  <si>
    <t>Jinko 550Wp</t>
  </si>
  <si>
    <t>2023/06/13</t>
  </si>
  <si>
    <t xml:space="preserve">RT: this is from the PO Dayne signed: </t>
  </si>
  <si>
    <t>MEGA_PARK_P2_Tracker.xlsx | Table row 7 |  | Inv  | Col ExpenseActualTotal</t>
  </si>
  <si>
    <t>2024/02/22</t>
  </si>
  <si>
    <t>MEGA_PARK_P2_Tracker.xlsx | Table row 8 |  | Inv  | Col ExpenseActualTotal</t>
  </si>
  <si>
    <t>2024/03/22</t>
  </si>
  <si>
    <t>MEGA_PARK_P2_Tracker.xlsx | Table row 9 |  | Inv  | Col ExpenseActualTotal</t>
  </si>
  <si>
    <t>2024/03/25</t>
  </si>
  <si>
    <t>MEGA_PARK_P2_Tracker.xlsx | Table row 10 |  | Inv  | Col ExpenseActualTotal</t>
  </si>
  <si>
    <t>2024/04/02</t>
  </si>
  <si>
    <t>MEGA_PARK_P2_Tracker.xlsx | Table row 11 | 7991234,4626757056 | Inv  | Col ExpenseActualTotal</t>
  </si>
  <si>
    <t>7991234,4626757056</t>
  </si>
  <si>
    <t>MEGA_PARK_P2_Tracker.xlsx | Table row 12 | Allocated to 26 Marine Drive | Inv  | Col ExpenseActualTotal</t>
  </si>
  <si>
    <t>Allocated to 26 Marine Drive</t>
  </si>
  <si>
    <t>2024/05/31</t>
  </si>
  <si>
    <t>MEGA_PARK_P2_Tracker.xlsx | Table row 13 | Shipping and Clearing | Inv  | Col ExpenseActualTotal</t>
  </si>
  <si>
    <t>Shipping and Clearing</t>
  </si>
  <si>
    <t>2023/09/30</t>
  </si>
  <si>
    <t xml:space="preserve">USD RoE: </t>
  </si>
  <si>
    <t>MEGA_PARK_P2_Tracker.xlsx | Table row 14 |  | Inv  | Col ExpenseActualTotal</t>
  </si>
  <si>
    <t>2023/08/01</t>
  </si>
  <si>
    <t>MEGA_PARK_P2_Tracker.xlsx | Table row 20 | Cash handling / Admin fees on | Inv  | Col ExpenseActualTotal</t>
  </si>
  <si>
    <t>Cash handling / Admin fees on</t>
  </si>
  <si>
    <t>2023/06/28</t>
  </si>
  <si>
    <t>MEGA_PARK_P2_Tracker.xlsx | Table row 22 | Silver solutions - Forklift hire | Inv  | Col ExpenseActualTotal</t>
  </si>
  <si>
    <t>Silver solutions - Forklift hire</t>
  </si>
  <si>
    <t>2023/10/26</t>
  </si>
  <si>
    <t>MEGA_PARK_P2_Tracker.xlsx | Table row 24 | Delivery to storage | Inv  | Col ExpenseActualTotal</t>
  </si>
  <si>
    <t>Delivery to storage</t>
  </si>
  <si>
    <t>2023/11/16</t>
  </si>
  <si>
    <t>MEGA_PARK_P2_Tracker.xlsx | Table row 25 | Handling in/Handling out | Inv  | Col ExpenseActualTotal</t>
  </si>
  <si>
    <t>Handling in/Handling out</t>
  </si>
  <si>
    <t>MEGA_PARK_P2_Tracker.xlsx | Table row 28 | Huawei 100ktl - Deposit | Inv  | Col ExpenseActualTotal</t>
  </si>
  <si>
    <t>Inverters</t>
  </si>
  <si>
    <t>Huawei 100ktl - Deposit</t>
  </si>
  <si>
    <t>2023/08/17</t>
  </si>
  <si>
    <t>changed from 89000</t>
  </si>
  <si>
    <t>MEGA_PARK_P2_Tracker.xlsx | Table row 29 | Huawei 100KTl - Balance | Inv  | Col ExpenseActualTotal</t>
  </si>
  <si>
    <t>Huawei 100KTl - Balance</t>
  </si>
  <si>
    <t>2023/10/03</t>
  </si>
  <si>
    <t>MEGA_PARK_P2_Tracker.xlsx | Table row 30 | Huawei 100KTl - Replace faulty Inverter | Inv  | Col ExpenseActualTotal</t>
  </si>
  <si>
    <t>Huawei 100KTl - Replace faulty Inverter</t>
  </si>
  <si>
    <t>2024/07/01</t>
  </si>
  <si>
    <t>MEGA_PARK_P2_Tracker.xlsx | Table row 31 | Huawei 100KTl - RMA from Supplaier allocated to Stock | Inv  | Col ExpenseActualTotal</t>
  </si>
  <si>
    <t>Huawei 100KTl - RMA from Supplaier allocated to Stock</t>
  </si>
  <si>
    <t>2024/08/31</t>
  </si>
  <si>
    <t>MEGA_PARK_P2_Tracker.xlsx | Table row 34 | Schletter | Inv  | Col ExpenseActualTotal</t>
  </si>
  <si>
    <t>Mounting Structures</t>
  </si>
  <si>
    <t>Schletter</t>
  </si>
  <si>
    <t>2023/08/10</t>
  </si>
  <si>
    <t>MEGA_PARK_P2_Tracker.xlsx | Table row 35 |  | Inv  | Col ExpenseActualTotal</t>
  </si>
  <si>
    <t>MEGA_PARK_P2_Tracker.xlsx | Table row 36 | Schletter - Additional Clamps | Inv  | Col ExpenseActualTotal</t>
  </si>
  <si>
    <t>Schletter - Additional Clamps</t>
  </si>
  <si>
    <t>2024/02/29</t>
  </si>
  <si>
    <t>MEGA_PARK_P2_Tracker.xlsx | Table row 37 | Stock allocated to Dekro Paint | Inv  | Col ExpenseActualTotal</t>
  </si>
  <si>
    <t>Stock allocated to Dekro Paint</t>
  </si>
  <si>
    <t>2023/07/31</t>
  </si>
  <si>
    <t>MEGA_PARK_P2_Tracker.xlsx | Table row 38 | Received the stock back from Dekro Paint | Inv  | Col ExpenseActualTotal</t>
  </si>
  <si>
    <t>Received the stock back from Dekro Paint</t>
  </si>
  <si>
    <t>MEGA_PARK_P2_Tracker.xlsx | Table row 40 | DC Cable - Red - Delivered | Inv  | Col ExpenseActualTotal</t>
  </si>
  <si>
    <t>DC Equipment</t>
  </si>
  <si>
    <t>DC Cable - Red - Delivered</t>
  </si>
  <si>
    <t>2023/08/31</t>
  </si>
  <si>
    <t>Rubicon Bulk Order</t>
  </si>
  <si>
    <t>MEGA_PARK_P2_Tracker.xlsx | Table row 41 | DC Cable - Black - Delivered | Inv  | Col ExpenseActualTotal</t>
  </si>
  <si>
    <t>DC Cable - Black - Delivered</t>
  </si>
  <si>
    <t>MEGA_PARK_P2_Tracker.xlsx | Table row 43 | DC Cable - Zonn - Red | Inv  | Col ExpenseActualTotal</t>
  </si>
  <si>
    <t>DC Cable - Zonn - Red</t>
  </si>
  <si>
    <t>2023/10/06</t>
  </si>
  <si>
    <t>MEGA_PARK_P2_Tracker.xlsx | Table row 44 | DC Cable - Zonn - Black | Inv  | Col ExpenseActualTotal</t>
  </si>
  <si>
    <t>DC Cable - Zonn - Black</t>
  </si>
  <si>
    <t>MEGA_PARK_P2_Tracker.xlsx | Table row 46 | DC Cable - KBE - Red - Krannich | Inv  | Col ExpenseActualTotal</t>
  </si>
  <si>
    <t>DC Cable - KBE - Red - Krannich</t>
  </si>
  <si>
    <t>2023/11/13</t>
  </si>
  <si>
    <t>MEGA_PARK_P2_Tracker.xlsx | Table row 47 | DC Cable - KBE - Black - Krannich | Inv  | Col ExpenseActualTotal</t>
  </si>
  <si>
    <t>DC Cable - KBE - Black - Krannich</t>
  </si>
  <si>
    <t>MEGA_PARK_P2_Tracker.xlsx | Table row 48 |  | Inv  | Col ExpenseActualTotal</t>
  </si>
  <si>
    <t>MEGA_PARK_P2_Tracker.xlsx | Table row 49 | DC Equipment - Deposit | Inv  | Col ExpenseActualTotal</t>
  </si>
  <si>
    <t>2023/06/15</t>
  </si>
  <si>
    <t>MEGA_PARK_P2_Tracker.xlsx | Table row 50 | DC Equipment - Onsite | Inv  | Col ExpenseActualTotal</t>
  </si>
  <si>
    <t>DC Equipment - Onsite</t>
  </si>
  <si>
    <t>MEGA_PARK_P2_Tracker.xlsx | Table row 51 | DC Equipment - Retention | Inv  | Col ExpenseActualTotal</t>
  </si>
  <si>
    <t>DC Equipment - Retention</t>
  </si>
  <si>
    <t>2024/07/11</t>
  </si>
  <si>
    <t>MEGA_PARK_P2_Tracker.xlsx | Table row 52 | DC Equipment - Retention | Inv  | Col ExpenseActualTotal</t>
  </si>
  <si>
    <t>2024/08/15</t>
  </si>
  <si>
    <t>MEGA_PARK_P2_Tracker.xlsx | Table row 54 | Smartlogger - Deposit | Inv  | Col ExpenseActualTotal</t>
  </si>
  <si>
    <t>Monitoring</t>
  </si>
  <si>
    <t>Smartlogger - Deposit</t>
  </si>
  <si>
    <t>MEGA_PARK_P2_Tracker.xlsx | Table row 55 | Smartlogger - Balance | Inv  | Col ExpenseActualTotal</t>
  </si>
  <si>
    <t>Smartlogger - Balance</t>
  </si>
  <si>
    <t>MEGA_PARK_P2_Tracker.xlsx | Table row 56 | Smartlogger Replacement | Inv  | Col ExpenseActualTotal</t>
  </si>
  <si>
    <t>Smartlogger Replacement</t>
  </si>
  <si>
    <t>MEGA_PARK_P2_Tracker.xlsx | Table row 57 | Techsitter X2 | Inv  | Col ExpenseActualTotal</t>
  </si>
  <si>
    <t>Techsitter X2</t>
  </si>
  <si>
    <t>2024/02/28</t>
  </si>
  <si>
    <t>Techsitter Inv: MN8940233</t>
  </si>
  <si>
    <t>MEGA_PARK_P2_Tracker.xlsx | Table row 58 | Shipping of Techsitters | Inv  | Col ExpenseActualTotal</t>
  </si>
  <si>
    <t>Shipping of Techsitters</t>
  </si>
  <si>
    <t>DSV Inv: 180047661</t>
  </si>
  <si>
    <t>MEGA_PARK_P2_Tracker.xlsx | Table row 59 | SPD | Inv  | Col ExpenseActualTotal</t>
  </si>
  <si>
    <t>SPD</t>
  </si>
  <si>
    <t>2023/09/07</t>
  </si>
  <si>
    <t>Plustead electrical Inv: 1001/97633203</t>
  </si>
  <si>
    <t>MEGA_PARK_P2_Tracker.xlsx | Table row 60 | Techsitter  | Inv  | Col ExpenseActualTotal</t>
  </si>
  <si>
    <t xml:space="preserve">Techsitter </t>
  </si>
  <si>
    <t>MEGA_PARK_P2_Tracker.xlsx | Table row 61 | Techsitter CTs | Inv  | Col ExpenseActualTotal</t>
  </si>
  <si>
    <t>Techsitter CTs</t>
  </si>
  <si>
    <t>MEGA_PARK_P2_Tracker.xlsx | Table row 62 | CT's | Inv  | Col ExpenseActualTotal</t>
  </si>
  <si>
    <t>CT's</t>
  </si>
  <si>
    <t>2024/02/16</t>
  </si>
  <si>
    <t>Accuenergy Inv: ASAI-002363</t>
  </si>
  <si>
    <t>MEGA_PARK_P2_Tracker.xlsx | Table row 63 | UPS | Inv  | Col ExpenseActualTotal</t>
  </si>
  <si>
    <t>2023/06/19</t>
  </si>
  <si>
    <t>MEGA_PARK_P2_Tracker.xlsx | Table row 64 |  | Inv  | Col ExpenseActualTotal</t>
  </si>
  <si>
    <t>2024/02/08</t>
  </si>
  <si>
    <t>Roedolph Exp Claim</t>
  </si>
  <si>
    <t>MEGA_PARK_P2_Tracker.xlsx | Table row 65 | Switch | Inv  | Col ExpenseActualTotal</t>
  </si>
  <si>
    <t>Switch</t>
  </si>
  <si>
    <t>2023/04/15</t>
  </si>
  <si>
    <t>MEGA_PARK_P2_Tracker.xlsx | Table row 66 |  | Inv  | Col ExpenseActualTotal</t>
  </si>
  <si>
    <t>Accuenergy Inv: ASAI-002350</t>
  </si>
  <si>
    <t>MEGA_PARK_P2_Tracker.xlsx | Table row 67 | Router | Inv  | Col ExpenseActualTotal</t>
  </si>
  <si>
    <t>2023/07/20</t>
  </si>
  <si>
    <t>MEGA_PARK_P2_Tracker.xlsx | Table row 68 | Lithium Batteries | Inv  | Col ExpenseActualTotal</t>
  </si>
  <si>
    <t>Lithium Batteries</t>
  </si>
  <si>
    <t>2024/01/22</t>
  </si>
  <si>
    <t xml:space="preserve"> Takelot - Order 145230153</t>
  </si>
  <si>
    <t>MEGA_PARK_P2_Tracker.xlsx | Table row 69 | Battery Charger UPS | Inv  | Col ExpenseActualTotal</t>
  </si>
  <si>
    <t>Battery Charger UPS</t>
  </si>
  <si>
    <t>MEGA_PARK_P2_Tracker.xlsx | Table row 70 |  | Inv  | Col ExpenseActualTotal</t>
  </si>
  <si>
    <t>2024/01/25</t>
  </si>
  <si>
    <t>Current Automation Inv: SOQ294289</t>
  </si>
  <si>
    <t>MEGA_PARK_P2_Tracker.xlsx | Table row 71 | Pyronometer | Inv  | Col ExpenseActualTotal</t>
  </si>
  <si>
    <t>Pyronometer</t>
  </si>
  <si>
    <t>2024/05/16</t>
  </si>
  <si>
    <t>Geosun Inv: 2366</t>
  </si>
  <si>
    <t>MEGA_PARK_P2_Tracker.xlsx | Table row 72 | Delivery  | Inv  | Col ExpenseActualTotal</t>
  </si>
  <si>
    <t xml:space="preserve">Delivery </t>
  </si>
  <si>
    <t>MEGA_PARK_P2_Tracker.xlsx | Table row 73 | Power Supply | Inv  | Col ExpenseActualTotal</t>
  </si>
  <si>
    <t>MEGA_PARK_P2_Tracker.xlsx | Table row 74 | Rogowski Coil Kit + Delivery | Inv  | Col ExpenseActualTotal</t>
  </si>
  <si>
    <t>Rogowski Coil Kit + Delivery</t>
  </si>
  <si>
    <t>Accuenergy Inv: 002453</t>
  </si>
  <si>
    <t>MEGA_PARK_P2_Tracker.xlsx | Table row 76 | AC Equipment - Deposit | Inv  | Col ExpenseActualTotal</t>
  </si>
  <si>
    <t>AC Equipment</t>
  </si>
  <si>
    <t>AC Equipment - Deposit</t>
  </si>
  <si>
    <t>MEGA_PARK_P2_Tracker.xlsx | Table row 77 | AC Equipment - Onsite | Inv  | Col ExpenseActualTotal</t>
  </si>
  <si>
    <t>AC Equipment - Onsite</t>
  </si>
  <si>
    <t>2024/01/26</t>
  </si>
  <si>
    <t>MEGA_PARK_P2_Tracker.xlsx | Table row 78 | AC Equipment - Onsite | Inv  | Col ExpenseActualTotal</t>
  </si>
  <si>
    <t>2024/02/01</t>
  </si>
  <si>
    <t>MEGA_PARK_P2_Tracker.xlsx | Table row 79 | AC Equipment - Retention | Inv  | Col ExpenseActualTotal</t>
  </si>
  <si>
    <t>AC Equipment - Retention</t>
  </si>
  <si>
    <t>MEGA_PARK_P2_Tracker.xlsx | Table row 80 |  | Inv  | Col ExpenseActualTotal</t>
  </si>
  <si>
    <t>MEGA_PARK_P2_Tracker.xlsx | Table row 81 | Switch Board - PV DB  | Inv  | Col ExpenseActualTotal</t>
  </si>
  <si>
    <t xml:space="preserve">Switch Board - PV DB </t>
  </si>
  <si>
    <t>2023/09/29</t>
  </si>
  <si>
    <t>MEGA_PARK_P2_Tracker.xlsx | Table row 82 | Switch Board - Comms DB  | Inv  | Col ExpenseActualTotal</t>
  </si>
  <si>
    <t xml:space="preserve">Switch Board - Comms DB </t>
  </si>
  <si>
    <t>MEGA_PARK_P2_Tracker.xlsx | Table row 83 | Switch Board - Site Work | Inv  | Col ExpenseActualTotal</t>
  </si>
  <si>
    <t>Switch Board - Site Work</t>
  </si>
  <si>
    <t>MEGA_PARK_P2_Tracker.xlsx | Table row 84 | Switch Board - Cubicle | Inv  | Col ExpenseActualTotal</t>
  </si>
  <si>
    <t>Switch Board - Cubicle</t>
  </si>
  <si>
    <t>2023/11/01</t>
  </si>
  <si>
    <t>TC: Added cost 24/10/2023</t>
  </si>
  <si>
    <t>MEGA_PARK_P2_Tracker.xlsx | Table row 88 | Metering &amp; SCADA &amp; SSEG extras | Inv  | Col ExpenseActualTotal</t>
  </si>
  <si>
    <t xml:space="preserve">Product Add On </t>
  </si>
  <si>
    <t>Metering &amp; SCADA &amp; SSEG extras</t>
  </si>
  <si>
    <t>2024/05/23</t>
  </si>
  <si>
    <t>PO3053-MGP-20240412</t>
  </si>
  <si>
    <t>MEGA_PARK_P2_Tracker.xlsx | Table row 89 | Fibre Installation 40% Deposit | Inv  | Col ExpenseActualTotal</t>
  </si>
  <si>
    <t>Fibre Installation 40% Deposit</t>
  </si>
  <si>
    <t>Comtel Inv: CEIN023698</t>
  </si>
  <si>
    <t>MEGA_PARK_P2_Tracker.xlsx | Table row 90 | Fibre Installation 60% Balance | Inv  | Col ExpenseActualTotal</t>
  </si>
  <si>
    <t>Fibre Installation 60% Balance</t>
  </si>
  <si>
    <t>2024/04/12</t>
  </si>
  <si>
    <t>MEGA_PARK_P2_Tracker.xlsx | Table row 91 | Waterpoints | Inv  | Col ExpenseActualTotal</t>
  </si>
  <si>
    <t>PO3204-MGP-20240627</t>
  </si>
  <si>
    <t>MEGA_PARK_P2_Tracker.xlsx | Table row 94 | FDT Electric Aircon Installation 50% Deposit | Inv  | Col ExpenseActualTotal</t>
  </si>
  <si>
    <t>FDT Electric Aircon Installation 50% Deposit</t>
  </si>
  <si>
    <t>2024/01/29</t>
  </si>
  <si>
    <t>MEGA_PARK_P2_Tracker.xlsx | Table row 95 | FDT Electric Aircon Installation 2nd Unit 50% Deposit | Inv  | Col ExpenseActualTotal</t>
  </si>
  <si>
    <t>FDT Electric Aircon Installation 2nd Unit 50% Deposit</t>
  </si>
  <si>
    <t>PO3008-MGP-20240319</t>
  </si>
  <si>
    <t>MEGA_PARK_P2_Tracker.xlsx | Table row 96 |  | Inv  | Col ExpenseActualTotal</t>
  </si>
  <si>
    <t>MEGA_PARK_P2_Tracker.xlsx | Table row 97 | Lester &amp; Co | Inv  | Col ExpenseActualTotal</t>
  </si>
  <si>
    <t>Lester &amp; Co</t>
  </si>
  <si>
    <t>PO3092-MGP-20240507</t>
  </si>
  <si>
    <t>MEGA_PARK_P2_Tracker.xlsx | Table row 98 | Brice &amp; Co. Inverter room modification &amp; Roof Gate | Inv  | Col ExpenseActualTotal</t>
  </si>
  <si>
    <t>Brice &amp; Co. Inverter room modification &amp; Roof Gate</t>
  </si>
  <si>
    <t>2023/06/22</t>
  </si>
  <si>
    <t>MEGA_PARK_P2_Tracker.xlsx | Table row 99 | Brice &amp; Co Inverter Steel Structure - Deposit | Inv  | Col ExpenseActualTotal</t>
  </si>
  <si>
    <t>Brice &amp; Co Inverter Steel Structure - Deposit</t>
  </si>
  <si>
    <t>Brice &amp; Co Inv: BC/0154</t>
  </si>
  <si>
    <t>MEGA_PARK_P2_Tracker.xlsx | Table row 100 | Brice &amp; Co Inverter Steel Structure - Balance | Inv  | Col ExpenseActualTotal</t>
  </si>
  <si>
    <t>Brice &amp; Co Inverter Steel Structure - Balance</t>
  </si>
  <si>
    <t>MEGA_PARK_P2_Tracker.xlsx | Table row 101 | All in Glass Aluminium - Single Y Louvred door | Inv  | Col ExpenseActualTotal</t>
  </si>
  <si>
    <t>All in Glass Aluminium - Single Y Louvred door</t>
  </si>
  <si>
    <t>2023/12/22</t>
  </si>
  <si>
    <t>MEGA_PARK_P2_Tracker.xlsx | Table row 102 | 100KTL inverter to be replaced by RMA | Inv  | Col ExpenseActualTotal</t>
  </si>
  <si>
    <t>100KTL inverter to be replaced by RMA</t>
  </si>
  <si>
    <t>MEGA_PARK_P2_Tracker.xlsx | Table row 103 | All in Glass Aluminium - Healt &amp; Safety File | Inv  | Col ExpenseActualTotal</t>
  </si>
  <si>
    <t>All in Glass Aluminium - Healt &amp; Safety File</t>
  </si>
  <si>
    <t>MEGA_PARK_P2_Tracker.xlsx | Table row 104 | Lifelines, Temporary Walkboards | Inv  | Col ExpenseActualTotal</t>
  </si>
  <si>
    <t>Lifelines, Temporary Walkboards</t>
  </si>
  <si>
    <t>RV: 75k removed</t>
  </si>
  <si>
    <t>MEGA_PARK_P2_Tracker.xlsx | Table row 106 | Upfront | Inv  | Col ExpenseActualTotal</t>
  </si>
  <si>
    <t>AC &amp; DC installation</t>
  </si>
  <si>
    <t>Upfront</t>
  </si>
  <si>
    <t>MEGA_PARK_P2_Tracker.xlsx | Table row 107 | MS Complete - Partial | Inv  | Col ExpenseActualTotal</t>
  </si>
  <si>
    <t>MS Complete - Partial</t>
  </si>
  <si>
    <t>MEGA_PARK_P2_Tracker.xlsx | Table row 108 | MS Complete - Partial | Inv  | Col ExpenseActualTotal</t>
  </si>
  <si>
    <t>MEGA_PARK_P2_Tracker.xlsx | Table row 109 | Panels Complete | Inv  | Col ExpenseActualTotal</t>
  </si>
  <si>
    <t>Panels Complete</t>
  </si>
  <si>
    <t>2023/11/17</t>
  </si>
  <si>
    <t>MEGA_PARK_P2_Tracker.xlsx | Table row 110 | AC Tie-In complete | Inv  | Col ExpenseActualTotal</t>
  </si>
  <si>
    <t>AC Tie-In complete</t>
  </si>
  <si>
    <t>2023/12/07</t>
  </si>
  <si>
    <t>MEGA_PARK_P2_Tracker.xlsx | Table row 111 |  | Inv  | Col ExpenseActualTotal</t>
  </si>
  <si>
    <t>MEGA_PARK_P2_Tracker.xlsx | Table row 112 | Practical Completion | Inv  | Col ExpenseActualTotal</t>
  </si>
  <si>
    <t>2024/04/18</t>
  </si>
  <si>
    <t>MEGA_PARK_P2_Tracker.xlsx | Table row 113 | Retention | Inv  | Col ExpenseActualTotal</t>
  </si>
  <si>
    <t>MEGA_PARK_P2_Tracker.xlsx | Table row 114 |  | Inv  | Col ExpenseActualTotal</t>
  </si>
  <si>
    <t>2024/08/16</t>
  </si>
  <si>
    <t>MEGA_PARK_P2_Tracker.xlsx | Table row 116 | Site logistics - Deposit | Inv  | Col ExpenseActualTotal</t>
  </si>
  <si>
    <t>Site logistics - Smart Solar</t>
  </si>
  <si>
    <t>Site logistics - Deposit</t>
  </si>
  <si>
    <t>MEGA_PARK_P2_Tracker.xlsx | Table row 117 | Site Logistics - Onsite | Inv  | Col ExpenseActualTotal</t>
  </si>
  <si>
    <t>101100</t>
  </si>
  <si>
    <t>Site Logistics - Onsite</t>
  </si>
  <si>
    <t>2023/12/21</t>
  </si>
  <si>
    <t>MEGA_PARK_P2_Tracker.xlsx | Table row 118 | Site logistics - Retention | Inv  | Col ExpenseActualTotal</t>
  </si>
  <si>
    <t>Site logistics - Retention</t>
  </si>
  <si>
    <t>MEGA_PARK_P2_Tracker.xlsx | Table row 119 |  | Inv  | Col ExpenseActualTotal</t>
  </si>
  <si>
    <t>MEGA_PARK_P2_Tracker.xlsx | Table row 120 | Forklift  | Inv  | Col ExpenseActualTotal</t>
  </si>
  <si>
    <t xml:space="preserve">Forklift </t>
  </si>
  <si>
    <t>TC - 2023/10/26</t>
  </si>
  <si>
    <t>MEGA_PARK_P2_Tracker.xlsx | Table row 121 | Telehandler Extra - VO Smart Solar | Inv  | Col ExpenseActualTotal</t>
  </si>
  <si>
    <t>Telehandler Extra - VO Smart Solar</t>
  </si>
  <si>
    <t>2024/04/04</t>
  </si>
  <si>
    <t>MEGA_PARK_P2_Tracker.xlsx | Table row 124 | Security | Inv  | Col ExpenseActualTotal</t>
  </si>
  <si>
    <t>Site logistics - EE</t>
  </si>
  <si>
    <t>MEGA_PARK_P2_Tracker.xlsx | Table row 125 | Site Office | Inv  | Col ExpenseActualTotal</t>
  </si>
  <si>
    <t>Site Office</t>
  </si>
  <si>
    <t>2023/12/01</t>
  </si>
  <si>
    <t>MEGA_PARK_P2_Tracker.xlsx | Table row 126 |  | Inv  | Col ExpenseActualTotal</t>
  </si>
  <si>
    <t>MEGA_PARK_P2_Tracker.xlsx | Table row 127 |  | Inv  | Col ExpenseActualTotal</t>
  </si>
  <si>
    <t>MEGA_PARK_P2_Tracker.xlsx | Table row 128 |  | Inv  | Col ExpenseActualTotal</t>
  </si>
  <si>
    <t>MEGA_PARK_P2_Tracker.xlsx | Table row 129 |  | Inv  | Col ExpenseActualTotal</t>
  </si>
  <si>
    <t>2024/02/12</t>
  </si>
  <si>
    <t>MEGA_PARK_P2_Tracker.xlsx | Table row 130 |  | Inv  | Col ExpenseActualTotal</t>
  </si>
  <si>
    <t>2024/03/28</t>
  </si>
  <si>
    <t>Spear Inv:4794/202402/1</t>
  </si>
  <si>
    <t>MEGA_PARK_P2_Tracker.xlsx | Table row 131 |  | Inv  | Col ExpenseActualTotal</t>
  </si>
  <si>
    <t>2024/04/25</t>
  </si>
  <si>
    <t>MEGA_PARK_P2_Tracker.xlsx | Table row 134 | Structural sign off | Inv  | Col ExpenseActualTotal</t>
  </si>
  <si>
    <t>Due Dilligence</t>
  </si>
  <si>
    <t>2023/03/09</t>
  </si>
  <si>
    <t>MEGA_PARK_P2_Tracker.xlsx | Table row 135 | Electrical Sign off | Inv  | Col ExpenseActualTotal</t>
  </si>
  <si>
    <t>Electrical Sign off</t>
  </si>
  <si>
    <t>TC: OG amount 26248,95</t>
  </si>
  <si>
    <t>MEGA_PARK_P2_Tracker.xlsx | Table row 136 | SSEg Costs | Inv  | Col ExpenseActualTotal</t>
  </si>
  <si>
    <t>SSEg Costs</t>
  </si>
  <si>
    <t>2023/10/30</t>
  </si>
  <si>
    <t>MEGA_PARK_P2_Tracker.xlsx | Table row 138 | Red Team | Inv  | Col ExpenseActualTotal</t>
  </si>
  <si>
    <t>2023/11/30</t>
  </si>
  <si>
    <t>MEGA_PARK_P2_Tracker.xlsx | Table row 139 |  | Inv  | Col ExpenseActualTotal</t>
  </si>
  <si>
    <t>2024/04/30</t>
  </si>
  <si>
    <t>MEGA_PARK_P2_Tracker.xlsx | Table row 144 | EE Project Management | Inv  | Col ExpenseActualTotal</t>
  </si>
  <si>
    <t>EE Project Management</t>
  </si>
  <si>
    <t>2023/05/25</t>
  </si>
  <si>
    <t>MEGA_PARK_P2_Tracker.xlsx | Table row 145 |  | Inv  | Col ExpenseActualTotal</t>
  </si>
  <si>
    <t>2023/06/25</t>
  </si>
  <si>
    <t>MEGA_PARK_P2_Tracker.xlsx | Table row 146 |  | Inv  | Col ExpenseActualTotal</t>
  </si>
  <si>
    <t>2023/07/25</t>
  </si>
  <si>
    <t>MEGA_PARK_P2_Tracker.xlsx | Table row 147 |  | Inv  | Col ExpenseActualTotal</t>
  </si>
  <si>
    <t>2023/08/25</t>
  </si>
  <si>
    <t>MEGA_PARK_P2_Tracker.xlsx | Table row 148 |  | Inv  | Col ExpenseActualTotal</t>
  </si>
  <si>
    <t>2023/09/25</t>
  </si>
  <si>
    <t>MEGA_PARK_P2_Tracker.xlsx | Table row 149 |  | Inv  | Col ExpenseActualTotal</t>
  </si>
  <si>
    <t>2023/10/25</t>
  </si>
  <si>
    <t>MEGA_PARK_P2_Tracker.xlsx | Table row 150 |  | Inv  | Col ExpenseActualTotal</t>
  </si>
  <si>
    <t>2023/11/25</t>
  </si>
  <si>
    <t>MEGA_PARK_P2_Tracker.xlsx | Table row 151 |  | Inv  | Col ExpenseActualTotal</t>
  </si>
  <si>
    <t>2023/12/25</t>
  </si>
  <si>
    <t>MEGA_PARK_P2_Tracker.xlsx | Table row 152 |  | Inv  | Col ExpenseActualTotal</t>
  </si>
  <si>
    <t>MEGA_PARK_P2_Tracker.xlsx | Table row 153 | Matriarch Defects Period | Inv  | Col ExpenseActualTotal</t>
  </si>
  <si>
    <t>MEGA_PARK_P2_Tracker.xlsx | Table row 155 | Car travel to site | Inv  | Col ExpenseActualTotal</t>
  </si>
  <si>
    <t>General Expenses</t>
  </si>
  <si>
    <t>2023/06/08</t>
  </si>
  <si>
    <t>MEGA_PARK_P2_Tracker.xlsx | Table row 156 |  | Inv  | Col ExpenseActualTotal</t>
  </si>
  <si>
    <t>2023/07/06</t>
  </si>
  <si>
    <t>MEGA_PARK_P2_Tracker.xlsx | Table row 157 |  | Inv  | Col ExpenseActualTotal</t>
  </si>
  <si>
    <t>2023/08/04</t>
  </si>
  <si>
    <t>MEGA_PARK_P2_Tracker.xlsx | Table row 158 |  | Inv  | Col ExpenseActualTotal</t>
  </si>
  <si>
    <t>MEGA_PARK_P2_Tracker.xlsx | Table row 159 |  | Inv  | Col ExpenseActualTotal</t>
  </si>
  <si>
    <t>2023/11/05</t>
  </si>
  <si>
    <t>MEGA_PARK_P2_Tracker.xlsx | Table row 160 |  | Inv  | Col ExpenseActualTotal</t>
  </si>
  <si>
    <t>2023/11/07</t>
  </si>
  <si>
    <t>MEGA_PARK_P2_Tracker.xlsx | Table row 161 |  | Inv  | Col ExpenseActualTotal</t>
  </si>
  <si>
    <t>MEGA_PARK_P2_Tracker.xlsx | Table row 162 |  | Inv  | Col ExpenseActualTotal</t>
  </si>
  <si>
    <t>2023/12/31</t>
  </si>
  <si>
    <t>PO3042-MGP-20240408</t>
  </si>
  <si>
    <t>This is for R&amp;D and not an expense for the project. Captured under monitoring</t>
  </si>
  <si>
    <t>MEGA_PARK_P2_Tracker.xlsx | Table row 163 |  | Inv  | Col ExpenseActualTotal</t>
  </si>
  <si>
    <t>MEGA_PARK_P2_Tracker.xlsx | Table row 164 |  | Inv  | Col ExpenseActualTotal</t>
  </si>
  <si>
    <t>2024/03/07</t>
  </si>
  <si>
    <t>MEGA_PARK_P2_Tracker.xlsx | Table row 165 |  | Inv  | Col ExpenseActualTotal</t>
  </si>
  <si>
    <t>2024/04/05</t>
  </si>
  <si>
    <t>MEGA_PARK_P2_Tracker.xlsx | Table row 166 |  | Inv  | Col ExpenseActualTotal</t>
  </si>
  <si>
    <t>2024/05/09</t>
  </si>
  <si>
    <t>MEGA_PARK_P2_Tracker.xlsx | Table row 167 |  | Inv  | Col ExpenseActualTotal</t>
  </si>
  <si>
    <t>2024/07/05</t>
  </si>
  <si>
    <t>MEGA_PARK_P2_Tracker.xlsx | Table row 170 | Welcome Bonus | Inv  | Col ExpenseActualTotal</t>
  </si>
  <si>
    <t>Service Add On</t>
  </si>
  <si>
    <t>Welcome Bonus</t>
  </si>
  <si>
    <t>Spear Holdco Inv: 4794/202405/52190/I</t>
  </si>
  <si>
    <t>MEGA_PARK_P2_Tracker.xlsx | Table row 171 |  | Inv  | Col ExpenseActualTotal</t>
  </si>
  <si>
    <t>MEGA_PARK_P2_Tracker.xlsx | Table row 172 |  | Inv  | Col ExpenseActualTotal</t>
  </si>
  <si>
    <t>2024/05/24</t>
  </si>
  <si>
    <t>MEGA_PARK_P2_Tracker.xlsx | Table row 173 | Penalties - December 2023 | Inv  | Col ExpenseActualTotal</t>
  </si>
  <si>
    <t>Penalties - December 2023</t>
  </si>
  <si>
    <t>Spear Inv: M00002/2024/03</t>
  </si>
  <si>
    <t>MEGA_PARK_P2_Tracker.xlsx | Table row 174 | Penalties - January 2024  | Inv  | Col ExpenseActualTotal</t>
  </si>
  <si>
    <t xml:space="preserve">Penalties - January 2024 </t>
  </si>
  <si>
    <t>Spear Inv:4794/202401/50984/I</t>
  </si>
  <si>
    <t>MEGA_PARK_P2_Tracker.xlsx | Table row 175 |  | Inv  | Col ExpenseActualTotal</t>
  </si>
  <si>
    <t>MEGA_PARK_P2_Tracker.xlsx | Table row 177 | Site Visits | Inv  | Col ExpenseActualTotal</t>
  </si>
  <si>
    <t>Site Visits</t>
  </si>
  <si>
    <t>2024/10/31</t>
  </si>
  <si>
    <t>MEGA_PARK_P2_Tracker.xlsx | Table row 178 | Site Visits | Inv  | Col ExpenseActualTotal</t>
  </si>
  <si>
    <t>2024/12/06</t>
  </si>
  <si>
    <t>MEGA_PARK_P2_Tracker.xlsx | Table row 179 | Site Visits | Inv  | Col ExpenseActualTotal</t>
  </si>
  <si>
    <t>2025/02/07</t>
  </si>
  <si>
    <t>MEGA_PARK_P2_Tracker.xlsx | Table row 180 | Site Visits | Inv  | Col ExpenseActualTotal</t>
  </si>
  <si>
    <t>2025/03/06</t>
  </si>
  <si>
    <t>MEGA_PARK_P2_Tracker.xlsx | Table row 181 | Site Visits | Inv  | Col ExpenseActualTotal</t>
  </si>
  <si>
    <t>2025/04/04</t>
  </si>
  <si>
    <t>MEGA_PARK_P2_Tracker.xlsx | Table row 182 | Site Visits | Inv  | Col ExpenseActualTotal</t>
  </si>
  <si>
    <t>2025/05/08</t>
  </si>
  <si>
    <t>MEGA_PARK_P2_Tracker.xlsx | Table row 183 | Penalty | Inv  | Col ExpenseActualTotal</t>
  </si>
  <si>
    <t>Penalty</t>
  </si>
  <si>
    <t>2024/12/13</t>
  </si>
  <si>
    <t>MEGA_PARK_P2_Tracker.xlsx | Table row 184 | Smartlogger | Inv  | Col ExpenseActualTotal</t>
  </si>
  <si>
    <t>2025/02/28</t>
  </si>
  <si>
    <t>MEGA_PARK_P2_Tracker.xlsx | Table row 185 | Kathea Support | Inv  | Col ExpenseActualTotal</t>
  </si>
  <si>
    <t>Kathea Support</t>
  </si>
  <si>
    <t>2025/04/30</t>
  </si>
  <si>
    <t>PO3759-MGP-20250321 - RV Approved</t>
  </si>
  <si>
    <t>MEGA_PARK_P2_Tracker.xlsx | Table row 186 | De Kock &amp; Cronje - additional Labour | Inv  | Col ExpenseActualTotal</t>
  </si>
  <si>
    <t>De Kock &amp; Cronje - additional Labour</t>
  </si>
  <si>
    <t>PO3760-MGP-20250324 - RV Approved</t>
  </si>
  <si>
    <t>MEGA_PARK_P2_Tracker.xlsx | Table row 187 | Supply, Install and Commission between
Plant, PPC, RTU and Control Centre - Deposit | Inv  | Col ExpenseActualTotal</t>
  </si>
  <si>
    <t>Supply, Install and Commission between
Plant, PPC, RTU and Control Centre - Deposit</t>
  </si>
  <si>
    <t>2025/11/13</t>
  </si>
  <si>
    <t>PO4372-MGP-20251015 - RV Approved</t>
  </si>
  <si>
    <t>MEGA_PARK_P2_Tracker.xlsx | Table row 188 | Supply, Install and Commission between
Plant, PPC, RTU and Control Centre - Balance | Inv  | Col ExpenseActualTotal</t>
  </si>
  <si>
    <t>Supply, Install and Commission between
Plant, PPC, RTU and Control Centre - Balance</t>
  </si>
  <si>
    <t>2025/11/30</t>
  </si>
  <si>
    <t>MEGA_PARK_P2_Tracker.xlsx | Table row 204 | Encombi (2nd meter) | Inv  | Col ExpenseActualTotal</t>
  </si>
  <si>
    <t>Encombi (2nd meter)</t>
  </si>
  <si>
    <t>2025/05/31</t>
  </si>
  <si>
    <t>PO3783-MGP-20250402 - MI Approved</t>
  </si>
  <si>
    <t>MEGA_PARK_P2_Tracker.xlsx | Table row 205 | SN Electrcal - Installation of Encombi | Inv  | Col ExpenseActualTotal</t>
  </si>
  <si>
    <t>SN Electrcal - Installation of Encombi</t>
  </si>
  <si>
    <t>2025/04/03</t>
  </si>
  <si>
    <t>PO3781-MGP-20250328 - RV Approved</t>
  </si>
  <si>
    <t>MEGA_PARK_P2_Tracker.xlsx | Table row 206 | Teltonika Port Switch | Inv  | Col ExpenseActualTotal</t>
  </si>
  <si>
    <t>Teltonika Port Switch</t>
  </si>
  <si>
    <t>2025/01/09</t>
  </si>
  <si>
    <t>MEGA_PARK_P2_Tracker.xlsx | Table row 207 | Fiber Connections | Inv  | Col ExpenseActualTotal</t>
  </si>
  <si>
    <t>Fiber Connections</t>
  </si>
  <si>
    <t>2025/02/20</t>
  </si>
  <si>
    <t>PO3554-MGP-20250122 - RV Approved</t>
  </si>
  <si>
    <t>MEGA_PARK_P2_Tracker.xlsx | Table row 208 | Encombi | Inv  | Col ExpenseActualTotal</t>
  </si>
  <si>
    <t>Encombi</t>
  </si>
  <si>
    <t>2025/01/30</t>
  </si>
  <si>
    <t>PO3487-MGP-20241125 - RV Approved</t>
  </si>
  <si>
    <t>MEGA_PARK_P2_Tracker.xlsx | Table row 209 | Jantiza - Kathea | Inv  | Col ExpenseActualTotal</t>
  </si>
  <si>
    <t>Jantiza - Kathea</t>
  </si>
  <si>
    <t>PO3483-MGP-20241125 - RV Approved</t>
  </si>
  <si>
    <t>MEGA_PARK_P2_Tracker.xlsx | Table row 210 | MV CTs - De Kock &amp; Cronje | Inv  | Col ExpenseActualTotal</t>
  </si>
  <si>
    <t>MV CTs - De Kock &amp; Cronje</t>
  </si>
  <si>
    <t>PO3468-MEG-20241121 - RV Approved</t>
  </si>
  <si>
    <t>MEGA_PARK_P2_Tracker.xlsx | Table row 211 | Switches - Fiber Compatible | Inv  | Col ExpenseActualTotal</t>
  </si>
  <si>
    <t>Switches - Fiber Compatible</t>
  </si>
  <si>
    <t>Comtel</t>
  </si>
  <si>
    <t>PO3484-MGP-20241125 - RV Approved</t>
  </si>
  <si>
    <t>MEGA_PARK_P2_Tracker.xlsx | Table row 212 | Enclosure | Inv  | Col ExpenseActualTotal</t>
  </si>
  <si>
    <t>Enclosure</t>
  </si>
  <si>
    <t>2024/12/12</t>
  </si>
  <si>
    <t>Frontline PI QTE99478</t>
  </si>
  <si>
    <t>PO3481-MGP-20241122 - RV Approved</t>
  </si>
  <si>
    <t>Meraki Ph3_Tracker.xlsx | Table row 6 | Longi 605W | Inv Krannich Inv 15-10011770 | Col ExpenseActualTotal</t>
  </si>
  <si>
    <t>Longi 605W</t>
  </si>
  <si>
    <t>PO3604-MER-20250130 - RV Approved</t>
  </si>
  <si>
    <t>Krannich Inv 15-10011770</t>
  </si>
  <si>
    <t>Meraki Ph3_Tracker.xlsx | Table row 8 |  | Inv Krannich - 15-10013493 | Col ExpenseActualTotal</t>
  </si>
  <si>
    <t>Krannich - 15-10013493</t>
  </si>
  <si>
    <t>Meraki Ph3_Tracker.xlsx | Table row 9 |  | Inv Krannich -15-10013950 | Col ExpenseActualTotal</t>
  </si>
  <si>
    <t>Krannich -15-10013950</t>
  </si>
  <si>
    <t>Meraki Ph3_Tracker.xlsx | Table row 13 | Solar Edge 100kW (Inverter) | Inv Herholdts - INV1004506 | Col ExpenseActualTotal</t>
  </si>
  <si>
    <t>Solar Edge 100kW (Inverter)</t>
  </si>
  <si>
    <t>PO3651-MER-20250212 - RV Approved</t>
  </si>
  <si>
    <t>Herholdts - INV1004506</t>
  </si>
  <si>
    <t>Meraki Ph3_Tracker.xlsx | Table row 14 | Synergy Units | Inv Herholdts - INV1004506 | Col ExpenseActualTotal</t>
  </si>
  <si>
    <t>Synergy Units</t>
  </si>
  <si>
    <t>Meraki Ph3_Tracker.xlsx | Table row 15 | S1200 Optimisers | Inv Herholdts - INV1004506 | Col ExpenseActualTotal</t>
  </si>
  <si>
    <t>S1200 Optimisers</t>
  </si>
  <si>
    <t>Meraki Ph3_Tracker.xlsx | Table row 16 | Delivery of Optimizers | Inv DSV Inv: 180130292 | Col ExpenseActualTotal</t>
  </si>
  <si>
    <t>Delivery of Optimizers</t>
  </si>
  <si>
    <t>DSV Inv: 180130292</t>
  </si>
  <si>
    <t>Meraki Ph3_Tracker.xlsx | Table row 17 | RMA 100kW Inverter | Inv  | Col ExpenseActualTotal</t>
  </si>
  <si>
    <t>RMA 100kW Inverter</t>
  </si>
  <si>
    <t>Meraki Ph3_Tracker.xlsx | Table row 18 | New 100KW Inverter | Inv Herholdt's Inv: INV1106843 | Col ExpenseActualTotal</t>
  </si>
  <si>
    <t>New 100KW Inverter</t>
  </si>
  <si>
    <t>PO4158-MER-20250724 - RV Approved</t>
  </si>
  <si>
    <t>Herholdt's Inv: INV1106843</t>
  </si>
  <si>
    <t>Meraki Ph3_Tracker.xlsx | Table row 19 | S1200 Optimisers | Inv Herholdt's - INV1111496 | Col ExpenseActualTotal</t>
  </si>
  <si>
    <t>PO4190-MER-20250731 - RV Approved</t>
  </si>
  <si>
    <t>Herholdt's - INV1111496</t>
  </si>
  <si>
    <t>Meraki Ph3_Tracker.xlsx | Table row 20 |  | Inv Herholdts - CN102297 | Col ExpenseActualTotal</t>
  </si>
  <si>
    <t>Herholdts - CN102297</t>
  </si>
  <si>
    <t>Meraki Ph3_Tracker.xlsx | Table row 21 | Replacement Synergy Unit | Inv Herholdts - INV1055010 | Col ExpenseActualTotal</t>
  </si>
  <si>
    <t>Replacement Synergy Unit</t>
  </si>
  <si>
    <t>PO3847-MER-20250505 - RV Approved</t>
  </si>
  <si>
    <t>Herholdts - INV1055010</t>
  </si>
  <si>
    <t>Meraki Ph3_Tracker.xlsx | Table row 22 |  | Inv Herholdts - CN092803 | Col ExpenseActualTotal</t>
  </si>
  <si>
    <t>Herholdts - CN092803</t>
  </si>
  <si>
    <t>Meraki Ph3_Tracker.xlsx | Table row 24 | Schletter | Inv SCHLETTER - INV1434 | Col ExpenseActualTotal</t>
  </si>
  <si>
    <t>PO3646-MER-20250211 - RV Approved</t>
  </si>
  <si>
    <t>SCHLETTER - INV1434</t>
  </si>
  <si>
    <t>Meraki Ph3_Tracker.xlsx | Table row 25 | Additional Clamps - VO | Inv SCHLETTER - INV1453 | Col ExpenseActualTotal</t>
  </si>
  <si>
    <t>Additional Clamps - VO</t>
  </si>
  <si>
    <t>PO3690-MER-20250220 - RV Approved</t>
  </si>
  <si>
    <t>SCHLETTER - INV1453</t>
  </si>
  <si>
    <t>Meraki Ph3_Tracker.xlsx | Table row 30 | DC Cable | Inv Krannich Inv 15-10011770 | Col ExpenseActualTotal</t>
  </si>
  <si>
    <t>Meraki Ph3_Tracker.xlsx | Table row 33 | Project Kick Off | Inv Thula Moya IN04614 | Col ExpenseActualTotal</t>
  </si>
  <si>
    <t>PO3645-MER-20250211 - RV Approved</t>
  </si>
  <si>
    <t>Thula Moya IN04614</t>
  </si>
  <si>
    <t>Meraki Ph3_Tracker.xlsx | Table row 34 | Site Establishment | Inv Thula Moya IN04625 | Col ExpenseActualTotal</t>
  </si>
  <si>
    <t>Thula Moya IN04625</t>
  </si>
  <si>
    <t>Meraki Ph3_Tracker.xlsx | Table row 35 | AC Installation Complete | Inv Thula Moya IN04648 | Col ExpenseActualTotal</t>
  </si>
  <si>
    <t>Thula Moya IN04648</t>
  </si>
  <si>
    <t>Meraki Ph3_Tracker.xlsx | Table row 36 | DC Installation Complete | Inv Thula Moya IN04649 | Col ExpenseActualTotal</t>
  </si>
  <si>
    <t>Thula Moya IN04649</t>
  </si>
  <si>
    <t>Meraki Ph3_Tracker.xlsx | Table row 37 | Commissioning Complete | Inv Thula Moya IN04650 | Col ExpenseActualTotal</t>
  </si>
  <si>
    <t>Thula Moya IN04650</t>
  </si>
  <si>
    <t>Meraki Ph3_Tracker.xlsx | Table row 38 | Site De-establisment | Inv Thula Moya IN04651 | Col ExpenseActualTotal</t>
  </si>
  <si>
    <t>Thula Moya IN04651</t>
  </si>
  <si>
    <t>Meraki Ph3_Tracker.xlsx | Table row 39 | Handover Document Complete | Inv Thula Moya IN04731 | Col ExpenseActualTotal</t>
  </si>
  <si>
    <t>Thula Moya IN04731</t>
  </si>
  <si>
    <t>Meraki Ph3_Tracker.xlsx | Table row 40 | End of Defects Period | Inv Thula Moya IN04731 | Col ExpenseActualTotal</t>
  </si>
  <si>
    <t>Meraki Ph3_Tracker.xlsx | Table row 43 | CTs | Inv AccuEnergy - ASAI-004803 | Col ExpenseActualTotal</t>
  </si>
  <si>
    <t>PO3647-MER-20250211 - RV Approved</t>
  </si>
  <si>
    <t>AccuEnergy - ASAI-004803</t>
  </si>
  <si>
    <t>Meraki Ph3_Tracker.xlsx | Table row 44 | Courier of Sim card &amp; CT's | Inv DSV Inv: 180121124 | Col ExpenseActualTotal</t>
  </si>
  <si>
    <t>Courier of Sim card &amp; CT's</t>
  </si>
  <si>
    <t>DSV Inv: 180121124</t>
  </si>
  <si>
    <t>Meraki Ph3_Tracker.xlsx | Table row 45 | Techsitter CTs | Inv AccuEnergy ASAI-005991 | Col ExpenseActualTotal</t>
  </si>
  <si>
    <t>PO4132-MER-20250717 - RV Approved</t>
  </si>
  <si>
    <t>AccuEnergy ASAI-005991</t>
  </si>
  <si>
    <t>Meraki Ph3_Tracker.xlsx | Table row 50 | Project Kick Off | Inv Thula Moya IN04614 | Col ExpenseActualTotal</t>
  </si>
  <si>
    <t>Meraki Ph3_Tracker.xlsx | Table row 51 | Site Establishment | Inv Thula Moya IN04625 | Col ExpenseActualTotal</t>
  </si>
  <si>
    <t>Meraki Ph3_Tracker.xlsx | Table row 52 | AC Installation Complete | Inv Thula Moya IN04648 | Col ExpenseActualTotal</t>
  </si>
  <si>
    <t>Meraki Ph3_Tracker.xlsx | Table row 53 | DC Installation Complete | Inv Thula Moya IN04649 | Col ExpenseActualTotal</t>
  </si>
  <si>
    <t>Meraki Ph3_Tracker.xlsx | Table row 54 | Commissioning Complete | Inv Thula Moya IN04650 | Col ExpenseActualTotal</t>
  </si>
  <si>
    <t>Meraki Ph3_Tracker.xlsx | Table row 55 | Site De-establisment | Inv Thula Moya IN04651 | Col ExpenseActualTotal</t>
  </si>
  <si>
    <t>Meraki Ph3_Tracker.xlsx | Table row 56 | Handover Document Complete | Inv Thula Moya IN04731 | Col ExpenseActualTotal</t>
  </si>
  <si>
    <t>Meraki Ph3_Tracker.xlsx | Table row 57 | End of Defects Period | Inv Thula Moya IN04731 | Col ExpenseActualTotal</t>
  </si>
  <si>
    <t>Meraki Ph3_Tracker.xlsx | Table row 68 | Techsitter Control Meter | Inv Matriarch Inv: 4742 | Col ExpenseActualTotal</t>
  </si>
  <si>
    <t>Techsitter Control Meter</t>
  </si>
  <si>
    <t>Matriarch Inv: 4742</t>
  </si>
  <si>
    <t>Meraki Ph3_Tracker.xlsx | Table row 69 | Techsitter Solar Meter | Inv Matriarch Inv: 4742 | Col ExpenseActualTotal</t>
  </si>
  <si>
    <t>Techsitter Solar Meter</t>
  </si>
  <si>
    <t>PO3941-MER-20250520 - RV Approved</t>
  </si>
  <si>
    <t>Meraki Ph3_Tracker.xlsx | Table row 70 | Delivery of Meters | Inv DSV Inv: 180139213 | Col ExpenseActualTotal</t>
  </si>
  <si>
    <t>Delivery of Meters</t>
  </si>
  <si>
    <t>DSV Inv: 180139213</t>
  </si>
  <si>
    <t>Meraki Ph3_Tracker.xlsx | Table row 71 | EnergiTrack Waveshare Industrial Converter | Inv Herholdts - INV1120605 | Col ExpenseActualTotal</t>
  </si>
  <si>
    <t>EnergiTrack Waveshare Industrial Converter</t>
  </si>
  <si>
    <t>PO4122-MER-20250714 - RV Approved</t>
  </si>
  <si>
    <t>Herholdts - INV1120605</t>
  </si>
  <si>
    <t>Meraki Ph3_Tracker.xlsx | Table row 72 | Thula Moya - DC Cable - VO | Inv Thula Moya IN04946 | Col ExpenseActualTotal</t>
  </si>
  <si>
    <t>Thula Moya - DC Cable - VO</t>
  </si>
  <si>
    <t>PO4346-MER-20250930 - RV Approved</t>
  </si>
  <si>
    <t>Thula Moya IN04946</t>
  </si>
  <si>
    <t>Meraki Ph3_Tracker.xlsx | Table row 75 | Project Kick Off | Inv Thula Moya IN04614 | Col ExpenseActualTotal</t>
  </si>
  <si>
    <t>Meraki Ph3_Tracker.xlsx | Table row 76 | Site Establishment | Inv Thula Moya IN04625 | Col ExpenseActualTotal</t>
  </si>
  <si>
    <t>Meraki Ph3_Tracker.xlsx | Table row 77 | AC Installation Complete | Inv Thula Moya IN04648 | Col ExpenseActualTotal</t>
  </si>
  <si>
    <t>Meraki Ph3_Tracker.xlsx | Table row 78 | DC Installation Complete | Inv Thula Moya IN04649 | Col ExpenseActualTotal</t>
  </si>
  <si>
    <t>Meraki Ph3_Tracker.xlsx | Table row 79 | Commissioning Complete | Inv Thula Moya IN04650 | Col ExpenseActualTotal</t>
  </si>
  <si>
    <t>Meraki Ph3_Tracker.xlsx | Table row 80 | Site De-establisment | Inv Thula Moya IN04651 | Col ExpenseActualTotal</t>
  </si>
  <si>
    <t>Meraki Ph3_Tracker.xlsx | Table row 81 | Handover Document Complete | Inv Thula Moya IN04731 | Col ExpenseActualTotal</t>
  </si>
  <si>
    <t>Meraki Ph3_Tracker.xlsx | Table row 82 | End of Defects Period | Inv Thula Moya IN04731 | Col ExpenseActualTotal</t>
  </si>
  <si>
    <t>Meraki Ph3_Tracker.xlsx | Table row 85 | Project Kick Off | Inv Thula Moya IN04614 | Col ExpenseActualTotal</t>
  </si>
  <si>
    <t>Meraki Ph3_Tracker.xlsx | Table row 86 | Site Establishment | Inv Thula Moya IN04625 | Col ExpenseActualTotal</t>
  </si>
  <si>
    <t>Meraki Ph3_Tracker.xlsx | Table row 87 | AC Installation Complete | Inv Thula Moya IN04648 | Col ExpenseActualTotal</t>
  </si>
  <si>
    <t>Meraki Ph3_Tracker.xlsx | Table row 88 | DC Installation Complete | Inv Thula Moya IN04649 | Col ExpenseActualTotal</t>
  </si>
  <si>
    <t>Meraki Ph3_Tracker.xlsx | Table row 89 | Commissioning Complete | Inv Thula Moya IN04650 | Col ExpenseActualTotal</t>
  </si>
  <si>
    <t>Meraki Ph3_Tracker.xlsx | Table row 90 | Site De-establisment | Inv Thula Moya IN04651 | Col ExpenseActualTotal</t>
  </si>
  <si>
    <t>Meraki Ph3_Tracker.xlsx | Table row 91 | Handover Document Complete | Inv Thula Moya IN04731 | Col ExpenseActualTotal</t>
  </si>
  <si>
    <t>Meraki Ph3_Tracker.xlsx | Table row 92 | End of Defects Period | Inv Thula Moya IN04731 | Col ExpenseActualTotal</t>
  </si>
  <si>
    <t>Meraki Ph3_Tracker.xlsx | Table row 94 | Electrical PrEng sign off | Inv Sunspot IN E017 | Col ExpenseActualTotal</t>
  </si>
  <si>
    <t>PO3780-MER-20250328 - RV Approved</t>
  </si>
  <si>
    <t>Sunspot IN E017</t>
  </si>
  <si>
    <t>Meraki Ph3_Tracker.xlsx | Table row 95 | Red Team | Inv Matriarch Inv: 4068 | Col ExpenseActualTotal</t>
  </si>
  <si>
    <t>Matriarch Inv: 4068</t>
  </si>
  <si>
    <t>Meraki Ph3_Tracker.xlsx | Table row 103 | Matriarch Defects Period | Inv Matriarch - INV-4067 | Col ExpenseActualTotal</t>
  </si>
  <si>
    <t>Matriarch - INV-4067</t>
  </si>
  <si>
    <t>Meraki Ph3_Tracker.xlsx | Table row 111 | Car travel to site | Inv Expense Claims | Col ExpenseActualTotal</t>
  </si>
  <si>
    <t>Meraki Ph3_Tracker.xlsx | Table row 112 |  | Inv Expense Claims | Col ExpenseActualTotal</t>
  </si>
  <si>
    <t>Meraki Ph3_Tracker.xlsx | Table row 113 |  | Inv Expense Claims | Col ExpenseActualTotal</t>
  </si>
  <si>
    <t>Meraki Ph3_Tracker.xlsx | Table row 114 |  | Inv Expense Claims | Col ExpenseActualTotal</t>
  </si>
  <si>
    <t>Meraki Ph3_Tracker.xlsx | Table row 115 |  | Inv Expense Claims | Col ExpenseActualTotal</t>
  </si>
  <si>
    <t>Meraki Ph3_Tracker.xlsx | Table row 116 |  | Inv Expense Claims | Col ExpenseActualTotal</t>
  </si>
  <si>
    <t>Meraki Ph3_Tracker.xlsx | Table row 117 |  | Inv Expense Claims | Col ExpenseActualTotal</t>
  </si>
  <si>
    <t>Meraki Ph3_Tracker.xlsx | Table row 119 | Service Fee | Inv Herholdt's Inv: INV978839 | Col ExpenseActualTotal</t>
  </si>
  <si>
    <t>Service Fee</t>
  </si>
  <si>
    <t>Herholdt's Inv: INV978839</t>
  </si>
  <si>
    <t>Meraki Ph3_Tracker.xlsx | Table row 120 | Callout - Replace Comms board - VO | Inv Thula Moya - IN07401 | Col ExpenseActualTotal</t>
  </si>
  <si>
    <t>Callout - Replace Comms board - VO</t>
  </si>
  <si>
    <t>Thula Moya - IN07401</t>
  </si>
  <si>
    <t>Meraki Ph3_Tracker.xlsx | Table row 121 | Call out - Attess - Isolation error - VO | Inv Thula Moya - IN04819 | Col ExpenseActualTotal</t>
  </si>
  <si>
    <t>Call out - Attess - Isolation error - VO</t>
  </si>
  <si>
    <t>PO4214-MER-20250812 - RV Approved</t>
  </si>
  <si>
    <t>Thula Moya - IN04819</t>
  </si>
  <si>
    <t>Meraki Ph3_Tracker.xlsx | Table row 122 | Callout for Inverter Replacement - VO | Inv Thula Moya IN04734 | Col ExpenseActualTotal</t>
  </si>
  <si>
    <t>Callout for Inverter Replacement - VO</t>
  </si>
  <si>
    <t>Thula Moya IN04734</t>
  </si>
  <si>
    <t>Meraki Ph3_Tracker.xlsx | Table row 123 | Call-out and assessment - VO | Inv Thula Moya IN04769 | Col ExpenseActualTotal</t>
  </si>
  <si>
    <t>Call-out and assessment - VO</t>
  </si>
  <si>
    <t>Thula Moya IN04769</t>
  </si>
  <si>
    <t>Meraki Ph3_Tracker.xlsx | Table row 124 | Optimiser Replacment - VO | Inv Thula Moya - IN04942 | Col ExpenseActualTotal</t>
  </si>
  <si>
    <t>Optimiser Replacment - VO</t>
  </si>
  <si>
    <t>PO2918-MER-20251024 - RV Approved</t>
  </si>
  <si>
    <t>Thula Moya - IN04942</t>
  </si>
  <si>
    <t>Meraki Ph3_Tracker.xlsx | Table row 125 | Courier of Sonnel Meter - VO | Inv DSV Inv: 180139892 +180139213 | Col ExpenseActualTotal</t>
  </si>
  <si>
    <t>Courier of Sonnel Meter - VO</t>
  </si>
  <si>
    <t>DSV Inv: 180139892 +180139213</t>
  </si>
  <si>
    <t>Meraki Ph3_Tracker.xlsx | Table row 126 | Courier of Seward Meter - VO | Inv DSV Inv: 180142244 | Col ExpenseActualTotal</t>
  </si>
  <si>
    <t>Courier of Seward Meter - VO</t>
  </si>
  <si>
    <t>DSV Inv: 180142244</t>
  </si>
  <si>
    <t>Meraki Ph3_Tracker.xlsx | Table row 127 | New Scope - Replacement of optimisers incl material - VO | Inv Thula Moya IN04906 | Col ExpenseActualTotal</t>
  </si>
  <si>
    <t>New Scope - Replacement of optimisers incl material - VO</t>
  </si>
  <si>
    <t>Thula Moya IN04906</t>
  </si>
  <si>
    <t>Meraki Ph3_Tracker.xlsx | Table row 128 | Labour and Travel - VO | Inv Thula Moya - IN05003 | Col ExpenseActualTotal</t>
  </si>
  <si>
    <t>Labour and Travel - VO</t>
  </si>
  <si>
    <t>PO4559-MER-20260120 - RV Apporved</t>
  </si>
  <si>
    <t>Thula Moya - IN05003</t>
  </si>
  <si>
    <t>Meraki Ph3_Tracker.xlsx | Table row 129 | support and locate the issue with support from ATESS - VO | Inv Thula Moya - IN04998 | Col ExpenseActualTotal</t>
  </si>
  <si>
    <t>support and locate the issue with support from ATESS - VO</t>
  </si>
  <si>
    <t>PO4557-MER-20260119 - RV Apporved</t>
  </si>
  <si>
    <t>Thula Moya - IN04998</t>
  </si>
  <si>
    <t>Meraki Ph3_Tracker.xlsx | Table row 130 | Courier of Optimzers - VO | Inv DSV Inv: 180152208 | Col ExpenseActualTotal</t>
  </si>
  <si>
    <t>Courier of Optimzers - VO</t>
  </si>
  <si>
    <t>DSV Inv: 180152208</t>
  </si>
  <si>
    <t>Meraki Ph3_Tracker.xlsx | Table row 131 | Rework Budget Allocation | Inv  | Col ExpenseActualTotal</t>
  </si>
  <si>
    <t>Rework Budget Allocation</t>
  </si>
  <si>
    <t>Milkwood_Square_Tracker.xlsx | Table row 6 | Jinko 620W - Mono - 66HL4M-(V) Mono-Facial module (N-Type) | Inv Menlo INV0003178 | Col ExpenseActualTotal</t>
  </si>
  <si>
    <t>Jinko 620W - Mono - 66HL4M-(V) Mono-Facial module (N-Type)</t>
  </si>
  <si>
    <t>Menlo INV0003178</t>
  </si>
  <si>
    <t>Milkwood_Square_Tracker.xlsx | Table row 8 | Futile trip delivery cost | Inv Menlo INV0003178 | Col ExpenseActualTotal</t>
  </si>
  <si>
    <t>Futile trip delivery cost</t>
  </si>
  <si>
    <t>Milkwood_Square_Tracker.xlsx | Table row 9 | Credit Note 40 modules - we only require 622 modules | Inv Menlo CRN0000244 | Col ExpenseActualTotal</t>
  </si>
  <si>
    <t>Credit Note 40 modules - we only require 622 modules</t>
  </si>
  <si>
    <t>Menlo CRN0000244</t>
  </si>
  <si>
    <t>Milkwood_Square_Tracker.xlsx | Table row 10 | Jinko 620W - Mono - 66HL4M-(V) returned to stock | Inv Allocated to Cpt Storeoom | Col ExpenseActualTotal</t>
  </si>
  <si>
    <t>Jinko 620W - Mono - 66HL4M-(V) returned to stock</t>
  </si>
  <si>
    <t>Allocated to Cpt Storeoom</t>
  </si>
  <si>
    <t>Milkwood_Square_Tracker.xlsx | Table row 13 | Huawei 100KTL | Inv Menlo - INV0003178 | Col ExpenseActualTotal</t>
  </si>
  <si>
    <t>Menlo - INV0003178</t>
  </si>
  <si>
    <t>Milkwood_Square_Tracker.xlsx | Table row 21 | Schletter Structure | Inv Schletter - INV2155 | Col ExpenseActualTotal</t>
  </si>
  <si>
    <t>PO4291-MLKW-20250901 - RV Approved</t>
  </si>
  <si>
    <t>Schletter - INV2155</t>
  </si>
  <si>
    <t>Milkwood_Square_Tracker.xlsx | Table row 28 | DC Cable | Inv Menlo - INV0003178 | Col ExpenseActualTotal</t>
  </si>
  <si>
    <t>Milkwood_Square_Tracker.xlsx | Table row 29 | DC Cable - moved from Blackheath | Inv Allocated from Spear - Blackheath | Col ExpenseActualTotal</t>
  </si>
  <si>
    <t>DC Cable - moved from Blackheath</t>
  </si>
  <si>
    <t>Allocated from Spear - Blackheath</t>
  </si>
  <si>
    <t>Milkwood_Square_Tracker.xlsx | Table row 32 | Project Kick Off | Inv CS_MWS_001 | Col ExpenseActualTotal</t>
  </si>
  <si>
    <t>PO4241-MLKW-20250819 - RV Approved</t>
  </si>
  <si>
    <t>CS_MWS_001</t>
  </si>
  <si>
    <t>Milkwood_Square_Tracker.xlsx | Table row 33 | Site Establishment | Inv CS_MWS_001 | Col ExpenseActualTotal</t>
  </si>
  <si>
    <t>Milkwood_Square_Tracker.xlsx | Table row 34 | AC Installation Complete | Inv CS_MWS_002 | Col ExpenseActualTotal</t>
  </si>
  <si>
    <t>CS_MWS_002</t>
  </si>
  <si>
    <t>Milkwood_Square_Tracker.xlsx | Table row 35 | DC Installation Complete | Inv CS_MWS_002 | Col ExpenseActualTotal</t>
  </si>
  <si>
    <t>Milkwood_Square_Tracker.xlsx | Table row 36 | Commissioning Complete | Inv CS_MWS_002 | Col ExpenseActualTotal</t>
  </si>
  <si>
    <t>Milkwood_Square_Tracker.xlsx | Table row 37 | Site De-establisment | Inv CS_MWS_002 | Col ExpenseActualTotal</t>
  </si>
  <si>
    <t>Milkwood_Square_Tracker.xlsx | Table row 38 | Handover Document Complete | Inv CS_MWS_002 | Col ExpenseActualTotal</t>
  </si>
  <si>
    <t>Milkwood_Square_Tracker.xlsx | Table row 39 | End of Defects Period | Inv CS_MWS_002 | Col ExpenseActualTotal</t>
  </si>
  <si>
    <t>Milkwood_Square_Tracker.xlsx | Table row 44 | Smartlogger | Inv Menlo - INV0003178 | Col ExpenseActualTotal</t>
  </si>
  <si>
    <t>Milkwood_Square_Tracker.xlsx | Table row 45 | CTs &amp; Meters | Inv Accuenergy Inv: ASAI 005873 | Col ExpenseActualTotal</t>
  </si>
  <si>
    <t>PO4072-MLW-20250630 - RV Approved</t>
  </si>
  <si>
    <t>Accuenergy Inv: ASAI 005873</t>
  </si>
  <si>
    <t>Milkwood_Square_Tracker.xlsx | Table row 46 | Techsitter | Inv Matriarch - INV-5207 | Col ExpenseActualTotal</t>
  </si>
  <si>
    <t>Milkwood_Square_Tracker.xlsx | Table row 47 | Courier of Techsitter Meter | Inv DSV Inv:180147748 | Col ExpenseActualTotal</t>
  </si>
  <si>
    <t>Courier of Techsitter Meter</t>
  </si>
  <si>
    <t>Milkwood_Square_Tracker.xlsx | Table row 48 | APEX | Inv Rubicon - INVWCRE-0070809 | Col ExpenseActualTotal</t>
  </si>
  <si>
    <t>APEX</t>
  </si>
  <si>
    <t>PO4318-MLKW-20250916 - RV Approved</t>
  </si>
  <si>
    <t>Rubicon - INVWCRE-0070809</t>
  </si>
  <si>
    <t>Milkwood_Square_Tracker.xlsx | Table row 49 | Powersupply | Inv Mantech QUO124941 | Col ExpenseActualTotal</t>
  </si>
  <si>
    <t>Mantech QUO124941</t>
  </si>
  <si>
    <t>Milkwood_Square_Tracker.xlsx | Table row 50 | Lithium Battery | Inv Allocated from Steelpark | Col ExpenseActualTotal</t>
  </si>
  <si>
    <t>Allocated from Steelpark</t>
  </si>
  <si>
    <t>Milkwood_Square_Tracker.xlsx | Table row 53 | PVDB/Comms DB &amp; Tie In Breaker | Inv Switchboard 2-SOI002244 | Col ExpenseActualTotal</t>
  </si>
  <si>
    <t>PVDB/Comms DB &amp; Tie In Breaker</t>
  </si>
  <si>
    <t>PO4162-MLW-20250725 - RV Approved</t>
  </si>
  <si>
    <t>Switchboard 2-SOI002244</t>
  </si>
  <si>
    <t>Milkwood_Square_Tracker.xlsx | Table row 55 | Project Kick Off | Inv CS_MWS_001 | Col ExpenseActualTotal</t>
  </si>
  <si>
    <t>Milkwood_Square_Tracker.xlsx | Table row 56 | Site Establishment | Inv CS_MWS_001 | Col ExpenseActualTotal</t>
  </si>
  <si>
    <t>Milkwood_Square_Tracker.xlsx | Table row 57 | AC Installation Complete | Inv CS_MWS_002 | Col ExpenseActualTotal</t>
  </si>
  <si>
    <t>Milkwood_Square_Tracker.xlsx | Table row 58 | DC Installation Complete | Inv CS_MWS_002 | Col ExpenseActualTotal</t>
  </si>
  <si>
    <t>Milkwood_Square_Tracker.xlsx | Table row 59 | Commissioning Complete | Inv CS_MWS_002 | Col ExpenseActualTotal</t>
  </si>
  <si>
    <t>Milkwood_Square_Tracker.xlsx | Table row 60 | Site De-establisment | Inv CS_MWS_002 | Col ExpenseActualTotal</t>
  </si>
  <si>
    <t>Milkwood_Square_Tracker.xlsx | Table row 61 | Handover Document Complete | Inv CS_MWS_002 | Col ExpenseActualTotal</t>
  </si>
  <si>
    <t>Milkwood_Square_Tracker.xlsx | Table row 62 | End of Defects Period | Inv CS_MWS_002 | Col ExpenseActualTotal</t>
  </si>
  <si>
    <t>Milkwood_Square_Tracker.xlsx | Table row 78 | Material Transport | Inv ABL Transport - 0196 | Col ExpenseActualTotal</t>
  </si>
  <si>
    <t>Material Transport</t>
  </si>
  <si>
    <t>PO4384-MLKW-20251020 - RV Approved</t>
  </si>
  <si>
    <t>ABL Transport - 0196</t>
  </si>
  <si>
    <t>Milkwood_Square_Tracker.xlsx | Table row 87 | Project Kick Off | Inv CS_MWS_001 | Col ExpenseActualTotal</t>
  </si>
  <si>
    <t>Milkwood_Square_Tracker.xlsx | Table row 88 | Site Establishment | Inv CS_MWS_001 | Col ExpenseActualTotal</t>
  </si>
  <si>
    <t>Milkwood_Square_Tracker.xlsx | Table row 89 | AC Installation Complete | Inv CS_MWS_004 | Col ExpenseActualTotal</t>
  </si>
  <si>
    <t>CS_MWS_004</t>
  </si>
  <si>
    <t>Milkwood_Square_Tracker.xlsx | Table row 90 | DC Installation Complete | Inv CS_MWS_003  | Col ExpenseActualTotal</t>
  </si>
  <si>
    <t xml:space="preserve">CS_MWS_003 </t>
  </si>
  <si>
    <t>Milkwood_Square_Tracker.xlsx | Table row 91 | Commissioning Complete | Inv CS_MWS_005 | Col ExpenseActualTotal</t>
  </si>
  <si>
    <t>CS_MWS_005</t>
  </si>
  <si>
    <t>Milkwood_Square_Tracker.xlsx | Table row 92 | Site De-establisment | Inv CS_MWS_006 | Col ExpenseActualTotal</t>
  </si>
  <si>
    <t>CS_MWS_006</t>
  </si>
  <si>
    <t>Milkwood_Square_Tracker.xlsx | Table row 93 | Handover Document Complete | Inv CS_MWS_007 | Col ExpenseActualTotal</t>
  </si>
  <si>
    <t>CS_MWS_007</t>
  </si>
  <si>
    <t>Milkwood_Square_Tracker.xlsx | Table row 94 | End of Defects Period | Inv CS_MWS_008 | Col ExpenseActualTotal</t>
  </si>
  <si>
    <t>CS_MWS_008</t>
  </si>
  <si>
    <t>Milkwood_Square_Tracker.xlsx | Table row 103 | Project Kick Off | Inv CS_MWS_001 | Col ExpenseActualTotal</t>
  </si>
  <si>
    <t>Milkwood_Square_Tracker.xlsx | Table row 104 | Site Establishment | Inv CS_MWS_001 | Col ExpenseActualTotal</t>
  </si>
  <si>
    <t>Milkwood_Square_Tracker.xlsx | Table row 105 | AC Installation Complete | Inv CS_MWS_002 | Col ExpenseActualTotal</t>
  </si>
  <si>
    <t>Milkwood_Square_Tracker.xlsx | Table row 106 | DC Installation Complete | Inv CS_MWS_002 | Col ExpenseActualTotal</t>
  </si>
  <si>
    <t>Milkwood_Square_Tracker.xlsx | Table row 107 | Commissioning Complete | Inv CS_MWS_002 | Col ExpenseActualTotal</t>
  </si>
  <si>
    <t>Milkwood_Square_Tracker.xlsx | Table row 108 | Site De-establisment | Inv CS_MWS_002 | Col ExpenseActualTotal</t>
  </si>
  <si>
    <t>Milkwood_Square_Tracker.xlsx | Table row 109 | Handover Document Complete | Inv CS_MWS_002 | Col ExpenseActualTotal</t>
  </si>
  <si>
    <t>Milkwood_Square_Tracker.xlsx | Table row 110 | End of Defects Period | Inv CS_MWS_002 | Col ExpenseActualTotal</t>
  </si>
  <si>
    <t>Milkwood_Square_Tracker.xlsx | Table row 115 | Electrical PrEng sign off | Inv SunSpot E031 | Col ExpenseActualTotal</t>
  </si>
  <si>
    <t>SunSpot E031</t>
  </si>
  <si>
    <t>Milkwood_Square_Tracker.xlsx | Table row 116 | Structural Sign Off | Inv  | Col ExpenseActualTotal</t>
  </si>
  <si>
    <t>Milkwood_Square_Tracker.xlsx | Table row 117 | Grid Study - Outside of CoCT | Inv  | Col ExpenseActualTotal</t>
  </si>
  <si>
    <t>Milkwood_Square_Tracker.xlsx | Table row 118 | Red Team | Inv Matriarch - INV-5370 | Col ExpenseActualTotal</t>
  </si>
  <si>
    <t>Milkwood_Square_Tracker.xlsx | Table row 121 |  | Inv Auxilio Dei - INV 032 | Col ExpenseActualTotal</t>
  </si>
  <si>
    <t>Milkwood_Square_Tracker.xlsx | Table row 122 |  | Inv Auxilio Dei - INV 032 | Col ExpenseActualTotal</t>
  </si>
  <si>
    <t>Milkwood_Square_Tracker.xlsx | Table row 124 | Matriarch Defects Period - 1.25% | Inv Matriarch - INV-5369 | Col ExpenseActualTotal</t>
  </si>
  <si>
    <t>Milkwood_Square_Tracker.xlsx | Table row 125 | Management | Inv  | Col ExpenseActualTotal</t>
  </si>
  <si>
    <t>Milkwood_Square_Tracker.xlsx | Table row 126 | Project manager  | Inv  | Col ExpenseActualTotal</t>
  </si>
  <si>
    <t>Milkwood_Square_Tracker.xlsx | Table row 127 | Planner time | Inv  | Col ExpenseActualTotal</t>
  </si>
  <si>
    <t>Milkwood_Square_Tracker.xlsx | Table row 128 | De Snagging | Inv  | Col ExpenseActualTotal</t>
  </si>
  <si>
    <t>Milkwood_Square_Tracker.xlsx | Table row 131 | Travel | Inv  | Col ExpenseActualTotal</t>
  </si>
  <si>
    <t>Milkwood_Square_Tracker.xlsx | Table row 132 | Travel | Inv Expense Claim | Col ExpenseActualTotal</t>
  </si>
  <si>
    <t>Milkwood_Square_Tracker.xlsx | Table row 133 | Travel | Inv Expense Claim | Col ExpenseActualTotal</t>
  </si>
  <si>
    <t>Milkwood_Square_Tracker.xlsx | Table row 134 | Travel | Inv Expense Claim | Col ExpenseActualTotal</t>
  </si>
  <si>
    <t>Milkwood_Square_Tracker.xlsx | Table row 135 | Travel | Inv Expense Claim | Col ExpenseActualTotal</t>
  </si>
  <si>
    <t>Milkwood_Square_Tracker.xlsx | Table row 136 | Travel | Inv Expense Claim | Col ExpenseActualTotal</t>
  </si>
  <si>
    <t>Milkwood_Square_Tracker.xlsx | Table row 137 | Travel | Inv Expense Claim | Col ExpenseActualTotal</t>
  </si>
  <si>
    <t>Milkwood_Square_Tracker.xlsx | Table row 138 | Travel | Inv Expense Claim | Col ExpenseActualTotal</t>
  </si>
  <si>
    <t>Milkwood_Square_Tracker.xlsx | Table row 139 | Travel | Inv Expense Claim | Col ExpenseActualTotal</t>
  </si>
  <si>
    <t>Milkwood_Square_Tracker.xlsx | Table row 140 | Travel | Inv  | Col ExpenseActualTotal</t>
  </si>
  <si>
    <t>Mondi_Tracker_Rev02.xlsm | Table row 6 | Panels - Ground Mount - Deposit 10% | Inv  | Col ExpenseActualTotal</t>
  </si>
  <si>
    <t>Panels - Ground Mount - Deposit 10%</t>
  </si>
  <si>
    <t>Mondi_Tracker_Rev02.xlsm | Table row 7 | Panels - Ground Mount - Batch 1 5577 panels - Required 27 April | Inv  | Col ExpenseActualTotal</t>
  </si>
  <si>
    <t>Panels - Ground Mount - Batch 1 5577 panels - Required 27 April</t>
  </si>
  <si>
    <t>10624820</t>
  </si>
  <si>
    <t>Mondi_Tracker_Rev02.xlsm | Table row 8 | Panels - Ground Mount - Batch 2 5577 panels - Required 8 June | Inv  | Col ExpenseActualTotal</t>
  </si>
  <si>
    <t>Panels - Ground Mount - Batch 2 5577 panels - Required 8 June</t>
  </si>
  <si>
    <t>10373840</t>
  </si>
  <si>
    <t>Mondi_Tracker_Rev02.xlsm | Table row 9 | Panels - Ground Mount - Batch 3 5577 panels - Required 13 July | Inv  | Col ExpenseActualTotal</t>
  </si>
  <si>
    <t>Panels - Ground Mount - Batch 3 5577 panels - Required 13 July</t>
  </si>
  <si>
    <t>250980</t>
  </si>
  <si>
    <t>Mondi_Tracker_Rev02.xlsm | Table row 11 | Panels - RoofTop - 5090 panels - Class A Fire Rating - Deposit 10% | Inv  | Col ExpenseActualTotal</t>
  </si>
  <si>
    <t>Panels - RoofTop - 5090 panels - Class A Fire Rating - Deposit 10%</t>
  </si>
  <si>
    <t>Mondi_Tracker_Rev02.xlsm | Table row 12 | Panels - RoofTop - 5090 panels - Class A Fire Rating - Balance 90% - Required by 27 April | Inv  | Col ExpenseActualTotal</t>
  </si>
  <si>
    <t>Panels - RoofTop - 5090 panels - Class A Fire Rating - Balance 90% - Required by 27 April</t>
  </si>
  <si>
    <t>Mondi_Tracker_Rev02.xlsm | Table row 14 | Panels Carport - Deposit 10% | Inv  | Col ExpenseActualTotal</t>
  </si>
  <si>
    <t>Panels Carport - Deposit 10%</t>
  </si>
  <si>
    <t>Mondi_Tracker_Rev02.xlsm | Table row 15 | Panels Carport - Balance - 312 panels - Required 6 July | Inv  | Col ExpenseActualTotal</t>
  </si>
  <si>
    <t>Panels Carport - Balance - 312 panels - Required 6 July</t>
  </si>
  <si>
    <t>Mondi_Tracker_Rev02.xlsm | Table row 17 | Spares - Required by August | Inv  | Col ExpenseActualTotal</t>
  </si>
  <si>
    <t>Spares - Required by August</t>
  </si>
  <si>
    <t>Mondi_Tracker_Rev02.xlsm | Table row 20 | Inverter - Huawei 330KTL - Deposit 5% | Inv MSA Energy PIZO/DM/CPT/00011/10/2025 | Col ExpenseActualTotal</t>
  </si>
  <si>
    <t>Inverter - Huawei 330KTL - Deposit 5%</t>
  </si>
  <si>
    <t>PO4520-MON-20251203 - JP Approved</t>
  </si>
  <si>
    <t>MSA Energy PIZO/DM/CPT/00011/10/2025</t>
  </si>
  <si>
    <t>Mondi_Tracker_Rev02.xlsm | Table row 21 | Inverter - Huawei 330KTL - Deposit 2nd deposit 25% | Inv MSA Energy PIZO/DM/CPT/00011/10/2025 | Col ExpenseActualTotal</t>
  </si>
  <si>
    <t>Inverter - Huawei 330KTL - Deposit 2nd deposit 25%</t>
  </si>
  <si>
    <t>Mondi_Tracker_Rev02.xlsm | Table row 22 | Inverter - Huawei 330KTL - Balance - Inverter Room 1 70% | Inv MSA Energy PIZO/DM/CPT/00011/10/2025 | Col ExpenseActualTotal</t>
  </si>
  <si>
    <t>Inverter - Huawei 330KTL - Balance - Inverter Room 1 70%</t>
  </si>
  <si>
    <t>Mondi_Tracker_Rev02.xlsm | Table row 23 | Inverter - Huawei 330KTL - Balance - Inverter Room 2 70% | Inv MSA Energy PIZO/DM/CPT/00011/10/2025 | Col ExpenseActualTotal</t>
  </si>
  <si>
    <t>Inverter - Huawei 330KTL - Balance - Inverter Room 2 70%</t>
  </si>
  <si>
    <t>Mondi_Tracker_Rev02.xlsm | Table row 24 | Inverter - Huawei 330KTL - Balance - Inverter Room 3 70% | Inv MSA Energy PIZO/DM/CPT/00011/10/2025 | Col ExpenseActualTotal</t>
  </si>
  <si>
    <t>Inverter - Huawei 330KTL - Balance - Inverter Room 3 70%</t>
  </si>
  <si>
    <t>Mondi_Tracker_Rev02.xlsm | Table row 25 | Inverter - Huawei 330KTL - Balance - Inverter Room 4 70% | Inv MSA Energy PIZO/DM/CPT/00011/10/2025 | Col ExpenseActualTotal</t>
  </si>
  <si>
    <t>Inverter - Huawei 330KTL - Balance - Inverter Room 4 70%</t>
  </si>
  <si>
    <t>Mondi_Tracker_Rev02.xlsm | Table row 27 | Spares - Deposit 5% | Inv MSA Energy PIZO/DM/CPT/00011/10/2025 | Col ExpenseActualTotal</t>
  </si>
  <si>
    <t>Spares - Deposit 5%</t>
  </si>
  <si>
    <t>Mondi_Tracker_Rev02.xlsm | Table row 28 | Spares - Deposit 2nd 25% | Inv MSA Energy PIZO/DM/CPT/00011/10/2025 | Col ExpenseActualTotal</t>
  </si>
  <si>
    <t>Spares - Deposit 2nd 25%</t>
  </si>
  <si>
    <t>Mondi_Tracker_Rev02.xlsm | Table row 29 | Spares - Balance 70% | Inv MSA Energy PIZO/DM/CPT/00011/10/2025 | Col ExpenseActualTotal</t>
  </si>
  <si>
    <t>Spares - Balance 70%</t>
  </si>
  <si>
    <t>Mondi_Tracker_Rev02.xlsm | Table row 31 | Victron Multiplus2 3kW | Inv  | Col ExpenseActualTotal</t>
  </si>
  <si>
    <t>Victron Multiplus2 3kW</t>
  </si>
  <si>
    <t>Mondi_Tracker_Rev02.xlsm | Table row 32 | CerboGX | Inv  | Col ExpenseActualTotal</t>
  </si>
  <si>
    <t>CerboGX</t>
  </si>
  <si>
    <t>Mondi_Tracker_Rev02.xlsm | Table row 33 | F/Won 5kWh ETower | Inv  | Col ExpenseActualTotal</t>
  </si>
  <si>
    <t>F/Won 5kWh ETower</t>
  </si>
  <si>
    <t>Mondi_Tracker_Rev02.xlsm | Table row 45 | Ground Mount Structure Deposit - Zone 1 | Inv Schletter INVQ0176 | Col ExpenseActualTotal</t>
  </si>
  <si>
    <t>Ground Mount Structure Deposit - Zone 1</t>
  </si>
  <si>
    <t>PO4521-MON-20251203 - JP Approved</t>
  </si>
  <si>
    <t>Schletter INVQ0176</t>
  </si>
  <si>
    <t>Mondi_Tracker_Rev02.xlsm | Table row 46 | Ground Mount Structure Balance - Zone 1 | Inv  | Col ExpenseActualTotal</t>
  </si>
  <si>
    <t>Ground Mount Structure Balance - Zone 1</t>
  </si>
  <si>
    <t>Mondi_Tracker_Rev02.xlsm | Table row 48 | Ground Mount Structure Deposit - Zone 2 | Inv Schletter INVQ0176 | Col ExpenseActualTotal</t>
  </si>
  <si>
    <t>Ground Mount Structure Deposit - Zone 2</t>
  </si>
  <si>
    <t>Mondi_Tracker_Rev02.xlsm | Table row 49 | Ground Mount Structure Balance - Zone 2 | Inv  | Col ExpenseActualTotal</t>
  </si>
  <si>
    <t>Ground Mount Structure Balance - Zone 2</t>
  </si>
  <si>
    <t>Mondi_Tracker_Rev02.xlsm | Table row 51 | Ground Mount Structure Deposit - Zone 3 | Inv Schletter INVQ0176 | Col ExpenseActualTotal</t>
  </si>
  <si>
    <t>Ground Mount Structure Deposit - Zone 3</t>
  </si>
  <si>
    <t>Mondi_Tracker_Rev02.xlsm | Table row 52 | Ground Mount Structure Balance - Zone 3 | Inv  | Col ExpenseActualTotal</t>
  </si>
  <si>
    <t>Ground Mount Structure Balance - Zone 3</t>
  </si>
  <si>
    <t>Mondi_Tracker_Rev02.xlsm | Table row 60 | Clampfit Pro | Inv  | Col ExpenseActualTotal</t>
  </si>
  <si>
    <t>Clampfit Pro</t>
  </si>
  <si>
    <t>Mondi_Tracker_Rev02.xlsm | Table row 65 | Carport Deposit | Inv  | Col ExpenseActualTotal</t>
  </si>
  <si>
    <t>Carport Deposit</t>
  </si>
  <si>
    <t>Mondi_Tracker_Rev02.xlsm | Table row 66 | Carport Balance | Inv  | Col ExpenseActualTotal</t>
  </si>
  <si>
    <t>Carport Balance</t>
  </si>
  <si>
    <t>Mondi_Tracker_Rev02.xlsm | Table row 68 | Engineering Signoff - deposit | Inv  | Col ExpenseActualTotal</t>
  </si>
  <si>
    <t>Mondi_Tracker_Rev02.xlsm | Table row 69 | Engineering Signoff - balance | Inv  | Col ExpenseActualTotal</t>
  </si>
  <si>
    <t>Mondi_Tracker_Rev02.xlsm | Table row 77 | DC Cable - Ground Mount - Deposit | Inv  | Col ExpenseActualTotal</t>
  </si>
  <si>
    <t>DC Cable - Ground Mount - Deposit</t>
  </si>
  <si>
    <t>Mondi_Tracker_Rev02.xlsm | Table row 78 | DC Cable - Ground Mount - Balance | Inv  | Col ExpenseActualTotal</t>
  </si>
  <si>
    <t>DC Cable - Ground Mount - Balance</t>
  </si>
  <si>
    <t>Mondi_Tracker_Rev02.xlsm | Table row 80 | DC Cable - RoofTop - Deposit | Inv  | Col ExpenseActualTotal</t>
  </si>
  <si>
    <t>DC Cable - RoofTop - Deposit</t>
  </si>
  <si>
    <t>Mondi_Tracker_Rev02.xlsm | Table row 81 | DC Cable - RoofTop - Balance | Inv  | Col ExpenseActualTotal</t>
  </si>
  <si>
    <t>DC Cable - RoofTop - Balance</t>
  </si>
  <si>
    <t>Mondi_Tracker_Rev02.xlsm | Table row 83 | DC Cable - Carport - Deposit | Inv  | Col ExpenseActualTotal</t>
  </si>
  <si>
    <t>DC Cable - Carport - Deposit</t>
  </si>
  <si>
    <t>Mondi_Tracker_Rev02.xlsm | Table row 84 | DC Cable - Carport - Balance | Inv  | Col ExpenseActualTotal</t>
  </si>
  <si>
    <t>DC Cable - Carport - Balance</t>
  </si>
  <si>
    <t>Mondi_Tracker_Rev02.xlsm | Table row 86 | DC Equipment (Schletter) - Ground Mount - Deposit | Inv  | Col ExpenseActualTotal</t>
  </si>
  <si>
    <t>DC Equipment (Schletter) - Ground Mount - Deposit</t>
  </si>
  <si>
    <t>Mondi_Tracker_Rev02.xlsm | Table row 87 | DC Equipment (Schletter) - Ground Mount - Balance | Inv  | Col ExpenseActualTotal</t>
  </si>
  <si>
    <t>DC Equipment (Schletter) - Ground Mount - Balance</t>
  </si>
  <si>
    <t>Mondi_Tracker_Rev02.xlsm | Table row 89 | DC Equipment Installer - Ground Mount - Deposit | Inv  | Col ExpenseActualTotal</t>
  </si>
  <si>
    <t>DC Equipment Installer - Ground Mount - Deposit</t>
  </si>
  <si>
    <t>Mondi_Tracker_Rev02.xlsm | Table row 90 | DC Equipment Installer - Ground Mount - Balance | Inv  | Col ExpenseActualTotal</t>
  </si>
  <si>
    <t>DC Equipment Installer - Ground Mount - Balance</t>
  </si>
  <si>
    <t>Mondi_Tracker_Rev02.xlsm | Table row 92 | DC Equipment - Carport - Deposit | Inv  | Col ExpenseActualTotal</t>
  </si>
  <si>
    <t>DC Equipment - Carport - Deposit</t>
  </si>
  <si>
    <t>Mondi_Tracker_Rev02.xlsm | Table row 93 | DC Equipment - Carport - Balance | Inv  | Col ExpenseActualTotal</t>
  </si>
  <si>
    <t>DC Equipment - Carport - Balance</t>
  </si>
  <si>
    <t>Mondi_Tracker_Rev02.xlsm | Table row 95 | DC Equipment - Rooftop - Deposit | Inv  | Col ExpenseActualTotal</t>
  </si>
  <si>
    <t>DC Equipment - Rooftop - Deposit</t>
  </si>
  <si>
    <t>Mondi_Tracker_Rev02.xlsm | Table row 96 | DC Equipment - Rooftop - Balance | Inv  | Col ExpenseActualTotal</t>
  </si>
  <si>
    <t>DC Equipment - Rooftop - Balance</t>
  </si>
  <si>
    <t>Mondi_Tracker_Rev02.xlsm | Table row 102 | Grid Code Compliant Scada | Inv  | Col ExpenseActualTotal</t>
  </si>
  <si>
    <t>Grid Code Compliant Scada</t>
  </si>
  <si>
    <t>Mondi_Tracker_Rev02.xlsm | Table row 105 | Power Plant Controller and Huawei Commissioning | Inv  | Col ExpenseActualTotal</t>
  </si>
  <si>
    <t>Power Plant Controller and Huawei Commissioning</t>
  </si>
  <si>
    <t>Mondi_Tracker_Rev02.xlsm | Table row 108 | Scada Control | Inv  | Col ExpenseActualTotal</t>
  </si>
  <si>
    <t>Scada Control</t>
  </si>
  <si>
    <t>Mondi_Tracker_Rev02.xlsm | Table row 111 | Revenue Metering | Inv  | Col ExpenseActualTotal</t>
  </si>
  <si>
    <t>Revenue Metering</t>
  </si>
  <si>
    <t>Mondi_Tracker_Rev02.xlsm | Table row 128 | Huawei Smart Transformers - 6MVA 0.8/11kV - Deposit 5% | Inv MSA Energy PIZO/DM/CPT/00011/10/2025 | Col ExpenseActualTotal</t>
  </si>
  <si>
    <t>Huawei Smart Transformers - 6MVA 0.8/11kV - Deposit 5%</t>
  </si>
  <si>
    <t>Mondi_Tracker_Rev02.xlsm | Table row 129 | Huawei Smart Transformers - 6MVA 0.8/11kV - Deposit 25% | Inv MSA Energy PIZO/DM/CPT/00011/10/2025 | Col ExpenseActualTotal</t>
  </si>
  <si>
    <t>Huawei Smart Transformers - 6MVA 0.8/11kV - Deposit 25%</t>
  </si>
  <si>
    <t>Mondi_Tracker_Rev02.xlsm | Table row 130 | Huawei Smart Transformers - 6MVA 0.8/11kV - Balance 70% | Inv MSA Energy PIZO/DM/CPT/00011/10/2025 | Col ExpenseActualTotal</t>
  </si>
  <si>
    <t>Huawei Smart Transformers - 6MVA 0.8/11kV - Balance 70%</t>
  </si>
  <si>
    <t>Mondi_Tracker_Rev02.xlsm | Table row 133 | Transformer Assecories with Spares - Deposit 5% | Inv MSA Energy PIZO/DM/CPT/00011/10/2025 | Col ExpenseActualTotal</t>
  </si>
  <si>
    <t>Transformer Assecories with Spares - Deposit 5%</t>
  </si>
  <si>
    <t>Mondi_Tracker_Rev02.xlsm | Table row 134 | Transformer Assecories with Spares - Deposit 25% | Inv MSA Energy PIZO/DM/CPT/00011/10/2025 | Col ExpenseActualTotal</t>
  </si>
  <si>
    <t>Transformer Assecories with Spares - Deposit 25%</t>
  </si>
  <si>
    <t>Mondi_Tracker_Rev02.xlsm | Table row 135 | Transformer Assecories with Spares - Balance 70% | Inv MSA Energy PIZO/DM/CPT/00011/10/2025 | Col ExpenseActualTotal</t>
  </si>
  <si>
    <t>Transformer Assecories with Spares - Balance 70%</t>
  </si>
  <si>
    <t>Mondi_Tracker_Rev02.xlsm | Table row 137 | MV RMU and Switchgear - Deposit 20% | Inv  | Col ExpenseActualTotal</t>
  </si>
  <si>
    <t>MV RMU and Switchgear - Deposit 20%</t>
  </si>
  <si>
    <t>Mondi_Tracker_Rev02.xlsm | Table row 138 | MV RMU and Switchgear - 30% Drawing Approval | Inv  | Col ExpenseActualTotal</t>
  </si>
  <si>
    <t>MV RMU and Switchgear - 30% Drawing Approval</t>
  </si>
  <si>
    <t>Mondi_Tracker_Rev02.xlsm | Table row 139 | MV RMU and Switchgear - 30% on import of goods | Inv  | Col ExpenseActualTotal</t>
  </si>
  <si>
    <t>MV RMU and Switchgear - 30% on import of goods</t>
  </si>
  <si>
    <t>Mondi_Tracker_Rev02.xlsm | Table row 140 | MV RMU and Switchgear - 10% on FAT | Inv  | Col ExpenseActualTotal</t>
  </si>
  <si>
    <t>MV RMU and Switchgear - 10% on FAT</t>
  </si>
  <si>
    <t>Mondi_Tracker_Rev02.xlsm | Table row 141 | MV RMU and Switchgear - 10% on delivery of goods | Inv  | Col ExpenseActualTotal</t>
  </si>
  <si>
    <t>MV RMU and Switchgear - 10% on delivery of goods</t>
  </si>
  <si>
    <t>Mondi_Tracker_Rev02.xlsm | Table row 145 | LV AC DBs and cabling | Inv  | Col ExpenseActualTotal</t>
  </si>
  <si>
    <t>LV AC DBs and cabling</t>
  </si>
  <si>
    <t>Mondi_Tracker_Rev02.xlsm | Table row 148 | MV Cable - 2km - 4x 95mm2 Cu | Inv  | Col ExpenseActualTotal</t>
  </si>
  <si>
    <t>MV Cable - 2km - 4x 95mm2 Cu</t>
  </si>
  <si>
    <t>Mondi_Tracker_Rev02.xlsm | Table row 151 | UFR / OOBR - SSEG Compliant Relay | Inv  | Col ExpenseActualTotal</t>
  </si>
  <si>
    <t>UFR / OOBR - SSEG Compliant Relay</t>
  </si>
  <si>
    <t>Mondi_Tracker_Rev02.xlsm | Table row 154 | Comms Cable - 800m 19Core | Inv  | Col ExpenseActualTotal</t>
  </si>
  <si>
    <t>Comms Cable - 800m 19Core</t>
  </si>
  <si>
    <t>Mondi_Tracker_Rev02.xlsm | Table row 157 | Additional AC Cable Run - 800m 3x185m2 MV XLPE 3C | Inv  | Col ExpenseActualTotal</t>
  </si>
  <si>
    <t>Additional AC Cable Run - 800m 3x185m2 MV XLPE 3C</t>
  </si>
  <si>
    <t>Mondi_Tracker_Rev02.xlsm | Table row 164 | 10kWp Charity Donation - Deposit | Inv  | Col ExpenseActualTotal</t>
  </si>
  <si>
    <t>7.ESG</t>
  </si>
  <si>
    <t>10kWp Charity Donation - Deposit</t>
  </si>
  <si>
    <t>Mondi_Tracker_Rev02.xlsm | Table row 165 | 10kWp Charity Donation - Balance | Inv  | Col ExpenseActualTotal</t>
  </si>
  <si>
    <t>10kWp Charity Donation - Balance</t>
  </si>
  <si>
    <t>Mondi_Tracker_Rev02.xlsm | Table row 167 | Community Engagement | Inv  | Col ExpenseActualTotal</t>
  </si>
  <si>
    <t>Mondi_Tracker_Rev02.xlsm | Table row 173 | Fees to Consultant - IEP | Inv IEP South Africa Inv: 202502235 | Col ExpenseActualTotal</t>
  </si>
  <si>
    <t>Fees to Consultant - IEP</t>
  </si>
  <si>
    <t>IEP South Africa Inv: 202502235</t>
  </si>
  <si>
    <t>Mondi_Tracker_Rev02.xlsm | Table row 174 | Fees to Consultant - IEP | Inv IEP South Africa Inv: 202505271 | Col ExpenseActualTotal</t>
  </si>
  <si>
    <t>IEP South Africa Inv: 202505271</t>
  </si>
  <si>
    <t>Mondi_Tracker_Rev02.xlsm | Table row 177 | Containerised Inverter Housings - Turnkey Solution at Switchboard - Deposit 30% | Inv Switchboard - 2-SOI002846 | Col ExpenseActualTotal</t>
  </si>
  <si>
    <t>Containerised Inverter Housings - Turnkey Solution at Switchboard - Deposit 30%</t>
  </si>
  <si>
    <t>PO4611-MON-20260205 - RV Approved</t>
  </si>
  <si>
    <t>Switchboard - 2-SOI002846</t>
  </si>
  <si>
    <t>Mondi_Tracker_Rev02.xlsm | Table row 178 | Containerised Inverter Housings - Turnkey Solution at Switchboard - 20% fitment | Inv  | Col ExpenseActualTotal</t>
  </si>
  <si>
    <t>Containerised Inverter Housings - Turnkey Solution at Switchboard - 20% fitment</t>
  </si>
  <si>
    <t>Mondi_Tracker_Rev02.xlsm | Table row 179 | Containerised Inverter Housings - Turnkey Solution at Switchboard - 20% on Delivery | Inv  | Col ExpenseActualTotal</t>
  </si>
  <si>
    <t>Containerised Inverter Housings - Turnkey Solution at Switchboard - 20% on Delivery</t>
  </si>
  <si>
    <t>Mondi_Tracker_Rev02.xlsm | Table row 180 | Containerised Inverter Housings - Turnkey Solution at Switchboard - Final Payment 30% | Inv  | Col ExpenseActualTotal</t>
  </si>
  <si>
    <t>Containerised Inverter Housings - Turnkey Solution at Switchboard - Final Payment 30%</t>
  </si>
  <si>
    <t>Mondi_Tracker_Rev02.xlsm | Table row 182 | KwikSpace Control Room - Deposit 30% | Inv  | Col ExpenseActualTotal</t>
  </si>
  <si>
    <t>KwikSpace Control Room - Deposit 30%</t>
  </si>
  <si>
    <t>Mondi_Tracker_Rev02.xlsm | Table row 183 | KwikSpace Control Room - Deposit 70% | Inv  | Col ExpenseActualTotal</t>
  </si>
  <si>
    <t>KwikSpace Control Room - Deposit 70%</t>
  </si>
  <si>
    <t>Mondi_Tracker_Rev02.xlsm | Table row 185 | Security Fence - Deposit | Inv  | Col ExpenseActualTotal</t>
  </si>
  <si>
    <t>Security Fence - Deposit</t>
  </si>
  <si>
    <t>Mondi_Tracker_Rev02.xlsm | Table row 186 | Security Fence - Balance | Inv  | Col ExpenseActualTotal</t>
  </si>
  <si>
    <t>Security Fence - Balance</t>
  </si>
  <si>
    <t>Mondi_Tracker_Rev02.xlsm | Table row 188 | Catladder - Deposit | Inv  | Col ExpenseActualTotal</t>
  </si>
  <si>
    <t>Catladder - Deposit</t>
  </si>
  <si>
    <t>Mondi_Tracker_Rev02.xlsm | Table row 189 | Catladder - Balance | Inv  | Col ExpenseActualTotal</t>
  </si>
  <si>
    <t>Catladder - Balance</t>
  </si>
  <si>
    <t>Mondi_Tracker_Rev02.xlsm | Table row 198 | Fire Detection System - Quote in folder | Inv  | Col ExpenseActualTotal</t>
  </si>
  <si>
    <t>Fire Detection System - Quote in folder</t>
  </si>
  <si>
    <t>Mondi_Tracker_Rev02.xlsm | Table row 199 | Fire Detection System - Possible VO | Inv  | Col ExpenseActualTotal</t>
  </si>
  <si>
    <t>Fire Detection System - Possible VO</t>
  </si>
  <si>
    <t>Mondi_Tracker_Rev02.xlsm | Table row 201 | Waterpoints | Inv  | Col ExpenseActualTotal</t>
  </si>
  <si>
    <t>Mondi_Tracker_Rev02.xlsm | Table row 204 | Trenching - Deposit | Inv  | Col ExpenseActualTotal</t>
  </si>
  <si>
    <t>Trenching - Deposit</t>
  </si>
  <si>
    <t>Mondi_Tracker_Rev02.xlsm | Table row 205 | Trenching - Balance | Inv  | Col ExpenseActualTotal</t>
  </si>
  <si>
    <t>Trenching - Balance</t>
  </si>
  <si>
    <t>Mondi_Tracker_Rev02.xlsm | Table row 213 | Substation Building - Deposit | Inv  | Col ExpenseActualTotal</t>
  </si>
  <si>
    <t>Substation Building - Deposit</t>
  </si>
  <si>
    <t>Mondi_Tracker_Rev02.xlsm | Table row 214 | Substation Building - Balance | Inv  | Col ExpenseActualTotal</t>
  </si>
  <si>
    <t>Substation Building - Balance</t>
  </si>
  <si>
    <t>Mondi_Tracker_Rev02.xlsm | Table row 231 | AC Installation  | Inv  | Col ExpenseActualTotal</t>
  </si>
  <si>
    <t xml:space="preserve">AC Installation </t>
  </si>
  <si>
    <t>Mondi_Tracker_Rev02.xlsm | Table row 242 | DC Installation - Ground Mount - Planning - Zone 3 | Inv  | Col ExpenseActualTotal</t>
  </si>
  <si>
    <t>DC Installation - Ground Mount - Planning - Zone 3</t>
  </si>
  <si>
    <t>Mondi_Tracker_Rev02.xlsm | Table row 243 | DC Installation - Ground Mount - Completion of Posts - Zone 3 | Inv  | Col ExpenseActualTotal</t>
  </si>
  <si>
    <t>DC Installation - Ground Mount - Completion of Posts - Zone 3</t>
  </si>
  <si>
    <t>Mondi_Tracker_Rev02.xlsm | Table row 244 | DC Installation - Ground Mount - Completion of Mounting Rack - Zone 3 | Inv  | Col ExpenseActualTotal</t>
  </si>
  <si>
    <t>DC Installation - Ground Mount - Completion of Mounting Rack - Zone 3</t>
  </si>
  <si>
    <t>Mondi_Tracker_Rev02.xlsm | Table row 245 | DC Installation - Ground Mount - Completion of Module Mounting - Zone 3 | Inv  | Col ExpenseActualTotal</t>
  </si>
  <si>
    <t>DC Installation - Ground Mount - Completion of Module Mounting - Zone 3</t>
  </si>
  <si>
    <t>Mondi_Tracker_Rev02.xlsm | Table row 246 | DC Installation - Ground Mount - Completion of Stringing - Zone 3 | Inv  | Col ExpenseActualTotal</t>
  </si>
  <si>
    <t>DC Installation - Ground Mount - Completion of Stringing - Zone 3</t>
  </si>
  <si>
    <t>Mondi_Tracker_Rev02.xlsm | Table row 247 | DC Installation - Ground Mount - String Voltages Approved &amp; Plugged In - Zone 3 | Inv  | Col ExpenseActualTotal</t>
  </si>
  <si>
    <t>DC Installation - Ground Mount - String Voltages Approved &amp; Plugged In - Zone 3</t>
  </si>
  <si>
    <t>Mondi_Tracker_Rev02.xlsm | Table row 248 | DC Installation - Ground Mount - QC Completed - Zone 3 | Inv  | Col ExpenseActualTotal</t>
  </si>
  <si>
    <t>DC Installation - Ground Mount - QC Completed - Zone 3</t>
  </si>
  <si>
    <t>Mondi_Tracker_Rev02.xlsm | Table row 249 | DC Installation - Ground Mount - Retention - Zone 3 | Inv  | Col ExpenseActualTotal</t>
  </si>
  <si>
    <t>DC Installation - Ground Mount - Retention - Zone 3</t>
  </si>
  <si>
    <t>Mondi_Tracker_Rev02.xlsm | Table row 251 | DC Installation - Ground Mount - Planning - Zone 1 | Inv  | Col ExpenseActualTotal</t>
  </si>
  <si>
    <t>DC Installation - Ground Mount - Planning - Zone 1</t>
  </si>
  <si>
    <t>Mondi_Tracker_Rev02.xlsm | Table row 252 | DC Installation - Ground Mount - Completion of Posts - Zone 1 | Inv  | Col ExpenseActualTotal</t>
  </si>
  <si>
    <t>DC Installation - Ground Mount - Completion of Posts - Zone 1</t>
  </si>
  <si>
    <t>Mondi_Tracker_Rev02.xlsm | Table row 253 | DC Installation - Ground Mount - Completion of Mounting Rack - Zone 1 | Inv  | Col ExpenseActualTotal</t>
  </si>
  <si>
    <t>DC Installation - Ground Mount - Completion of Mounting Rack - Zone 1</t>
  </si>
  <si>
    <t>Mondi_Tracker_Rev02.xlsm | Table row 254 | DC Installation - Ground Mount - Completion of Module Mounting - Zone 1 | Inv  | Col ExpenseActualTotal</t>
  </si>
  <si>
    <t>DC Installation - Ground Mount - Completion of Module Mounting - Zone 1</t>
  </si>
  <si>
    <t>Mondi_Tracker_Rev02.xlsm | Table row 255 | DC Installation - Ground Mount - Completion of Stringing - Zone 3 | Inv  | Col ExpenseActualTotal</t>
  </si>
  <si>
    <t>Mondi_Tracker_Rev02.xlsm | Table row 256 | DC Installation - Ground Mount - String Voltages Approved &amp; Plugged In - Zone 3 | Inv  | Col ExpenseActualTotal</t>
  </si>
  <si>
    <t>Mondi_Tracker_Rev02.xlsm | Table row 257 | DC Installation - Ground Mount - QC Completed - Zone 1 | Inv  | Col ExpenseActualTotal</t>
  </si>
  <si>
    <t>DC Installation - Ground Mount - QC Completed - Zone 1</t>
  </si>
  <si>
    <t>Mondi_Tracker_Rev02.xlsm | Table row 258 | DC Installation - Ground Mount - Retention - Zone 1 | Inv  | Col ExpenseActualTotal</t>
  </si>
  <si>
    <t>DC Installation - Ground Mount - Retention - Zone 1</t>
  </si>
  <si>
    <t>Mondi_Tracker_Rev02.xlsm | Table row 260 | DC Installation - Ground Mount - Planning - Zone 2 | Inv  | Col ExpenseActualTotal</t>
  </si>
  <si>
    <t>DC Installation - Ground Mount - Planning - Zone 2</t>
  </si>
  <si>
    <t>Mondi_Tracker_Rev02.xlsm | Table row 261 | DC Installation - Ground Mount - Completion of Posts - Zone 2 | Inv  | Col ExpenseActualTotal</t>
  </si>
  <si>
    <t>DC Installation - Ground Mount - Completion of Posts - Zone 2</t>
  </si>
  <si>
    <t>Mondi_Tracker_Rev02.xlsm | Table row 262 | DC Installation - Ground Mount - Completion of Mounting Rack - Zone 2 | Inv  | Col ExpenseActualTotal</t>
  </si>
  <si>
    <t>DC Installation - Ground Mount - Completion of Mounting Rack - Zone 2</t>
  </si>
  <si>
    <t>Mondi_Tracker_Rev02.xlsm | Table row 263 | DC Installation - Ground Mount - Completion of Module Mounting - Zone 2 | Inv  | Col ExpenseActualTotal</t>
  </si>
  <si>
    <t>DC Installation - Ground Mount - Completion of Module Mounting - Zone 2</t>
  </si>
  <si>
    <t>Mondi_Tracker_Rev02.xlsm | Table row 264 | DC Installation - Ground Mount - Completion of Stringing - Zone 3 | Inv  | Col ExpenseActualTotal</t>
  </si>
  <si>
    <t>Mondi_Tracker_Rev02.xlsm | Table row 265 | DC Installation - Ground Mount - String Voltages Approved &amp; Plugged In - Zone 3 | Inv  | Col ExpenseActualTotal</t>
  </si>
  <si>
    <t>Mondi_Tracker_Rev02.xlsm | Table row 266 | DC Installation - Ground Mount - QC Completed - Zone 2 | Inv  | Col ExpenseActualTotal</t>
  </si>
  <si>
    <t>DC Installation - Ground Mount - QC Completed - Zone 2</t>
  </si>
  <si>
    <t>Mondi_Tracker_Rev02.xlsm | Table row 267 | DC Installation - Ground Mount - Retention - Zone 2 | Inv  | Col ExpenseActualTotal</t>
  </si>
  <si>
    <t>DC Installation - Ground Mount - Retention - Zone 2</t>
  </si>
  <si>
    <t>Mondi_Tracker_Rev02.xlsm | Table row 269 | DC Installation - Carport - Planning | Inv  | Col ExpenseActualTotal</t>
  </si>
  <si>
    <t>DC Installation - Carport - Planning</t>
  </si>
  <si>
    <t>Mondi_Tracker_Rev02.xlsm | Table row 270 | DC Installation - Carport - Completion of Foundations | Inv  | Col ExpenseActualTotal</t>
  </si>
  <si>
    <t>DC Installation - Carport - Completion of Foundations</t>
  </si>
  <si>
    <t>Mondi_Tracker_Rev02.xlsm | Table row 271 | DC Installation - Carport - Completion of Mounting Rack | Inv  | Col ExpenseActualTotal</t>
  </si>
  <si>
    <t>DC Installation - Carport - Completion of Mounting Rack</t>
  </si>
  <si>
    <t>Mondi_Tracker_Rev02.xlsm | Table row 272 | DC Installation - Carport - Completion of Module Mounting | Inv  | Col ExpenseActualTotal</t>
  </si>
  <si>
    <t>DC Installation - Carport - Completion of Module Mounting</t>
  </si>
  <si>
    <t>Mondi_Tracker_Rev02.xlsm | Table row 273 | DC Installation - Carport - Completion of Stringing | Inv  | Col ExpenseActualTotal</t>
  </si>
  <si>
    <t>DC Installation - Carport - Completion of Stringing</t>
  </si>
  <si>
    <t>Mondi_Tracker_Rev02.xlsm | Table row 274 | DC Installation - Carport - String Voltages Approved &amp; Plugged In | Inv  | Col ExpenseActualTotal</t>
  </si>
  <si>
    <t>DC Installation - Carport - String Voltages Approved &amp; Plugged In</t>
  </si>
  <si>
    <t>Mondi_Tracker_Rev02.xlsm | Table row 275 | DC Installation - Carport - QC Completed | Inv  | Col ExpenseActualTotal</t>
  </si>
  <si>
    <t>DC Installation - Carport - QC Completed</t>
  </si>
  <si>
    <t>Mondi_Tracker_Rev02.xlsm | Table row 276 | DC Installation - Carport - Retention | Inv  | Col ExpenseActualTotal</t>
  </si>
  <si>
    <t>DC Installation - Carport - Retention</t>
  </si>
  <si>
    <t>Mondi_Tracker_Rev02.xlsm | Table row 278 | DC Installation - Rooftop - Planning | Inv  | Col ExpenseActualTotal</t>
  </si>
  <si>
    <t>DC Installation - Rooftop - Planning</t>
  </si>
  <si>
    <t>Mondi_Tracker_Rev02.xlsm | Table row 279 | DC Installation - Rooftop - Completion of Mounting Structure | Inv  | Col ExpenseActualTotal</t>
  </si>
  <si>
    <t>DC Installation - Rooftop - Completion of Mounting Structure</t>
  </si>
  <si>
    <t>Mondi_Tracker_Rev02.xlsm | Table row 280 | DC Installation - Rooftop - Completion of Module Mounting | Inv  | Col ExpenseActualTotal</t>
  </si>
  <si>
    <t>DC Installation - Rooftop - Completion of Module Mounting</t>
  </si>
  <si>
    <t>Mondi_Tracker_Rev02.xlsm | Table row 281 | DC Installation - Rooftop - Completion of Stringing | Inv  | Col ExpenseActualTotal</t>
  </si>
  <si>
    <t>DC Installation - Rooftop - Completion of Stringing</t>
  </si>
  <si>
    <t>Mondi_Tracker_Rev02.xlsm | Table row 282 | DC Installation - Rooftop - String Voltages Approved &amp; Plugged In | Inv  | Col ExpenseActualTotal</t>
  </si>
  <si>
    <t>DC Installation - Rooftop - String Voltages Approved &amp; Plugged In</t>
  </si>
  <si>
    <t>Mondi_Tracker_Rev02.xlsm | Table row 283 | DC Installation - Rooftop - QC Completed | Inv  | Col ExpenseActualTotal</t>
  </si>
  <si>
    <t>DC Installation - Rooftop - QC Completed</t>
  </si>
  <si>
    <t>Mondi_Tracker_Rev02.xlsm | Table row 284 | DC Installation - Rooftop - Retention | Inv  | Col ExpenseActualTotal</t>
  </si>
  <si>
    <t>DC Installation - Rooftop - Retention</t>
  </si>
  <si>
    <t>Mondi_Tracker_Rev02.xlsm | Table row 289 | Security | Inv  | Col ExpenseActualTotal</t>
  </si>
  <si>
    <t>Mondi_Tracker_Rev02.xlsm | Table row 291 | Site Storage | Inv  | Col ExpenseActualTotal</t>
  </si>
  <si>
    <t>Site Storage</t>
  </si>
  <si>
    <t>Mondi_Tracker_Rev02.xlsm | Table row 294 | Ablutions - April | Inv  | Col ExpenseActualTotal</t>
  </si>
  <si>
    <t>Ablutions - April</t>
  </si>
  <si>
    <t>Mondi_Tracker_Rev02.xlsm | Table row 295 | Ablutions - May | Inv  | Col ExpenseActualTotal</t>
  </si>
  <si>
    <t>Ablutions - May</t>
  </si>
  <si>
    <t>Mondi_Tracker_Rev02.xlsm | Table row 296 | Ablutions - June | Inv  | Col ExpenseActualTotal</t>
  </si>
  <si>
    <t>Ablutions - June</t>
  </si>
  <si>
    <t>Mondi_Tracker_Rev02.xlsm | Table row 297 | Ablutions - July | Inv  | Col ExpenseActualTotal</t>
  </si>
  <si>
    <t>Ablutions - July</t>
  </si>
  <si>
    <t>Mondi_Tracker_Rev02.xlsm | Table row 298 | Ablutions - August | Inv  | Col ExpenseActualTotal</t>
  </si>
  <si>
    <t>Ablutions - August</t>
  </si>
  <si>
    <t>Mondi_Tracker_Rev02.xlsm | Table row 302 | Site Office Preperations | Inv  | Col ExpenseActualTotal</t>
  </si>
  <si>
    <t>Site Office Preperations</t>
  </si>
  <si>
    <t>Furniture to be shipped from Coega</t>
  </si>
  <si>
    <t>Mondi_Tracker_Rev02.xlsm | Table row 306 | Site Office - November | Inv  | Col ExpenseActualTotal</t>
  </si>
  <si>
    <t>Site Office - November</t>
  </si>
  <si>
    <t>Mondi_Tracker_Rev02.xlsm | Table row 307 | Site Office - December | Inv  | Col ExpenseActualTotal</t>
  </si>
  <si>
    <t>Site Office - December</t>
  </si>
  <si>
    <t>Mondi_Tracker_Rev02.xlsm | Table row 308 | Site Office - Jan | Inv  | Col ExpenseActualTotal</t>
  </si>
  <si>
    <t>Site Office - Jan</t>
  </si>
  <si>
    <t>Mondi_Tracker_Rev02.xlsm | Table row 309 | Site Office - Feb | Inv  | Col ExpenseActualTotal</t>
  </si>
  <si>
    <t>Site Office - Feb</t>
  </si>
  <si>
    <t>Mondi_Tracker_Rev02.xlsm | Table row 310 | Site Office - Mar | Inv  | Col ExpenseActualTotal</t>
  </si>
  <si>
    <t>Site Office - Mar</t>
  </si>
  <si>
    <t>Mondi_Tracker_Rev02.xlsm | Table row 312 | Container Hire - April | Inv  | Col ExpenseActualTotal</t>
  </si>
  <si>
    <t>Container Hire - April</t>
  </si>
  <si>
    <t>Mondi_Tracker_Rev02.xlsm | Table row 313 | Container Hire -May | Inv  | Col ExpenseActualTotal</t>
  </si>
  <si>
    <t>Container Hire -May</t>
  </si>
  <si>
    <t>Mondi_Tracker_Rev02.xlsm | Table row 314 | Container Hire - June | Inv  | Col ExpenseActualTotal</t>
  </si>
  <si>
    <t>Mondi_Tracker_Rev02.xlsm | Table row 315 | Container Hire - July | Inv  | Col ExpenseActualTotal</t>
  </si>
  <si>
    <t>Mondi_Tracker_Rev02.xlsm | Table row 316 | Container Hire - August | Inv  | Col ExpenseActualTotal</t>
  </si>
  <si>
    <t>Mondi_Tracker_Rev02.xlsm | Table row 321 | Ground Mount Installer - Plant Hire - Deposit | Inv  | Col ExpenseActualTotal</t>
  </si>
  <si>
    <t>Ground Mount Installer - Plant Hire - Deposit</t>
  </si>
  <si>
    <t>Mondi_Tracker_Rev02.xlsm | Table row 322 | Ground Mount Installer - Plant Hire - Balance | Inv  | Col ExpenseActualTotal</t>
  </si>
  <si>
    <t>Ground Mount Installer - Plant Hire - Balance</t>
  </si>
  <si>
    <t>Mondi_Tracker_Rev02.xlsm | Table row 324 | Carport Installer - Plant Hire - Deposit | Inv  | Col ExpenseActualTotal</t>
  </si>
  <si>
    <t>Carport Installer - Plant Hire - Deposit</t>
  </si>
  <si>
    <t>Mondi_Tracker_Rev02.xlsm | Table row 325 | Carport Installer - Plant Hire - Balance | Inv  | Col ExpenseActualTotal</t>
  </si>
  <si>
    <t>Carport Installer - Plant Hire - Balance</t>
  </si>
  <si>
    <t>Mondi_Tracker_Rev02.xlsm | Table row 327 | Rooftop Installer - Plant Hire - Deposit | Inv  | Col ExpenseActualTotal</t>
  </si>
  <si>
    <t>Rooftop Installer - Plant Hire - Deposit</t>
  </si>
  <si>
    <t>Mondi_Tracker_Rev02.xlsm | Table row 328 | Rooftop Installer - Plant Hire - Balance | Inv  | Col ExpenseActualTotal</t>
  </si>
  <si>
    <t>Rooftop Installer - Plant Hire - Balance</t>
  </si>
  <si>
    <t>Mondi_Tracker_Rev02.xlsm | Table row 338 | Electrical PrEng sign off | Inv  | Col ExpenseActualTotal</t>
  </si>
  <si>
    <t>Mondi_Tracker_Rev02.xlsm | Table row 339 | Roof Structural Sign Off | Inv L&amp;B Consulting INV-1964 | Col ExpenseActualTotal</t>
  </si>
  <si>
    <t>Roof Structural Sign Off</t>
  </si>
  <si>
    <t>PO3801-MONDI-20240411 - RV Approved</t>
  </si>
  <si>
    <t>L&amp;B Consulting INV-1964</t>
  </si>
  <si>
    <t>Mondi_Tracker_Rev02.xlsm | Table row 340 | Grid Study | Inv Defered Expenses - Okusha Engineering Inv EE15 | Col ExpenseActualTotal</t>
  </si>
  <si>
    <t>PO3816-MONDI-20250422 - RV Approved</t>
  </si>
  <si>
    <t>Defered Expenses - Okusha Engineering Inv EE15</t>
  </si>
  <si>
    <t>Mondi_Tracker_Rev02.xlsm | Table row 341 | Lightning Risk assessment | Inv RSLP Inv0011533 | Col ExpenseActualTotal</t>
  </si>
  <si>
    <t>Lightning Risk assessment</t>
  </si>
  <si>
    <t>RSLP Inv0011533</t>
  </si>
  <si>
    <t>Mondi_Tracker_Rev02.xlsm | Table row 344 | Drone Footage and land Surveying | Inv  | Col ExpenseActualTotal</t>
  </si>
  <si>
    <t>Drone Footage and land Surveying</t>
  </si>
  <si>
    <t>PO4350-MON-20251001 - RV Approved</t>
  </si>
  <si>
    <t>Mondi_Tracker_Rev02.xlsm | Table row 345 | Protection Design - TestARelay | Inv  | Col ExpenseActualTotal</t>
  </si>
  <si>
    <t>Protection Design - TestARelay</t>
  </si>
  <si>
    <t>PO4362-MON-20251010 - RV Approved</t>
  </si>
  <si>
    <t>Mondi_Tracker_Rev02.xlsm | Table row 346 | Supply Chain Optimisers - Site Visit | Inv  | Col ExpenseActualTotal</t>
  </si>
  <si>
    <t>Supply Chain Optimisers - Site Visit</t>
  </si>
  <si>
    <t>PO4390-MON-20251021 - RV Approved</t>
  </si>
  <si>
    <t>Mondi_Tracker_Rev02.xlsm | Table row 347 | Geotechnical Analysis - Ramming Test | Inv  | Col ExpenseActualTotal</t>
  </si>
  <si>
    <t>Geotechnical Analysis - Ramming Test</t>
  </si>
  <si>
    <t>PO4413-MON-20251027 - RV Approved</t>
  </si>
  <si>
    <t>Mondi_Tracker_Rev02.xlsm | Table row 348 | HSEC Online System Monthly Retainer Fee | Inv  | Col ExpenseActualTotal</t>
  </si>
  <si>
    <t>HSEC Online System Monthly Retainer Fee</t>
  </si>
  <si>
    <t>PO4454-MONDI-20251110 - RV Approved</t>
  </si>
  <si>
    <t>Mondi_Tracker_Rev02.xlsm | Table row 349 | Full Time HSE Officer - Month 1 | Inv  | Col ExpenseActualTotal</t>
  </si>
  <si>
    <t>Full Time HSE Officer - Month 1</t>
  </si>
  <si>
    <t>Mondi_Tracker_Rev02.xlsm | Table row 351 | Documentation | Inv  | Col ExpenseActualTotal</t>
  </si>
  <si>
    <t>Documentation</t>
  </si>
  <si>
    <t>Mondi_Tracker_Rev02.xlsm | Table row 352 | Baseline Risk Assessment | Inv  | Col ExpenseActualTotal</t>
  </si>
  <si>
    <t>Baseline Risk Assessment</t>
  </si>
  <si>
    <t>Mondi_Tracker_Rev02.xlsm | Table row 353 | January  2026 | Inv  | Col ExpenseActualTotal</t>
  </si>
  <si>
    <t>January  2026</t>
  </si>
  <si>
    <t>Mondi_Tracker_Rev02.xlsm | Table row 354 | February  2026 | Inv  | Col ExpenseActualTotal</t>
  </si>
  <si>
    <t>February  2026</t>
  </si>
  <si>
    <t>Mondi_Tracker_Rev02.xlsm | Table row 355 | March  2026 | Inv  | Col ExpenseActualTotal</t>
  </si>
  <si>
    <t>March  2026</t>
  </si>
  <si>
    <t>Mondi_Tracker_Rev02.xlsm | Table row 356 | April  2026 | Inv  | Col ExpenseActualTotal</t>
  </si>
  <si>
    <t>April  2026</t>
  </si>
  <si>
    <t>Mondi_Tracker_Rev02.xlsm | Table row 357 | May  2026 | Inv  | Col ExpenseActualTotal</t>
  </si>
  <si>
    <t>May  2026</t>
  </si>
  <si>
    <t>Mondi_Tracker_Rev02.xlsm | Table row 358 | June  2026 | Inv  | Col ExpenseActualTotal</t>
  </si>
  <si>
    <t>June  2026</t>
  </si>
  <si>
    <t>Mondi_Tracker_Rev02.xlsm | Table row 359 | July  2026 | Inv  | Col ExpenseActualTotal</t>
  </si>
  <si>
    <t>July  2026</t>
  </si>
  <si>
    <t>Mondi_Tracker_Rev02.xlsm | Table row 379 | Matriarch Defects Period - 0.8% | Inv  | Col ExpenseActualTotal</t>
  </si>
  <si>
    <t>Matriarch Defects Period - 0.8%</t>
  </si>
  <si>
    <t>Mondi_Tracker_Rev02.xlsm | Table row 380 | Management | Inv  | Col ExpenseActualTotal</t>
  </si>
  <si>
    <t>Mondi_Tracker_Rev02.xlsm | Table row 382 | EPC - Dec 25 | Inv  | Col ExpenseActualTotal</t>
  </si>
  <si>
    <t>EPC - Dec 25</t>
  </si>
  <si>
    <t>Mondi_Tracker_Rev02.xlsm | Table row 383 | EPC - Jan 26 | Inv  | Col ExpenseActualTotal</t>
  </si>
  <si>
    <t>EPC - Jan 26</t>
  </si>
  <si>
    <t>Mondi_Tracker_Rev02.xlsm | Table row 384 | EPC - Feb 26 | Inv  | Col ExpenseActualTotal</t>
  </si>
  <si>
    <t>EPC - Feb 26</t>
  </si>
  <si>
    <t>Mondi_Tracker_Rev02.xlsm | Table row 385 | EPC - Mar 26 | Inv  | Col ExpenseActualTotal</t>
  </si>
  <si>
    <t>EPC - Mar 26</t>
  </si>
  <si>
    <t>Mondi_Tracker_Rev02.xlsm | Table row 386 | EPC - Apr 26 | Inv  | Col ExpenseActualTotal</t>
  </si>
  <si>
    <t>EPC - Apr 26</t>
  </si>
  <si>
    <t>Mondi_Tracker_Rev02.xlsm | Table row 387 | EPC - May 26 | Inv  | Col ExpenseActualTotal</t>
  </si>
  <si>
    <t>EPC - May 26</t>
  </si>
  <si>
    <t>Mondi_Tracker_Rev02.xlsm | Table row 388 | EPC -  Jun 26 | Inv  | Col ExpenseActualTotal</t>
  </si>
  <si>
    <t>EPC -  Jun 26</t>
  </si>
  <si>
    <t>Mondi_Tracker_Rev02.xlsm | Table row 389 | EPC - July 26 | Inv  | Col ExpenseActualTotal</t>
  </si>
  <si>
    <t>EPC - July 26</t>
  </si>
  <si>
    <t>Mondi_Tracker_Rev02.xlsm | Table row 390 | EPC - Aug 26 | Inv  | Col ExpenseActualTotal</t>
  </si>
  <si>
    <t>EPC - Aug 26</t>
  </si>
  <si>
    <t>Mondi_Tracker_Rev02.xlsm | Table row 395 | Training &amp; Travel &amp; Travel- Feb | Inv  | Col ExpenseActualTotal</t>
  </si>
  <si>
    <t>Training &amp; Travel &amp; Travel- Feb</t>
  </si>
  <si>
    <t>Mondi_Tracker_Rev02.xlsm | Table row 396 | Training &amp; Travel - March | Inv  | Col ExpenseActualTotal</t>
  </si>
  <si>
    <t>Training &amp; Travel - March</t>
  </si>
  <si>
    <t>Mondi_Tracker_Rev02.xlsm | Table row 397 | Training &amp; Travel - April | Inv  | Col ExpenseActualTotal</t>
  </si>
  <si>
    <t>Training &amp; Travel - April</t>
  </si>
  <si>
    <t>Mondi_Tracker_Rev02.xlsm | Table row 398 | Training &amp; Travel - May | Inv  | Col ExpenseActualTotal</t>
  </si>
  <si>
    <t>Training &amp; Travel - May</t>
  </si>
  <si>
    <t>Mondi_Tracker_Rev02.xlsm | Table row 399 | Training &amp; Travel - June | Inv  | Col ExpenseActualTotal</t>
  </si>
  <si>
    <t>Training &amp; Travel - June</t>
  </si>
  <si>
    <t>Mondi_Tracker_Rev02.xlsm | Table row 400 | Training &amp; Travel - July | Inv  | Col ExpenseActualTotal</t>
  </si>
  <si>
    <t>Training &amp; Travel - July</t>
  </si>
  <si>
    <t>Mondi_Tracker_Rev02.xlsm | Table row 401 | Training &amp; Travel - August | Inv  | Col ExpenseActualTotal</t>
  </si>
  <si>
    <t>Training &amp; Travel - August</t>
  </si>
  <si>
    <t>Mondi_Tracker_Rev02.xlsm | Table row 403 | Housing - Deposit | Inv  | Col ExpenseActualTotal</t>
  </si>
  <si>
    <t>Housing - Deposit</t>
  </si>
  <si>
    <t>Mondi_Tracker_Rev02.xlsm | Table row 404 | Housing - Feb | Inv  | Col ExpenseActualTotal</t>
  </si>
  <si>
    <t>Housing - Feb</t>
  </si>
  <si>
    <t>Mondi_Tracker_Rev02.xlsm | Table row 405 | Housing - March | Inv  | Col ExpenseActualTotal</t>
  </si>
  <si>
    <t>Housing - March</t>
  </si>
  <si>
    <t>Mondi_Tracker_Rev02.xlsm | Table row 406 | Housing - April | Inv  | Col ExpenseActualTotal</t>
  </si>
  <si>
    <t>Housing - April</t>
  </si>
  <si>
    <t>Mondi_Tracker_Rev02.xlsm | Table row 407 | Housing - May | Inv  | Col ExpenseActualTotal</t>
  </si>
  <si>
    <t>Housing - May</t>
  </si>
  <si>
    <t>Mondi_Tracker_Rev02.xlsm | Table row 408 | Housing - June | Inv  | Col ExpenseActualTotal</t>
  </si>
  <si>
    <t>Housing - June</t>
  </si>
  <si>
    <t>Mondi_Tracker_Rev02.xlsm | Table row 409 | Housing - July | Inv  | Col ExpenseActualTotal</t>
  </si>
  <si>
    <t>Housing - July</t>
  </si>
  <si>
    <t>Mondi_Tracker_Rev02.xlsm | Table row 410 | Housing - August | Inv  | Col ExpenseActualTotal</t>
  </si>
  <si>
    <t>Housing - August</t>
  </si>
  <si>
    <t>Mondi_Tracker_Rev02.xlsm | Table row 411 | Housing - Deposit Returned | Inv  | Col ExpenseActualTotal</t>
  </si>
  <si>
    <t>Housing - Deposit Returned</t>
  </si>
  <si>
    <t>Mondi_Tracker_Rev02.xlsm | Table row 413 | Site Travel - Between Housing and Site - Jan | Inv  | Col ExpenseActualTotal</t>
  </si>
  <si>
    <t>Site Travel - Between Housing and Site - Jan</t>
  </si>
  <si>
    <t>2026/04/31</t>
  </si>
  <si>
    <t>Mondi_Tracker_Rev02.xlsm | Table row 414 | Site Travel - Between Housing and Site - Feb | Inv  | Col ExpenseActualTotal</t>
  </si>
  <si>
    <t>Site Travel - Between Housing and Site - Feb</t>
  </si>
  <si>
    <t>Mondi_Tracker_Rev02.xlsm | Table row 415 | Site Travel - Between Housing and Site - Mar | Inv  | Col ExpenseActualTotal</t>
  </si>
  <si>
    <t>Site Travel - Between Housing and Site - Mar</t>
  </si>
  <si>
    <t>Mondi_Tracker_Rev02.xlsm | Table row 416 | Site Travel - Between Housing and Site - Apr | Inv  | Col ExpenseActualTotal</t>
  </si>
  <si>
    <t>Site Travel - Between Housing and Site - Apr</t>
  </si>
  <si>
    <t>Mondi_Tracker_Rev02.xlsm | Table row 417 | Site Travel - Between Housing and Site - May | Inv  | Col ExpenseActualTotal</t>
  </si>
  <si>
    <t>Site Travel - Between Housing and Site - May</t>
  </si>
  <si>
    <t>Mondi_Tracker_Rev02.xlsm | Table row 418 | Site Travel - Between Housing and Site - Jun | Inv  | Col ExpenseActualTotal</t>
  </si>
  <si>
    <t>Site Travel - Between Housing and Site - Jun</t>
  </si>
  <si>
    <t>Mondi_Tracker_Rev02.xlsm | Table row 419 | Site Travel - Between Housing and Site - Jul | Inv  | Col ExpenseActualTotal</t>
  </si>
  <si>
    <t>Site Travel - Between Housing and Site - Jul</t>
  </si>
  <si>
    <t>Mondi_Tracker_Rev02.xlsm | Table row 420 | Site Travel - Between Housing and Site - Aug | Inv  | Col ExpenseActualTotal</t>
  </si>
  <si>
    <t>Site Travel - Between Housing and Site - Aug</t>
  </si>
  <si>
    <t>Mondi_Tracker_Rev02.xlsm | Table row 422 | Car Rental - Feb | Inv  | Col ExpenseActualTotal</t>
  </si>
  <si>
    <t>Car Rental - Feb</t>
  </si>
  <si>
    <t>Mondi_Tracker_Rev02.xlsm | Table row 423 | Car Rental - Mar | Inv  | Col ExpenseActualTotal</t>
  </si>
  <si>
    <t>Car Rental - Mar</t>
  </si>
  <si>
    <t>Mondi_Tracker_Rev02.xlsm | Table row 424 | Car Rental - Apr | Inv  | Col ExpenseActualTotal</t>
  </si>
  <si>
    <t>Car Rental - Apr</t>
  </si>
  <si>
    <t>Mondi_Tracker_Rev02.xlsm | Table row 425 | Car Rental - May | Inv  | Col ExpenseActualTotal</t>
  </si>
  <si>
    <t>Car Rental - May</t>
  </si>
  <si>
    <t>Mondi_Tracker_Rev02.xlsm | Table row 426 | Car Rental - Jun | Inv  | Col ExpenseActualTotal</t>
  </si>
  <si>
    <t>Car Rental - Jun</t>
  </si>
  <si>
    <t>Mondi_Tracker_Rev02.xlsm | Table row 427 | Car Rental - Jul | Inv  | Col ExpenseActualTotal</t>
  </si>
  <si>
    <t>Car Rental - Jul</t>
  </si>
  <si>
    <t>Mondi_Tracker_Rev02.xlsm | Table row 428 | Car Rental - Aug | Inv  | Col ExpenseActualTotal</t>
  </si>
  <si>
    <t>Car Rental - Aug</t>
  </si>
  <si>
    <t>Mondi_Tracker_Rev02.xlsm | Table row 434 | Capacity Shortfall Damages - Per test | Inv  | Col ExpenseActualTotal</t>
  </si>
  <si>
    <t>Capacity Shortfall Damages - Per test</t>
  </si>
  <si>
    <t>Mondi_Tracker_Rev02.xlsm | Table row 437 | Delay Liquidated Damages | Inv  | Col ExpenseActualTotal</t>
  </si>
  <si>
    <t>Delay Liquidated Damages</t>
  </si>
  <si>
    <t>Mondi_Tracker_Rev02.xlsm | Table row 442 | Panel cleaning | Inv  | Col ExpenseActualTotal</t>
  </si>
  <si>
    <t>Panel cleaning</t>
  </si>
  <si>
    <t>Northpoint_Tracker.xlsx | Table row 6 | Jinko 590W | Inv Menlo INV0003046 | Col ExpenseActualTotal</t>
  </si>
  <si>
    <t>PO4057-SNP-20250628 - RV Approved</t>
  </si>
  <si>
    <t>Menlo INV0003046</t>
  </si>
  <si>
    <t>Northpoint_Tracker.xlsx | Table row 7 |  | Inv Menlo - INV0003187 | Col ExpenseActualTotal</t>
  </si>
  <si>
    <t>Menlo - INV0003187</t>
  </si>
  <si>
    <t>Northpoint_Tracker.xlsx | Table row 13 | Huawei 100KTL | Inv Menlo INV0003046 | Col ExpenseActualTotal</t>
  </si>
  <si>
    <t>Northpoint_Tracker.xlsx | Table row 21 | Schletter Structure | Inv Schletter INV1907 | Col ExpenseActualTotal</t>
  </si>
  <si>
    <t>Schletter INV1907</t>
  </si>
  <si>
    <t>Northpoint_Tracker.xlsx | Table row 22 | Seam Clamps | Inv Allocated to Cpt Storeroom | Col ExpenseActualTotal</t>
  </si>
  <si>
    <t>Seam Clamps</t>
  </si>
  <si>
    <t>Northpoint_Tracker.xlsx | Table row 23 | Mid Clamps | Inv Allocated to Cpt Storeroom | Col ExpenseActualTotal</t>
  </si>
  <si>
    <t>Northpoint_Tracker.xlsx | Table row 24 | End Clapms | Inv Allocated to Cpt Storeroom | Col ExpenseActualTotal</t>
  </si>
  <si>
    <t>End Clapms</t>
  </si>
  <si>
    <t>Northpoint_Tracker.xlsx | Table row 28 | DC Cable - black from stock (CPT) | Inv Allocated from Cpt Storeroom | Col ExpenseActualTotal</t>
  </si>
  <si>
    <t>DC Cable - black from stock (CPT)</t>
  </si>
  <si>
    <t>Northpoint_Tracker.xlsx | Table row 29 | DC Cable - red | Inv Allocated from Cpt Storeroom | Col ExpenseActualTotal</t>
  </si>
  <si>
    <t>DC Cable - red</t>
  </si>
  <si>
    <t>Northpoint_Tracker.xlsx | Table row 30 | Transport | Inv ABL Transport INV0175 | Col ExpenseActualTotal</t>
  </si>
  <si>
    <t>ABL Transport INV0175</t>
  </si>
  <si>
    <t>Northpoint_Tracker.xlsx | Table row 31 | DC Cable - from stock (CPT) - black | Inv Allocated from Cpt Storeroom | Col ExpenseActualTotal</t>
  </si>
  <si>
    <t>DC Cable - from stock (CPT) - black</t>
  </si>
  <si>
    <t>Northpoint_Tracker.xlsx | Table row 32 | DC Cable - Menlo - Red | Inv Menlo - INV0003187 | Col ExpenseActualTotal</t>
  </si>
  <si>
    <t>DC Cable - Menlo - Red</t>
  </si>
  <si>
    <t>Northpoint_Tracker.xlsx | Table row 33 | Project Kick Off | Inv Matthews Group INV1499 | Col ExpenseActualTotal</t>
  </si>
  <si>
    <t xml:space="preserve">PO4110-SNP-20250709-MI approved </t>
  </si>
  <si>
    <t>Matthews Group INV1499</t>
  </si>
  <si>
    <t>Northpoint_Tracker.xlsx | Table row 34 | Site Establishment | Inv Matthews Group INV1500 | Col ExpenseActualTotal</t>
  </si>
  <si>
    <t>Matthews Group INV1500</t>
  </si>
  <si>
    <t>Northpoint_Tracker.xlsx | Table row 35 | AC Installation Complete | Inv Matthews Group INV1515 | Col ExpenseActualTotal</t>
  </si>
  <si>
    <t>Matthews Group INV1515</t>
  </si>
  <si>
    <t>Northpoint_Tracker.xlsx | Table row 36 | DC Installation Complete | Inv Matthews Group INV1515 | Col ExpenseActualTotal</t>
  </si>
  <si>
    <t>Northpoint_Tracker.xlsx | Table row 37 | Commissioning Complete | Inv Matthews Group INV1515 | Col ExpenseActualTotal</t>
  </si>
  <si>
    <t>Northpoint_Tracker.xlsx | Table row 38 | Site De-establisment | Inv Matthews Group INV1515 | Col ExpenseActualTotal</t>
  </si>
  <si>
    <t>Northpoint_Tracker.xlsx | Table row 39 | Handover Document Complete | Inv Matthews Group INV1515 | Col ExpenseActualTotal</t>
  </si>
  <si>
    <t>Northpoint_Tracker.xlsx | Table row 40 | End of Defects Period | Inv Matthews Group INV1515 | Col ExpenseActualTotal</t>
  </si>
  <si>
    <t>Northpoint_Tracker.xlsx | Table row 41 |  | Inv Menlo - INV0003187 | Col ExpenseActualTotal</t>
  </si>
  <si>
    <t>Northpoint_Tracker.xlsx | Table row 45 | Smartlogger | Inv Menlo INV0003046 | Col ExpenseActualTotal</t>
  </si>
  <si>
    <t>Northpoint_Tracker.xlsx | Table row 46 | CTs &amp; Meters | Inv AccuEnergy - ASAI-005844 | Col ExpenseActualTotal</t>
  </si>
  <si>
    <t>PO4065-SNP-20250630 - RV Approved</t>
  </si>
  <si>
    <t>AccuEnergy - ASAI-005844</t>
  </si>
  <si>
    <t>Northpoint_Tracker.xlsx | Table row 47 | Delivery of CT's | Inv Uber: C/C DS 100902 | Col ExpenseActualTotal</t>
  </si>
  <si>
    <t>Delivery of CT's</t>
  </si>
  <si>
    <t>Uber: C/C DS 100902</t>
  </si>
  <si>
    <t>Northpoint_Tracker.xlsx | Table row 48 | Techsitter | Inv Matriarch - INV-4742 | Col ExpenseActualTotal</t>
  </si>
  <si>
    <t>Northpoint_Tracker.xlsx | Table row 49 | APEX DNP3 | Inv Rubicon INVWCRE-0069476 | Col ExpenseActualTotal</t>
  </si>
  <si>
    <t>APEX DNP3</t>
  </si>
  <si>
    <t>PO4128-SNP-20250717 - RV Approved</t>
  </si>
  <si>
    <t>Rubicon INVWCRE-0069476</t>
  </si>
  <si>
    <t>Northpoint_Tracker.xlsx | Table row 50 | Delivery of Techsitter | Inv DSV Inv: 180138260 | Col ExpenseActualTotal</t>
  </si>
  <si>
    <t>Northpoint_Tracker.xlsx | Table row 51 | Battery | Inv Red Pole Energy: SO-35689 | Col ExpenseActualTotal</t>
  </si>
  <si>
    <t>Northpoint_Tracker.xlsx | Table row 52 | Powersupply | Inv Mantech-SOR1007853 | Col ExpenseActualTotal</t>
  </si>
  <si>
    <t>Northpoint_Tracker.xlsx | Table row 53 |  | Inv Mantech-CRN949171 | Col ExpenseActualTotal</t>
  </si>
  <si>
    <t>Mantech-CRN949171</t>
  </si>
  <si>
    <t>Northpoint_Tracker.xlsx | Table row 57 | PVDB | Inv Switchboard 2-SOI002241 | Col ExpenseActualTotal</t>
  </si>
  <si>
    <t>Switchboard 2-SOI002241</t>
  </si>
  <si>
    <t>Northpoint_Tracker.xlsx | Table row 62 | Project Kick Off | Inv Matthews Group INV1499 | Col ExpenseActualTotal</t>
  </si>
  <si>
    <t>Northpoint_Tracker.xlsx | Table row 63 | Site Establishment | Inv Matthews Group INV1500 | Col ExpenseActualTotal</t>
  </si>
  <si>
    <t>Northpoint_Tracker.xlsx | Table row 64 | AC Installation Complete | Inv Matthews Group INV1515 | Col ExpenseActualTotal</t>
  </si>
  <si>
    <t>Northpoint_Tracker.xlsx | Table row 65 | DC Installation Complete | Inv Matthews Group INV1515 | Col ExpenseActualTotal</t>
  </si>
  <si>
    <t>Northpoint_Tracker.xlsx | Table row 66 | Commissioning Complete | Inv Matthews Group INV1515 | Col ExpenseActualTotal</t>
  </si>
  <si>
    <t>Northpoint_Tracker.xlsx | Table row 67 | Site De-establisment | Inv Matthews Group INV1515 | Col ExpenseActualTotal</t>
  </si>
  <si>
    <t>Northpoint_Tracker.xlsx | Table row 68 | Handover Document Complete | Inv Matthews Group INV1515 | Col ExpenseActualTotal</t>
  </si>
  <si>
    <t>Northpoint_Tracker.xlsx | Table row 69 | End of Defects Period | Inv Matthews Group INV1515 | Col ExpenseActualTotal</t>
  </si>
  <si>
    <t>Northpoint_Tracker.xlsx | Table row 85 | Check Meter | Inv CBB - CBB-5722 | Col ExpenseActualTotal</t>
  </si>
  <si>
    <t>Northpoint_Tracker.xlsx | Table row 86 | Battery | Inv Current Automotion - SOQ324142 | Col ExpenseActualTotal</t>
  </si>
  <si>
    <t>Northpoint_Tracker.xlsx | Table row 94 | Project Kick Off | Inv Matthews Group INV1499 | Col ExpenseActualTotal</t>
  </si>
  <si>
    <t>Northpoint_Tracker.xlsx | Table row 95 | Site Establishment | Inv Matthews Group INV1500 | Col ExpenseActualTotal</t>
  </si>
  <si>
    <t>Northpoint_Tracker.xlsx | Table row 96 | AC Installation Complete | Inv Matthews Group INV1515 | Col ExpenseActualTotal</t>
  </si>
  <si>
    <t>Northpoint_Tracker.xlsx | Table row 97 | DC Installation Complete | Inv Matthews Group INV1515 | Col ExpenseActualTotal</t>
  </si>
  <si>
    <t>Northpoint_Tracker.xlsx | Table row 98 | Commissioning Complete | Inv Matthews Group INV1515 | Col ExpenseActualTotal</t>
  </si>
  <si>
    <t>Northpoint_Tracker.xlsx | Table row 99 | Site De-establisment | Inv Matthews Group INV1515 | Col ExpenseActualTotal</t>
  </si>
  <si>
    <t>Northpoint_Tracker.xlsx | Table row 100 | Handover Document Complete | Inv Matthews Group INV1515 | Col ExpenseActualTotal</t>
  </si>
  <si>
    <t>Northpoint_Tracker.xlsx | Table row 101 | End of Defects Period | Inv Matthews Group INV1515 | Col ExpenseActualTotal</t>
  </si>
  <si>
    <t>Northpoint_Tracker.xlsx | Table row 103 | DC Run Trenching | Inv Ask Fritz - 2508_013 | Col ExpenseActualTotal</t>
  </si>
  <si>
    <t>DC Run Trenching</t>
  </si>
  <si>
    <t>PO2916-SNP-20250819 - RV Approved</t>
  </si>
  <si>
    <t>Ask Fritz - 2508_013</t>
  </si>
  <si>
    <t>Northpoint_Tracker.xlsx | Table row 104 |  | Inv Ask Fritz - 2508_013 | Col ExpenseActualTotal</t>
  </si>
  <si>
    <t>Northpoint_Tracker.xlsx | Table row 107 | Container Rental | Inv Container World PFC02315 | Col ExpenseActualTotal</t>
  </si>
  <si>
    <t>Container World PFC02315</t>
  </si>
  <si>
    <t>Northpoint_Tracker.xlsx | Table row 108 |  | Inv Container World - C581577 | Col ExpenseActualTotal</t>
  </si>
  <si>
    <t>Container World - C581577</t>
  </si>
  <si>
    <t>Northpoint_Tracker.xlsx | Table row 109 |  | Inv Container World - CM19731 | Col ExpenseActualTotal</t>
  </si>
  <si>
    <t>Container World - CM19731</t>
  </si>
  <si>
    <t>Northpoint_Tracker.xlsx | Table row 110 | Container Rental - August | Inv Container World - C585035 | Col ExpenseActualTotal</t>
  </si>
  <si>
    <t>Container World - C585035</t>
  </si>
  <si>
    <t>Northpoint_Tracker.xlsx | Table row 111 | Container Rental - September | Inv Container World - C580804 | Col ExpenseActualTotal</t>
  </si>
  <si>
    <t>Container World - C580804</t>
  </si>
  <si>
    <t>Northpoint_Tracker.xlsx | Table row 112 |  | Inv Container World - C588470 | Col ExpenseActualTotal</t>
  </si>
  <si>
    <t>Container World - C588470</t>
  </si>
  <si>
    <t>Northpoint_Tracker.xlsx | Table row 113 |  | Inv Container World - C591998 | Col ExpenseActualTotal</t>
  </si>
  <si>
    <t>Container World - C591998</t>
  </si>
  <si>
    <t>Northpoint_Tracker.xlsx | Table row 114 |  | Inv Container World - CCM13068 | Col ExpenseActualTotal</t>
  </si>
  <si>
    <t>Container World - CCM13068</t>
  </si>
  <si>
    <t>Northpoint_Tracker.xlsx | Table row 115 |  | Inv Container World - PFC02315 | Col ExpenseActualTotal</t>
  </si>
  <si>
    <t>Container World - PFC02315</t>
  </si>
  <si>
    <t>Northpoint_Tracker.xlsx | Table row 117 | Project Kick Off | Inv Matthews Group INV1499 | Col ExpenseActualTotal</t>
  </si>
  <si>
    <t>Northpoint_Tracker.xlsx | Table row 118 | Site Establishment | Inv Matthews Group INV1500 | Col ExpenseActualTotal</t>
  </si>
  <si>
    <t>Northpoint_Tracker.xlsx | Table row 119 | AC Installation Complete | Inv Matthews Group INV1515 | Col ExpenseActualTotal</t>
  </si>
  <si>
    <t>Northpoint_Tracker.xlsx | Table row 120 | DC Installation Complete | Inv Matthews Group INV1515 | Col ExpenseActualTotal</t>
  </si>
  <si>
    <t>Northpoint_Tracker.xlsx | Table row 121 | Commissioning Complete | Inv Matthews Group INV1515 | Col ExpenseActualTotal</t>
  </si>
  <si>
    <t>Northpoint_Tracker.xlsx | Table row 122 | Site De-establisment | Inv Matthews Group INV1515 | Col ExpenseActualTotal</t>
  </si>
  <si>
    <t>Northpoint_Tracker.xlsx | Table row 123 | Handover Document Complete | Inv Matthews Group INV1515 | Col ExpenseActualTotal</t>
  </si>
  <si>
    <t>Northpoint_Tracker.xlsx | Table row 124 | End of Defects Period | Inv Matthews Group INV1515 | Col ExpenseActualTotal</t>
  </si>
  <si>
    <t>Northpoint_Tracker.xlsx | Table row 129 | Electrical PrEng sign off | Inv Sunspot Inv: E028 | Col ExpenseActualTotal</t>
  </si>
  <si>
    <t>Sunspot Inv: E028</t>
  </si>
  <si>
    <t>Northpoint_Tracker.xlsx | Table row 130 | Structural Sign Off | Inv L&amp;B Inv 1701 | Col ExpenseActualTotal</t>
  </si>
  <si>
    <t>Northpoint_Tracker.xlsx | Table row 132 | Red Team Inspection | Inv Matriarch - INV-4987 | Col ExpenseActualTotal</t>
  </si>
  <si>
    <t>Northpoint_Tracker.xlsx | Table row 138 | Matriarch Defects Period - 1.25% | Inv Matriarch - INV-4986 | Col ExpenseActualTotal</t>
  </si>
  <si>
    <t>Northpoint_Tracker.xlsx | Table row 139 | Management | Inv  | Col ExpenseActualTotal</t>
  </si>
  <si>
    <t>Northpoint_Tracker.xlsx | Table row 140 | Project manager  | Inv  | Col ExpenseActualTotal</t>
  </si>
  <si>
    <t>Northpoint_Tracker.xlsx | Table row 141 | Planner time | Inv  | Col ExpenseActualTotal</t>
  </si>
  <si>
    <t>Northpoint_Tracker.xlsx | Table row 142 | De Snagging | Inv  | Col ExpenseActualTotal</t>
  </si>
  <si>
    <t>Northpoint_Tracker.xlsx | Table row 145 | Travel | Inv Expense Claim | Col ExpenseActualTotal</t>
  </si>
  <si>
    <t>Northpoint_Tracker.xlsx | Table row 146 | Travel | Inv Expense Claim | Col ExpenseActualTotal</t>
  </si>
  <si>
    <t>Northpoint_Tracker.xlsx | Table row 147 | Travel | Inv Expense Claim | Col ExpenseActualTotal</t>
  </si>
  <si>
    <t>Northpoint_Tracker.xlsx | Table row 148 | Travel | Inv Expense Claim | Col ExpenseActualTotal</t>
  </si>
  <si>
    <t>Northpoint_Tracker.xlsx | Table row 149 | Travel | Inv Expense Claim | Col ExpenseActualTotal</t>
  </si>
  <si>
    <t>Northpoint_Tracker.xlsx | Table row 160 | PLS - Meter Installation | Inv PLS - IN106336 | Col ExpenseActualTotal</t>
  </si>
  <si>
    <t>PLS - Meter Installation</t>
  </si>
  <si>
    <t>PO4493-20251126 - RV Approved</t>
  </si>
  <si>
    <t>PLS - IN106336</t>
  </si>
  <si>
    <t>Northpoint_Tracker.xlsx | Table row 161 | Metronomic - Meter Commissioning | Inv Omarlek IIN106336 | Col ExpenseActualTotal</t>
  </si>
  <si>
    <t>Metronomic - Meter Commissioning</t>
  </si>
  <si>
    <t>PO4494-20251126 - RV Approved</t>
  </si>
  <si>
    <t>Omarlek IIN106336</t>
  </si>
  <si>
    <t>Pimville_Tracker.xlsx | Table row 6 | Jinko 620W - Menlo | Inv Menlo INV0002940 | Col ExpenseActualTotal</t>
  </si>
  <si>
    <t>PO3905-DIP-PH2-PIM-20250514</t>
  </si>
  <si>
    <t>Menlo INV0002940</t>
  </si>
  <si>
    <t>Pimville_Tracker.xlsx | Table row 7 |  | Inv Menlo INV0002940 | Col ExpenseActualTotal</t>
  </si>
  <si>
    <t>Pimville_Tracker.xlsx | Table row 8 | Jinko 620W - Menlo | Inv MSA Energy INV0003446 | Col ExpenseActualTotal</t>
  </si>
  <si>
    <t>MSA Energy INV0003446</t>
  </si>
  <si>
    <t>Pimville_Tracker.xlsx | Table row 9 | Transport | Inv MSA Energy INV0003446 | Col ExpenseActualTotal</t>
  </si>
  <si>
    <t>Pimville_Tracker.xlsx | Table row 13 | Huawei 100KTL - Menlo | Inv Menlo: INV0002911 | Col ExpenseActualTotal</t>
  </si>
  <si>
    <t>Menlo: INV0002911</t>
  </si>
  <si>
    <t>Pimville_Tracker.xlsx | Table row 21 | Schletter Structure | Inv Schletter INV1793 | Col ExpenseActualTotal</t>
  </si>
  <si>
    <t>PO3943-DPS-20250521 - RV Approved</t>
  </si>
  <si>
    <t>Schletter INV1793</t>
  </si>
  <si>
    <t>Pimville_Tracker.xlsx | Table row 28 | DC Cable - Menlo | Inv Menlo: INV0002911 | Col ExpenseActualTotal</t>
  </si>
  <si>
    <t>Pimville_Tracker.xlsx | Table row 32 | Project Kick Off | Inv Thula Moya Inv: IN04719 | Col ExpenseActualTotal</t>
  </si>
  <si>
    <t>PO3876-DRS-20250513 - RV Approved</t>
  </si>
  <si>
    <t>Thula Moya Inv: IN04719</t>
  </si>
  <si>
    <t>Pimville_Tracker.xlsx | Table row 33 | Site Establishment | Inv Thula Moya Inv: IN04719 | Col ExpenseActualTotal</t>
  </si>
  <si>
    <t>Pimville_Tracker.xlsx | Table row 34 | AC Installation Complete | Inv Thula Moya IN04778 | Col ExpenseActualTotal</t>
  </si>
  <si>
    <t>Thula Moya IN04778</t>
  </si>
  <si>
    <t>Pimville_Tracker.xlsx | Table row 35 | AC Installation Complete | Inv Thula Moya IN04799 | Col ExpenseActualTotal</t>
  </si>
  <si>
    <t>Thula Moya IN04799</t>
  </si>
  <si>
    <t>Pimville_Tracker.xlsx | Table row 36 | DC Installation Complete | Inv Thula Moya IN04778 | Col ExpenseActualTotal</t>
  </si>
  <si>
    <t>Pimville_Tracker.xlsx | Table row 37 | DC Installation Complete | Inv Thula Moya IN04846 | Col ExpenseActualTotal</t>
  </si>
  <si>
    <t>Thula Moya IN04846</t>
  </si>
  <si>
    <t>Pimville_Tracker.xlsx | Table row 38 | Commissioning Complete | Inv Thula Moya IN04847 | Col ExpenseActualTotal</t>
  </si>
  <si>
    <t>Thula Moya IN04847</t>
  </si>
  <si>
    <t>Pimville_Tracker.xlsx | Table row 39 | Site De-establisment | Inv Thula Moya IN04848 | Col ExpenseActualTotal</t>
  </si>
  <si>
    <t>Thula Moya IN04848</t>
  </si>
  <si>
    <t>Pimville_Tracker.xlsx | Table row 40 | Handover Document Complete | Inv Thula Moya IN04849 | Col ExpenseActualTotal</t>
  </si>
  <si>
    <t>Thula Moya IN04849</t>
  </si>
  <si>
    <t>Pimville_Tracker.xlsx | Table row 41 | End of Defects Period | Inv Thula Moya IN04850 | Col ExpenseActualTotal</t>
  </si>
  <si>
    <t>Thula Moya IN04850</t>
  </si>
  <si>
    <t>Pimville_Tracker.xlsx | Table row 46 | Smartlogger - Menlo | Inv Menlo: INV0002911 | Col ExpenseActualTotal</t>
  </si>
  <si>
    <t>Pimville_Tracker.xlsx | Table row 47 | CTs &amp; Meters | Inv Accuenergy Inv: ASAI005363 | Col ExpenseActualTotal</t>
  </si>
  <si>
    <t>PO3837-DIP-Ph2-Pimville-20250429 - RV Approved</t>
  </si>
  <si>
    <t>Accuenergy Inv: ASAI005363</t>
  </si>
  <si>
    <t>Pimville_Tracker.xlsx | Table row 48 |  | Inv Accuenergy - Inv ASAI-005800 | Col ExpenseActualTotal</t>
  </si>
  <si>
    <t>Pimville_Tracker.xlsx | Table row 49 | Techsitter | Inv Matriarch Inv: 4451 | Col ExpenseActualTotal</t>
  </si>
  <si>
    <t>Pimville_Tracker.xlsx | Table row 50 | UPS | Inv Frontline INV725690 | Col ExpenseActualTotal</t>
  </si>
  <si>
    <t>Pimville_Tracker.xlsx | Table row 56 | PVDB | Inv Switchboard Inv: 2-SOI002097 | Col ExpenseActualTotal</t>
  </si>
  <si>
    <t>PO3881-DIP-Ph2-Pimville-20250513 - RV Approved</t>
  </si>
  <si>
    <t>Switchboard Inv: 2-SOI002097</t>
  </si>
  <si>
    <t>Pimville_Tracker.xlsx | Table row 61 | Project Kick Off | Inv Thula Moya Inv: IN04719 | Col ExpenseActualTotal</t>
  </si>
  <si>
    <t>Pimville_Tracker.xlsx | Table row 62 | Site Establishment | Inv Thula Moya Inv: IN04719 | Col ExpenseActualTotal</t>
  </si>
  <si>
    <t>Pimville_Tracker.xlsx | Table row 63 | AC Installation Complete | Inv Thula Moya IN04778 | Col ExpenseActualTotal</t>
  </si>
  <si>
    <t>Pimville_Tracker.xlsx | Table row 64 | AC Installation Complete | Inv Thula Moya IN04799 | Col ExpenseActualTotal</t>
  </si>
  <si>
    <t>Pimville_Tracker.xlsx | Table row 65 | DC Installation Complete | Inv Thula Moya IN04778 | Col ExpenseActualTotal</t>
  </si>
  <si>
    <t>Pimville_Tracker.xlsx | Table row 66 | DC Installation Complete | Inv Thula Moya IN04846 | Col ExpenseActualTotal</t>
  </si>
  <si>
    <t>Pimville_Tracker.xlsx | Table row 67 | Commissioning Complete | Inv Thula Moya IN04847 | Col ExpenseActualTotal</t>
  </si>
  <si>
    <t>Pimville_Tracker.xlsx | Table row 68 | Site De-establisment | Inv Thula Moya IN04848 | Col ExpenseActualTotal</t>
  </si>
  <si>
    <t>Pimville_Tracker.xlsx | Table row 69 | Handover Document Complete | Inv Thula Moya IN04849 | Col ExpenseActualTotal</t>
  </si>
  <si>
    <t>Pimville_Tracker.xlsx | Table row 70 | End of Defects Period | Inv Thula Moya IN04850 | Col ExpenseActualTotal</t>
  </si>
  <si>
    <t>Pimville_Tracker.xlsx | Table row 85 | Delay on site - VO | Inv Thula Moya IN04759 | Col ExpenseActualTotal</t>
  </si>
  <si>
    <t>Delay on site - VO</t>
  </si>
  <si>
    <t>Thula Moya IN04759</t>
  </si>
  <si>
    <t>Pimville_Tracker.xlsx | Table row 87 | Waterpoint | Inv Lutendo Construction Inv: INV00825 | Col ExpenseActualTotal</t>
  </si>
  <si>
    <t>Waterpoint</t>
  </si>
  <si>
    <t>PO4353-DPS-20251006 - RV Approved</t>
  </si>
  <si>
    <t>Lutendo Construction Inv: INV00825</t>
  </si>
  <si>
    <t>Pimville_Tracker.xlsx | Table row 95 | Project Kick Off | Inv Thula Moya Inv: IN04719 | Col ExpenseActualTotal</t>
  </si>
  <si>
    <t>Pimville_Tracker.xlsx | Table row 96 | Site Establishment | Inv Thula Moya Inv: IN04719 | Col ExpenseActualTotal</t>
  </si>
  <si>
    <t>Pimville_Tracker.xlsx | Table row 97 | AC Installation Complete | Inv Thula Moya IN04778 | Col ExpenseActualTotal</t>
  </si>
  <si>
    <t>Pimville_Tracker.xlsx | Table row 98 | AC Installation Complete | Inv Thula Moya IN04799 | Col ExpenseActualTotal</t>
  </si>
  <si>
    <t>Pimville_Tracker.xlsx | Table row 99 | DC Installation Complete | Inv Thula Moya IN04778 | Col ExpenseActualTotal</t>
  </si>
  <si>
    <t>Pimville_Tracker.xlsx | Table row 100 | DC Installation Complete | Inv Thula Moya IN04846 | Col ExpenseActualTotal</t>
  </si>
  <si>
    <t>Pimville_Tracker.xlsx | Table row 101 | Commissioning Complete | Inv Thula Moya IN04847 | Col ExpenseActualTotal</t>
  </si>
  <si>
    <t>Pimville_Tracker.xlsx | Table row 102 | Site De-establisment | Inv Thula Moya IN04848 | Col ExpenseActualTotal</t>
  </si>
  <si>
    <t>Pimville_Tracker.xlsx | Table row 103 | Handover Document Complete | Inv Thula Moya IN04849 | Col ExpenseActualTotal</t>
  </si>
  <si>
    <t>Pimville_Tracker.xlsx | Table row 104 | End of Defects Period | Inv Thula Moya IN04850 | Col ExpenseActualTotal</t>
  </si>
  <si>
    <t>Pimville_Tracker.xlsx | Table row 109 |  | Inv  | Col ExpenseActualTotal</t>
  </si>
  <si>
    <t>Pimville_Tracker.xlsx | Table row 111 | Security - June | Inv Mehlo Security - Inv 06/2025 | Col ExpenseActualTotal</t>
  </si>
  <si>
    <t>PO3977-DPS-20250603 - RV Approved</t>
  </si>
  <si>
    <t>Mehlo Security - Inv 06/2025</t>
  </si>
  <si>
    <t>Pimville_Tracker.xlsx | Table row 117 | Project Kick Off | Inv Thula Moya Inv: IN04719 | Col ExpenseActualTotal</t>
  </si>
  <si>
    <t>Pimville_Tracker.xlsx | Table row 118 | Site Establishment | Inv Thula Moya Inv: IN04719 | Col ExpenseActualTotal</t>
  </si>
  <si>
    <t>Pimville_Tracker.xlsx | Table row 119 | AC Installation Complete | Inv Thula Moya IN04778 | Col ExpenseActualTotal</t>
  </si>
  <si>
    <t>Pimville_Tracker.xlsx | Table row 120 | AC Installation Complete | Inv Thula Moya IN04799 | Col ExpenseActualTotal</t>
  </si>
  <si>
    <t>Pimville_Tracker.xlsx | Table row 121 | DC Installation Complete | Inv Thula Moya IN04778 | Col ExpenseActualTotal</t>
  </si>
  <si>
    <t>Pimville_Tracker.xlsx | Table row 122 | DC Installation Complete | Inv Thula Moya IN04846 | Col ExpenseActualTotal</t>
  </si>
  <si>
    <t>Pimville_Tracker.xlsx | Table row 123 | Commissioning Complete | Inv Thula Moya IN04847 | Col ExpenseActualTotal</t>
  </si>
  <si>
    <t>Pimville_Tracker.xlsx | Table row 124 | Site De-establisment | Inv Thula Moya IN04848 | Col ExpenseActualTotal</t>
  </si>
  <si>
    <t>Pimville_Tracker.xlsx | Table row 125 | Handover Document Complete | Inv Thula Moya IN04849 | Col ExpenseActualTotal</t>
  </si>
  <si>
    <t>Pimville_Tracker.xlsx | Table row 126 | End of Defects Period | Inv Thula Moya IN04850 | Col ExpenseActualTotal</t>
  </si>
  <si>
    <t>Pimville_Tracker.xlsx | Table row 131 | Electrical PrEng sign off | Inv Sunspot E027 | Col ExpenseActualTotal</t>
  </si>
  <si>
    <t>Pimville_Tracker.xlsx | Table row 132 | Structural Sign Off | Inv L&amp;B Consulting - Invoice 1934 | Col ExpenseActualTotal</t>
  </si>
  <si>
    <t xml:space="preserve">PO3745-DIP-Ph2-20250313 - RV Approved </t>
  </si>
  <si>
    <t>Pimville_Tracker.xlsx | Table row 133 | Eskom Connection Fee | Inv Eskom Inv: SDI965705783 | Col ExpenseActualTotal</t>
  </si>
  <si>
    <t>Eskom Connection Fee</t>
  </si>
  <si>
    <t>Eskom Inv: SDI965705783</t>
  </si>
  <si>
    <t>Pimville_Tracker.xlsx | Table row 134 | Lightning Risk Assessment | Inv LPS Inv: IN306837 | Col ExpenseActualTotal</t>
  </si>
  <si>
    <t>Pimville_Tracker.xlsx | Table row 135 | Red Team Inspection | Inv Matriarch - INV-5975 | Col ExpenseActualTotal</t>
  </si>
  <si>
    <t>Pimville_Tracker.xlsx | Table row 140 | Matriarch Defects Period - 1.25% | Inv  | Col ExpenseActualTotal</t>
  </si>
  <si>
    <t>Pimville_Tracker.xlsx | Table row 141 | Management | Inv  | Col ExpenseActualTotal</t>
  </si>
  <si>
    <t>Pimville_Tracker.xlsx | Table row 142 | Project manager  | Inv  | Col ExpenseActualTotal</t>
  </si>
  <si>
    <t>Pimville_Tracker.xlsx | Table row 143 | Planner time | Inv  | Col ExpenseActualTotal</t>
  </si>
  <si>
    <t>Pimville_Tracker.xlsx | Table row 144 | De Snagging | Inv  | Col ExpenseActualTotal</t>
  </si>
  <si>
    <t>Pimville_Tracker.xlsx | Table row 147 | Travel | Inv  | Col ExpenseActualTotal</t>
  </si>
  <si>
    <t>Pimville_Tracker.xlsx | Table row 148 | Travel | Inv Expense Claim | Col ExpenseActualTotal</t>
  </si>
  <si>
    <t>Pimville_Tracker.xlsx | Table row 149 | Travel | Inv Expense Claim | Col ExpenseActualTotal</t>
  </si>
  <si>
    <t>Pimville_Tracker.xlsx | Table row 150 | Travel | Inv Expense Claim | Col ExpenseActualTotal</t>
  </si>
  <si>
    <t>Pimville_Tracker.xlsx | Table row 151 | Travel | Inv Expense Claim | Col ExpenseActualTotal</t>
  </si>
  <si>
    <t>Pimville_Tracker.xlsx | Table row 152 | Travel | Inv Expense Claim | Col ExpenseActualTotal</t>
  </si>
  <si>
    <t>Pimville_Tracker.xlsx | Table row 153 | Travel | Inv Expense Claim | Col ExpenseActualTotal</t>
  </si>
  <si>
    <t>Pimville_Tracker.xlsx | Table row 154 | Travel | Inv Expense Claim | Col ExpenseActualTotal</t>
  </si>
  <si>
    <t>Pimville_Tracker.xlsx | Table row 155 | Travel | Inv Expense Claim | Col ExpenseActualTotal</t>
  </si>
  <si>
    <t>Pimville_Tracker.xlsx | Table row 156 | Travel | Inv Expense Claim | Col ExpenseActualTotal</t>
  </si>
  <si>
    <t>Pimville_Tracker.xlsx | Table row 157 | Travel | Inv Expense Claim | Col ExpenseActualTotal</t>
  </si>
  <si>
    <t>Pimville_Tracker.xlsx | Table row 160 | Welcome Bonus - Site establishment | Inv Luxanio Trading - 23401/202506/274898/I | Col ExpenseActualTotal</t>
  </si>
  <si>
    <t>Welcome Bonus - Site establishment</t>
  </si>
  <si>
    <t>Luxanio Trading - 23401/202506/274898/I</t>
  </si>
  <si>
    <t>Pimville_Tracker.xlsx | Table row 161 | Welcome Bonus - Commissioning | Inv Luxanio Trading - 23401/202506/274898/I | Col ExpenseActualTotal</t>
  </si>
  <si>
    <t>Pimville_Tracker.xlsx | Table row 163 | Community Engagement | Inv  | Col ExpenseActualTotal</t>
  </si>
  <si>
    <t>Pimville_Tracker.xlsx | Table row 164 | VO - Installation of DC | Inv Thula Moya IN04885 | Col ExpenseActualTotal</t>
  </si>
  <si>
    <t>Thula Moya IN04885</t>
  </si>
  <si>
    <t>Pimville_Tracker.xlsx | Table row 165 |  | Inv Thula Moya IN04885 | Col ExpenseActualTotal</t>
  </si>
  <si>
    <t>Pimville_Tracker.xlsx | Table row 166 | Container Shift - ThulaMoya | Inv Thula Moya - IN04930 | Col ExpenseActualTotal</t>
  </si>
  <si>
    <t>Container Shift - ThulaMoya</t>
  </si>
  <si>
    <t>PO4389-DPS-20251021 - RV Approved</t>
  </si>
  <si>
    <t>Thula Moya - IN04930</t>
  </si>
  <si>
    <t>PnP Bethal_Tracker.xlsx | Table row 6 | Panels TBC - 610W as placeholder | Inv  | Col ExpenseActualTotal</t>
  </si>
  <si>
    <t>Panels TBC - 610W as placeholder</t>
  </si>
  <si>
    <t>PnP Bethal_Tracker.xlsx | Table row 7 |  | Inv  | Col ExpenseActualTotal</t>
  </si>
  <si>
    <t>PnP Bethal_Tracker.xlsx | Table row 14 | Sungrow 125kW | Inv  | Col ExpenseActualTotal</t>
  </si>
  <si>
    <t>Sungrow 125kW</t>
  </si>
  <si>
    <t>PnP Bethal_Tracker.xlsx | Table row 15 | Sungrow Wifi Comunication Module For Battery Inverter | Inv  | Col ExpenseActualTotal</t>
  </si>
  <si>
    <t>Sungrow Wifi Comunication Module For Battery Inverter</t>
  </si>
  <si>
    <t>PnP Bethal_Tracker.xlsx | Table row 17 | Sungrow warranty extension to 10 years on the 125kW string inverter and the 25kW hybrid inverter | Inv  | Col ExpenseActualTotal</t>
  </si>
  <si>
    <t>Sungrow warranty extension to 10 years on the 125kW string inverter and the 25kW hybrid inverter</t>
  </si>
  <si>
    <t>PnP Bethal_Tracker.xlsx | Table row 21 | Schletter Structure | Inv  | Col ExpenseActualTotal</t>
  </si>
  <si>
    <t>PnP Bethal_Tracker.xlsx | Table row 28 | DC Cable | Inv  | Col ExpenseActualTotal</t>
  </si>
  <si>
    <t>PnP Bethal_Tracker.xlsx | Table row 32 | Project Kick Off | Inv  | Col ExpenseActualTotal</t>
  </si>
  <si>
    <t>PnP Bethal_Tracker.xlsx | Table row 33 | Site Establishment | Inv  | Col ExpenseActualTotal</t>
  </si>
  <si>
    <t>PnP Bethal_Tracker.xlsx | Table row 34 | AC Installation Complete | Inv  | Col ExpenseActualTotal</t>
  </si>
  <si>
    <t>PnP Bethal_Tracker.xlsx | Table row 35 | DC Installation Complete | Inv  | Col ExpenseActualTotal</t>
  </si>
  <si>
    <t>PnP Bethal_Tracker.xlsx | Table row 36 | Commissioning Complete | Inv  | Col ExpenseActualTotal</t>
  </si>
  <si>
    <t>PnP Bethal_Tracker.xlsx | Table row 37 | Site De-establisment | Inv  | Col ExpenseActualTotal</t>
  </si>
  <si>
    <t>PnP Bethal_Tracker.xlsx | Table row 38 | Handover Document Complete | Inv  | Col ExpenseActualTotal</t>
  </si>
  <si>
    <t>PnP Bethal_Tracker.xlsx | Table row 39 | End of Defects Period | Inv  | Col ExpenseActualTotal</t>
  </si>
  <si>
    <t>PnP Bethal_Tracker.xlsx | Table row 45 | Comms DB | Inv  | Col ExpenseActualTotal</t>
  </si>
  <si>
    <t>PnP Bethal_Tracker.xlsx | Table row 46 | Revenue Grade Meter | Inv  | Col ExpenseActualTotal</t>
  </si>
  <si>
    <t>PnP Bethal_Tracker.xlsx | Table row 47 | APEX Controller | Inv  | Col ExpenseActualTotal</t>
  </si>
  <si>
    <t>APEX Controller</t>
  </si>
  <si>
    <t>PnP Bethal_Tracker.xlsx | Table row 48 | Sungrow Wifi Comunication Module For Battery Inverter | Inv  | Col ExpenseActualTotal</t>
  </si>
  <si>
    <t>PnP Bethal_Tracker.xlsx | Table row 53 | PVDB | Inv  | Col ExpenseActualTotal</t>
  </si>
  <si>
    <t>PnP Bethal_Tracker.xlsx | Table row 55 | Auto Change over Switch | Inv  | Col ExpenseActualTotal</t>
  </si>
  <si>
    <t>Auto Change over Switch</t>
  </si>
  <si>
    <t>PnP Bethal_Tracker.xlsx | Table row 58 | Project Kick Off | Inv  | Col ExpenseActualTotal</t>
  </si>
  <si>
    <t>PnP Bethal_Tracker.xlsx | Table row 59 | Site Establishment | Inv  | Col ExpenseActualTotal</t>
  </si>
  <si>
    <t>PnP Bethal_Tracker.xlsx | Table row 60 | AC Installation Complete | Inv  | Col ExpenseActualTotal</t>
  </si>
  <si>
    <t>PnP Bethal_Tracker.xlsx | Table row 61 | DC Installation Complete | Inv  | Col ExpenseActualTotal</t>
  </si>
  <si>
    <t>PnP Bethal_Tracker.xlsx | Table row 62 | Commissioning Complete | Inv  | Col ExpenseActualTotal</t>
  </si>
  <si>
    <t>PnP Bethal_Tracker.xlsx | Table row 63 | Site De-establisment | Inv  | Col ExpenseActualTotal</t>
  </si>
  <si>
    <t>PnP Bethal_Tracker.xlsx | Table row 64 | Handover Document Complete | Inv  | Col ExpenseActualTotal</t>
  </si>
  <si>
    <t>PnP Bethal_Tracker.xlsx | Table row 65 | End of Defects Period | Inv  | Col ExpenseActualTotal</t>
  </si>
  <si>
    <t>PnP Bethal_Tracker.xlsx | Table row 70 | Sungrow 50kW with104kWh | Inv  | Col ExpenseActualTotal</t>
  </si>
  <si>
    <t>Sungrow 50kW with104kWh</t>
  </si>
  <si>
    <t>PnP Bethal_Tracker.xlsx | Table row 71 | Sungrow SBH Battery Parallel box + Acessory Box | Inv  | Col ExpenseActualTotal</t>
  </si>
  <si>
    <t>Sungrow SBH Battery Parallel box + Acessory Box</t>
  </si>
  <si>
    <t>PnP Bethal_Tracker.xlsx | Table row 79 | Walkways | Inv  | Col ExpenseActualTotal</t>
  </si>
  <si>
    <t>PnP Bethal_Tracker.xlsx | Table row 81 | Water Points - Deposit | Inv  | Col ExpenseActualTotal</t>
  </si>
  <si>
    <t>Water Points - Deposit</t>
  </si>
  <si>
    <t>PnP Bethal_Tracker.xlsx | Table row 82 | Water Points - Balance | Inv  | Col ExpenseActualTotal</t>
  </si>
  <si>
    <t>Water Points - Balance</t>
  </si>
  <si>
    <t>PnP Bethal_Tracker.xlsx | Table row 83 | Cat Ladders - Deposit | Inv  | Col ExpenseActualTotal</t>
  </si>
  <si>
    <t>Cat Ladders - Deposit</t>
  </si>
  <si>
    <t>PnP Bethal_Tracker.xlsx | Table row 84 | Cat Ladders - Balance | Inv  | Col ExpenseActualTotal</t>
  </si>
  <si>
    <t>Cat Ladders - Balance</t>
  </si>
  <si>
    <t>PnP Bethal_Tracker.xlsx | Table row 85 | Aircon for the inverter room x 2 (battery room + Grid-tied room) - Deposit | Inv  | Col ExpenseActualTotal</t>
  </si>
  <si>
    <t>Aircon for the inverter room x 2 (battery room + Grid-tied room) - Deposit</t>
  </si>
  <si>
    <t>PnP Bethal_Tracker.xlsx | Table row 86 | Aircon for the inverter room x 2 (battery room + Grid-tied room) - Balance | Inv  | Col ExpenseActualTotal</t>
  </si>
  <si>
    <t>Aircon for the inverter room x 2 (battery room + Grid-tied room) - Balance</t>
  </si>
  <si>
    <t>PnP Bethal_Tracker.xlsx | Table row 96 | Project Kick Off | Inv  | Col ExpenseActualTotal</t>
  </si>
  <si>
    <t>PnP Bethal_Tracker.xlsx | Table row 97 | Site Establishment | Inv  | Col ExpenseActualTotal</t>
  </si>
  <si>
    <t>PnP Bethal_Tracker.xlsx | Table row 98 | AC Installation Complete | Inv  | Col ExpenseActualTotal</t>
  </si>
  <si>
    <t>PnP Bethal_Tracker.xlsx | Table row 99 | DC Installation Complete | Inv  | Col ExpenseActualTotal</t>
  </si>
  <si>
    <t>PnP Bethal_Tracker.xlsx | Table row 100 | Commissioning Complete | Inv  | Col ExpenseActualTotal</t>
  </si>
  <si>
    <t>PnP Bethal_Tracker.xlsx | Table row 101 | Site De-establisment | Inv  | Col ExpenseActualTotal</t>
  </si>
  <si>
    <t>PnP Bethal_Tracker.xlsx | Table row 102 | Handover Document Complete | Inv  | Col ExpenseActualTotal</t>
  </si>
  <si>
    <t>PnP Bethal_Tracker.xlsx | Table row 103 | End of Defects Period | Inv  | Col ExpenseActualTotal</t>
  </si>
  <si>
    <t>PnP Bethal_Tracker.xlsx | Table row 108 | Security | Inv  | Col ExpenseActualTotal</t>
  </si>
  <si>
    <t>PnP Bethal_Tracker.xlsx | Table row 112 | Project Kick Off | Inv  | Col ExpenseActualTotal</t>
  </si>
  <si>
    <t>PnP Bethal_Tracker.xlsx | Table row 113 | Site Establishment | Inv  | Col ExpenseActualTotal</t>
  </si>
  <si>
    <t>PnP Bethal_Tracker.xlsx | Table row 114 | AC Installation Complete | Inv  | Col ExpenseActualTotal</t>
  </si>
  <si>
    <t>PnP Bethal_Tracker.xlsx | Table row 115 | DC Installation Complete | Inv  | Col ExpenseActualTotal</t>
  </si>
  <si>
    <t>PnP Bethal_Tracker.xlsx | Table row 116 | Commissioning Complete | Inv  | Col ExpenseActualTotal</t>
  </si>
  <si>
    <t>PnP Bethal_Tracker.xlsx | Table row 117 | Site De-establisment | Inv  | Col ExpenseActualTotal</t>
  </si>
  <si>
    <t>PnP Bethal_Tracker.xlsx | Table row 118 | Handover Document Complete | Inv  | Col ExpenseActualTotal</t>
  </si>
  <si>
    <t>PnP Bethal_Tracker.xlsx | Table row 119 | End of Defects Period | Inv  | Col ExpenseActualTotal</t>
  </si>
  <si>
    <t>PnP Bethal_Tracker.xlsx | Table row 124 | Electrical PrEng sign off | Inv  | Col ExpenseActualTotal</t>
  </si>
  <si>
    <t>PnP Bethal_Tracker.xlsx | Table row 126 | Grid Study - Outside of CoCT | Inv  | Col ExpenseActualTotal</t>
  </si>
  <si>
    <t>PnP Bethal_Tracker.xlsx | Table row 127 | Red Team Inspection | Inv  | Col ExpenseActualTotal</t>
  </si>
  <si>
    <t>PnP Bethal_Tracker.xlsx | Table row 128 | Lightning Risk Assessment | Inv  | Col ExpenseActualTotal</t>
  </si>
  <si>
    <t>PnP Bethal_Tracker.xlsx | Table row 130 | PD Fee | Inv  | Col ExpenseActualTotal</t>
  </si>
  <si>
    <t>PnP Bethal_Tracker.xlsx | Table row 133 | Matriarch Defects Period - 1.25% | Inv  | Col ExpenseActualTotal</t>
  </si>
  <si>
    <t>PnP Bethal_Tracker.xlsx | Table row 140 | Travel | Inv  | Col ExpenseActualTotal</t>
  </si>
  <si>
    <t>PnP Bethal_Tracker.xlsx | Table row 141 | Travel | Inv  | Col ExpenseActualTotal</t>
  </si>
  <si>
    <t>PnP Bethal_Tracker.xlsx | Table row 142 | Travel | Inv  | Col ExpenseActualTotal</t>
  </si>
  <si>
    <t>PnP Bethal_Tracker.xlsx | Table row 143 | Travel | Inv  | Col ExpenseActualTotal</t>
  </si>
  <si>
    <t>Pretoria North_Tracker.xlsx | Table row 6 | Jinko 620W - Menlo | Inv Menlo - INV0002942 | Col ExpenseActualTotal</t>
  </si>
  <si>
    <t>PO3899-DIP-PH2-SHP-20250514</t>
  </si>
  <si>
    <t>Menlo - INV0002942</t>
  </si>
  <si>
    <t>Pretoria North_Tracker.xlsx | Table row 7 | Jinko 620W - Replacement of broken modules - VO | Inv Menlo - INV0003424 | Col ExpenseActualTotal</t>
  </si>
  <si>
    <t>Jinko 620W - Replacement of broken modules - VO</t>
  </si>
  <si>
    <t>Menlo - INV0003424</t>
  </si>
  <si>
    <t>Pretoria North_Tracker.xlsx | Table row 8 | Delivery | Inv Menlo - INV0003424 | Col ExpenseActualTotal</t>
  </si>
  <si>
    <t>Pretoria North_Tracker.xlsx | Table row 13 | Huawei 100KTL - Menlo  | Inv Menlo - INV0002942 | Col ExpenseActualTotal</t>
  </si>
  <si>
    <t>Pretoria North_Tracker.xlsx | Table row 21 | Schletter Structure | Inv Schletter - INV1897 | Col ExpenseActualTotal</t>
  </si>
  <si>
    <t>PO3918-DIP-Ph2-Shoprite-20250515 - RV Approved</t>
  </si>
  <si>
    <t>Schletter - INV1897</t>
  </si>
  <si>
    <t>Pretoria North_Tracker.xlsx | Table row 22 |  | Inv Schletter - INV2028 | Col ExpenseActualTotal</t>
  </si>
  <si>
    <t>Schletter - INV2028</t>
  </si>
  <si>
    <t>Pretoria North_Tracker.xlsx | Table row 24 | Return Scheltter Stock | Inv Schletter - CRN0278 | Col ExpenseActualTotal</t>
  </si>
  <si>
    <t>Return Scheltter Stock</t>
  </si>
  <si>
    <t>Schletter - CRN0278</t>
  </si>
  <si>
    <t>Pretoria North_Tracker.xlsx | Table row 25 | Return Scheltter Stock | Inv DSV Inv: 180155155 &amp; 180154233 | Col ExpenseActualTotal</t>
  </si>
  <si>
    <t>DSV Inv: 180155155 &amp; 180154233</t>
  </si>
  <si>
    <t>Pretoria North_Tracker.xlsx | Table row 26 | New Scheltter Stock | Inv Schletter - INV2301 | Col ExpenseActualTotal</t>
  </si>
  <si>
    <t>New Scheltter Stock</t>
  </si>
  <si>
    <t>PO4369-DIP-Ph2-Shoprite-20251015 - RV Approved</t>
  </si>
  <si>
    <t>Schletter - INV2301</t>
  </si>
  <si>
    <t>Pretoria North_Tracker.xlsx | Table row 27 |  | Inv Schletter - INV2356 | Col ExpenseActualTotal</t>
  </si>
  <si>
    <t>Schletter - INV2356</t>
  </si>
  <si>
    <t>Pretoria North_Tracker.xlsx | Table row 30 | DC Cable | Inv Krannich - Inv 15-10013107 | Col ExpenseActualTotal</t>
  </si>
  <si>
    <t>PO3934-DIP-Ph2-Pretoria N-20250519 - RV Approved</t>
  </si>
  <si>
    <t>Krannich - Inv 15-10013107</t>
  </si>
  <si>
    <t>Pretoria North_Tracker.xlsx | Table row 31 | Freight | Inv Krannich - Inv 15-10013107 | Col ExpenseActualTotal</t>
  </si>
  <si>
    <t>Freight</t>
  </si>
  <si>
    <t>Pretoria North_Tracker.xlsx | Table row 32 | DC Cable - Rubicon - VO | Inv Rubicon - INVRED-0136040 | Col ExpenseActualTotal</t>
  </si>
  <si>
    <t>DC Cable - Rubicon - VO</t>
  </si>
  <si>
    <t>PO4496-DIP-PH2-SPN-20251126 - RV Approved</t>
  </si>
  <si>
    <t>Rubicon - INVRED-0136040</t>
  </si>
  <si>
    <t>Pretoria North_Tracker.xlsx | Table row 34 | Project Kick Off | Inv Cosmic Sun: CS_PTN_001 | Col ExpenseActualTotal</t>
  </si>
  <si>
    <t>PO3869-DIP-Ph2-Shoprite-20250512 - RV Approved</t>
  </si>
  <si>
    <t>Cosmic Sun: CS_PTN_001</t>
  </si>
  <si>
    <t>Pretoria North_Tracker.xlsx | Table row 35 | Site Establishment | Inv Cosmic Sun: CS_PTN_002 | Col ExpenseActualTotal</t>
  </si>
  <si>
    <t>Cosmic Sun: CS_PTN_002</t>
  </si>
  <si>
    <t>Pretoria North_Tracker.xlsx | Table row 36 | AC Installation Complete | Inv CS_PTN_004 | Col ExpenseActualTotal</t>
  </si>
  <si>
    <t>CS_PTN_004</t>
  </si>
  <si>
    <t>Pretoria North_Tracker.xlsx | Table row 37 | DC Installation Complete | Inv CS_PTN_003 | Col ExpenseActualTotal</t>
  </si>
  <si>
    <t>CS_PTN_003</t>
  </si>
  <si>
    <t>Pretoria North_Tracker.xlsx | Table row 38 | DC Installation Complete | Inv CS_PTN_003 | Col ExpenseActualTotal</t>
  </si>
  <si>
    <t>Pretoria North_Tracker.xlsx | Table row 39 | Commissioning Complete | Inv CS_PTN_005 | Col ExpenseActualTotal</t>
  </si>
  <si>
    <t>CS_PTN_005</t>
  </si>
  <si>
    <t>Pretoria North_Tracker.xlsx | Table row 40 | Site De-establisment | Inv CS_PTN_006 A | Col ExpenseActualTotal</t>
  </si>
  <si>
    <t>CS_PTN_006 A</t>
  </si>
  <si>
    <t>Pretoria North_Tracker.xlsx | Table row 41 | Handover Document Complete | Inv CS_PTN_007 A | Col ExpenseActualTotal</t>
  </si>
  <si>
    <t>CS_PTN_007 A</t>
  </si>
  <si>
    <t>Pretoria North_Tracker.xlsx | Table row 42 | End of Defects Period | Inv CS_PTN_008 A | Col ExpenseActualTotal</t>
  </si>
  <si>
    <t>CS_PTN_008 A</t>
  </si>
  <si>
    <t>Pretoria North_Tracker.xlsx | Table row 47 | Smartlogger - Menlo | Inv Menlo - INV0002931 | Col ExpenseActualTotal</t>
  </si>
  <si>
    <t>Menlo - INV0002931</t>
  </si>
  <si>
    <t>Pretoria North_Tracker.xlsx | Table row 48 | CTs &amp; Meters | Inv Accuenergy - INV ASAI-005357 | Col ExpenseActualTotal</t>
  </si>
  <si>
    <t>PO3831-DIP-Ph2-Shoprite-20250429 - RV Approved</t>
  </si>
  <si>
    <t>Accuenergy - INV ASAI-005357</t>
  </si>
  <si>
    <t>Pretoria North_Tracker.xlsx | Table row 49 |  | Inv Accuenergy - Inv ASAI-005800 | Col ExpenseActualTotal</t>
  </si>
  <si>
    <t>Pretoria North_Tracker.xlsx | Table row 50 | Techsitter | Inv Matriarch Inv: 4451 | Col ExpenseActualTotal</t>
  </si>
  <si>
    <t>Pretoria North_Tracker.xlsx | Table row 51 | UPS | Inv Frontline INV725690 | Col ExpenseActualTotal</t>
  </si>
  <si>
    <t>Pretoria North_Tracker.xlsx | Table row 52 | CTs | Inv Accuenergy - Inv ASAI-005581 | Col ExpenseActualTotal</t>
  </si>
  <si>
    <t>PO3959-DIP-Ph2-Pretoria N-20250524 - RV Approved</t>
  </si>
  <si>
    <t>Accuenergy - Inv ASAI-005581</t>
  </si>
  <si>
    <t>Pretoria North_Tracker.xlsx | Table row 53 |  | Inv Accuenergy - CN-00188 | Col ExpenseActualTotal</t>
  </si>
  <si>
    <t>Accuenergy - CN-00188</t>
  </si>
  <si>
    <t>Pretoria North_Tracker.xlsx | Table row 57 | PVDB - Request a wall mount unit | Inv Switchboard Inv: 2-SOI002099 | Col ExpenseActualTotal</t>
  </si>
  <si>
    <t>PVDB - Request a wall mount unit</t>
  </si>
  <si>
    <t>PO3931-DIP-Ph2-Pretoria N-20250519 - RV Approved</t>
  </si>
  <si>
    <t>Switchboard Inv: 2-SOI002099</t>
  </si>
  <si>
    <t>Pretoria North_Tracker.xlsx | Table row 62 | Project Kick Off | Inv Cosmic Sun: CS_PTN_001 | Col ExpenseActualTotal</t>
  </si>
  <si>
    <t>Pretoria North_Tracker.xlsx | Table row 63 | Site Establishment | Inv Cosmic Sun: CS_PTN_002 | Col ExpenseActualTotal</t>
  </si>
  <si>
    <t>Pretoria North_Tracker.xlsx | Table row 64 | AC Installation Complete | Inv CS_PTN_004 | Col ExpenseActualTotal</t>
  </si>
  <si>
    <t>Pretoria North_Tracker.xlsx | Table row 65 | DC Installation Complete | Inv CS_PTN_003 | Col ExpenseActualTotal</t>
  </si>
  <si>
    <t>Pretoria North_Tracker.xlsx | Table row 66 | Commissioning Complete | Inv CS_PTN_005 | Col ExpenseActualTotal</t>
  </si>
  <si>
    <t>Pretoria North_Tracker.xlsx | Table row 67 | Site De-establisment | Inv CS_PTN_006 A | Col ExpenseActualTotal</t>
  </si>
  <si>
    <t>Pretoria North_Tracker.xlsx | Table row 68 | Handover Document Complete | Inv CS_PTN_007 A | Col ExpenseActualTotal</t>
  </si>
  <si>
    <t>Pretoria North_Tracker.xlsx | Table row 69 | End of Defects Period | Inv CS_PTN_008 A | Col ExpenseActualTotal</t>
  </si>
  <si>
    <t>Pretoria North_Tracker.xlsx | Table row 85 | Inverter Cage with roof | Inv The Engineering Hub INV/2025/06/0573 | Col ExpenseActualTotal</t>
  </si>
  <si>
    <t>Inverter Cage with roof</t>
  </si>
  <si>
    <t>PO4020-DIP-Ph2-Shoprite-20250623 - RV Approved</t>
  </si>
  <si>
    <t>The Engineering Hub INV/2025/06/0573</t>
  </si>
  <si>
    <t>Pretoria North_Tracker.xlsx | Table row 86 | Inverter landing area and walkway | Inv The Engineering Hub - INV/2025/12/0065 | Col ExpenseActualTotal</t>
  </si>
  <si>
    <t>Inverter landing area and walkway</t>
  </si>
  <si>
    <t>PO4522-DIP-Ph2-Shoprite-20251204 - RV Approved</t>
  </si>
  <si>
    <t>The Engineering Hub - INV/2025/12/0065</t>
  </si>
  <si>
    <t>Pretoria North_Tracker.xlsx | Table row 87 | Waterpoint | Inv Ndawonga Trading - 1484 | Col ExpenseActualTotal</t>
  </si>
  <si>
    <t>PO4340-DIP-Ph2-Shoprite-20250929 - RV Approved</t>
  </si>
  <si>
    <t>Ndawonga Trading - 1484</t>
  </si>
  <si>
    <t>Pretoria North_Tracker.xlsx | Table row 88 | Estops | Inv Cosmic Sun - CS_PTN_009 | Col ExpenseActualTotal</t>
  </si>
  <si>
    <t>Estops</t>
  </si>
  <si>
    <t>PO4392-DIP-Ph2-Shoprite-20251023 - RV Approved</t>
  </si>
  <si>
    <t>Cosmic Sun - CS_PTN_009</t>
  </si>
  <si>
    <t>Pretoria North_Tracker.xlsx | Table row 90 | Inverter cage modification | Inv The Engineering Hub INV/2026/01/0249 | Col ExpenseActualTotal</t>
  </si>
  <si>
    <t>Inverter cage modification</t>
  </si>
  <si>
    <t>PO4580-DIP-Ph2-SPN-20260127 - RV Approved</t>
  </si>
  <si>
    <t>The Engineering Hub INV/2026/01/0249</t>
  </si>
  <si>
    <t>Pretoria North_Tracker.xlsx | Table row 94 | Project Kick Off | Inv Cosmic Sun: CS_PTN_001 | Col ExpenseActualTotal</t>
  </si>
  <si>
    <t>Pretoria North_Tracker.xlsx | Table row 95 | Site Establishment | Inv Cosmic Sun: CS_PTN_002 | Col ExpenseActualTotal</t>
  </si>
  <si>
    <t>Pretoria North_Tracker.xlsx | Table row 96 | AC Installation Complete | Inv CS_PTN_004 | Col ExpenseActualTotal</t>
  </si>
  <si>
    <t>Pretoria North_Tracker.xlsx | Table row 97 | DC Installation Complete | Inv CS_PTN_003 | Col ExpenseActualTotal</t>
  </si>
  <si>
    <t>Pretoria North_Tracker.xlsx | Table row 98 | Commissioning Complete | Inv CS_PTN_005 | Col ExpenseActualTotal</t>
  </si>
  <si>
    <t>Pretoria North_Tracker.xlsx | Table row 99 | Site De-establisment | Inv CS_PTN_006 B | Col ExpenseActualTotal</t>
  </si>
  <si>
    <t>CS_PTN_006 B</t>
  </si>
  <si>
    <t>Pretoria North_Tracker.xlsx | Table row 100 | Site De-establisment | Inv CS_PTN_006 B | Col ExpenseActualTotal</t>
  </si>
  <si>
    <t>Pretoria North_Tracker.xlsx | Table row 101 | Handover Document Complete | Inv CS_PTN_007 B | Col ExpenseActualTotal</t>
  </si>
  <si>
    <t>CS_PTN_007 B</t>
  </si>
  <si>
    <t>Pretoria North_Tracker.xlsx | Table row 102 | End of Defects Period | Inv CS_PTN_008 B | Col ExpenseActualTotal</t>
  </si>
  <si>
    <t>CS_PTN_008 B</t>
  </si>
  <si>
    <t>Pretoria North_Tracker.xlsx | Table row 103 | Rounding Difference | Inv CS_PTN_006 B | Col ExpenseActualTotal</t>
  </si>
  <si>
    <t>Rounding Difference</t>
  </si>
  <si>
    <t>Pretoria North_Tracker.xlsx | Table row 109 | Security - July | Inv GSG Tactical INV000013575 | Col ExpenseActualTotal</t>
  </si>
  <si>
    <t>PO4031-DIP-Ph2-Shoprite-20250625 - RV Approved</t>
  </si>
  <si>
    <t>GSG Tactical INV000013575</t>
  </si>
  <si>
    <t>Pretoria North_Tracker.xlsx | Table row 110 | Security - August | Inv GSG Tactical INV000013791 | Col ExpenseActualTotal</t>
  </si>
  <si>
    <t>GSG Tactical INV000013791</t>
  </si>
  <si>
    <t>Pretoria North_Tracker.xlsx | Table row 111 | Crane Hire | Inv Supply Chain - SCO05262 | Col ExpenseActualTotal</t>
  </si>
  <si>
    <t>Crane Hire</t>
  </si>
  <si>
    <t>PO4283-DIP-Ph2-Shoprite-20250827 - RV Approved</t>
  </si>
  <si>
    <t>Supply Chain - SCO05262</t>
  </si>
  <si>
    <t>Pretoria North_Tracker.xlsx | Table row 112 | Security - September | Inv GSG Tactical - INV000013885 | Col ExpenseActualTotal</t>
  </si>
  <si>
    <t>GSG Tactical - INV000013885</t>
  </si>
  <si>
    <t>Pretoria North_Tracker.xlsx | Table row 113 | Security - October | Inv GSG Tactical - INV000013973 | Col ExpenseActualTotal</t>
  </si>
  <si>
    <t>GSG Tactical - INV000013973</t>
  </si>
  <si>
    <t>Pretoria North_Tracker.xlsx | Table row 114 | Security - November | Inv GSG Tactical - INV000014095 | Col ExpenseActualTotal</t>
  </si>
  <si>
    <t>GSG Tactical - INV000014095</t>
  </si>
  <si>
    <t>Pretoria North_Tracker.xlsx | Table row 115 | Security - December | Inv GSG Tactical - INV000014166 | Col ExpenseActualTotal</t>
  </si>
  <si>
    <t>GSG Tactical - INV000014166</t>
  </si>
  <si>
    <t>Pretoria North_Tracker.xlsx | Table row 117 | Project Kick Off | Inv Cosmic Sun: CS_PTN_001 | Col ExpenseActualTotal</t>
  </si>
  <si>
    <t>Pretoria North_Tracker.xlsx | Table row 118 | Site Establishment | Inv Cosmic Sun: CS_PTN_002 | Col ExpenseActualTotal</t>
  </si>
  <si>
    <t>Pretoria North_Tracker.xlsx | Table row 119 | AC Installation Complete | Inv CS_PTN_004 | Col ExpenseActualTotal</t>
  </si>
  <si>
    <t>Pretoria North_Tracker.xlsx | Table row 120 | DC Installation Complete | Inv CS_PTN_003 | Col ExpenseActualTotal</t>
  </si>
  <si>
    <t>Pretoria North_Tracker.xlsx | Table row 121 | Commissioning Complete | Inv CS_PTN_005 | Col ExpenseActualTotal</t>
  </si>
  <si>
    <t>Pretoria North_Tracker.xlsx | Table row 122 | Site De-establisment | Inv CS_PTN_006 A | Col ExpenseActualTotal</t>
  </si>
  <si>
    <t>Pretoria North_Tracker.xlsx | Table row 123 | Handover Document Complete | Inv CS_PTN_007 A | Col ExpenseActualTotal</t>
  </si>
  <si>
    <t>Pretoria North_Tracker.xlsx | Table row 124 | End of Defects Period | Inv CS_PTN_008 A | Col ExpenseActualTotal</t>
  </si>
  <si>
    <t>Pretoria North_Tracker.xlsx | Table row 129 | Electrical PrEng sign off | Inv Sunspot - E027 | Col ExpenseActualTotal</t>
  </si>
  <si>
    <t>Pretoria North_Tracker.xlsx | Table row 130 | Structural Sign Off | Inv  L&amp;B Consulting - Invoice 1934 | Col ExpenseActualTotal</t>
  </si>
  <si>
    <t>Pretoria North_Tracker.xlsx | Table row 131 | Grid Impact Study | Inv  | Col ExpenseActualTotal</t>
  </si>
  <si>
    <t>Grid Impact Study</t>
  </si>
  <si>
    <t>PO4447-DIP-Ph2-Shoprite-20251106 - RV Approved</t>
  </si>
  <si>
    <t>Pretoria North_Tracker.xlsx | Table row 132 | Lightning Risk Assessment | Inv LPS Inv:  IN306837 | Col ExpenseActualTotal</t>
  </si>
  <si>
    <t>LPS Inv:  IN306837</t>
  </si>
  <si>
    <t>Pretoria North_Tracker.xlsx | Table row 133 | Red Team Inspection | Inv Matriarch - INV-5975 | Col ExpenseActualTotal</t>
  </si>
  <si>
    <t>Pretoria North_Tracker.xlsx | Table row 138 | Matriarch Defects Period - 1.25% | Inv  | Col ExpenseActualTotal</t>
  </si>
  <si>
    <t>Pretoria North_Tracker.xlsx | Table row 139 | Management | Inv  | Col ExpenseActualTotal</t>
  </si>
  <si>
    <t>Pretoria North_Tracker.xlsx | Table row 140 | Project manager  | Inv  | Col ExpenseActualTotal</t>
  </si>
  <si>
    <t>Pretoria North_Tracker.xlsx | Table row 141 | Planner time | Inv  | Col ExpenseActualTotal</t>
  </si>
  <si>
    <t>Pretoria North_Tracker.xlsx | Table row 142 | De Snagging | Inv  | Col ExpenseActualTotal</t>
  </si>
  <si>
    <t>Pretoria North_Tracker.xlsx | Table row 145 | Travel | Inv Expense Claim | Col ExpenseActualTotal</t>
  </si>
  <si>
    <t>Pretoria North_Tracker.xlsx | Table row 146 | Travel | Inv Expense Claim | Col ExpenseActualTotal</t>
  </si>
  <si>
    <t>Pretoria North_Tracker.xlsx | Table row 147 | Travel | Inv Expense Claim | Col ExpenseActualTotal</t>
  </si>
  <si>
    <t>Pretoria North_Tracker.xlsx | Table row 148 | Travel | Inv Expense Claim | Col ExpenseActualTotal</t>
  </si>
  <si>
    <t>Pretoria North_Tracker.xlsx | Table row 149 | Travel | Inv Expense Claim | Col ExpenseActualTotal</t>
  </si>
  <si>
    <t>Pretoria North_Tracker.xlsx | Table row 150 | Travel | Inv Expense Claim | Col ExpenseActualTotal</t>
  </si>
  <si>
    <t>Pretoria North_Tracker.xlsx | Table row 151 | Travel | Inv Expense Claim | Col ExpenseActualTotal</t>
  </si>
  <si>
    <t>Pretoria North_Tracker.xlsx | Table row 152 | Travel | Inv Expense Claim | Col ExpenseActualTotal</t>
  </si>
  <si>
    <t>Pretoria North_Tracker.xlsx | Table row 153 | Travel | Inv Expense Claim | Col ExpenseActualTotal</t>
  </si>
  <si>
    <t>Pretoria North_Tracker.xlsx | Table row 154 | Travel | Inv Expense Claim | Col ExpenseActualTotal</t>
  </si>
  <si>
    <t>Pretoria North_Tracker.xlsx | Table row 155 |  | Inv  | Col ExpenseActualTotal</t>
  </si>
  <si>
    <t>Pretoria North_Tracker.xlsx | Table row 158 | Welcome Bonus - Site Establishment | Inv Luxanio Trading - 23403/202506/274900/I | Col ExpenseActualTotal</t>
  </si>
  <si>
    <t>Luxanio Trading - 23403/202506/274900/I</t>
  </si>
  <si>
    <t>Pretoria North_Tracker.xlsx | Table row 159 | Welcome Bonus - Commissioning | Inv Luxanio Trading - 23403/202506/274900/I | Col ExpenseActualTotal</t>
  </si>
  <si>
    <t>Pretoria North_Tracker.xlsx | Table row 162 | Scaffolding - Cosmic Sun - VO | Inv Cosmic Sun - CS_PTN_010 | Col ExpenseActualTotal</t>
  </si>
  <si>
    <t>Scaffolding - Cosmic Sun - VO</t>
  </si>
  <si>
    <t>PO4352-DIP-Ph2-Shoprite-20251006 - RV Approved</t>
  </si>
  <si>
    <t>Cosmic Sun - CS_PTN_010</t>
  </si>
  <si>
    <t>Pretoria North_Tracker.xlsx | Table row 163 | Client Electrician Labour - VO | Inv Ecom Electrical INV2892 | Col ExpenseActualTotal</t>
  </si>
  <si>
    <t>Client Electrician Labour - VO</t>
  </si>
  <si>
    <t>PO4501-DIP-Ph2-Shoprite-20251127 - RV Approved</t>
  </si>
  <si>
    <t>Ecom Electrical INV2892</t>
  </si>
  <si>
    <t>Randfontein_Tracker.xlsx | Table row 6 | Jinko 620W - Menlo | Inv Menlo INV0003029 | Col ExpenseActualTotal</t>
  </si>
  <si>
    <t>PO3905-DIP-PH2-RANDF-20250514</t>
  </si>
  <si>
    <t>Menlo INV0003029</t>
  </si>
  <si>
    <t>Randfontein_Tracker.xlsx | Table row 7 |  | Inv Menlo INV0003029 | Col ExpenseActualTotal</t>
  </si>
  <si>
    <t>Randfontein_Tracker.xlsx | Table row 9 |  | Inv Menlo - INV0003274 | Col ExpenseActualTotal</t>
  </si>
  <si>
    <t>Menlo - INV0003274</t>
  </si>
  <si>
    <t>Randfontein_Tracker.xlsx | Table row 10 | Jinko 620W - Menlo - VO | Inv MSA Energy INV0003445 | Col ExpenseActualTotal</t>
  </si>
  <si>
    <t>Jinko 620W - Menlo - VO</t>
  </si>
  <si>
    <t>MSA Energy INV0003445</t>
  </si>
  <si>
    <t>Randfontein_Tracker.xlsx | Table row 11 | Transport | Inv MSA Energy INV0003445 | Col ExpenseActualTotal</t>
  </si>
  <si>
    <t>Randfontein_Tracker.xlsx | Table row 13 | Huawei 100KTL - Menlo | Inv Menlo INV0003029 | Col ExpenseActualTotal</t>
  </si>
  <si>
    <t>Randfontein_Tracker.xlsx | Table row 21 | Schletter Structure | Inv Schletter - INV1846 | Col ExpenseActualTotal</t>
  </si>
  <si>
    <t>PO3945-DRS-20250521 - RV Approved</t>
  </si>
  <si>
    <t>Schletter - INV1846</t>
  </si>
  <si>
    <t>Randfontein_Tracker.xlsx | Table row 22 | End Clamps Top Up - Schletter | Inv Schletter - INV002603 | Col ExpenseActualTotal</t>
  </si>
  <si>
    <t>End Clamps Top Up - Schletter</t>
  </si>
  <si>
    <t>PO4595-DRS-20260202 - RV Approved</t>
  </si>
  <si>
    <t>Schletter - INV002603</t>
  </si>
  <si>
    <t>Randfontein_Tracker.xlsx | Table row 28 | DC Cable - menlo | Inv Menlo INV0003016 | Col ExpenseActualTotal</t>
  </si>
  <si>
    <t>DC Cable - menlo</t>
  </si>
  <si>
    <t>Menlo INV0003016</t>
  </si>
  <si>
    <t>Randfontein_Tracker.xlsx | Table row 30 | Aditional DC Cable - Rubicon - VO | Inv Rubicon - INVCRED-0137907 | Col ExpenseActualTotal</t>
  </si>
  <si>
    <t>Aditional DC Cable - Rubicon - VO</t>
  </si>
  <si>
    <t>PO4572-DRS-20260123 - RV Approved</t>
  </si>
  <si>
    <t>Rubicon - INVCRED-0137907</t>
  </si>
  <si>
    <t>Randfontein_Tracker.xlsx | Table row 31 | Delivery Extra DC - Rubicon - VO | Inv Rubicon - INVCRED-0137907 | Col ExpenseActualTotal</t>
  </si>
  <si>
    <t>Delivery Extra DC - Rubicon - VO</t>
  </si>
  <si>
    <t>Randfontein_Tracker.xlsx | Table row 32 | Project Kick Off | Inv Thula Moya Inv: IN04721 | Col ExpenseActualTotal</t>
  </si>
  <si>
    <t>PO3878-DRS-20250513 - RV Approved</t>
  </si>
  <si>
    <t>Thula Moya Inv: IN04721</t>
  </si>
  <si>
    <t>Randfontein_Tracker.xlsx | Table row 33 | Site Establishment | Inv Thula Moya Inv: IN04721 | Col ExpenseActualTotal</t>
  </si>
  <si>
    <t>Randfontein_Tracker.xlsx | Table row 34 | AC Installation Complete | Inv Thula Moya IN04801 | Col ExpenseActualTotal</t>
  </si>
  <si>
    <t>Thula Moya IN04801</t>
  </si>
  <si>
    <t>Randfontein_Tracker.xlsx | Table row 35 | DC Installation Complete | Inv Thula Moya IN04775 | Col ExpenseActualTotal</t>
  </si>
  <si>
    <t>Thula Moya IN04775</t>
  </si>
  <si>
    <t>Randfontein_Tracker.xlsx | Table row 36 | DC Installation Complete | Inv Thula Moya IN04841 | Col ExpenseActualTotal</t>
  </si>
  <si>
    <t>Thula Moya IN04841</t>
  </si>
  <si>
    <t>Randfontein_Tracker.xlsx | Table row 37 | Commissioning Complete | Inv Thula Moya IN04842 | Col ExpenseActualTotal</t>
  </si>
  <si>
    <t>Thula Moya IN04842</t>
  </si>
  <si>
    <t>Randfontein_Tracker.xlsx | Table row 38 | Site De-establisment | Inv Thula Moya IN04843 | Col ExpenseActualTotal</t>
  </si>
  <si>
    <t>Thula Moya IN04843</t>
  </si>
  <si>
    <t>Randfontein_Tracker.xlsx | Table row 39 | Handover Document Complete | Inv Thula Moya IN04844 | Col ExpenseActualTotal</t>
  </si>
  <si>
    <t>Thula Moya IN04844</t>
  </si>
  <si>
    <t>Randfontein_Tracker.xlsx | Table row 40 | End of Defects Period | Inv Thula Moya IN04845 | Col ExpenseActualTotal</t>
  </si>
  <si>
    <t>Thula Moya IN04845</t>
  </si>
  <si>
    <t>Randfontein_Tracker.xlsx | Table row 45 | Smartlogger - Menlo | Inv Menlo INV0002934 | Col ExpenseActualTotal</t>
  </si>
  <si>
    <t>Menlo INV0002934</t>
  </si>
  <si>
    <t>Randfontein_Tracker.xlsx | Table row 46 | CTs &amp; Meters | Inv Accuenergy Inv: ASAI005362 | Col ExpenseActualTotal</t>
  </si>
  <si>
    <t>PO3836-DIP-Ph2-Rand-20250429 - RV Approved</t>
  </si>
  <si>
    <t>Accuenergy Inv: ASAI005362</t>
  </si>
  <si>
    <t>Randfontein_Tracker.xlsx | Table row 47 |  | Inv Accuenergy - Inv ASAI-005800 | Col ExpenseActualTotal</t>
  </si>
  <si>
    <t>Randfontein_Tracker.xlsx | Table row 48 | Techsitter | Inv Matriarch Inv: 4451 | Col ExpenseActualTotal</t>
  </si>
  <si>
    <t>Randfontein_Tracker.xlsx | Table row 49 | UPS | Inv Frontline INV725690 | Col ExpenseActualTotal</t>
  </si>
  <si>
    <t>Randfontein_Tracker.xlsx | Table row 50 | Grid CTs and Router - AccuEnergy | Inv Accuenergy - ASAI-007333 | Col ExpenseActualTotal</t>
  </si>
  <si>
    <t>Grid CTs and Router - AccuEnergy</t>
  </si>
  <si>
    <t>PO4603-DRS-20260204 - RV Approved</t>
  </si>
  <si>
    <t>Accuenergy - ASAI-007333</t>
  </si>
  <si>
    <t>Randfontein_Tracker.xlsx | Table row 55 | PVDB | Inv Switchboard Inv 2-SOI002095 | Col ExpenseActualTotal</t>
  </si>
  <si>
    <t>PO3882-DIP-Ph2-Rand-20250513 - RV Approved</t>
  </si>
  <si>
    <t>Switchboard Inv 2-SOI002095</t>
  </si>
  <si>
    <t>Randfontein_Tracker.xlsx | Table row 60 | Project Kick Off | Inv Thula Moya Inv: IN04721 | Col ExpenseActualTotal</t>
  </si>
  <si>
    <t>Randfontein_Tracker.xlsx | Table row 61 | Site Establishment | Inv Thula Moya Inv: IN04721 | Col ExpenseActualTotal</t>
  </si>
  <si>
    <t>Randfontein_Tracker.xlsx | Table row 62 | AC Installation Complete | Inv Thula Moya IN04801 | Col ExpenseActualTotal</t>
  </si>
  <si>
    <t>Randfontein_Tracker.xlsx | Table row 63 | DC Installation Complete | Inv Thula Moya IN04775 | Col ExpenseActualTotal</t>
  </si>
  <si>
    <t>Randfontein_Tracker.xlsx | Table row 64 | DC Installation Complete | Inv Thula Moya IN04841 | Col ExpenseActualTotal</t>
  </si>
  <si>
    <t>Randfontein_Tracker.xlsx | Table row 65 | Commissioning Complete | Inv Thula Moya IN04842 | Col ExpenseActualTotal</t>
  </si>
  <si>
    <t>Randfontein_Tracker.xlsx | Table row 66 | Site De-establisment | Inv Thula Moya IN04843 | Col ExpenseActualTotal</t>
  </si>
  <si>
    <t>Randfontein_Tracker.xlsx | Table row 67 | Handover Document Complete | Inv Thula Moya IN04844 | Col ExpenseActualTotal</t>
  </si>
  <si>
    <t>Randfontein_Tracker.xlsx | Table row 68 | End of Defects Period | Inv Thula Moya IN04845 | Col ExpenseActualTotal</t>
  </si>
  <si>
    <t>Randfontein_Tracker.xlsx | Table row 82 | DC VO - DC Cable and Trunking - ThulaMoya | Inv Thula Moya IN04963 | Col ExpenseActualTotal</t>
  </si>
  <si>
    <t>DC VO - DC Cable and Trunking - ThulaMoya</t>
  </si>
  <si>
    <t>PO4488-DRS-20251124 - RV Approved</t>
  </si>
  <si>
    <t>Thula Moya IN04963</t>
  </si>
  <si>
    <t>Randfontein_Tracker.xlsx | Table row 84 | Site delays - VO | Inv Thula Moya IN04758 | Col ExpenseActualTotal</t>
  </si>
  <si>
    <t>Site delays - VO</t>
  </si>
  <si>
    <t>Thula Moya IN04758</t>
  </si>
  <si>
    <t>Randfontein_Tracker.xlsx | Table row 86 | Waterpoint - Plumbryt - Deposit | Inv Plumbryt Inv 023 | Col ExpenseActualTotal</t>
  </si>
  <si>
    <t>Waterpoint - Plumbryt - Deposit</t>
  </si>
  <si>
    <t>PO4548-DRS-20260108 - RV Apporved</t>
  </si>
  <si>
    <t>Plumbryt Inv 023</t>
  </si>
  <si>
    <t>Randfontein_Tracker.xlsx | Table row 87 | Waterpoint - Plumbryt - Balance | Inv Plumbryt Inv 023 | Col ExpenseActualTotal</t>
  </si>
  <si>
    <t>Waterpoint - Plumbryt - Balance</t>
  </si>
  <si>
    <t>Randfontein_Tracker.xlsx | Table row 89 | 30way DC Combiner Box 30A 1000v - ThulaMoya | Inv Thula Moya - IN05020 | Col ExpenseActualTotal</t>
  </si>
  <si>
    <t>30way DC Combiner Box 30A 1000v - ThulaMoya</t>
  </si>
  <si>
    <t>PO4618-DRS-20260211 - RV Approved</t>
  </si>
  <si>
    <t>Thula Moya - IN05020</t>
  </si>
  <si>
    <t>Randfontein_Tracker.xlsx | Table row 93 | Project Kick Off | Inv Thula Moya Inv: IN04721 | Col ExpenseActualTotal</t>
  </si>
  <si>
    <t>Randfontein_Tracker.xlsx | Table row 94 | Site Establishment | Inv Thula Moya Inv: IN04721 | Col ExpenseActualTotal</t>
  </si>
  <si>
    <t>Randfontein_Tracker.xlsx | Table row 95 | AC Installation Complete | Inv Thula Moya IN04801 | Col ExpenseActualTotal</t>
  </si>
  <si>
    <t>Randfontein_Tracker.xlsx | Table row 96 | DC Installation Complete | Inv Thula Moya IN04775 | Col ExpenseActualTotal</t>
  </si>
  <si>
    <t>Randfontein_Tracker.xlsx | Table row 97 | DC Installation Complete | Inv Thula Moya IN04841 | Col ExpenseActualTotal</t>
  </si>
  <si>
    <t>Randfontein_Tracker.xlsx | Table row 98 | Commissioning Complete | Inv  | Col ExpenseActualTotal</t>
  </si>
  <si>
    <t>Randfontein_Tracker.xlsx | Table row 99 | Site De-establisment | Inv  | Col ExpenseActualTotal</t>
  </si>
  <si>
    <t>Randfontein_Tracker.xlsx | Table row 100 | Handover Document Complete | Inv  | Col ExpenseActualTotal</t>
  </si>
  <si>
    <t>Randfontein_Tracker.xlsx | Table row 101 | End of Defects Period | Inv  | Col ExpenseActualTotal</t>
  </si>
  <si>
    <t>Randfontein_Tracker.xlsx | Table row 108 | Security- June | Inv Jerry &amp; Son iNV 7 | Col ExpenseActualTotal</t>
  </si>
  <si>
    <t>Security- June</t>
  </si>
  <si>
    <t>Jerry &amp; Son iNV 7</t>
  </si>
  <si>
    <t>Randfontein_Tracker.xlsx | Table row 114 | Project Kick Off | Inv Thula Moya Inv: IN04721 | Col ExpenseActualTotal</t>
  </si>
  <si>
    <t>Randfontein_Tracker.xlsx | Table row 115 | Site Establishment | Inv Thula Moya Inv: IN04721 | Col ExpenseActualTotal</t>
  </si>
  <si>
    <t>Randfontein_Tracker.xlsx | Table row 116 | AC Installation Complete | Inv Thula Moya IN04801 | Col ExpenseActualTotal</t>
  </si>
  <si>
    <t>Randfontein_Tracker.xlsx | Table row 117 | DC Installation Complete | Inv Thula Moya IN04775 | Col ExpenseActualTotal</t>
  </si>
  <si>
    <t>Randfontein_Tracker.xlsx | Table row 118 | DC Installation Complete | Inv Thula Moya IN04841 | Col ExpenseActualTotal</t>
  </si>
  <si>
    <t>Randfontein_Tracker.xlsx | Table row 119 | Commissioning Complete | Inv Thula Moya IN04842 | Col ExpenseActualTotal</t>
  </si>
  <si>
    <t>Randfontein_Tracker.xlsx | Table row 120 | Site De-establisment | Inv Thula Moya IN04843 | Col ExpenseActualTotal</t>
  </si>
  <si>
    <t>Randfontein_Tracker.xlsx | Table row 121 | Handover Document Complete | Inv Thula Moya IN04844 | Col ExpenseActualTotal</t>
  </si>
  <si>
    <t>Randfontein_Tracker.xlsx | Table row 122 | End of Defects Period | Inv Thula Moya IN04845 | Col ExpenseActualTotal</t>
  </si>
  <si>
    <t>Randfontein_Tracker.xlsx | Table row 127 | Electrical PrEng sign off | Inv Sunspot E027 | Col ExpenseActualTotal</t>
  </si>
  <si>
    <t>Randfontein_Tracker.xlsx | Table row 128 | Structural Sign Off | Inv L&amp;B Consulting - Invoice 1934 | Col ExpenseActualTotal</t>
  </si>
  <si>
    <t>Randfontein_Tracker.xlsx | Table row 129 | Grid Study | Inv  | Col ExpenseActualTotal</t>
  </si>
  <si>
    <t>Randfontein_Tracker.xlsx | Table row 130 | Lightning Risk Assessment | Inv LPS Inv: IN306837 | Col ExpenseActualTotal</t>
  </si>
  <si>
    <t>Randfontein_Tracker.xlsx | Table row 131 | Red Team Inspection | Inv  | Col ExpenseActualTotal</t>
  </si>
  <si>
    <t>Randfontein_Tracker.xlsx | Table row 136 | Matriarch Defects Period - 1.25% | Inv  | Col ExpenseActualTotal</t>
  </si>
  <si>
    <t>Randfontein_Tracker.xlsx | Table row 137 | Management | Inv  | Col ExpenseActualTotal</t>
  </si>
  <si>
    <t>Randfontein_Tracker.xlsx | Table row 138 | Project manager  | Inv  | Col ExpenseActualTotal</t>
  </si>
  <si>
    <t>Randfontein_Tracker.xlsx | Table row 139 | Planner time | Inv  | Col ExpenseActualTotal</t>
  </si>
  <si>
    <t>Randfontein_Tracker.xlsx | Table row 140 | De Snagging | Inv  | Col ExpenseActualTotal</t>
  </si>
  <si>
    <t>Randfontein_Tracker.xlsx | Table row 143 | Travel | Inv  | Col ExpenseActualTotal</t>
  </si>
  <si>
    <t>Randfontein_Tracker.xlsx | Table row 144 | Travel | Inv Expense Claim | Col ExpenseActualTotal</t>
  </si>
  <si>
    <t>Randfontein_Tracker.xlsx | Table row 145 | Travel | Inv Expense Claim | Col ExpenseActualTotal</t>
  </si>
  <si>
    <t>Randfontein_Tracker.xlsx | Table row 146 | Travel | Inv Expense Claim | Col ExpenseActualTotal</t>
  </si>
  <si>
    <t>Randfontein_Tracker.xlsx | Table row 147 | Travel | Inv Expense Claim | Col ExpenseActualTotal</t>
  </si>
  <si>
    <t>Randfontein_Tracker.xlsx | Table row 148 | Travel | Inv Expense Claim | Col ExpenseActualTotal</t>
  </si>
  <si>
    <t>Randfontein_Tracker.xlsx | Table row 149 | Travel | Inv Expense Claim | Col ExpenseActualTotal</t>
  </si>
  <si>
    <t>Randfontein_Tracker.xlsx | Table row 150 | Travel | Inv Expense Claim | Col ExpenseActualTotal</t>
  </si>
  <si>
    <t>Randfontein_Tracker.xlsx | Table row 151 | Travel | Inv Expense Claim | Col ExpenseActualTotal</t>
  </si>
  <si>
    <t>Randfontein_Tracker.xlsx | Table row 152 | Travel | Inv Expense Claim | Col ExpenseActualTotal</t>
  </si>
  <si>
    <t>Randfontein_Tracker.xlsx | Table row 153 | Travel | Inv  | Col ExpenseActualTotal</t>
  </si>
  <si>
    <t>Randfontein_Tracker.xlsx | Table row 154 | Travel | Inv  | Col ExpenseActualTotal</t>
  </si>
  <si>
    <t>Randfontein_Tracker.xlsx | Table row 157 | Welcome Bonus - Site establishment | Inv Luxanio Trading - 23402/202506/274899/I | Col ExpenseActualTotal</t>
  </si>
  <si>
    <t>Luxanio Trading - 23402/202506/274899/I</t>
  </si>
  <si>
    <t>Randfontein_Tracker.xlsx | Table row 158 | Welcome Bonus - Commissioning | Inv Luxanio Trading - 23402/202506/274899/I | Col ExpenseActualTotal</t>
  </si>
  <si>
    <t>Randfontein_Tracker.xlsx | Table row 160 | Roof Remediation - VO | Inv Thula Moya IN04886 | Col ExpenseActualTotal</t>
  </si>
  <si>
    <t>Roof Remediation - VO</t>
  </si>
  <si>
    <t>Thula Moya IN04886</t>
  </si>
  <si>
    <t>Randfontein_Tracker.xlsx | Table row 161 |  | Inv Thula Moya IN04886 | Col ExpenseActualTotal</t>
  </si>
  <si>
    <t>Randfontein_Tracker.xlsx | Table row 162 |  | Inv Thula Moya IN04886 | Col ExpenseActualTotal</t>
  </si>
  <si>
    <t>Red Rocket_Tracker.xlsx | Table row 6 | JA 615W | Inv Menlo INV0003051 | Col ExpenseActualTotal</t>
  </si>
  <si>
    <t>JA 615W</t>
  </si>
  <si>
    <t>Menlo INV0003051</t>
  </si>
  <si>
    <t>Red Rocket_Tracker.xlsx | Table row 9 | Panels moved to Stock  | Inv Allocated to Cpt Storeroom | Col ExpenseActualTotal</t>
  </si>
  <si>
    <t xml:space="preserve">Panels moved to Stock </t>
  </si>
  <si>
    <t>Red Rocket_Tracker.xlsx | Table row 10 | X4 Broken panels  | Inv Dont add as a credit | Col ExpenseActualTotal</t>
  </si>
  <si>
    <t xml:space="preserve">X4 Broken panels </t>
  </si>
  <si>
    <t>Dont add as a credit</t>
  </si>
  <si>
    <t>Red Rocket_Tracker.xlsx | Table row 14 | Sungrow SG125CX | Inv Herholdts INV1088936 | Col ExpenseActualTotal</t>
  </si>
  <si>
    <t>Sungrow SG125CX</t>
  </si>
  <si>
    <t>PO4037-RR-20250626 - RV Approved</t>
  </si>
  <si>
    <t>Herholdts INV1088936</t>
  </si>
  <si>
    <t>Red Rocket_Tracker.xlsx | Table row 15 | Sungrow SG50CX | Inv Herholdts INV1088936 | Col ExpenseActualTotal</t>
  </si>
  <si>
    <t>Sungrow SG50CX</t>
  </si>
  <si>
    <t>Red Rocket_Tracker.xlsx | Table row 16 | Sungrow SG125CX | Inv Herholdts -INV1165658 | Col ExpenseActualTotal</t>
  </si>
  <si>
    <t>Herholdts -INV1165658</t>
  </si>
  <si>
    <t>Red Rocket_Tracker.xlsx | Table row 17 | Sungrow SG125CX - RMA | Inv Herholdts - CN130769 | Col ExpenseActualTotal</t>
  </si>
  <si>
    <t>Sungrow SG125CX - RMA</t>
  </si>
  <si>
    <t>RMA</t>
  </si>
  <si>
    <t>Herholdts - CN130769</t>
  </si>
  <si>
    <t>Red Rocket_Tracker.xlsx | Table row 18 | courier of RMA | Inv DSV Inv: 180155155 | Col ExpenseActualTotal</t>
  </si>
  <si>
    <t>courier of RMA</t>
  </si>
  <si>
    <t>DSV Inv: 180155155</t>
  </si>
  <si>
    <t>Red Rocket_Tracker.xlsx | Table row 22 | Schletter Structure | Inv Schletter INV1906 | Col ExpenseActualTotal</t>
  </si>
  <si>
    <t>PO4033-RR-20250626 - RV Approved</t>
  </si>
  <si>
    <t>Schletter INV1906</t>
  </si>
  <si>
    <t>Red Rocket_Tracker.xlsx | Table row 23 | Lintels send back to Lintel for Africa | Inv Lintels Credit Note  - CR2256 | Col ExpenseActualTotal</t>
  </si>
  <si>
    <t>Lintels send back to Lintel for Africa</t>
  </si>
  <si>
    <t>Lintels Credit Note  - CR2256</t>
  </si>
  <si>
    <t>Red Rocket_Tracker.xlsx | Table row 24 | Collection of Lintels  | Inv Lintels Credit Note  - CR2256 | Col ExpenseActualTotal</t>
  </si>
  <si>
    <t xml:space="preserve">Collection of Lintels </t>
  </si>
  <si>
    <t>Red Rocket_Tracker.xlsx | Table row 26 | Surface Protection Mats | Inv Allocated to 7th Avenue | Col ExpenseActualTotal</t>
  </si>
  <si>
    <t>To be allocated to 7th Avenue</t>
  </si>
  <si>
    <t>Allocated to 7th Avenue</t>
  </si>
  <si>
    <t>Red Rocket_Tracker.xlsx | Table row 27 | Lintels | Inv Lintels - 232597 | Col ExpenseActualTotal</t>
  </si>
  <si>
    <t>PO4164-RR-20250725 - RV Approved</t>
  </si>
  <si>
    <t>Lintels - 232597</t>
  </si>
  <si>
    <t>Red Rocket_Tracker.xlsx | Table row 28 | Rail Length | Inv Schletter INV1976 | Col ExpenseActualTotal</t>
  </si>
  <si>
    <t>Rail Length</t>
  </si>
  <si>
    <t>Schletter INV1976</t>
  </si>
  <si>
    <t>Red Rocket_Tracker.xlsx | Table row 29 | End Clamps | Inv Solarworld - Inv SASIV-25-00568 | Col ExpenseActualTotal</t>
  </si>
  <si>
    <t>PO4360-RR-20251009 - RV Approved</t>
  </si>
  <si>
    <t>Solarworld - Inv SASIV-25-00568</t>
  </si>
  <si>
    <t>Red Rocket_Tracker.xlsx | Table row 30 | Delivery of Clamps | Inv Uber Deilvery | Col ExpenseActualTotal</t>
  </si>
  <si>
    <t>Delivery of Clamps</t>
  </si>
  <si>
    <t>Uber Deilvery</t>
  </si>
  <si>
    <t>Red Rocket_Tracker.xlsx | Table row 32 | DC Cable | Inv Rubicon INVWCRE-00069640 | Col ExpenseActualTotal</t>
  </si>
  <si>
    <t>PO4126-RR-20250716 - RV Approved</t>
  </si>
  <si>
    <t>Rubicon INVWCRE-00069640</t>
  </si>
  <si>
    <t>Red Rocket_Tracker.xlsx | Table row 33 | Move to Stock | Inv Allocated to Stock | Col ExpenseActualTotal</t>
  </si>
  <si>
    <t>Move to Stock</t>
  </si>
  <si>
    <t>Allocated to Stock</t>
  </si>
  <si>
    <t>Red Rocket_Tracker.xlsx | Table row 34 | DC Cable - black | Inv Allocated to Stock | Col ExpenseActualTotal</t>
  </si>
  <si>
    <t>DC Cable - black</t>
  </si>
  <si>
    <t>Red Rocket_Tracker.xlsx | Table row 35 | DC Cable - Red | Inv Allocated to Stock | Col ExpenseActualTotal</t>
  </si>
  <si>
    <t>DC Cable - Red</t>
  </si>
  <si>
    <t>Red Rocket_Tracker.xlsx | Table row 37 | Project Kick Off | Inv JA Electrical Inv 1083 | Col ExpenseActualTotal</t>
  </si>
  <si>
    <t>JA Electrical Inv 1083</t>
  </si>
  <si>
    <t>Red Rocket_Tracker.xlsx | Table row 38 | Site Establishment | Inv JA Electrical Inv 1083 | Col ExpenseActualTotal</t>
  </si>
  <si>
    <t>Red Rocket_Tracker.xlsx | Table row 39 | AC Installation Complete | Inv JA Electrical Inv 1083 | Col ExpenseActualTotal</t>
  </si>
  <si>
    <t>Red Rocket_Tracker.xlsx | Table row 40 | DC Installation Complete | Inv JA Electrical Inv 1083 | Col ExpenseActualTotal</t>
  </si>
  <si>
    <t>Red Rocket_Tracker.xlsx | Table row 41 | Commissioning Complete | Inv JA Electrical Inv 1083 | Col ExpenseActualTotal</t>
  </si>
  <si>
    <t>Red Rocket_Tracker.xlsx | Table row 42 | Site De-establisment | Inv JA Electrical Inv 1083 | Col ExpenseActualTotal</t>
  </si>
  <si>
    <t>Red Rocket_Tracker.xlsx | Table row 43 | Handover Document Complete | Inv JA Electrical Inv 1083 | Col ExpenseActualTotal</t>
  </si>
  <si>
    <t>Red Rocket_Tracker.xlsx | Table row 44 | End of Defects Period | Inv JA Electrical Inv 1083 | Col ExpenseActualTotal</t>
  </si>
  <si>
    <t>Red Rocket_Tracker.xlsx | Table row 50 | CTs &amp; Meters | Inv AccuEnergy ASAI-005841 | Col ExpenseActualTotal</t>
  </si>
  <si>
    <t>PO4062-RR-20250630 - RV Approved</t>
  </si>
  <si>
    <t>AccuEnergy ASAI-005841</t>
  </si>
  <si>
    <t>Red Rocket_Tracker.xlsx | Table row 51 | AcuRev 1313 RCT-XO - Return to stock | Inv Allocated to Cpt Stockroom | Col ExpenseActualTotal</t>
  </si>
  <si>
    <t>AcuRev 1313 RCT-XO - Return to stock</t>
  </si>
  <si>
    <t>Allocated to Cpt Stockroom</t>
  </si>
  <si>
    <t>Red Rocket_Tracker.xlsx | Table row 52 | AcuCT3147-1000:5 - Return to stock | Inv Allocated to Cpt Stockroom | Col ExpenseActualTotal</t>
  </si>
  <si>
    <t>AcuCT3147-1000:5 - Return to stock</t>
  </si>
  <si>
    <t>Red Rocket_Tracker.xlsx | Table row 53 | AcuCT3147-1000:5 - Return to stock | Inv Allocated to Cpt Stockroom | Col ExpenseActualTotal</t>
  </si>
  <si>
    <t>Red Rocket_Tracker.xlsx | Table row 54 | Techsitter - (Which Tie In) | Inv Matriarch - INV-4742 | Col ExpenseActualTotal</t>
  </si>
  <si>
    <t>Techsitter - (Which Tie In)</t>
  </si>
  <si>
    <t>Red Rocket_Tracker.xlsx | Table row 55 | Techsitter - (Which Tie In) | Inv Matriarch - INV-5207 | Col ExpenseActualTotal</t>
  </si>
  <si>
    <t>Red Rocket_Tracker.xlsx | Table row 56 | Delivery of Techsitter | Inv DSV Inv: 180150385 | Col ExpenseActualTotal</t>
  </si>
  <si>
    <t>Red Rocket_Tracker.xlsx | Table row 57 | UPS | Inv Frontline QTE107315 | Col ExpenseActualTotal</t>
  </si>
  <si>
    <t>PO4071-RR-20250630 - RV Approved</t>
  </si>
  <si>
    <t>Frontline QTE107315</t>
  </si>
  <si>
    <t>Red Rocket_Tracker.xlsx | Table row 58 | Higeco | Inv  | Col ExpenseActualTotal</t>
  </si>
  <si>
    <t>Higeco</t>
  </si>
  <si>
    <t>Red Rocket_Tracker.xlsx | Table row 59 | CT equipement as below | Inv AccuEnergy ASAI-006148 | Col ExpenseActualTotal</t>
  </si>
  <si>
    <t>CT equipement as below</t>
  </si>
  <si>
    <t>PO4219-RR-20250813 - RV Approved</t>
  </si>
  <si>
    <t>AccuEnergy ASAI-006148</t>
  </si>
  <si>
    <t>Red Rocket_Tracker.xlsx | Table row 64 | Switch and PSU | Inv Accuenergy - ASAI-006183 | Col ExpenseActualTotal</t>
  </si>
  <si>
    <t>Switch and PSU</t>
  </si>
  <si>
    <t>PO4226-RR-20250818 - RV Approved</t>
  </si>
  <si>
    <t>Accuenergy - ASAI-006183</t>
  </si>
  <si>
    <t>Red Rocket_Tracker.xlsx | Table row 65 | Switch and PSU | Inv Accuenergy - CN-00227 | Col ExpenseActualTotal</t>
  </si>
  <si>
    <t>Accuenergy - CN-00227</t>
  </si>
  <si>
    <t>Red Rocket_Tracker.xlsx | Table row 66 | Delivery | Inv Accuenergy - ASAI-006213 | Col ExpenseActualTotal</t>
  </si>
  <si>
    <t>Accuenergy - ASAI-006213</t>
  </si>
  <si>
    <t>Red Rocket_Tracker.xlsx | Table row 67 | Sungrow COM100 | Inv Herholdts - INV1120131 | Col ExpenseActualTotal</t>
  </si>
  <si>
    <t>Sungrow COM100</t>
  </si>
  <si>
    <t>PO4221-RR-20250813 - RV Approved</t>
  </si>
  <si>
    <t>Herholdts - INV1120131</t>
  </si>
  <si>
    <t>Red Rocket_Tracker.xlsx | Table row 68 | Sungrow DTSD1352 | Inv Herholdts - INV1120131 | Col ExpenseActualTotal</t>
  </si>
  <si>
    <t>Sungrow DTSD1352</t>
  </si>
  <si>
    <t>Red Rocket_Tracker.xlsx | Table row 71 | Irradiance sensors | Inv IBC Solar - ZA42502457 | Col ExpenseActualTotal</t>
  </si>
  <si>
    <t>Irradiance sensors</t>
  </si>
  <si>
    <t>RV Approved</t>
  </si>
  <si>
    <t>IBC Solar - ZA42502457</t>
  </si>
  <si>
    <t>Red Rocket_Tracker.xlsx | Table row 73 | Optic Fiber | Inv WM Cabling - INV0001211 | Col ExpenseActualTotal</t>
  </si>
  <si>
    <t>Optic Fiber</t>
  </si>
  <si>
    <t>PO4359-RR-20251007 - RV Approved</t>
  </si>
  <si>
    <t>WM Cabling - INV0001211</t>
  </si>
  <si>
    <t>Red Rocket_Tracker.xlsx | Table row 74 |  | Inv WM Cabling - INV0001211 | Col ExpenseActualTotal</t>
  </si>
  <si>
    <t>Red Rocket_Tracker.xlsx | Table row 76 | 8 Port Switch | Inv Accuenergy: ASAI-006611 | Col ExpenseActualTotal</t>
  </si>
  <si>
    <t>8 Port Switch</t>
  </si>
  <si>
    <t>PO4360-RR-20251014 - RV Approved</t>
  </si>
  <si>
    <t>Accuenergy: ASAI-006611</t>
  </si>
  <si>
    <t>Red Rocket_Tracker.xlsx | Table row 77 | 8 Port Switch | Inv Allocated to riverside Mall | Col ExpenseActualTotal</t>
  </si>
  <si>
    <t>Allocated to riverside Mall</t>
  </si>
  <si>
    <t>Red Rocket_Tracker.xlsx | Table row 78 | Second Tie In UPS | Inv Frontline INV746387 | Col ExpenseActualTotal</t>
  </si>
  <si>
    <t>Second Tie In UPS</t>
  </si>
  <si>
    <t>PO4367-RR-20251014 - RV Approved</t>
  </si>
  <si>
    <t>Frontline INV746387</t>
  </si>
  <si>
    <t>Red Rocket_Tracker.xlsx | Table row 87 | QC4 Connectors | Inv Menlo Inv: INV0003305 + INV0003343 | Col ExpenseActualTotal</t>
  </si>
  <si>
    <t>QC4 Connectors</t>
  </si>
  <si>
    <t>Menlo Inv: INV0003305 + INV0003343</t>
  </si>
  <si>
    <t>Red Rocket_Tracker.xlsx | Table row 92 | Project Kick Off | Inv JA Electrical Inv 1083 | Col ExpenseActualTotal</t>
  </si>
  <si>
    <t>Red Rocket_Tracker.xlsx | Table row 93 | Site Establishment | Inv JA Electrical Inv 1083 | Col ExpenseActualTotal</t>
  </si>
  <si>
    <t>Red Rocket_Tracker.xlsx | Table row 94 | AC Installation Complete | Inv JA Electrical Inv 1083 | Col ExpenseActualTotal</t>
  </si>
  <si>
    <t>Red Rocket_Tracker.xlsx | Table row 95 | DC Installation Complete | Inv JA Electrical Inv 1083 | Col ExpenseActualTotal</t>
  </si>
  <si>
    <t>Red Rocket_Tracker.xlsx | Table row 96 | Commissioning Complete | Inv JA Electrical Inv 1083 | Col ExpenseActualTotal</t>
  </si>
  <si>
    <t>Red Rocket_Tracker.xlsx | Table row 97 | Site De-establisment | Inv JA Electrical Inv 1083 | Col ExpenseActualTotal</t>
  </si>
  <si>
    <t>Red Rocket_Tracker.xlsx | Table row 98 | Handover Document Complete | Inv JA Electrical Inv 1083 | Col ExpenseActualTotal</t>
  </si>
  <si>
    <t>Red Rocket_Tracker.xlsx | Table row 99 | End of Defects Period | Inv JA Electrical Inv 1083 | Col ExpenseActualTotal</t>
  </si>
  <si>
    <t>Red Rocket_Tracker.xlsx | Table row 104 | BESS Outdoor Cabinet  - 229KWh BESS, 110KW,PCS, 200CS, LC200 Local controller | Inv Herholdts - INV1111916 | Col ExpenseActualTotal</t>
  </si>
  <si>
    <t>BESS Outdoor Cabinet  - 229KWh BESS, 110KW,PCS, 200CS, LC200 Local controller</t>
  </si>
  <si>
    <t>PO4009-RR-20250618 - RV Approved</t>
  </si>
  <si>
    <t>Herholdts - INV1111916</t>
  </si>
  <si>
    <t>Red Rocket_Tracker.xlsx | Table row 105 | ATS Cabinet - EMS300 CP, 250KVA Isolation Transformer | Inv Herholdts - INV1111916 | Col ExpenseActualTotal</t>
  </si>
  <si>
    <t>ATS Cabinet - EMS300 CP, 250KVA Isolation Transformer</t>
  </si>
  <si>
    <t>Red Rocket_Tracker.xlsx | Table row 107 | Civil Works - Deposit | Inv Ask Fritz 2508_014 | Col ExpenseActualTotal</t>
  </si>
  <si>
    <t>Civil Works - Deposit</t>
  </si>
  <si>
    <t>PO2917-RR-20250819 - RV Approved</t>
  </si>
  <si>
    <t>Ask Fritz 2508_014</t>
  </si>
  <si>
    <t>Red Rocket_Tracker.xlsx | Table row 108 | Civil Works - Balance | Inv Ask Fritz 2508_014 | Col ExpenseActualTotal</t>
  </si>
  <si>
    <t>Civil Works - Balance</t>
  </si>
  <si>
    <t>Red Rocket_Tracker.xlsx | Table row 109 |  | Inv Ask Fritz 2508_014 | Col ExpenseActualTotal</t>
  </si>
  <si>
    <t>Red Rocket_Tracker.xlsx | Table row 113 | Additional Ventilation - V&amp;A - VO | Inv LW Refrigeration - 32296 | Col ExpenseActualTotal</t>
  </si>
  <si>
    <t>Additional Ventilation - V&amp;A - VO</t>
  </si>
  <si>
    <t>PO4461-RR-20251111 - RV Approved</t>
  </si>
  <si>
    <t>LW Refrigeration - 32296</t>
  </si>
  <si>
    <t>Red Rocket_Tracker.xlsx | Table row 116 | Inverter Room Upgrades | Inv  | Col ExpenseActualTotal</t>
  </si>
  <si>
    <t>Inverter Room Upgrades</t>
  </si>
  <si>
    <t>Red Rocket_Tracker.xlsx | Table row 117 | ABB XT3N 250A TP MCCB | Inv Switchboard - 2-SOI002560 | Col ExpenseActualTotal</t>
  </si>
  <si>
    <t>ABB XT3N 250A TP MCCB</t>
  </si>
  <si>
    <t>Switchboard - 2-SOI002560</t>
  </si>
  <si>
    <t>Red Rocket_Tracker.xlsx | Table row 120 | Top Tie In Fence/Gate - V&amp;A | Inv  | Col ExpenseActualTotal</t>
  </si>
  <si>
    <t>Top Tie In Fence/Gate - V&amp;A</t>
  </si>
  <si>
    <t>PO4459-RR-20251111 - RV Approved</t>
  </si>
  <si>
    <t>Red Rocket_Tracker.xlsx | Table row 121 | Electrical Isolators - Aircon - V&amp;A | Inv W&amp;F Electrical - INV08652 | Col ExpenseActualTotal</t>
  </si>
  <si>
    <t>Electrical Isolators - Aircon - V&amp;A</t>
  </si>
  <si>
    <t>PO4460-RR-20251111 - RV Approved</t>
  </si>
  <si>
    <t>W&amp;F Electrical - INV08652</t>
  </si>
  <si>
    <t>Red Rocket_Tracker.xlsx | Table row 124 | Additional material for plinth size increase - VO | Inv Ask Fritz - 2510_015 | Col ExpenseActualTotal</t>
  </si>
  <si>
    <t>Additional material for plinth size increase - VO</t>
  </si>
  <si>
    <t>Ask Fritz - 2510_015</t>
  </si>
  <si>
    <t>Red Rocket_Tracker.xlsx | Table row 130 | Offloading | Inv Matthews Group MG INV-1513 | Col ExpenseActualTotal</t>
  </si>
  <si>
    <t>Matthews Group MG INV-1513</t>
  </si>
  <si>
    <t>Red Rocket_Tracker.xlsx | Table row 131 | Offloading | Inv Happy Solar INV-0322 | Col ExpenseActualTotal</t>
  </si>
  <si>
    <t>PO4035-RR-20250626 - RV Approved</t>
  </si>
  <si>
    <t>Happy Solar INV-0322</t>
  </si>
  <si>
    <t>Red Rocket_Tracker.xlsx | Table row 132 | Crane Hire | Inv Supply Chain Optimiser: SCO05200 | Col ExpenseActualTotal</t>
  </si>
  <si>
    <t>PO4185-RR-20250730 - RV Approved</t>
  </si>
  <si>
    <t>Supply Chain Optimiser: SCO05200</t>
  </si>
  <si>
    <t>Red Rocket_Tracker.xlsx | Table row 133 | Offloading | Inv HappySolar - INV-0330 | Col ExpenseActualTotal</t>
  </si>
  <si>
    <t>HappySolar - INV-0330</t>
  </si>
  <si>
    <t>Red Rocket_Tracker.xlsx | Table row 134 | Replacement of Gas Extinguishing System | Inv  | Col ExpenseActualTotal</t>
  </si>
  <si>
    <t>Replacement of Gas Extinguishing System</t>
  </si>
  <si>
    <t>Red Rocket_Tracker.xlsx | Table row 135 | Replacement of Gas Extinguishing System - V&amp;A | Inv  | Col ExpenseActualTotal</t>
  </si>
  <si>
    <t>Replacement of Gas Extinguishing System - V&amp;A</t>
  </si>
  <si>
    <t>PO4463-RR-20251111 - RV Approved</t>
  </si>
  <si>
    <t>Red Rocket_Tracker.xlsx | Table row 138 | Project Kick Off | Inv JA Electrical Inv 1083 | Col ExpenseActualTotal</t>
  </si>
  <si>
    <t>Red Rocket_Tracker.xlsx | Table row 139 | Site Establishment | Inv JA Electrical Inv 1083 | Col ExpenseActualTotal</t>
  </si>
  <si>
    <t>Red Rocket_Tracker.xlsx | Table row 140 | AC Installation Complete | Inv JA Electrical Inv 1083 | Col ExpenseActualTotal</t>
  </si>
  <si>
    <t>Red Rocket_Tracker.xlsx | Table row 141 | DC Installation Complete | Inv JA Electrical Inv 1083 | Col ExpenseActualTotal</t>
  </si>
  <si>
    <t>Red Rocket_Tracker.xlsx | Table row 142 | Commissioning Complete | Inv JA Electrical Inv 1083 | Col ExpenseActualTotal</t>
  </si>
  <si>
    <t>Red Rocket_Tracker.xlsx | Table row 143 | Site De-establisment | Inv JA Electrical Inv 1083 | Col ExpenseActualTotal</t>
  </si>
  <si>
    <t>Red Rocket_Tracker.xlsx | Table row 144 | Handover Document Complete | Inv JA Electrical Inv 1083 | Col ExpenseActualTotal</t>
  </si>
  <si>
    <t>Red Rocket_Tracker.xlsx | Table row 145 | End of Defects Period | Inv JA Electrical Inv 1083 | Col ExpenseActualTotal</t>
  </si>
  <si>
    <t>Red Rocket_Tracker.xlsx | Table row 147 | Reduced system Size | Inv  | Col ExpenseActualTotal</t>
  </si>
  <si>
    <t>Reduced system Size</t>
  </si>
  <si>
    <t>Red Rocket_Tracker.xlsx | Table row 151 | Container rental | Inv Container World PFC02316 | Col ExpenseActualTotal</t>
  </si>
  <si>
    <t>Container rental</t>
  </si>
  <si>
    <t>Container World PFC02316</t>
  </si>
  <si>
    <t>Red Rocket_Tracker.xlsx | Table row 152 |  | Inv Container World - C581575 | Col ExpenseActualTotal</t>
  </si>
  <si>
    <t>Container World - C581575</t>
  </si>
  <si>
    <t>Red Rocket_Tracker.xlsx | Table row 153 |  | Inv Container World - CM19729 | Col ExpenseActualTotal</t>
  </si>
  <si>
    <t>Container World - CM19729</t>
  </si>
  <si>
    <t>Red Rocket_Tracker.xlsx | Table row 154 | Container Rental - August | Inv Container World - C585034 | Col ExpenseActualTotal</t>
  </si>
  <si>
    <t>Container World - C585034</t>
  </si>
  <si>
    <t>Red Rocket_Tracker.xlsx | Table row 155 | Container Rental - September | Inv Container World - C588469 | Col ExpenseActualTotal</t>
  </si>
  <si>
    <t>Container World - C588469</t>
  </si>
  <si>
    <t>Red Rocket_Tracker.xlsx | Table row 156 |  | Inv Container World - C580803 | Col ExpenseActualTotal</t>
  </si>
  <si>
    <t>Container World - C580803</t>
  </si>
  <si>
    <t>Red Rocket_Tracker.xlsx | Table row 157 |  | Inv Container World -C588469 | Col ExpenseActualTotal</t>
  </si>
  <si>
    <t>Container World -C588469</t>
  </si>
  <si>
    <t>Red Rocket_Tracker.xlsx | Table row 158 | Container Rental - October | Inv Container World - C591997 | Col ExpenseActualTotal</t>
  </si>
  <si>
    <t>Container World - C591997</t>
  </si>
  <si>
    <t>Red Rocket_Tracker.xlsx | Table row 159 |  | Inv Container World -CCM13070 | Col ExpenseActualTotal</t>
  </si>
  <si>
    <t>Container World -CCM13070</t>
  </si>
  <si>
    <t>Red Rocket_Tracker.xlsx | Table row 160 |  | Inv Container World -PFC02316 | Col ExpenseActualTotal</t>
  </si>
  <si>
    <t>Container World -PFC02316</t>
  </si>
  <si>
    <t>Red Rocket_Tracker.xlsx | Table row 161 | Container Rental - November | Inv Container World -C595541 | Col ExpenseActualTotal</t>
  </si>
  <si>
    <t>Container World -C595541</t>
  </si>
  <si>
    <t>Red Rocket_Tracker.xlsx | Table row 162 | Container Rental - December | Inv Container World -C599043 | Col ExpenseActualTotal</t>
  </si>
  <si>
    <t>Container World -C599043</t>
  </si>
  <si>
    <t>Red Rocket_Tracker.xlsx | Table row 163 |  | Inv Container World -CC43644 | Col ExpenseActualTotal</t>
  </si>
  <si>
    <t>Container World -CC43644</t>
  </si>
  <si>
    <t>Red Rocket_Tracker.xlsx | Table row 165 |  | Inv JA Electrical Inv 1083 | Col ExpenseActualTotal</t>
  </si>
  <si>
    <t>Red Rocket_Tracker.xlsx | Table row 166 | Site Establishment | Inv JA Electrical Inv 1083 | Col ExpenseActualTotal</t>
  </si>
  <si>
    <t>Red Rocket_Tracker.xlsx | Table row 167 | AC Installation Complete | Inv JA Electrical Inv 1083 | Col ExpenseActualTotal</t>
  </si>
  <si>
    <t>Red Rocket_Tracker.xlsx | Table row 168 | DC Installation Complete | Inv JA Electrical Inv 1083 | Col ExpenseActualTotal</t>
  </si>
  <si>
    <t>Red Rocket_Tracker.xlsx | Table row 169 | Commissioning Complete | Inv JA Electrical Inv 1083 | Col ExpenseActualTotal</t>
  </si>
  <si>
    <t>Red Rocket_Tracker.xlsx | Table row 170 | Site De-establisment | Inv JA Electrical Inv 1083 | Col ExpenseActualTotal</t>
  </si>
  <si>
    <t>Red Rocket_Tracker.xlsx | Table row 171 | Handover Document Complete | Inv JA Electrical Inv 1083 | Col ExpenseActualTotal</t>
  </si>
  <si>
    <t>Red Rocket_Tracker.xlsx | Table row 172 | End of Defects Period | Inv JA Electrical Inv 1083 | Col ExpenseActualTotal</t>
  </si>
  <si>
    <t>Red Rocket_Tracker.xlsx | Table row 177 | Electrical PrEng sign off | Inv SunSpot E030 | Col ExpenseActualTotal</t>
  </si>
  <si>
    <t>SunSpot E030</t>
  </si>
  <si>
    <t>Red Rocket_Tracker.xlsx | Table row 178 | Structural Assessment | Inv L&amp;B Consulting: INV-2036 | Col ExpenseActualTotal</t>
  </si>
  <si>
    <t>L&amp;B Consulting: INV-2036</t>
  </si>
  <si>
    <t>Red Rocket_Tracker.xlsx | Table row 179 |  | Inv L&amp;B Consulting - INV-2087 | Col ExpenseActualTotal</t>
  </si>
  <si>
    <t>L&amp;B Consulting - INV-2087</t>
  </si>
  <si>
    <t>Red Rocket_Tracker.xlsx | Table row 180 | Red Team Inspection | Inv Matriarch - INV-5370 | Col ExpenseActualTotal</t>
  </si>
  <si>
    <t>Red Rocket_Tracker.xlsx | Table row 186 | Matriarch Defects Period - 1.25% | Inv Matriarch - INV-5976 | Col ExpenseActualTotal</t>
  </si>
  <si>
    <t>Matriarch - INV-5976</t>
  </si>
  <si>
    <t>Red Rocket_Tracker.xlsx | Table row 188 | Project manager  | Inv  | Col ExpenseActualTotal</t>
  </si>
  <si>
    <t>Red Rocket_Tracker.xlsx | Table row 189 | Planner time | Inv  | Col ExpenseActualTotal</t>
  </si>
  <si>
    <t>Red Rocket_Tracker.xlsx | Table row 190 | De Snagging | Inv  | Col ExpenseActualTotal</t>
  </si>
  <si>
    <t>Red Rocket_Tracker.xlsx | Table row 193 | Travel | Inv Expense Claim | Col ExpenseActualTotal</t>
  </si>
  <si>
    <t>Red Rocket_Tracker.xlsx | Table row 194 | Travel | Inv Expense Claim | Col ExpenseActualTotal</t>
  </si>
  <si>
    <t>Red Rocket_Tracker.xlsx | Table row 195 | Travel | Inv Expense Claim | Col ExpenseActualTotal</t>
  </si>
  <si>
    <t>Red Rocket_Tracker.xlsx | Table row 196 | Travel | Inv Expense Claim | Col ExpenseActualTotal</t>
  </si>
  <si>
    <t>Red Rocket_Tracker.xlsx | Table row 197 | Travel | Inv Expense Claim | Col ExpenseActualTotal</t>
  </si>
  <si>
    <t>Red Rocket_Tracker.xlsx | Table row 198 | Travel | Inv Expense Claim | Col ExpenseActualTotal</t>
  </si>
  <si>
    <t>Red Rocket_Tracker.xlsx | Table row 199 | Travel | Inv Expense Claim | Col ExpenseActualTotal</t>
  </si>
  <si>
    <t>Red Rocket_Tracker.xlsx | Table row 200 | Travel | Inv Expense Claim | Col ExpenseActualTotal</t>
  </si>
  <si>
    <t>Red Rocket_Tracker.xlsx | Table row 201 |  | Inv  | Col ExpenseActualTotal</t>
  </si>
  <si>
    <t>JA Electrical - Additional scope and EE changes - VO</t>
  </si>
  <si>
    <t>PO4513-RR-20251202 - RV Approved</t>
  </si>
  <si>
    <t>Red Rocket_Tracker.xlsx | Table row 207 | Domestic Transport | Inv ABL Transport Invoice 0205 | Col ExpenseActualTotal</t>
  </si>
  <si>
    <t>Domestic Transport</t>
  </si>
  <si>
    <t>PO4437-GEN-20251103 - RV Approved</t>
  </si>
  <si>
    <t>ABL Transport Invoice 0205</t>
  </si>
  <si>
    <t>Red Rocket_Tracker.xlsx | Table row 208 | Courier of Sonel Meter for Testing | Inv DSV Inv: 180153158 | Col ExpenseActualTotal</t>
  </si>
  <si>
    <t>Courier of Sonel Meter for Testing</t>
  </si>
  <si>
    <t>Red Rocket_Tracker.xlsx | Table row 209 | Transport Modules to stock | Inv ABL Transport Inv 0215 | Col ExpenseActualTotal</t>
  </si>
  <si>
    <t>Transport Modules to stock</t>
  </si>
  <si>
    <t>ABL Transport Inv 0215</t>
  </si>
  <si>
    <t>Red Rocket_Tracker.xlsx | Table row 210 | Additional trip for excess stock - VO | Inv ABL Transport Inv 0220 | Col ExpenseActualTotal</t>
  </si>
  <si>
    <t>Additional trip for excess stock - VO</t>
  </si>
  <si>
    <t>ABL Transport Inv 0220</t>
  </si>
  <si>
    <t>Red Rocket_Tracker.xlsx | Table row 211 | Installation of SPD | Inv Happysolar Inv: 0344 | Col ExpenseActualTotal</t>
  </si>
  <si>
    <t>Installation of SPD</t>
  </si>
  <si>
    <t>PO4492-20251126 - RV Apporoved</t>
  </si>
  <si>
    <t>Happysolar Inv: 0344</t>
  </si>
  <si>
    <t>Red Rocket_Tracker.xlsx | Table row 212 | Additional Meters | Inv Craigcor  - PI141993 | Col ExpenseActualTotal</t>
  </si>
  <si>
    <t>Additional Meters</t>
  </si>
  <si>
    <t>PO4511-RR-20251201 - RV Approved</t>
  </si>
  <si>
    <t>Craigcor  - PI141993</t>
  </si>
  <si>
    <t>Red Rocket_Tracker.xlsx | Table row 213 | Installation of Meter | Inv HappySolar - INV-0351 | Col ExpenseActualTotal</t>
  </si>
  <si>
    <t>Installation of Meter</t>
  </si>
  <si>
    <t>PO4532-RR-20251209 - RV Approved</t>
  </si>
  <si>
    <t>HappySolar - INV-0351</t>
  </si>
  <si>
    <t>Ridgeview Mall_Tracker.xlsx | Table row 6 | Longi 575W | Inv Krannich - Inv 15-10012162 | Col ExpenseActualTotal</t>
  </si>
  <si>
    <t>Longi 575W</t>
  </si>
  <si>
    <t>PO3611-RSV-20210131 - RV Approved</t>
  </si>
  <si>
    <t>Krannich - Inv 15-10012162</t>
  </si>
  <si>
    <t>Ridgeview Mall_Tracker.xlsx | Table row 7 | ChemiTek | Inv Krannich - Inv 15-10012162 | Col ExpenseActualTotal</t>
  </si>
  <si>
    <t>ChemiTek</t>
  </si>
  <si>
    <t>Ridgeview Mall_Tracker.xlsx | Table row 8 | Freight | Inv Krannich - Inv 15-10012162 | Col ExpenseActualTotal</t>
  </si>
  <si>
    <t>Ridgeview Mall_Tracker.xlsx | Table row 9 | 580W Panel | Inv Krannich - Inv 15-10013490 | Col ExpenseActualTotal</t>
  </si>
  <si>
    <t>580W Panel</t>
  </si>
  <si>
    <t>Krannich - Inv 15-10013490</t>
  </si>
  <si>
    <t>Ridgeview Mall_Tracker.xlsx | Table row 13 | Huawei 100KTL | Inv Krannich - Inv 15-10011997 | Col ExpenseActualTotal</t>
  </si>
  <si>
    <t>Krannich - Inv 15-10011997</t>
  </si>
  <si>
    <t>Ridgeview Mall_Tracker.xlsx | Table row 19 | KlipLock - Schletter | Inv Schletter - INV1531 | Col ExpenseActualTotal</t>
  </si>
  <si>
    <t>KlipLock - Schletter</t>
  </si>
  <si>
    <t>PO3719-RSC-20250305 - RV Approved</t>
  </si>
  <si>
    <t>Schletter - INV1531</t>
  </si>
  <si>
    <t>Ridgeview Mall_Tracker.xlsx | Table row 20 | Delivery | Inv Schletter - INV1531 | Col ExpenseActualTotal</t>
  </si>
  <si>
    <t>Ridgeview Mall_Tracker.xlsx | Table row 22 | KlipLock Seam Clamps - JHB Storage | Inv Allocated from Stock | Col ExpenseActualTotal</t>
  </si>
  <si>
    <t>KlipLock Seam Clamps - JHB Storage</t>
  </si>
  <si>
    <t>Ridgeview Mall_Tracker.xlsx | Table row 23 |  | Inv Allocated from Stock | Col ExpenseActualTotal</t>
  </si>
  <si>
    <t>Ridgeview Mall_Tracker.xlsx | Table row 24 | End Clamps - JHB Storage | Inv Allocated from Stock | Col ExpenseActualTotal</t>
  </si>
  <si>
    <t>End Clamps - JHB Storage</t>
  </si>
  <si>
    <t>Ridgeview Mall_Tracker.xlsx | Table row 25 | Mid Clamps - JHB Storage | Inv Allocated from Stock | Col ExpenseActualTotal</t>
  </si>
  <si>
    <t>Mid Clamps - JHB Storage</t>
  </si>
  <si>
    <t>Ridgeview Mall_Tracker.xlsx | Table row 29 | DC Cable | Inv Krannich - Inv 15-10011997 | Col ExpenseActualTotal</t>
  </si>
  <si>
    <t>Ridgeview Mall_Tracker.xlsx | Table row 30 |  | Inv Krannich Inv: 15-10012069 | Col ExpenseActualTotal</t>
  </si>
  <si>
    <t>Krannich Inv: 15-10012069</t>
  </si>
  <si>
    <t>Ridgeview Mall_Tracker.xlsx | Table row 31 | DC Cable - JHB Stock | Inv Allocated from JHB Storeroom | Col ExpenseActualTotal</t>
  </si>
  <si>
    <t>DC Cable - JHB Stock</t>
  </si>
  <si>
    <t>Allocated from JHB Storeroom</t>
  </si>
  <si>
    <t>Ridgeview Mall_Tracker.xlsx | Table row 32 | Deposit | Inv Cosmic Sun - CS_RSC_001 | Col ExpenseActualTotal</t>
  </si>
  <si>
    <t>Deposit</t>
  </si>
  <si>
    <t>PO3717-RSC-20250305 - RV Approved</t>
  </si>
  <si>
    <t>Cosmic Sun - CS_RSC_001</t>
  </si>
  <si>
    <t>Ridgeview Mall_Tracker.xlsx | Table row 33 | All DC and AC Equipment on site | Inv Cosmic Sun - CS_RSC_002 | Col ExpenseActualTotal</t>
  </si>
  <si>
    <t>All DC and AC Equipment on site</t>
  </si>
  <si>
    <t>Cosmic Sun - CS_RSC_002</t>
  </si>
  <si>
    <t>Ridgeview Mall_Tracker.xlsx | Table row 34 | Practical completion | Inv Cosmic Sun - CS_RSC_003 | Col ExpenseActualTotal</t>
  </si>
  <si>
    <t>Practical completion</t>
  </si>
  <si>
    <t>Cosmic Sun - CS_RSC_003</t>
  </si>
  <si>
    <t>Ridgeview Mall_Tracker.xlsx | Table row 35 | Site fully commissioned | Inv Cosmic Sun - CS_RSC_004 | Col ExpenseActualTotal</t>
  </si>
  <si>
    <t>Site fully commissioned</t>
  </si>
  <si>
    <t>Cosmic Sun - CS_RSC_004</t>
  </si>
  <si>
    <t>Ridgeview Mall_Tracker.xlsx | Table row 36 | Retention | Inv Cosmic Sun - CS_RSC_007 | Col ExpenseActualTotal</t>
  </si>
  <si>
    <t>Cosmic Sun - CS_RSC_007</t>
  </si>
  <si>
    <t>Ridgeview Mall_Tracker.xlsx | Table row 42 | CTs, Meters, Router - AccuEnergy | Inv AccuEnergy Inv ASAI-004973 | Col ExpenseActualTotal</t>
  </si>
  <si>
    <t>CTs, Meters, Router - AccuEnergy</t>
  </si>
  <si>
    <t>PO3718-RSC-20250305 - RV Approved</t>
  </si>
  <si>
    <t>AccuEnergy Inv ASAI-004973</t>
  </si>
  <si>
    <t>Ridgeview Mall_Tracker.xlsx | Table row 44 | Smartlogger 3000 | Inv Krannich - Inv 15-10011997 | Col ExpenseActualTotal</t>
  </si>
  <si>
    <t>Ridgeview Mall_Tracker.xlsx | Table row 45 | Revenue Grade Meter | Inv Matriarch - INV-4082 | Col ExpenseActualTotal</t>
  </si>
  <si>
    <t>Matriarch - INV-4082</t>
  </si>
  <si>
    <t>Ridgeview Mall_Tracker.xlsx | Table row 46 | Delivery of Techsitter | Inv DSV Inv: 180122089 | Col ExpenseActualTotal</t>
  </si>
  <si>
    <t>DSV Inv: 180122089</t>
  </si>
  <si>
    <t>Ridgeview Mall_Tracker.xlsx | Table row 49 | Deposit | Inv Cosmic Sun - CS_RSC_001 | Col ExpenseActualTotal</t>
  </si>
  <si>
    <t>Ridgeview Mall_Tracker.xlsx | Table row 50 | All DC and AC Equipment on site | Inv Cosmic Sun - CS_RSC_002 | Col ExpenseActualTotal</t>
  </si>
  <si>
    <t>Ridgeview Mall_Tracker.xlsx | Table row 51 | Practical completion | Inv Cosmic Sun - CS_RSC_003 | Col ExpenseActualTotal</t>
  </si>
  <si>
    <t>Ridgeview Mall_Tracker.xlsx | Table row 52 | Site fully commissioned | Inv Cosmic Sun - CS_RSC_004 | Col ExpenseActualTotal</t>
  </si>
  <si>
    <t>Ridgeview Mall_Tracker.xlsx | Table row 53 | Retention | Inv Cosmic Sun - CS_RSC_007 | Col ExpenseActualTotal</t>
  </si>
  <si>
    <t>Ridgeview Mall_Tracker.xlsx | Table row 54 | 3P Breaker moved to Stock  | Inv Allocated to Jhb Storeroom | Col ExpenseActualTotal</t>
  </si>
  <si>
    <t xml:space="preserve">3P Breaker moved to Stock </t>
  </si>
  <si>
    <t>Allocated to Jhb Storeroom</t>
  </si>
  <si>
    <t>Ridgeview Mall_Tracker.xlsx | Table row 55 | AC Cable for Tie In VO - Cosmic Sun | Inv Cosmic Sun - CS_RSC_005 | Col ExpenseActualTotal</t>
  </si>
  <si>
    <t>AC Cable for Tie In VO - Cosmic Sun</t>
  </si>
  <si>
    <t>PO4026-RSC-20250524 - RV Approved</t>
  </si>
  <si>
    <t>Cosmic Sun - CS_RSC_005</t>
  </si>
  <si>
    <t>Ridgeview Mall_Tracker.xlsx | Table row 56 | 4P Breaker  VO- Cosmic Sun | Inv Cosmic Sun - CS_RSC_006 | Col ExpenseActualTotal</t>
  </si>
  <si>
    <t>4P Breaker  VO- Cosmic Sun</t>
  </si>
  <si>
    <t>PO4084-RSC-20250702 - RV Approved</t>
  </si>
  <si>
    <t>Cosmic Sun - CS_RSC_006</t>
  </si>
  <si>
    <t>Ridgeview Mall_Tracker.xlsx | Table row 67 | PV DB Cage/Enclosure Add on - JRL Eng | Inv JRL Engineering - INV00322 | Col ExpenseActualTotal</t>
  </si>
  <si>
    <t>PV DB Cage/Enclosure Add on - JRL Eng</t>
  </si>
  <si>
    <t>PO3924-RSC-20250516 - RV Approved</t>
  </si>
  <si>
    <t>JRL Engineering - INV00322</t>
  </si>
  <si>
    <t>Ridgeview Mall_Tracker.xlsx | Table row 68 | PV DB Cage/Enclosure Add on - JRL Eng | Inv JRL Engineering - INV00322 | Col ExpenseActualTotal</t>
  </si>
  <si>
    <t>Ridgeview Mall_Tracker.xlsx | Table row 69 | PV DB Cage/Enclosure - JRL - Deposit | Inv JRL Engineering - INV 2025063 | Col ExpenseActualTotal</t>
  </si>
  <si>
    <t>PV DB Cage/Enclosure - JRL - Deposit</t>
  </si>
  <si>
    <t>PO3802-RSC-20250414 - RV Approved</t>
  </si>
  <si>
    <t>JRL Engineering - INV 2025063</t>
  </si>
  <si>
    <t>Ridgeview Mall_Tracker.xlsx | Table row 70 | PV DB Cage/Enclosure - JRL - Balance | Inv JRL Engineering - INV 2025063 | Col ExpenseActualTotal</t>
  </si>
  <si>
    <t>PV DB Cage/Enclosure - JRL - Balance</t>
  </si>
  <si>
    <t>Ridgeview Mall_Tracker.xlsx | Table row 71 | PV DB Cage/Enclosure - JRL - Balance | Inv JRL Engineering - INV 2025063 | Col ExpenseActualTotal</t>
  </si>
  <si>
    <t>Ridgeview Mall_Tracker.xlsx | Table row 72 | PV DB Cage/Enclosure - JRL - Credit | Inv JRL Engineering - Credit ICA10016 | Col ExpenseActualTotal</t>
  </si>
  <si>
    <t>PV DB Cage/Enclosure - JRL - Credit</t>
  </si>
  <si>
    <t>JRL Engineering - Credit ICA10016</t>
  </si>
  <si>
    <t>Ridgeview Mall_Tracker.xlsx | Table row 75 | Deposit | Inv Cosmic Sun - CS_RSC_001 | Col ExpenseActualTotal</t>
  </si>
  <si>
    <t>Ridgeview Mall_Tracker.xlsx | Table row 76 | All DC and AC Equipment on site | Inv Cosmic Sun - CS_RSC_002 | Col ExpenseActualTotal</t>
  </si>
  <si>
    <t>Ridgeview Mall_Tracker.xlsx | Table row 77 | Practical completion | Inv Cosmic Sun - CS_RSC_003 | Col ExpenseActualTotal</t>
  </si>
  <si>
    <t>Ridgeview Mall_Tracker.xlsx | Table row 78 | Site fully commissioned | Inv Cosmic Sun - CS_RSC_004 | Col ExpenseActualTotal</t>
  </si>
  <si>
    <t>Ridgeview Mall_Tracker.xlsx | Table row 79 | Retention | Inv Cosmic Sun - CS_RSC_007 | Col ExpenseActualTotal</t>
  </si>
  <si>
    <t>Ridgeview Mall_Tracker.xlsx | Table row 85 | Security - March | Inv INFANTRY - IN-2560 | Col ExpenseActualTotal</t>
  </si>
  <si>
    <t>Security - March</t>
  </si>
  <si>
    <t>PO3584-RSV-20250129 - RV Approved</t>
  </si>
  <si>
    <t>INFANTRY - IN-2560</t>
  </si>
  <si>
    <t>Ridgeview Mall_Tracker.xlsx | Table row 86 | Security - April | Inv INFANTRY - IN-2561 | Col ExpenseActualTotal</t>
  </si>
  <si>
    <t>Security - April</t>
  </si>
  <si>
    <t>PO3585-RSV-20250129 - RV Approved</t>
  </si>
  <si>
    <t>INFANTRY - IN-2561</t>
  </si>
  <si>
    <t>Ridgeview Mall_Tracker.xlsx | Table row 87 | Security - Credit Note - Late start | Inv INFANTRY-CN-2643 | Col ExpenseActualTotal</t>
  </si>
  <si>
    <t>Security - Credit Note - Late start</t>
  </si>
  <si>
    <t>INFANTRY-CN-2643</t>
  </si>
  <si>
    <t>Ridgeview Mall_Tracker.xlsx | Table row 88 | Security - Credit Note - Late start | Inv INFANTRY - CN-2642 | Col ExpenseActualTotal</t>
  </si>
  <si>
    <t>INFANTRY - CN-2642</t>
  </si>
  <si>
    <t>Ridgeview Mall_Tracker.xlsx | Table row 89 | Security March - Infantry | Inv INFANTRY - IN-2688 | Col ExpenseActualTotal</t>
  </si>
  <si>
    <t>Security March - Infantry</t>
  </si>
  <si>
    <t>INFANTRY - IN-2688</t>
  </si>
  <si>
    <t>Ridgeview Mall_Tracker.xlsx | Table row 90 | Security - April | Inv Infantry - IN-2689 | Col ExpenseActualTotal</t>
  </si>
  <si>
    <t>PO3811-RSC-20250416 - RV Approved</t>
  </si>
  <si>
    <t>Infantry - IN-2689</t>
  </si>
  <si>
    <t>Ridgeview Mall_Tracker.xlsx | Table row 91 | Deposit | Inv Cosmic Sun - CS_RSC_001 | Col ExpenseActualTotal</t>
  </si>
  <si>
    <t>Ridgeview Mall_Tracker.xlsx | Table row 92 | All DC and AC Equipment on site | Inv Cosmic Sun - CS_RSC_002 | Col ExpenseActualTotal</t>
  </si>
  <si>
    <t>Ridgeview Mall_Tracker.xlsx | Table row 93 | Practical completion | Inv Cosmic Sun - CS_RSC_003 | Col ExpenseActualTotal</t>
  </si>
  <si>
    <t>Ridgeview Mall_Tracker.xlsx | Table row 94 | Site fully commissioned | Inv Cosmic Sun - CS_RSC_004 | Col ExpenseActualTotal</t>
  </si>
  <si>
    <t>Ridgeview Mall_Tracker.xlsx | Table row 95 | Retention | Inv Cosmic Sun - CS_RSC_007 | Col ExpenseActualTotal</t>
  </si>
  <si>
    <t>Ridgeview Mall_Tracker.xlsx | Table row 96 | Crane Hire - SCO | Inv Supply Chain Inv: SCO05072 | Col ExpenseActualTotal</t>
  </si>
  <si>
    <t>Crane Hire - SCO</t>
  </si>
  <si>
    <t>PO3724-RSC-20250306 - RV Approved</t>
  </si>
  <si>
    <t>Supply Chain Inv: SCO05072</t>
  </si>
  <si>
    <t>Ridgeview Mall_Tracker.xlsx | Table row 100 | Electrical PrEng sign off | Inv Sunspot E026 | Col ExpenseActualTotal</t>
  </si>
  <si>
    <t>Sunspot E026</t>
  </si>
  <si>
    <t>Ridgeview Mall_Tracker.xlsx | Table row 101 | Structural sign off - LnB Eng  | Inv L&amp;B Consulting INV-1893 | Col ExpenseActualTotal</t>
  </si>
  <si>
    <t xml:space="preserve">Structural sign off - LnB Eng </t>
  </si>
  <si>
    <t>PO3586-RSV-20250129 - RV Approved</t>
  </si>
  <si>
    <t>L&amp;B Consulting INV-1893</t>
  </si>
  <si>
    <t>Ridgeview Mall_Tracker.xlsx | Table row 102 | Red Team | Inv Matriarch - IN-4753 | Col ExpenseActualTotal</t>
  </si>
  <si>
    <t>Ridgeview Mall_Tracker.xlsx | Table row 103 | Grid Study - Outside of CoCT | Inv Okusha Electrical Inv EE10 | Col ExpenseActualTotal</t>
  </si>
  <si>
    <t>PO3687-RSC-20250220 - RV Approved</t>
  </si>
  <si>
    <t>Okusha Electrical Inv EE10</t>
  </si>
  <si>
    <t>Ridgeview Mall_Tracker.xlsx | Table row 104 | Lightning Risk Assessment - LPS | Inv LPS In307224 | Col ExpenseActualTotal</t>
  </si>
  <si>
    <t>Lightning Risk Assessment - LPS</t>
  </si>
  <si>
    <t>PO4199-RSC-20250805 - RV Approved</t>
  </si>
  <si>
    <t>LPS In307224</t>
  </si>
  <si>
    <t>Ridgeview Mall_Tracker.xlsx | Table row 106 | Termination Fee | Inv Terra Firma Inv: INA6021290 | Col ExpenseActualTotal</t>
  </si>
  <si>
    <t>Termination Fee</t>
  </si>
  <si>
    <t>Terra Firma Inv: INA6021290</t>
  </si>
  <si>
    <t>Ridgeview Mall_Tracker.xlsx | Table row 109 | Matriarch Defects Period (PG Cost R9190) | Inv Matriarch - INV-4752 | Col ExpenseActualTotal</t>
  </si>
  <si>
    <t>Matriarch Defects Period (PG Cost R9190)</t>
  </si>
  <si>
    <t>Ridgeview Mall_Tracker.xlsx | Table row 110 | Management | Inv  | Col ExpenseActualTotal</t>
  </si>
  <si>
    <t>Ridgeview Mall_Tracker.xlsx | Table row 111 | Project manager  | Inv  | Col ExpenseActualTotal</t>
  </si>
  <si>
    <t>Ridgeview Mall_Tracker.xlsx | Table row 112 | Planner time | Inv  | Col ExpenseActualTotal</t>
  </si>
  <si>
    <t>Ridgeview Mall_Tracker.xlsx | Table row 113 | De Snagging | Inv  | Col ExpenseActualTotal</t>
  </si>
  <si>
    <t>Ridgeview Mall_Tracker.xlsx | Table row 117 | Car travel to site | Inv Expense Claims | Col ExpenseActualTotal</t>
  </si>
  <si>
    <t>Ridgeview Mall_Tracker.xlsx | Table row 118 |  | Inv Expense Claims | Col ExpenseActualTotal</t>
  </si>
  <si>
    <t>Ridgeview Mall_Tracker.xlsx | Table row 119 |  | Inv Expense Claims | Col ExpenseActualTotal</t>
  </si>
  <si>
    <t>Ridgeview Mall_Tracker.xlsx | Table row 120 |  | Inv Expense Claims | Col ExpenseActualTotal</t>
  </si>
  <si>
    <t>Ridgeview Mall_Tracker.xlsx | Table row 121 |  | Inv Expense Claims | Col ExpenseActualTotal</t>
  </si>
  <si>
    <t>Ridgeview Mall_Tracker.xlsx | Table row 122 |  | Inv Expense Claims | Col ExpenseActualTotal</t>
  </si>
  <si>
    <t>Ridgeview Mall_Tracker.xlsx | Table row 123 |  | Inv Expense Claims | Col ExpenseActualTotal</t>
  </si>
  <si>
    <t>Ridgeview Mall_Tracker.xlsx | Table row 127 | Solar Panel Clean - Cosmic Sun | Inv Cosmic Sun - CS_RSC_008 | Col ExpenseActualTotal</t>
  </si>
  <si>
    <t>Solar Panel Clean - Cosmic Sun</t>
  </si>
  <si>
    <t>PO4149-RSC-20250722</t>
  </si>
  <si>
    <t>Cosmic Sun - CS_RSC_008</t>
  </si>
  <si>
    <t>Riverside Mall_Tracker.xlsx | Table row 6 | Jinko Tiger Neo N-type66HL4M-BDV - 610W | Inv MSA Energy - INV0003559 | Col ExpenseActualTotal</t>
  </si>
  <si>
    <t>MSA Energy - INV0003559</t>
  </si>
  <si>
    <t>Riverside Mall_Tracker.xlsx | Table row 13 | Huawei 100KTL - Menlo | Inv MSA Energy - INV0003559 | Col ExpenseActualTotal</t>
  </si>
  <si>
    <t>Riverside Mall_Tracker.xlsx | Table row 14 | Huawei 50KTL | Inv MSA Energy - INV0003559 | Col ExpenseActualTotal</t>
  </si>
  <si>
    <t>Riverside Mall_Tracker.xlsx | Table row 21 | Schletter Structure | Inv Schletter - INV002599 | Col ExpenseActualTotal</t>
  </si>
  <si>
    <t>PO4563-RSM-20260121 - RV Approved</t>
  </si>
  <si>
    <t>Schletter - INV002599</t>
  </si>
  <si>
    <t>Riverside Mall_Tracker.xlsx | Table row 28 | DC Cable - Menlo | Inv MSA Energy - INV0003559 | Col ExpenseActualTotal</t>
  </si>
  <si>
    <t>Riverside Mall_Tracker.xlsx | Table row 32 | Project Kick Off | Inv Leading Edge Power INV-0182 | Col ExpenseActualTotal</t>
  </si>
  <si>
    <t>Leading Edge Power INV-0182</t>
  </si>
  <si>
    <t>Riverside Mall_Tracker.xlsx | Table row 33 | Site Establishment | Inv Leading Edge Power INV-0183 | Col ExpenseActualTotal</t>
  </si>
  <si>
    <t>Leading Edge Power INV-0183</t>
  </si>
  <si>
    <t>Riverside Mall_Tracker.xlsx | Table row 34 | AC Installation Complete | Inv  | Col ExpenseActualTotal</t>
  </si>
  <si>
    <t>Riverside Mall_Tracker.xlsx | Table row 35 | DC Installation Complete | Inv  | Col ExpenseActualTotal</t>
  </si>
  <si>
    <t>Riverside Mall_Tracker.xlsx | Table row 36 | Commissioning Complete | Inv  | Col ExpenseActualTotal</t>
  </si>
  <si>
    <t>Riverside Mall_Tracker.xlsx | Table row 37 | Site De-establisment | Inv  | Col ExpenseActualTotal</t>
  </si>
  <si>
    <t>Riverside Mall_Tracker.xlsx | Table row 38 | Handover Document Complete | Inv  | Col ExpenseActualTotal</t>
  </si>
  <si>
    <t>Riverside Mall_Tracker.xlsx | Table row 39 | End of Defects Period | Inv  | Col ExpenseActualTotal</t>
  </si>
  <si>
    <t>Riverside Mall_Tracker.xlsx | Table row 44 | Smartlogger | Inv MSA Energy - INV0003570 | Col ExpenseActualTotal</t>
  </si>
  <si>
    <t>MSA Energy - INV0003570</t>
  </si>
  <si>
    <t>Riverside Mall_Tracker.xlsx | Table row 45 | CTs &amp; Meters | Inv Accuenergy Inv: ASAI-007302 | Col ExpenseActualTotal</t>
  </si>
  <si>
    <t>PO4577-RSM-20260126 - RV Approved</t>
  </si>
  <si>
    <t>Accuenergy Inv: ASAI-007302</t>
  </si>
  <si>
    <t>Riverside Mall_Tracker.xlsx | Table row 46 | 8 Port Switch | Inv Allocated from Red Rocket | Col ExpenseActualTotal</t>
  </si>
  <si>
    <t>Allocated from Red Rocket</t>
  </si>
  <si>
    <t>Riverside Mall_Tracker.xlsx | Table row 47 | Techsitter | Inv  | Col ExpenseActualTotal</t>
  </si>
  <si>
    <t>Riverside Mall_Tracker.xlsx | Table row 54 | PVDB | Inv  | Col ExpenseActualTotal</t>
  </si>
  <si>
    <t>Riverside Mall_Tracker.xlsx | Table row 59 | Project Kick Off | Inv Leading Edge Power INV-0182 | Col ExpenseActualTotal</t>
  </si>
  <si>
    <t>Riverside Mall_Tracker.xlsx | Table row 60 | Site Establishment | Inv Leading Edge Power INV-0183 | Col ExpenseActualTotal</t>
  </si>
  <si>
    <t>Riverside Mall_Tracker.xlsx | Table row 61 | AC Installation Complete | Inv  | Col ExpenseActualTotal</t>
  </si>
  <si>
    <t>Riverside Mall_Tracker.xlsx | Table row 62 | DC Installation Complete | Inv  | Col ExpenseActualTotal</t>
  </si>
  <si>
    <t>Riverside Mall_Tracker.xlsx | Table row 63 | Commissioning Complete | Inv  | Col ExpenseActualTotal</t>
  </si>
  <si>
    <t>Riverside Mall_Tracker.xlsx | Table row 64 | Site De-establisment | Inv  | Col ExpenseActualTotal</t>
  </si>
  <si>
    <t>Riverside Mall_Tracker.xlsx | Table row 65 | Handover Document Complete | Inv  | Col ExpenseActualTotal</t>
  </si>
  <si>
    <t>Riverside Mall_Tracker.xlsx | Table row 66 | End of Defects Period | Inv  | Col ExpenseActualTotal</t>
  </si>
  <si>
    <t>Riverside Mall_Tracker.xlsx | Table row 81 | Inverter Room Prep | Inv  | Col ExpenseActualTotal</t>
  </si>
  <si>
    <t>Inverter Room Prep</t>
  </si>
  <si>
    <t>Riverside Mall_Tracker.xlsx | Table row 84 | Anchor Points - Deposit (move deposit payment to 7th Avenue  | Inv Hisafe - 00360 | Col ExpenseActualTotal</t>
  </si>
  <si>
    <t xml:space="preserve">Anchor Points - Deposit (move deposit payment to 7th Avenue </t>
  </si>
  <si>
    <t>PO4565-RSM-20260121 - RV Approved</t>
  </si>
  <si>
    <t>Hisafe - 00360</t>
  </si>
  <si>
    <t>Riverside Mall_Tracker.xlsx | Table row 85 | Anchor Points - Ascend Deposit | Inv Ascend Inv-4989 | Col ExpenseActualTotal</t>
  </si>
  <si>
    <t>Anchor Points - Ascend Deposit</t>
  </si>
  <si>
    <t>Ascend Inv-4989</t>
  </si>
  <si>
    <t>Riverside Mall_Tracker.xlsx | Table row 91 | Project Kick Off | Inv Leading Edge Power INV-0182 | Col ExpenseActualTotal</t>
  </si>
  <si>
    <t>Riverside Mall_Tracker.xlsx | Table row 92 | Site Establishment | Inv Leading Edge Power INV-0183 | Col ExpenseActualTotal</t>
  </si>
  <si>
    <t>Riverside Mall_Tracker.xlsx | Table row 93 | AC Installation Complete | Inv  | Col ExpenseActualTotal</t>
  </si>
  <si>
    <t>Riverside Mall_Tracker.xlsx | Table row 94 | DC Installation Complete | Inv  | Col ExpenseActualTotal</t>
  </si>
  <si>
    <t>Riverside Mall_Tracker.xlsx | Table row 95 | Commissioning Complete | Inv  | Col ExpenseActualTotal</t>
  </si>
  <si>
    <t>Riverside Mall_Tracker.xlsx | Table row 96 | Site De-establisment | Inv  | Col ExpenseActualTotal</t>
  </si>
  <si>
    <t>Riverside Mall_Tracker.xlsx | Table row 97 | Handover Document Complete | Inv  | Col ExpenseActualTotal</t>
  </si>
  <si>
    <t>Riverside Mall_Tracker.xlsx | Table row 98 | End of Defects Period | Inv  | Col ExpenseActualTotal</t>
  </si>
  <si>
    <t>Riverside Mall_Tracker.xlsx | Table row 107 | Project Kick Off | Inv Leading Edge Power INV-0182 | Col ExpenseActualTotal</t>
  </si>
  <si>
    <t>Riverside Mall_Tracker.xlsx | Table row 108 | Site Establishment | Inv Leading Edge Power INV-0183 | Col ExpenseActualTotal</t>
  </si>
  <si>
    <t>Riverside Mall_Tracker.xlsx | Table row 109 | AC Installation Complete | Inv  | Col ExpenseActualTotal</t>
  </si>
  <si>
    <t>Riverside Mall_Tracker.xlsx | Table row 110 | DC Installation Complete | Inv  | Col ExpenseActualTotal</t>
  </si>
  <si>
    <t>Riverside Mall_Tracker.xlsx | Table row 111 | Commissioning Complete | Inv  | Col ExpenseActualTotal</t>
  </si>
  <si>
    <t>Riverside Mall_Tracker.xlsx | Table row 112 | Site De-establisment | Inv  | Col ExpenseActualTotal</t>
  </si>
  <si>
    <t>Riverside Mall_Tracker.xlsx | Table row 113 | Handover Document Complete | Inv  | Col ExpenseActualTotal</t>
  </si>
  <si>
    <t>Riverside Mall_Tracker.xlsx | Table row 114 | End of Defects Period | Inv  | Col ExpenseActualTotal</t>
  </si>
  <si>
    <t>Riverside Mall_Tracker.xlsx | Table row 119 | Electrical PrEng sign off | Inv  | Col ExpenseActualTotal</t>
  </si>
  <si>
    <t>Riverside Mall_Tracker.xlsx | Table row 120 | Structural Sign Off | Inv L&amp;B Invoice:  | Col ExpenseActualTotal</t>
  </si>
  <si>
    <t xml:space="preserve">L&amp;B Invoice: </t>
  </si>
  <si>
    <t>Riverside Mall_Tracker.xlsx | Table row 121 | Scada for CoCT | Inv  | Col ExpenseActualTotal</t>
  </si>
  <si>
    <t>PO4608-RSM020260204 - RV Approved</t>
  </si>
  <si>
    <t>Riverside Mall_Tracker.xlsx | Table row 122 | Red Team Inspection | Inv  | Col ExpenseActualTotal</t>
  </si>
  <si>
    <t>Riverside Mall_Tracker.xlsx | Table row 125 | PD Fee | Inv  | Col ExpenseActualTotal</t>
  </si>
  <si>
    <t>Riverside Mall_Tracker.xlsx | Table row 128 | Matriarch Defects Period - 1.25% | Inv  | Col ExpenseActualTotal</t>
  </si>
  <si>
    <t>Riverside Mall_Tracker.xlsx | Table row 135 | Travel | Inv Expense Claim | Col ExpenseActualTotal</t>
  </si>
  <si>
    <t>Riverside Mall_Tracker.xlsx | Table row 136 | Travel | Inv Expense Claim | Col ExpenseActualTotal</t>
  </si>
  <si>
    <t>Riverside Mall_Tracker.xlsx | Table row 137 | Travel | Inv  | Col ExpenseActualTotal</t>
  </si>
  <si>
    <t>Riverside Mall_Tracker.xlsx | Table row 138 | Travel | Inv  | Col ExpenseActualTotal</t>
  </si>
  <si>
    <t>Riverside Mall_Tracker.xlsx | Table row 139 | Travel | Inv  | Col ExpenseActualTotal</t>
  </si>
  <si>
    <t>SA Metal_14 Christiaan_A_Tracker.xlsx | Table row 4 | Product/ Service | Inv INVOICE NUMBER | Col ExpenseActualTotal</t>
  </si>
  <si>
    <t>SA Metal_14 Christiaan_A_Tracker.xlsx | Table row 6 | 1. Panels | Inv Herholdts Inv: INV875402 | Col ExpenseActualTotal</t>
  </si>
  <si>
    <t>Canadian Solar 555W - Deposit - Herholdts</t>
  </si>
  <si>
    <t>759281,625</t>
  </si>
  <si>
    <t>Herholdts Inv: INV875402</t>
  </si>
  <si>
    <t>SA Metal_14 Christiaan_A_Tracker.xlsx | Table row 9 | 1. Panels | Inv Allocated to Stock | Col ExpenseActualTotal</t>
  </si>
  <si>
    <t>Canadian Solar 555W - moved to stock</t>
  </si>
  <si>
    <t>-21228,75</t>
  </si>
  <si>
    <t>SA Metal_14 Christiaan_A_Tracker.xlsx | Table row 10 | 1. Panels | Inv Stock | Col ExpenseActualTotal</t>
  </si>
  <si>
    <t>2 x Canadian Solar 555W - Stock</t>
  </si>
  <si>
    <t>2830,5</t>
  </si>
  <si>
    <t>Stock</t>
  </si>
  <si>
    <t>SA Metal_14 Christiaan_A_Tracker.xlsx | Table row 16 | 2. Inverters | Inv Kathea Inv 518635 | Col ExpenseActualTotal</t>
  </si>
  <si>
    <t>344350</t>
  </si>
  <si>
    <t>Kathea Inv 518635</t>
  </si>
  <si>
    <t>SA Metal_14 Christiaan_A_Tracker.xlsx | Table row 22 | 3. Mounting Structures | Inv Allocated from colcab - Phase 2 | Col ExpenseActualTotal</t>
  </si>
  <si>
    <t>IBR Clampfit brackets used from Colcab PH2</t>
  </si>
  <si>
    <t>12065</t>
  </si>
  <si>
    <t>Allocated from colcab - Phase 2</t>
  </si>
  <si>
    <t>SA Metal_14 Christiaan_A_Tracker.xlsx | Table row 27 | 4. DC Equipment | Inv Herholdts Inv: INV8954316 | Col ExpenseActualTotal</t>
  </si>
  <si>
    <t>121500</t>
  </si>
  <si>
    <t>Herholdts Inv: INV8954316</t>
  </si>
  <si>
    <t>SA Metal_14 Christiaan_A_Tracker.xlsx | Table row 29 | 4. DC Equipment | Inv Menlo: INV0002444 | Col ExpenseActualTotal</t>
  </si>
  <si>
    <t>39900</t>
  </si>
  <si>
    <t>Menlo: INV0002444</t>
  </si>
  <si>
    <t>SA Metal_14 Christiaan_A_Tracker.xlsx | Table row 30 | 4. DC Equipment | Inv Cosmic Sun CS_SAM14A_001 | Col ExpenseActualTotal</t>
  </si>
  <si>
    <t>92906,22</t>
  </si>
  <si>
    <t>Cosmic Sun CS_SAM14A_001</t>
  </si>
  <si>
    <t>SA Metal_14 Christiaan_A_Tracker.xlsx | Table row 31 | 4. DC Equipment | Inv Cosmic Sun CS_SAM14A_002 | Col ExpenseActualTotal</t>
  </si>
  <si>
    <t>61937,48000000001</t>
  </si>
  <si>
    <t>Cosmic Sun CS_SAM14A_002</t>
  </si>
  <si>
    <t>SA Metal_14 Christiaan_A_Tracker.xlsx | Table row 32 | 4. DC Equipment | Inv Cosmic Sun CS_SAM14A_005 | Col ExpenseActualTotal</t>
  </si>
  <si>
    <t>Cosmic Sun CS_SAM14A_005</t>
  </si>
  <si>
    <t>SA Metal_14 Christiaan_A_Tracker.xlsx | Table row 33 | 4. DC Equipment | Inv Cosmic Sun CS_SAM14A_005 | Col ExpenseActualTotal</t>
  </si>
  <si>
    <t>Site fully Commissioned</t>
  </si>
  <si>
    <t>46453,11</t>
  </si>
  <si>
    <t>SA Metal_14 Christiaan_A_Tracker.xlsx | Table row 34 | 4. DC Equipment | Inv Cosmic Sun CS_SAM14A_006 | Col ExpenseActualTotal</t>
  </si>
  <si>
    <t>15484,370000000003</t>
  </si>
  <si>
    <t>Cosmic Sun CS_SAM14A_006</t>
  </si>
  <si>
    <t>SA Metal_14 Christiaan_A_Tracker.xlsx | Table row 39 | 5. Monitoring | Inv Solarworld SASIV-24-00517 | Col ExpenseActualTotal</t>
  </si>
  <si>
    <t>5</t>
  </si>
  <si>
    <t>8000</t>
  </si>
  <si>
    <t>Solarworld SASIV-24-00517</t>
  </si>
  <si>
    <t>SA Metal_14 Christiaan_A_Tracker.xlsx | Table row 41 | 5. Monitoring | Inv MATRIARCH - INV-3278 | Col ExpenseActualTotal</t>
  </si>
  <si>
    <t>11169</t>
  </si>
  <si>
    <t>MATRIARCH - INV-3278</t>
  </si>
  <si>
    <t>SA Metal_14 Christiaan_A_Tracker.xlsx | Table row 62 | 6. AC Equipment | Inv Cosmic Sun CS_SAM14A_001 | Col ExpenseActualTotal</t>
  </si>
  <si>
    <t>34458</t>
  </si>
  <si>
    <t>SA Metal_14 Christiaan_A_Tracker.xlsx | Table row 63 | 6. AC Equipment | Inv Cosmic Sun CS_SAM14A_002 | Col ExpenseActualTotal</t>
  </si>
  <si>
    <t>22972</t>
  </si>
  <si>
    <t>SA Metal_14 Christiaan_A_Tracker.xlsx | Table row 64 | 6. AC Equipment | Inv Cosmic Sun CS_SAM14A_005 | Col ExpenseActualTotal</t>
  </si>
  <si>
    <t>SA Metal_14 Christiaan_A_Tracker.xlsx | Table row 65 | 6. AC Equipment | Inv Cosmic Sun CS_SAM14A_005 | Col ExpenseActualTotal</t>
  </si>
  <si>
    <t>17229</t>
  </si>
  <si>
    <t>SA Metal_14 Christiaan_A_Tracker.xlsx | Table row 66 | 6. AC Equipment | Inv Cosmic Sun CS_SAM14A_006 | Col ExpenseActualTotal</t>
  </si>
  <si>
    <t>5743</t>
  </si>
  <si>
    <t>SA Metal_14 Christiaan_A_Tracker.xlsx | Table row 82 | 8. Product Add On  | Inv Schletter INV0951 | Col ExpenseActualTotal</t>
  </si>
  <si>
    <t>Mounting Structure for Walkways</t>
  </si>
  <si>
    <t>Splice Kit</t>
  </si>
  <si>
    <t>4244,32</t>
  </si>
  <si>
    <t>Schletter INV0951</t>
  </si>
  <si>
    <t>SA Metal_14 Christiaan_A_Tracker.xlsx | Table row 83 | 8. Product Add On  | Inv Cosmic Sun - CS_SAM14A_004 | Col ExpenseActualTotal</t>
  </si>
  <si>
    <t>Labour</t>
  </si>
  <si>
    <t>21600</t>
  </si>
  <si>
    <t>Cosmic Sun - CS_SAM14A_004</t>
  </si>
  <si>
    <t>SA Metal_14 Christiaan_A_Tracker.xlsx | Table row 84 | 8. Product Add On  | Inv Onvlee Engineering: Inv 0148938 | Col ExpenseActualTotal</t>
  </si>
  <si>
    <t>89239,5</t>
  </si>
  <si>
    <t>Onvlee Engineering: Inv 0148938</t>
  </si>
  <si>
    <t>SA Metal_14 Christiaan_A_Tracker.xlsx | Table row 88 | 9. AC &amp; DC installation | Inv Cosmic Sun CS_SAM14A_001 | Col ExpenseActualTotal</t>
  </si>
  <si>
    <t>153999,99900000001</t>
  </si>
  <si>
    <t>SA Metal_14 Christiaan_A_Tracker.xlsx | Table row 89 | 9. AC &amp; DC installation | Inv Cosmic Sun CS_SAM14A_002 | Col ExpenseActualTotal</t>
  </si>
  <si>
    <t>102666,66600000001</t>
  </si>
  <si>
    <t>SA Metal_14 Christiaan_A_Tracker.xlsx | Table row 90 | 9. AC &amp; DC installation | Inv Cosmic Sun CS_SAM14A_005 | Col ExpenseActualTotal</t>
  </si>
  <si>
    <t>SA Metal_14 Christiaan_A_Tracker.xlsx | Table row 91 | 9. AC &amp; DC installation | Inv Cosmic Sun CS_SAM14A_005 | Col ExpenseActualTotal</t>
  </si>
  <si>
    <t>76999,999500000005</t>
  </si>
  <si>
    <t>SA Metal_14 Christiaan_A_Tracker.xlsx | Table row 92 | 9. AC &amp; DC installation | Inv Cosmic Sun CS_SAM14A_006 | Col ExpenseActualTotal</t>
  </si>
  <si>
    <t>25666,666500000003</t>
  </si>
  <si>
    <t>SA Metal_14 Christiaan_A_Tracker.xlsx | Table row 99 | 10. Site Logistics | Inv Cosmic Sun CS_SAM14A_001 | Col ExpenseActualTotal</t>
  </si>
  <si>
    <t>19050</t>
  </si>
  <si>
    <t>SA Metal_14 Christiaan_A_Tracker.xlsx | Table row 100 | 10. Site Logistics | Inv Cosmic Sun CS_SAM14A_002 | Col ExpenseActualTotal</t>
  </si>
  <si>
    <t>12700</t>
  </si>
  <si>
    <t>SA Metal_14 Christiaan_A_Tracker.xlsx | Table row 101 | 10. Site Logistics | Inv Cosmic Sun CS_SAM14A_005 | Col ExpenseActualTotal</t>
  </si>
  <si>
    <t>SA Metal_14 Christiaan_A_Tracker.xlsx | Table row 102 | 10. Site Logistics | Inv Cosmic Sun CS_SAM14A_005 | Col ExpenseActualTotal</t>
  </si>
  <si>
    <t>9525</t>
  </si>
  <si>
    <t>SA Metal_14 Christiaan_A_Tracker.xlsx | Table row 103 | 10. Site Logistics | Inv Cosmic Sun CS_SAM14A_006 | Col ExpenseActualTotal</t>
  </si>
  <si>
    <t>3175</t>
  </si>
  <si>
    <t>SA Metal_14 Christiaan_B_Tracker.xlsx | Table row 4 | Product/ Service | Inv INVOICE NUMBER | Col ExpenseActualTotal</t>
  </si>
  <si>
    <t>SA Metal_14 Christiaan_B_Tracker.xlsx | Table row 6 | 1. Panels | Inv Herholdts Inv: INV875402 | Col ExpenseActualTotal</t>
  </si>
  <si>
    <t>200965,5</t>
  </si>
  <si>
    <t>SA Metal_14 Christiaan_B_Tracker.xlsx | Table row 13 | 2. Inverters | Inv Kathea Inv518635 | Col ExpenseActualTotal</t>
  </si>
  <si>
    <t>68870</t>
  </si>
  <si>
    <t>Kathea Inv518635</t>
  </si>
  <si>
    <t>SA Metal_14 Christiaan_B_Tracker.xlsx | Table row 14 | 2. Inverters | Inv Kathea Inv518655 | Col ExpenseActualTotal</t>
  </si>
  <si>
    <t>38000</t>
  </si>
  <si>
    <t>Kathea Inv518655</t>
  </si>
  <si>
    <t>SA Metal_14 Christiaan_B_Tracker.xlsx | Table row 18 | 3. Mounting Structures | Inv Schletter INV0894 | Col ExpenseActualTotal</t>
  </si>
  <si>
    <t>KlipLok Roof</t>
  </si>
  <si>
    <t>32045,599999999999</t>
  </si>
  <si>
    <t>Schletter INV0894</t>
  </si>
  <si>
    <t>SA Metal_14 Christiaan_B_Tracker.xlsx | Table row 23 | 4. DC Equipment | Inv Herholdts Inv: INV922149 | Col ExpenseActualTotal</t>
  </si>
  <si>
    <t>54000</t>
  </si>
  <si>
    <t>Herholdts Inv: INV922149</t>
  </si>
  <si>
    <t>SA Metal_14 Christiaan_B_Tracker.xlsx | Table row 26 | 4. DC Equipment | Inv Thula Moya In04434 | Col ExpenseActualTotal</t>
  </si>
  <si>
    <t>8932,2000000000007</t>
  </si>
  <si>
    <t>Thula Moya In04434</t>
  </si>
  <si>
    <t>SA Metal_14 Christiaan_B_Tracker.xlsx | Table row 27 | 4. DC Equipment | Inv Thula Moya IN04438 | Col ExpenseActualTotal</t>
  </si>
  <si>
    <t>13398,3</t>
  </si>
  <si>
    <t>Thula Moya IN04438</t>
  </si>
  <si>
    <t>SA Metal_14 Christiaan_B_Tracker.xlsx | Table row 28 | 4. DC Equipment | Inv Thula Moya IN04477 | Col ExpenseActualTotal</t>
  </si>
  <si>
    <t>17864,400000000001</t>
  </si>
  <si>
    <t>Thula Moya IN04477</t>
  </si>
  <si>
    <t>SA Metal_14 Christiaan_B_Tracker.xlsx | Table row 29 | 4. DC Equipment | Inv Thula Moya IN04478 | Col ExpenseActualTotal</t>
  </si>
  <si>
    <t>22330,5</t>
  </si>
  <si>
    <t>Thula Moya IN04478</t>
  </si>
  <si>
    <t>SA Metal_14 Christiaan_B_Tracker.xlsx | Table row 30 | 4. DC Equipment | Inv Thula Moya IN04513 | Col ExpenseActualTotal</t>
  </si>
  <si>
    <t>Thula Moya IN04513</t>
  </si>
  <si>
    <t>SA Metal_14 Christiaan_B_Tracker.xlsx | Table row 31 | 4. DC Equipment | Inv Thula Moya IN04535 | Col ExpenseActualTotal</t>
  </si>
  <si>
    <t>Thula Moya IN04535</t>
  </si>
  <si>
    <t>SA Metal_14 Christiaan_B_Tracker.xlsx | Table row 32 | 4. DC Equipment | Inv Thula Moya IN04595 | Col ExpenseActualTotal</t>
  </si>
  <si>
    <t>4466,1000000000004</t>
  </si>
  <si>
    <t>Thula Moya IN04595</t>
  </si>
  <si>
    <t>SA Metal_14 Christiaan_B_Tracker.xlsx | Table row 33 | 4. DC Equipment | Inv Thula Moya IN04592 | Col ExpenseActualTotal</t>
  </si>
  <si>
    <t>Thula Moya IN04592</t>
  </si>
  <si>
    <t>SA Metal_14 Christiaan_B_Tracker.xlsx | Table row 35 | 5. Monitoring | Inv Solarworld SASIV-24-00517 | Col ExpenseActualTotal</t>
  </si>
  <si>
    <t>SA Metal_14 Christiaan_B_Tracker.xlsx | Table row 37 | 5. Monitoring | Inv MATRIARCH - INV-3278 | Col ExpenseActualTotal</t>
  </si>
  <si>
    <t>SA Metal_14 Christiaan_B_Tracker.xlsx | Table row 44 | 6. AC Equipment | Inv Cosmic Sun CS_SAMPVDB_001 | Col ExpenseActualTotal</t>
  </si>
  <si>
    <t>AC &amp; Comms DB - Deposit</t>
  </si>
  <si>
    <t>25120</t>
  </si>
  <si>
    <t>Cosmic Sun CS_SAMPVDB_001</t>
  </si>
  <si>
    <t>SA Metal_14 Christiaan_B_Tracker.xlsx | Table row 48 | 6. AC Equipment | Inv Thula Moya In04434 | Col ExpenseActualTotal</t>
  </si>
  <si>
    <t>11276,400000000001</t>
  </si>
  <si>
    <t>SA Metal_14 Christiaan_B_Tracker.xlsx | Table row 49 | 6. AC Equipment | Inv Thula MoyaIN04438 | Col ExpenseActualTotal</t>
  </si>
  <si>
    <t>16914,599999999999</t>
  </si>
  <si>
    <t>Thula MoyaIN04438</t>
  </si>
  <si>
    <t>SA Metal_14 Christiaan_B_Tracker.xlsx | Table row 50 | 6. AC Equipment | Inv Thula Moya IN04477 | Col ExpenseActualTotal</t>
  </si>
  <si>
    <t>22552,800000000003</t>
  </si>
  <si>
    <t>SA Metal_14 Christiaan_B_Tracker.xlsx | Table row 51 | 6. AC Equipment | Inv Thula Moya IN04478 | Col ExpenseActualTotal</t>
  </si>
  <si>
    <t>28191</t>
  </si>
  <si>
    <t>SA Metal_14 Christiaan_B_Tracker.xlsx | Table row 52 | 6. AC Equipment | Inv Thula Moya IN04513 | Col ExpenseActualTotal</t>
  </si>
  <si>
    <t>SA Metal_14 Christiaan_B_Tracker.xlsx | Table row 53 | 6. AC Equipment | Inv Thula Moya IN04535 | Col ExpenseActualTotal</t>
  </si>
  <si>
    <t>SA Metal_14 Christiaan_B_Tracker.xlsx | Table row 54 | 6. AC Equipment | Inv Thula Moya IN04595 | Col ExpenseActualTotal</t>
  </si>
  <si>
    <t>5638,2000000000007</t>
  </si>
  <si>
    <t>SA Metal_14 Christiaan_B_Tracker.xlsx | Table row 55 | 6. AC Equipment | Inv Thula Moya IN04592 | Col ExpenseActualTotal</t>
  </si>
  <si>
    <t>SA Metal_14 Christiaan_B_Tracker.xlsx | Table row 73 | 9. AC &amp; DC installation | Inv Thula Moya In04434 | Col ExpenseActualTotal</t>
  </si>
  <si>
    <t>11630,5</t>
  </si>
  <si>
    <t>SA Metal_14 Christiaan_B_Tracker.xlsx | Table row 74 | 9. AC &amp; DC installation | Inv Thula Moya IN04438 | Col ExpenseActualTotal</t>
  </si>
  <si>
    <t>17445,75</t>
  </si>
  <si>
    <t>SA Metal_14 Christiaan_B_Tracker.xlsx | Table row 75 | 9. AC &amp; DC installation | Inv Thula Moya IN04477 | Col ExpenseActualTotal</t>
  </si>
  <si>
    <t>23261</t>
  </si>
  <si>
    <t>SA Metal_14 Christiaan_B_Tracker.xlsx | Table row 76 | 9. AC &amp; DC installation | Inv Thula Moya IN04478 | Col ExpenseActualTotal</t>
  </si>
  <si>
    <t>29076,25</t>
  </si>
  <si>
    <t>SA Metal_14 Christiaan_B_Tracker.xlsx | Table row 77 | 9. AC &amp; DC installation | Inv Thula Moya IN04513 | Col ExpenseActualTotal</t>
  </si>
  <si>
    <t>SA Metal_14 Christiaan_B_Tracker.xlsx | Table row 78 | 9. AC &amp; DC installation | Inv Thula Moya IN04535 | Col ExpenseActualTotal</t>
  </si>
  <si>
    <t>SA Metal_14 Christiaan_B_Tracker.xlsx | Table row 79 | 9. AC &amp; DC installation | Inv Thula Moya IN04595 | Col ExpenseActualTotal</t>
  </si>
  <si>
    <t>5815,25</t>
  </si>
  <si>
    <t>SA Metal_14 Christiaan_B_Tracker.xlsx | Table row 80 | 9. AC &amp; DC installation | Inv Thula Moya IN04592 | Col ExpenseActualTotal</t>
  </si>
  <si>
    <t>SA Metal_14 Christiaan_B_Tracker.xlsx | Table row 84 | 10. Site Logistics | Inv Thula Moya In04434 | Col ExpenseActualTotal</t>
  </si>
  <si>
    <t>8545,3000000000011</t>
  </si>
  <si>
    <t>SA Metal_14 Christiaan_B_Tracker.xlsx | Table row 85 | 10. Site Logistics | Inv Thula Moya IN04438 | Col ExpenseActualTotal</t>
  </si>
  <si>
    <t>12817,96</t>
  </si>
  <si>
    <t>SA Metal_14 Christiaan_B_Tracker.xlsx | Table row 86 | 10. Site Logistics | Inv Thula Moya IN04477 | Col ExpenseActualTotal</t>
  </si>
  <si>
    <t>17090,600000000002</t>
  </si>
  <si>
    <t>SA Metal_14 Christiaan_B_Tracker.xlsx | Table row 87 | 10. Site Logistics | Inv Thula Moya IN04478 | Col ExpenseActualTotal</t>
  </si>
  <si>
    <t>21363,5</t>
  </si>
  <si>
    <t>SA Metal_14 Christiaan_B_Tracker.xlsx | Table row 88 | 10. Site Logistics | Inv Thula Moya IN04513 | Col ExpenseActualTotal</t>
  </si>
  <si>
    <t>SA Metal_14 Christiaan_B_Tracker.xlsx | Table row 89 | 10. Site Logistics | Inv Thula Moya IN04535 | Col ExpenseActualTotal</t>
  </si>
  <si>
    <t>SA Metal_14 Christiaan_B_Tracker.xlsx | Table row 90 | 10. Site Logistics | Inv Thula Moya IN04595 | Col ExpenseActualTotal</t>
  </si>
  <si>
    <t>4272,6500000000005</t>
  </si>
  <si>
    <t>SA Metal_14 Christiaan_B_Tracker.xlsx | Table row 91 | 10. Site Logistics | Inv Thula Moya IN04592 | Col ExpenseActualTotal</t>
  </si>
  <si>
    <t>SA Metal_20 Christiaan_Tracker.xlsx | Table row 4 | Product/ Service | Inv INVOICE NUMBER | Col ExpenseActualTotal</t>
  </si>
  <si>
    <t>SA Metal_20 Christiaan_Tracker.xlsx | Table row 6 | 1. Panels | Inv Herholdts Inv: INV875402 | Col ExpenseActualTotal</t>
  </si>
  <si>
    <t>188228,25</t>
  </si>
  <si>
    <t>SA Metal_20 Christiaan_Tracker.xlsx | Table row 13 | 2. Inverters | Inv Kathea Inv 518635 | Col ExpenseActualTotal</t>
  </si>
  <si>
    <t>SA Metal_20 Christiaan_Tracker.xlsx | Table row 14 | 2. Inverters | Inv Kathea Inv518655 | Col ExpenseActualTotal</t>
  </si>
  <si>
    <t>45350</t>
  </si>
  <si>
    <t>SA Metal_20 Christiaan_Tracker.xlsx | Table row 18 | 3. Mounting Structures | Inv Schletter INV0895 | Col ExpenseActualTotal</t>
  </si>
  <si>
    <t>27793,200000000001</t>
  </si>
  <si>
    <t>Schletter INV0895</t>
  </si>
  <si>
    <t>SA Metal_20 Christiaan_Tracker.xlsx | Table row 24 | 4. DC Equipment | Inv Herholdts Inv: INV922149 | Col ExpenseActualTotal</t>
  </si>
  <si>
    <t>40500</t>
  </si>
  <si>
    <t>SA Metal_20 Christiaan_Tracker.xlsx | Table row 26 | 4. DC Equipment | Inv Thula Moya INV IN04448 | Col ExpenseActualTotal</t>
  </si>
  <si>
    <t>8481,2000000000007</t>
  </si>
  <si>
    <t>Thula Moya INV IN04448</t>
  </si>
  <si>
    <t>SA Metal_20 Christiaan_Tracker.xlsx | Table row 27 | 4. DC Equipment | Inv Thula Moya IN0449 | Col ExpenseActualTotal</t>
  </si>
  <si>
    <t>12721,8</t>
  </si>
  <si>
    <t>Thula Moya IN0449</t>
  </si>
  <si>
    <t>SA Metal_20 Christiaan_Tracker.xlsx | Table row 28 | 4. DC Equipment | Inv Thula Moya IN04519 | Col ExpenseActualTotal</t>
  </si>
  <si>
    <t>16962,400000000001</t>
  </si>
  <si>
    <t>Thula Moya IN04519</t>
  </si>
  <si>
    <t>SA Metal_20 Christiaan_Tracker.xlsx | Table row 29 | 4. DC Equipment | Inv Thula Moya IN04520 | Col ExpenseActualTotal</t>
  </si>
  <si>
    <t>21203</t>
  </si>
  <si>
    <t>Thula Moya IN04520</t>
  </si>
  <si>
    <t>SA Metal_20 Christiaan_Tracker.xlsx | Table row 30 | 4. DC Equipment | Inv Thula Moya IN04521 | Col ExpenseActualTotal</t>
  </si>
  <si>
    <t>Thula Moya IN04521</t>
  </si>
  <si>
    <t>SA Metal_20 Christiaan_Tracker.xlsx | Table row 31 | 4. DC Equipment | Inv Thula Moya IN04537 | Col ExpenseActualTotal</t>
  </si>
  <si>
    <t>Thula Moya IN04537</t>
  </si>
  <si>
    <t>SA Metal_20 Christiaan_Tracker.xlsx | Table row 32 | 4. DC Equipment | Inv Thula Moya IN04538 | Col ExpenseActualTotal</t>
  </si>
  <si>
    <t>4240,6000000000004</t>
  </si>
  <si>
    <t>Thula Moya IN04538</t>
  </si>
  <si>
    <t>SA Metal_20 Christiaan_Tracker.xlsx | Table row 33 | 4. DC Equipment | Inv Thula Moya IN04594 | Col ExpenseActualTotal</t>
  </si>
  <si>
    <t>Thula Moya IN04594</t>
  </si>
  <si>
    <t>SA Metal_20 Christiaan_Tracker.xlsx | Table row 35 | 5. Monitoring | Inv Solarworld SASIV-24-00517 | Col ExpenseActualTotal</t>
  </si>
  <si>
    <t>SA Metal_20 Christiaan_Tracker.xlsx | Table row 37 | 5. Monitoring | Inv MATRIARCH - INV-3278 | Col ExpenseActualTotal</t>
  </si>
  <si>
    <t>SA Metal_20 Christiaan_Tracker.xlsx | Table row 43 | 6. AC Equipment | Inv Cosmic Sun CS_SAMPVDB_001 | Col ExpenseActualTotal</t>
  </si>
  <si>
    <t>AC &amp; Comms Board - Deposit</t>
  </si>
  <si>
    <t>SA Metal_20 Christiaan_Tracker.xlsx | Table row 47 | 6. AC Equipment | Inv Thula Moya INV IN04448 | Col ExpenseActualTotal</t>
  </si>
  <si>
    <t>9544,6</t>
  </si>
  <si>
    <t>SA Metal_20 Christiaan_Tracker.xlsx | Table row 48 | 6. AC Equipment | Inv Thula Moya IN0449 | Col ExpenseActualTotal</t>
  </si>
  <si>
    <t>14316,9</t>
  </si>
  <si>
    <t>SA Metal_20 Christiaan_Tracker.xlsx | Table row 49 | 6. AC Equipment | Inv Thula Moya IN04519 | Col ExpenseActualTotal</t>
  </si>
  <si>
    <t>19089,2</t>
  </si>
  <si>
    <t>SA Metal_20 Christiaan_Tracker.xlsx | Table row 50 | 6. AC Equipment | Inv Thula Moya IN04520 | Col ExpenseActualTotal</t>
  </si>
  <si>
    <t>23861,5</t>
  </si>
  <si>
    <t>SA Metal_20 Christiaan_Tracker.xlsx | Table row 51 | 6. AC Equipment | Inv Thula Moya IN04521 | Col ExpenseActualTotal</t>
  </si>
  <si>
    <t>SA Metal_20 Christiaan_Tracker.xlsx | Table row 52 | 6. AC Equipment | Inv Thula Moya IN04537 | Col ExpenseActualTotal</t>
  </si>
  <si>
    <t>SA Metal_20 Christiaan_Tracker.xlsx | Table row 53 | 6. AC Equipment | Inv Thula Moya IN04538 | Col ExpenseActualTotal</t>
  </si>
  <si>
    <t>4772,3</t>
  </si>
  <si>
    <t>SA Metal_20 Christiaan_Tracker.xlsx | Table row 54 | 6. AC Equipment | Inv Thula Moya IN04594 | Col ExpenseActualTotal</t>
  </si>
  <si>
    <t>SA Metal_20 Christiaan_Tracker.xlsx | Table row 72 | 9. AC &amp; DC installation | Inv Thula Moya INV IN04448 | Col ExpenseActualTotal</t>
  </si>
  <si>
    <t>10369</t>
  </si>
  <si>
    <t>SA Metal_20 Christiaan_Tracker.xlsx | Table row 73 | 9. AC &amp; DC installation | Inv Thula Moya IN0449 | Col ExpenseActualTotal</t>
  </si>
  <si>
    <t>15553,5</t>
  </si>
  <si>
    <t>SA Metal_20 Christiaan_Tracker.xlsx | Table row 74 | 9. AC &amp; DC installation | Inv Thula Moya IN04519 | Col ExpenseActualTotal</t>
  </si>
  <si>
    <t>20738</t>
  </si>
  <si>
    <t>SA Metal_20 Christiaan_Tracker.xlsx | Table row 75 | 9. AC &amp; DC installation | Inv Thula Moya IN04520 | Col ExpenseActualTotal</t>
  </si>
  <si>
    <t>25922,5</t>
  </si>
  <si>
    <t>SA Metal_20 Christiaan_Tracker.xlsx | Table row 76 | 9. AC &amp; DC installation | Inv Thula Moya IN04521 | Col ExpenseActualTotal</t>
  </si>
  <si>
    <t>SA Metal_20 Christiaan_Tracker.xlsx | Table row 77 | 9. AC &amp; DC installation | Inv Thula Moya IN04537 | Col ExpenseActualTotal</t>
  </si>
  <si>
    <t>SA Metal_20 Christiaan_Tracker.xlsx | Table row 78 | 9. AC &amp; DC installation | Inv Thula Moya IN04538 | Col ExpenseActualTotal</t>
  </si>
  <si>
    <t>5184,5</t>
  </si>
  <si>
    <t>SA Metal_20 Christiaan_Tracker.xlsx | Table row 79 | 9. AC &amp; DC installation | Inv Thula Moya IN04594 | Col ExpenseActualTotal</t>
  </si>
  <si>
    <t>SA Metal_20 Christiaan_Tracker.xlsx | Table row 83 | 10. Site Logistics | Inv Thula Moya INV IN04448 | Col ExpenseActualTotal</t>
  </si>
  <si>
    <t>8782</t>
  </si>
  <si>
    <t>SA Metal_20 Christiaan_Tracker.xlsx | Table row 84 | 10. Site Logistics | Inv Thula Moya IN0449 | Col ExpenseActualTotal</t>
  </si>
  <si>
    <t>13173</t>
  </si>
  <si>
    <t>SA Metal_20 Christiaan_Tracker.xlsx | Table row 85 | 10. Site Logistics | Inv Thula Moya IN04519 | Col ExpenseActualTotal</t>
  </si>
  <si>
    <t>SA Metal_20 Christiaan_Tracker.xlsx | Table row 86 | 10. Site Logistics | Inv Thula Moya IN04520 | Col ExpenseActualTotal</t>
  </si>
  <si>
    <t>SA Metal_20 Christiaan_Tracker.xlsx | Table row 87 | 10. Site Logistics | Inv Thula Moya IN04521 | Col ExpenseActualTotal</t>
  </si>
  <si>
    <t>SA Metal_20 Christiaan_Tracker.xlsx | Table row 88 | 10. Site Logistics | Inv Thula Moya IN04537 | Col ExpenseActualTotal</t>
  </si>
  <si>
    <t>SA Metal_20 Christiaan_Tracker.xlsx | Table row 89 | 10. Site Logistics | Inv Thula Moya IN04538 | Col ExpenseActualTotal</t>
  </si>
  <si>
    <t>SA Metal_20 Christiaan_Tracker.xlsx | Table row 90 | 10. Site Logistics | Inv Thula Moya IN04594 | Col ExpenseActualTotal</t>
  </si>
  <si>
    <t>4391</t>
  </si>
  <si>
    <t>SA Metal_20 Christiaan_Tracker.xlsx | Table row 112 | 14. General Expenses | Inv Expense Claim | Col ExpenseActualTotal</t>
  </si>
  <si>
    <t>14</t>
  </si>
  <si>
    <t xml:space="preserve"> 1 570.98 </t>
  </si>
  <si>
    <t>1570,98</t>
  </si>
  <si>
    <t>SA Metal_22 Christiaan_Tracker.xlsx | Table row 4 | Product/ Service | Inv INVOICE NUMBER | Col ExpenseActualTotal</t>
  </si>
  <si>
    <t>SA Metal_22 Christiaan_Tracker.xlsx | Table row 6 | 1. Panels | Inv Herholdts Inv: INV875402 | Col ExpenseActualTotal</t>
  </si>
  <si>
    <t>318431,25</t>
  </si>
  <si>
    <t>SA Metal_22 Christiaan_Tracker.xlsx | Table row 13 | 2. Inverters | Inv Kathea Inv518635 | Col ExpenseActualTotal</t>
  </si>
  <si>
    <t>137740</t>
  </si>
  <si>
    <t>SA Metal_22 Christiaan_Tracker.xlsx | Table row 18 | 3. Mounting Structures | Inv Schletter Inv0891 | Col ExpenseActualTotal</t>
  </si>
  <si>
    <t>MS</t>
  </si>
  <si>
    <t>56499,4</t>
  </si>
  <si>
    <t>Schletter Inv0891</t>
  </si>
  <si>
    <t>SA Metal_22 Christiaan_Tracker.xlsx | Table row 26 | 4. DC Equipment | Inv Herholdts Inv: INV922149 | Col ExpenseActualTotal</t>
  </si>
  <si>
    <t>108000</t>
  </si>
  <si>
    <t>SA Metal_22 Christiaan_Tracker.xlsx | Table row 28 | 4. DC Equipment | Inv Thula Moya Inv04436 | Col ExpenseActualTotal</t>
  </si>
  <si>
    <t>13425</t>
  </si>
  <si>
    <t>Thula Moya Inv04436</t>
  </si>
  <si>
    <t>SA Metal_22 Christiaan_Tracker.xlsx | Table row 29 | 4. DC Equipment | Inv Thula Moya Inv04439 | Col ExpenseActualTotal</t>
  </si>
  <si>
    <t>20137,5</t>
  </si>
  <si>
    <t>Thula Moya Inv04439</t>
  </si>
  <si>
    <t>SA Metal_22 Christiaan_Tracker.xlsx | Table row 30 | 4. DC Equipment | Inv Thula Moya IN04473 | Col ExpenseActualTotal</t>
  </si>
  <si>
    <t>26850</t>
  </si>
  <si>
    <t>Thula Moya IN04473</t>
  </si>
  <si>
    <t>SA Metal_22 Christiaan_Tracker.xlsx | Table row 31 | 4. DC Equipment | Inv Thula Moya IN04474 | Col ExpenseActualTotal</t>
  </si>
  <si>
    <t>33562,5</t>
  </si>
  <si>
    <t>Thula Moya IN04474</t>
  </si>
  <si>
    <t>SA Metal_22 Christiaan_Tracker.xlsx | Table row 32 | 4. DC Equipment | Inv Thula Moya IN04475 | Col ExpenseActualTotal</t>
  </si>
  <si>
    <t>Thula Moya IN04475</t>
  </si>
  <si>
    <t>SA Metal_22 Christiaan_Tracker.xlsx | Table row 33 | 4. DC Equipment | Inv Thula Moya IN04476 | Col ExpenseActualTotal</t>
  </si>
  <si>
    <t>Thula Moya IN04476</t>
  </si>
  <si>
    <t>SA Metal_22 Christiaan_Tracker.xlsx | Table row 34 | 4. DC Equipment | Inv Thula Moya IN04598 | Col ExpenseActualTotal</t>
  </si>
  <si>
    <t>6712,5</t>
  </si>
  <si>
    <t>Thula Moya IN04598</t>
  </si>
  <si>
    <t>SA Metal_22 Christiaan_Tracker.xlsx | Table row 35 | 4. DC Equipment | Inv Thula Moya IN04599 | Col ExpenseActualTotal</t>
  </si>
  <si>
    <t>Thula Moya IN04599</t>
  </si>
  <si>
    <t>SA Metal_22 Christiaan_Tracker.xlsx | Table row 37 | 5. Monitoring | Inv Solarworld SASIV-24-00517 | Col ExpenseActualTotal</t>
  </si>
  <si>
    <t>SA Metal_22 Christiaan_Tracker.xlsx | Table row 39 | 5. Monitoring | Inv MATRIARCH - INV-3278 | Col ExpenseActualTotal</t>
  </si>
  <si>
    <t>SA Metal_22 Christiaan_Tracker.xlsx | Table row 45 | 6. AC Equipment | Inv Cosmic Sun CS_SAMPVDB_001 | Col ExpenseActualTotal</t>
  </si>
  <si>
    <t>26280</t>
  </si>
  <si>
    <t>SA Metal_22 Christiaan_Tracker.xlsx | Table row 50 | 6. AC Equipment | Inv Thula Moya Inv04436 | Col ExpenseActualTotal</t>
  </si>
  <si>
    <t>14673,2</t>
  </si>
  <si>
    <t>SA Metal_22 Christiaan_Tracker.xlsx | Table row 51 | 6. AC Equipment | Inv Thula Moya Inv04439 | Col ExpenseActualTotal</t>
  </si>
  <si>
    <t>22009,3</t>
  </si>
  <si>
    <t>SA Metal_22 Christiaan_Tracker.xlsx | Table row 52 | 6. AC Equipment | Inv Thula Moya IN04473 | Col ExpenseActualTotal</t>
  </si>
  <si>
    <t>29346,400000000001</t>
  </si>
  <si>
    <t>SA Metal_22 Christiaan_Tracker.xlsx | Table row 53 | 6. AC Equipment | Inv Thula Moya IN04474 | Col ExpenseActualTotal</t>
  </si>
  <si>
    <t>36683</t>
  </si>
  <si>
    <t>SA Metal_22 Christiaan_Tracker.xlsx | Table row 54 | 6. AC Equipment | Inv Thula Moya IN04475 | Col ExpenseActualTotal</t>
  </si>
  <si>
    <t>SA Metal_22 Christiaan_Tracker.xlsx | Table row 55 | 6. AC Equipment | Inv Thula Moya IN04476 | Col ExpenseActualTotal</t>
  </si>
  <si>
    <t>SA Metal_22 Christiaan_Tracker.xlsx | Table row 56 | 6. AC Equipment | Inv Thula Moya IN04598 | Col ExpenseActualTotal</t>
  </si>
  <si>
    <t>7336,6</t>
  </si>
  <si>
    <t>SA Metal_22 Christiaan_Tracker.xlsx | Table row 57 | 6. AC Equipment | Inv Thula Moya IN04599 | Col ExpenseActualTotal</t>
  </si>
  <si>
    <t>SA Metal_22 Christiaan_Tracker.xlsx | Table row 77 | 9. AC &amp; DC installation | Inv Thula Moya Inv04436 | Col ExpenseActualTotal</t>
  </si>
  <si>
    <t>17501,38</t>
  </si>
  <si>
    <t>SA Metal_22 Christiaan_Tracker.xlsx | Table row 78 | 9. AC &amp; DC installation | Inv Thula Moya Inv04439 | Col ExpenseActualTotal</t>
  </si>
  <si>
    <t>26252,069999999996</t>
  </si>
  <si>
    <t>SA Metal_22 Christiaan_Tracker.xlsx | Table row 79 | 9. AC &amp; DC installation | Inv Thula Moya IN04473 | Col ExpenseActualTotal</t>
  </si>
  <si>
    <t>35002,76</t>
  </si>
  <si>
    <t>SA Metal_22 Christiaan_Tracker.xlsx | Table row 80 | 9. AC &amp; DC installation | Inv Thula Moya IN04474 | Col ExpenseActualTotal</t>
  </si>
  <si>
    <t>43753,45</t>
  </si>
  <si>
    <t>SA Metal_22 Christiaan_Tracker.xlsx | Table row 81 | 9. AC &amp; DC installation | Inv Thula Moya IN04475 | Col ExpenseActualTotal</t>
  </si>
  <si>
    <t>SA Metal_22 Christiaan_Tracker.xlsx | Table row 82 | 9. AC &amp; DC installation | Inv Thula Moya IN04476 | Col ExpenseActualTotal</t>
  </si>
  <si>
    <t>SA Metal_22 Christiaan_Tracker.xlsx | Table row 83 | 9. AC &amp; DC installation | Inv Thula Moya IN04598 | Col ExpenseActualTotal</t>
  </si>
  <si>
    <t>8750,69</t>
  </si>
  <si>
    <t>SA Metal_22 Christiaan_Tracker.xlsx | Table row 84 | 9. AC &amp; DC installation | Inv Thula Moya IN04599 | Col ExpenseActualTotal</t>
  </si>
  <si>
    <t>SA Metal_22 Christiaan_Tracker.xlsx | Table row 88 | 10. Site Logistics | Inv Thula Moya Inv04436 | Col ExpenseActualTotal</t>
  </si>
  <si>
    <t>10776,7</t>
  </si>
  <si>
    <t>SA Metal_22 Christiaan_Tracker.xlsx | Table row 89 | 10. Site Logistics | Inv Thula Moya Inv04439 | Col ExpenseActualTotal</t>
  </si>
  <si>
    <t>16165,05</t>
  </si>
  <si>
    <t>SA Metal_22 Christiaan_Tracker.xlsx | Table row 90 | 10. Site Logistics | Inv Thula Moya IN04473 | Col ExpenseActualTotal</t>
  </si>
  <si>
    <t>21553,4</t>
  </si>
  <si>
    <t>SA Metal_22 Christiaan_Tracker.xlsx | Table row 91 | 10. Site Logistics | Inv Thula Moya IN04474 | Col ExpenseActualTotal</t>
  </si>
  <si>
    <t>26941,75</t>
  </si>
  <si>
    <t>SA Metal_22 Christiaan_Tracker.xlsx | Table row 92 | 10. Site Logistics | Inv Thula Moya IN04475 | Col ExpenseActualTotal</t>
  </si>
  <si>
    <t>SA Metal_22 Christiaan_Tracker.xlsx | Table row 93 | 10. Site Logistics | Inv Thula Moya IN04476 | Col ExpenseActualTotal</t>
  </si>
  <si>
    <t>SA Metal_22 Christiaan_Tracker.xlsx | Table row 94 | 10. Site Logistics | Inv Thula Moya IN04598 | Col ExpenseActualTotal</t>
  </si>
  <si>
    <t>5388,35</t>
  </si>
  <si>
    <t>SA Metal_22 Christiaan_Tracker.xlsx | Table row 95 | 10. Site Logistics | Inv Thula Moya IN04599 | Col ExpenseActualTotal</t>
  </si>
  <si>
    <t>Seshego Circle_Tracker.xlsx | Table row 6 | Jinko 590  | Inv Menlo - INV0003320 | Col ExpenseActualTotal</t>
  </si>
  <si>
    <t xml:space="preserve">Jinko 590 </t>
  </si>
  <si>
    <t>Menlo - INV0003320</t>
  </si>
  <si>
    <t>Seshego Circle_Tracker.xlsx | Table row 7 | Jinko 590 balance  | Inv Menlo - INV0003319 | Col ExpenseActualTotal</t>
  </si>
  <si>
    <t xml:space="preserve">Jinko 590 balance </t>
  </si>
  <si>
    <t>Menlo - INV0003319</t>
  </si>
  <si>
    <t>Seshego Circle_Tracker.xlsx | Table row 9 | Replacement Panels - Damaged due to weather | Inv MSA Energy - INV0003547 | Col ExpenseActualTotal</t>
  </si>
  <si>
    <t>Replacement Panels - Damaged due to weather</t>
  </si>
  <si>
    <t>PO4556-DSHC-20260119 - RV Approved</t>
  </si>
  <si>
    <t>MSA Energy - INV0003547</t>
  </si>
  <si>
    <t>Seshego Circle_Tracker.xlsx | Table row 10 | Panels and Delivery | Inv MSA Energy - INV0003541 | Col ExpenseActualTotal</t>
  </si>
  <si>
    <t>Panels and Delivery</t>
  </si>
  <si>
    <t>MSA Energy - INV0003541</t>
  </si>
  <si>
    <t>Seshego Circle_Tracker.xlsx | Table row 13 | Huawei 100KTL | Inv Menlo - INV0003320 | Col ExpenseActualTotal</t>
  </si>
  <si>
    <t>Seshego Circle_Tracker.xlsx | Table row 21 | K2 Structure | Inv Krannich - 15-10014095 | Col ExpenseActualTotal</t>
  </si>
  <si>
    <t>K2 Structure</t>
  </si>
  <si>
    <t>PO4364-DSHC-20251009 - RV Approved</t>
  </si>
  <si>
    <t>Krannich - 15-10014095</t>
  </si>
  <si>
    <t>Seshego Circle_Tracker.xlsx | Table row 22 |  | Inv krannich - 15-10014122 | Col ExpenseActualTotal</t>
  </si>
  <si>
    <t>krannich - 15-10014122</t>
  </si>
  <si>
    <t>Seshego Circle_Tracker.xlsx | Table row 23 |  | Inv krannich - 15-10014093 | Col ExpenseActualTotal</t>
  </si>
  <si>
    <t>krannich - 15-10014093</t>
  </si>
  <si>
    <t>Seshego Circle_Tracker.xlsx | Table row 24 |  | Inv Krannich - 15-10014094 | Col ExpenseActualTotal</t>
  </si>
  <si>
    <t>Krannich - 15-10014094</t>
  </si>
  <si>
    <t>Seshego Circle_Tracker.xlsx | Table row 25 | Earthing plates | Inv K2 Systems - Inv139402 | Col ExpenseActualTotal</t>
  </si>
  <si>
    <t>Earthing plates</t>
  </si>
  <si>
    <t>PO4490-DSHC-20251125 - RV Approved</t>
  </si>
  <si>
    <t>K2 Systems - Inv139402</t>
  </si>
  <si>
    <t>Seshego Circle_Tracker.xlsx | Table row 26 |  | Inv K2 Systems - Credit SACN42026 | Col ExpenseActualTotal</t>
  </si>
  <si>
    <t>K2 Systems - Credit SACN42026</t>
  </si>
  <si>
    <t>Seshego Circle_Tracker.xlsx | Table row 27 | XS Clamps - K2 | Inv  | Col ExpenseActualTotal</t>
  </si>
  <si>
    <t>XS Clamps - K2</t>
  </si>
  <si>
    <t>PO4616-DSHC-20260211 - RV Approved</t>
  </si>
  <si>
    <t>Seshego Circle_Tracker.xlsx | Table row 28 | Terragriff (254 clamps short returned) to be deducted from subbie | Inv  | Col ExpenseActualTotal</t>
  </si>
  <si>
    <t>Terragriff (254 clamps short returned) to be deducted from subbie</t>
  </si>
  <si>
    <t>Seshego Circle_Tracker.xlsx | Table row 29 | Universal KL-Clamp | Inv K2 Systems - InvSAI672026 | Col ExpenseActualTotal</t>
  </si>
  <si>
    <t>Universal KL-Clamp</t>
  </si>
  <si>
    <t>PO4553-DSHC-20260116 - RV Approved</t>
  </si>
  <si>
    <t>K2 Systems - InvSAI672026</t>
  </si>
  <si>
    <t>Seshego Circle_Tracker.xlsx | Table row 31 | DC Cable - old price | Inv Menlo - INV0003320 | Col ExpenseActualTotal</t>
  </si>
  <si>
    <t>DC Cable - old price</t>
  </si>
  <si>
    <t>Seshego Circle_Tracker.xlsx | Table row 32 |  | Inv Menlo - INV0003320 | Col ExpenseActualTotal</t>
  </si>
  <si>
    <t>Seshego Circle_Tracker.xlsx | Table row 35 | Project Kick Off | Inv JA Electrical - Inv 1104 | Col ExpenseActualTotal</t>
  </si>
  <si>
    <t>JA Electrical - Inv 1104</t>
  </si>
  <si>
    <t>Seshego Circle_Tracker.xlsx | Table row 36 | Site Establishment | Inv JA Electrical - Inv 1105 | Col ExpenseActualTotal</t>
  </si>
  <si>
    <t>JA Electrical - Inv 1105</t>
  </si>
  <si>
    <t>Seshego Circle_Tracker.xlsx | Table row 37 | AC Installation Complete | Inv JA ElectricalInv 1142 | Col ExpenseActualTotal</t>
  </si>
  <si>
    <t>JA ElectricalInv 1142</t>
  </si>
  <si>
    <t>Seshego Circle_Tracker.xlsx | Table row 38 | AC Installation Complete | Inv JA Electrical Inv 1156 | Col ExpenseActualTotal</t>
  </si>
  <si>
    <t>JA Electrical Inv 1156</t>
  </si>
  <si>
    <t>Seshego Circle_Tracker.xlsx | Table row 39 | AC Installation Complete | Inv  | Col ExpenseActualTotal</t>
  </si>
  <si>
    <t>Seshego Circle_Tracker.xlsx | Table row 40 | DC Installation Complete | Inv JA ElectricalInv 1142 | Col ExpenseActualTotal</t>
  </si>
  <si>
    <t>Seshego Circle_Tracker.xlsx | Table row 41 | DC Installation Complete | Inv JA Electrical Inv 1156 | Col ExpenseActualTotal</t>
  </si>
  <si>
    <t>Seshego Circle_Tracker.xlsx | Table row 42 | DC Installation Complete | Inv  | Col ExpenseActualTotal</t>
  </si>
  <si>
    <t>Seshego Circle_Tracker.xlsx | Table row 43 | Commissioning Complete | Inv  | Col ExpenseActualTotal</t>
  </si>
  <si>
    <t>Seshego Circle_Tracker.xlsx | Table row 44 | Site De-establisment | Inv  | Col ExpenseActualTotal</t>
  </si>
  <si>
    <t>Seshego Circle_Tracker.xlsx | Table row 45 | Handover Document Complete | Inv  | Col ExpenseActualTotal</t>
  </si>
  <si>
    <t>Seshego Circle_Tracker.xlsx | Table row 46 | End of Defects Period | Inv  | Col ExpenseActualTotal</t>
  </si>
  <si>
    <t>Seshego Circle_Tracker.xlsx | Table row 51 | Smartlogger | Inv Menlo - INV0003320 | Col ExpenseActualTotal</t>
  </si>
  <si>
    <t>Seshego Circle_Tracker.xlsx | Table row 52 | CTs &amp; Meters | Inv Accuenergy Inv :ASAI-006727 | Col ExpenseActualTotal</t>
  </si>
  <si>
    <t>PO4416-DSHC-20251028 - RV Approved</t>
  </si>
  <si>
    <t>Accuenergy Inv :ASAI-006727</t>
  </si>
  <si>
    <t>Seshego Circle_Tracker.xlsx | Table row 53 | Techsitter | Inv Matriarch - INV-4742 | Col ExpenseActualTotal</t>
  </si>
  <si>
    <t>Seshego Circle_Tracker.xlsx | Table row 54 | DElivery of Techsitter | Inv DSV Inv:180156930 | Col ExpenseActualTotal</t>
  </si>
  <si>
    <t>DElivery of Techsitter</t>
  </si>
  <si>
    <t>DSV Inv:180156930</t>
  </si>
  <si>
    <t>Seshego Circle_Tracker.xlsx | Table row 55 | Apex Device and Licenses | Inv Rubicon INVWCRE-0069079 | Col ExpenseActualTotal</t>
  </si>
  <si>
    <t>Apex Device and Licenses</t>
  </si>
  <si>
    <t>Rubicon INVWCRE-0069079</t>
  </si>
  <si>
    <t>Seshego Circle_Tracker.xlsx | Table row 56 | Above Apex allocated to Corporate Park | Inv Allocated to Corporate Park | Col ExpenseActualTotal</t>
  </si>
  <si>
    <t>Above Apex allocated to Corporate Park</t>
  </si>
  <si>
    <t>Allocated to Corporate Park</t>
  </si>
  <si>
    <t>Seshego Circle_Tracker.xlsx | Table row 57 | New Apex device | Inv Rubicon - INVWCRE-0072121 | Col ExpenseActualTotal</t>
  </si>
  <si>
    <t>New Apex device</t>
  </si>
  <si>
    <t>PO4420-DSHC-20251029 - RV Approved</t>
  </si>
  <si>
    <t>Rubicon - INVWCRE-0072121</t>
  </si>
  <si>
    <t>Seshego Circle_Tracker.xlsx | Table row 58 | Delivery of Apex | Inv DSV Inv:180155155 | Col ExpenseActualTotal</t>
  </si>
  <si>
    <t>DSV Inv:180155155</t>
  </si>
  <si>
    <t>Seshego Circle_Tracker.xlsx | Table row 59 | UPS | Inv Frontiline QTE107313 | Col ExpenseActualTotal</t>
  </si>
  <si>
    <t>PO4070-DSHC-20250630 - RV Approved</t>
  </si>
  <si>
    <t>Frontiline QTE107313</t>
  </si>
  <si>
    <t>Seshego Circle_Tracker.xlsx | Table row 64 | PVDB | Inv Switchboard - 2-SOI002604 | Col ExpenseActualTotal</t>
  </si>
  <si>
    <t>PO4330-DSHC-20250925 - MI Approved</t>
  </si>
  <si>
    <t>Switchboard - 2-SOI002604</t>
  </si>
  <si>
    <t>Seshego Circle_Tracker.xlsx | Table row 69 | Project Kick Off | Inv JA Electrical - Inv 1104 | Col ExpenseActualTotal</t>
  </si>
  <si>
    <t>Seshego Circle_Tracker.xlsx | Table row 70 | Site Establishment | Inv JA Electrical - Inv 1105 | Col ExpenseActualTotal</t>
  </si>
  <si>
    <t>Seshego Circle_Tracker.xlsx | Table row 71 | AC Installation Complete | Inv JA ElectricalInv 1142 | Col ExpenseActualTotal</t>
  </si>
  <si>
    <t>Seshego Circle_Tracker.xlsx | Table row 72 | AC Installation Complete | Inv JA Electrical Inv 1156 | Col ExpenseActualTotal</t>
  </si>
  <si>
    <t>Seshego Circle_Tracker.xlsx | Table row 73 | AC Installation Complete | Inv  | Col ExpenseActualTotal</t>
  </si>
  <si>
    <t>Seshego Circle_Tracker.xlsx | Table row 74 | DC Installation Complete | Inv JA ElectricalInv 1142 | Col ExpenseActualTotal</t>
  </si>
  <si>
    <t>Seshego Circle_Tracker.xlsx | Table row 75 | DC Installation Complete | Inv  | Col ExpenseActualTotal</t>
  </si>
  <si>
    <t>Seshego Circle_Tracker.xlsx | Table row 76 | DC Installation Complete | Inv JA Electrical Inv 1156 | Col ExpenseActualTotal</t>
  </si>
  <si>
    <t>Seshego Circle_Tracker.xlsx | Table row 77 | Commissioning Complete | Inv  | Col ExpenseActualTotal</t>
  </si>
  <si>
    <t>Seshego Circle_Tracker.xlsx | Table row 78 | Site De-establisment | Inv  | Col ExpenseActualTotal</t>
  </si>
  <si>
    <t>Seshego Circle_Tracker.xlsx | Table row 79 | Handover Document Complete | Inv  | Col ExpenseActualTotal</t>
  </si>
  <si>
    <t>Seshego Circle_Tracker.xlsx | Table row 80 | End of Defects Period | Inv  | Col ExpenseActualTotal</t>
  </si>
  <si>
    <t>Seshego Circle_Tracker.xlsx | Table row 95 | Tie In Kiosk | Inv  | Col ExpenseActualTotal</t>
  </si>
  <si>
    <t>Tie In Kiosk</t>
  </si>
  <si>
    <t>Seshego Circle_Tracker.xlsx | Table row 97 | Brick Face Inverter Rooms | Inv Van Staden Three : Inv 3021 | Col ExpenseActualTotal</t>
  </si>
  <si>
    <t>Brick Face Inverter Rooms</t>
  </si>
  <si>
    <t>PO4365-DSHC-20251013 - RV Approved</t>
  </si>
  <si>
    <t>Van Staden Three : Inv 3021</t>
  </si>
  <si>
    <t>Seshego Circle_Tracker.xlsx | Table row 98 |  | Inv Van Staden Three : Inv 3037 | Col ExpenseActualTotal</t>
  </si>
  <si>
    <t>Van Staden Three : Inv 3037</t>
  </si>
  <si>
    <t>Seshego Circle_Tracker.xlsx | Table row 99 | Inverter stand | Inv JA Electrical - Inv 1144 | Col ExpenseActualTotal</t>
  </si>
  <si>
    <t>Inverter stand</t>
  </si>
  <si>
    <t>PO4450-DSHC-20251107 - RV Approved</t>
  </si>
  <si>
    <t>JA Electrical - Inv 1144</t>
  </si>
  <si>
    <t>Seshego Circle_Tracker.xlsx | Table row 101 | Grounding Washers | Inv JA Electrical Inv 1156 | Col ExpenseActualTotal</t>
  </si>
  <si>
    <t>Grounding Washers</t>
  </si>
  <si>
    <t>PO4571-DSHC-20260123 - RV Approved</t>
  </si>
  <si>
    <t>Seshego Circle_Tracker.xlsx | Table row 105 | Project Kick Off | Inv JA Electrical - Inv 1104 | Col ExpenseActualTotal</t>
  </si>
  <si>
    <t>Seshego Circle_Tracker.xlsx | Table row 106 | Site Establishment | Inv JA Electrical - Inv 1105 | Col ExpenseActualTotal</t>
  </si>
  <si>
    <t>Seshego Circle_Tracker.xlsx | Table row 107 | AC Installation Complete | Inv JA ElectricalInv 1142 | Col ExpenseActualTotal</t>
  </si>
  <si>
    <t>Seshego Circle_Tracker.xlsx | Table row 108 | AC Installation Complete | Inv JA Electrical Inv 1156 | Col ExpenseActualTotal</t>
  </si>
  <si>
    <t>Seshego Circle_Tracker.xlsx | Table row 109 | AC Installation Complete | Inv  | Col ExpenseActualTotal</t>
  </si>
  <si>
    <t>Seshego Circle_Tracker.xlsx | Table row 110 | DC Installation Complete | Inv JA ElectricalInv 1142 | Col ExpenseActualTotal</t>
  </si>
  <si>
    <t>Seshego Circle_Tracker.xlsx | Table row 111 | DC Installation Complete | Inv JA Electrical Inv 1156 | Col ExpenseActualTotal</t>
  </si>
  <si>
    <t>Seshego Circle_Tracker.xlsx | Table row 112 | DC Installation Complete | Inv  | Col ExpenseActualTotal</t>
  </si>
  <si>
    <t>Seshego Circle_Tracker.xlsx | Table row 113 | Commissioning Complete | Inv  | Col ExpenseActualTotal</t>
  </si>
  <si>
    <t>Seshego Circle_Tracker.xlsx | Table row 114 | Site De-establisment | Inv  | Col ExpenseActualTotal</t>
  </si>
  <si>
    <t>Seshego Circle_Tracker.xlsx | Table row 115 | Handover Document Complete | Inv  | Col ExpenseActualTotal</t>
  </si>
  <si>
    <t>Seshego Circle_Tracker.xlsx | Table row 116 | End of Defects Period | Inv  | Col ExpenseActualTotal</t>
  </si>
  <si>
    <t>Seshego Circle_Tracker.xlsx | Table row 122 | Security - Oct - Deposit | Inv Cycad Security - INV0002672 | Col ExpenseActualTotal</t>
  </si>
  <si>
    <t>Security - Oct - Deposit</t>
  </si>
  <si>
    <t>PO4363-DSHC-20251009 - RV Approved</t>
  </si>
  <si>
    <t>Cycad Security - INV0002672</t>
  </si>
  <si>
    <t>Seshego Circle_Tracker.xlsx | Table row 123 | Security - Oct - Balance | Inv Cycad Security - INV0002672 | Col ExpenseActualTotal</t>
  </si>
  <si>
    <t>Security - Oct - Balance</t>
  </si>
  <si>
    <t>Seshego Circle_Tracker.xlsx | Table row 124 | Security - Nov | Inv Cycad Security - INV0002699 | Col ExpenseActualTotal</t>
  </si>
  <si>
    <t>Security - Nov</t>
  </si>
  <si>
    <t>Cycad Security - INV0002699</t>
  </si>
  <si>
    <t>Seshego Circle_Tracker.xlsx | Table row 125 | Security - Dec 02-11/12 | Inv Cycad Security - INV0002713 | Col ExpenseActualTotal</t>
  </si>
  <si>
    <t>Security - Dec 02-11/12</t>
  </si>
  <si>
    <t xml:space="preserve">PO4524-DSHC-20251208-MI - Approved </t>
  </si>
  <si>
    <t>Cycad Security - INV0002713</t>
  </si>
  <si>
    <t>Seshego Circle_Tracker.xlsx | Table row 129 | Project Kick Off | Inv JA Electrical - Inv 1104 | Col ExpenseActualTotal</t>
  </si>
  <si>
    <t>Seshego Circle_Tracker.xlsx | Table row 130 | Site Establishment | Inv JA Electrical - Inv 1105 | Col ExpenseActualTotal</t>
  </si>
  <si>
    <t>Seshego Circle_Tracker.xlsx | Table row 131 | AC Installation Complete | Inv JA ElectricalInv 1142 | Col ExpenseActualTotal</t>
  </si>
  <si>
    <t>Seshego Circle_Tracker.xlsx | Table row 132 | AC Installation Complete | Inv JA Electrical Inv 1156 | Col ExpenseActualTotal</t>
  </si>
  <si>
    <t>Seshego Circle_Tracker.xlsx | Table row 133 | AC Installation Complete | Inv  | Col ExpenseActualTotal</t>
  </si>
  <si>
    <t>Seshego Circle_Tracker.xlsx | Table row 134 | DC Installation Complete | Inv JA ElectricalInv 1142 | Col ExpenseActualTotal</t>
  </si>
  <si>
    <t>Seshego Circle_Tracker.xlsx | Table row 135 | DC Installation Complete | Inv JA Electrical Inv 1156 | Col ExpenseActualTotal</t>
  </si>
  <si>
    <t>Seshego Circle_Tracker.xlsx | Table row 136 | DC Installation Complete | Inv  | Col ExpenseActualTotal</t>
  </si>
  <si>
    <t>Seshego Circle_Tracker.xlsx | Table row 137 | Commissioning Complete | Inv  | Col ExpenseActualTotal</t>
  </si>
  <si>
    <t>Seshego Circle_Tracker.xlsx | Table row 138 | Site De-establisment | Inv  | Col ExpenseActualTotal</t>
  </si>
  <si>
    <t>Seshego Circle_Tracker.xlsx | Table row 139 | Handover Document Complete | Inv  | Col ExpenseActualTotal</t>
  </si>
  <si>
    <t>Seshego Circle_Tracker.xlsx | Table row 140 | End of Defects Period | Inv  | Col ExpenseActualTotal</t>
  </si>
  <si>
    <t>Seshego Circle_Tracker.xlsx | Table row 145 | Electrical PrEng sign off | Inv  | Col ExpenseActualTotal</t>
  </si>
  <si>
    <t>Seshego Circle_Tracker.xlsx | Table row 146 | Structural sign off | Inv L &amp; B consulting Inv: 1934 | Col ExpenseActualTotal</t>
  </si>
  <si>
    <t>L &amp; B consulting Inv: 1934</t>
  </si>
  <si>
    <t>Seshego Circle_Tracker.xlsx | Table row 147 | Site Inspection | Inv Ace Properties: Inv 3031 | Col ExpenseActualTotal</t>
  </si>
  <si>
    <t>Site Inspection</t>
  </si>
  <si>
    <t>Ace Properties: Inv 3031</t>
  </si>
  <si>
    <t>Seshego Circle_Tracker.xlsx | Table row 148 | Grid Study - Outside of CoCT | Inv Okusha Engineering EE20 | Col ExpenseActualTotal</t>
  </si>
  <si>
    <t>PO4167-DSHC-20250728 - RV Approved</t>
  </si>
  <si>
    <t>Okusha Engineering EE20</t>
  </si>
  <si>
    <t>Seshego Circle_Tracker.xlsx | Table row 149 | Red Team | Inv  | Col ExpenseActualTotal</t>
  </si>
  <si>
    <t>Seshego Circle_Tracker.xlsx | Table row 154 | Matriarch Defects Period - 1.25% | Inv  | Col ExpenseActualTotal</t>
  </si>
  <si>
    <t>Seshego Circle_Tracker.xlsx | Table row 161 | Travel | Inv Expense Claim | Col ExpenseActualTotal</t>
  </si>
  <si>
    <t>Seshego Circle_Tracker.xlsx | Table row 162 | Travel | Inv Expense Claim | Col ExpenseActualTotal</t>
  </si>
  <si>
    <t>Seshego Circle_Tracker.xlsx | Table row 163 | Travel | Inv Expense Claim | Col ExpenseActualTotal</t>
  </si>
  <si>
    <t>Seshego Circle_Tracker.xlsx | Table row 164 | Travel | Inv Expense Claim | Col ExpenseActualTotal</t>
  </si>
  <si>
    <t>Seshego Circle_Tracker.xlsx | Table row 165 | Travel | Inv Expense Claim | Col ExpenseActualTotal</t>
  </si>
  <si>
    <t>Seshego Circle_Tracker.xlsx | Table row 166 |  | Inv  | Col ExpenseActualTotal</t>
  </si>
  <si>
    <t>Seshego Circle_Tracker.xlsx | Table row 176 | Relocation of panels - JA Electrical | Inv JA Electrical - Inv 1143 | Col ExpenseActualTotal</t>
  </si>
  <si>
    <t>Relocation of panels - JA Electrical</t>
  </si>
  <si>
    <t>PO4507-DSHC-20251201 - RV Approved</t>
  </si>
  <si>
    <t>JA Electrical - Inv 1143</t>
  </si>
  <si>
    <t>Seshego Circle_Tracker.xlsx | Table row 177 | Trenching - MI changed the cost back to R54437,44 (actual cost approved) | Inv JA Electrical Inv 1156 | Col ExpenseActualTotal</t>
  </si>
  <si>
    <t>Trenching - MI changed the cost back to R54437,44 (actual cost approved)</t>
  </si>
  <si>
    <t>PO4518-DSHC-20251203 - RV Approved</t>
  </si>
  <si>
    <t>Seshego Circle_Tracker.xlsx | Table row 179 | Supply and install cable | Inv JA Electrical Inv 1156 | Col ExpenseActualTotal</t>
  </si>
  <si>
    <t>Supply and install cable</t>
  </si>
  <si>
    <t>Seshego Circle_Tracker.xlsx | Table row 181 | Supply and Install Fiber cables | Inv  | Col ExpenseActualTotal</t>
  </si>
  <si>
    <t>Supply and Install Fiber cables</t>
  </si>
  <si>
    <t>PO4610-DSHC-20260205 - RV Approved</t>
  </si>
  <si>
    <t>Shoprite Mini_Bredarsdorp_Tracker.xlsx | Table row 6 | JA Solar 600W (Menlo) | Inv Menlo - INV0003417 | Col ExpenseActualTotal</t>
  </si>
  <si>
    <t>JA Solar 600W (Menlo)</t>
  </si>
  <si>
    <t>Menlo - INV0003417</t>
  </si>
  <si>
    <t>Shoprite Mini_Bredarsdorp_Tracker.xlsx | Table row 7 | JA Solar 600W (Menlo) | Inv Menlo - INV0003407 | Col ExpenseActualTotal</t>
  </si>
  <si>
    <t>Menlo - INV0003407</t>
  </si>
  <si>
    <t>Shoprite Mini_Bredarsdorp_Tracker.xlsx | Table row 8 | QC4 Connectors | Inv MSA Energy INV0003456 | Col ExpenseActualTotal</t>
  </si>
  <si>
    <t>MSA Energy INV0003456</t>
  </si>
  <si>
    <t>Shoprite Mini_Bredarsdorp_Tracker.xlsx | Table row 10 | Module transport | Inv MSA Energy INV0003436 | Col ExpenseActualTotal</t>
  </si>
  <si>
    <t>Module transport</t>
  </si>
  <si>
    <t>MSA Energy INV0003436</t>
  </si>
  <si>
    <t>Shoprite Mini_Bredarsdorp_Tracker.xlsx | Table row 13 | Huawei 100KTL Menlo | Inv Menlo - INV0003407 | Col ExpenseActualTotal</t>
  </si>
  <si>
    <t>Huawei 100KTL Menlo</t>
  </si>
  <si>
    <t>Shoprite Mini_Bredarsdorp_Tracker.xlsx | Table row 22 | Schletter Structure | Inv Schletter - INV2381 | Col ExpenseActualTotal</t>
  </si>
  <si>
    <t>PO4423-RRB-20251030 - RV Approved</t>
  </si>
  <si>
    <t>Schletter - INV2381</t>
  </si>
  <si>
    <t>Shoprite Mini_Bredarsdorp_Tracker.xlsx | Table row 24 | Additional nuts and bolts | Inv Schletter - INV2403 | Col ExpenseActualTotal</t>
  </si>
  <si>
    <t>Additional nuts and bolts</t>
  </si>
  <si>
    <t>PO4455-RRB-20251110 -  RV Approved</t>
  </si>
  <si>
    <t>Schletter - INV2403</t>
  </si>
  <si>
    <t>Shoprite Mini_Bredarsdorp_Tracker.xlsx | Table row 29 | DC Cable | Inv Menlo - INV0003407 | Col ExpenseActualTotal</t>
  </si>
  <si>
    <t>Shoprite Mini_Bredarsdorp_Tracker.xlsx | Table row 30 | DC Cable - Black | Inv Alllocated to Cpt Storeroom | Col ExpenseActualTotal</t>
  </si>
  <si>
    <t>DC Cable - Black</t>
  </si>
  <si>
    <t>Alllocated to Cpt Storeroom</t>
  </si>
  <si>
    <t>Shoprite Mini_Bredarsdorp_Tracker.xlsx | Table row 31 | DC Cable - Red | Inv Alllocated to Cpt Storeroom | Col ExpenseActualTotal</t>
  </si>
  <si>
    <t>Shoprite Mini_Bredarsdorp_Tracker.xlsx | Table row 33 | Project Kick Off | Inv JA Electrical: Inv 1110 | Col ExpenseActualTotal</t>
  </si>
  <si>
    <t>PO4381-RRB-20251017 - RV Approved</t>
  </si>
  <si>
    <t>JA Electrical: Inv 1110</t>
  </si>
  <si>
    <t>Shoprite Mini_Bredarsdorp_Tracker.xlsx | Table row 34 | Site Establishment | Inv JA Electrical: Inv 1120 | Col ExpenseActualTotal</t>
  </si>
  <si>
    <t>JA Electrical: Inv 1120</t>
  </si>
  <si>
    <t>Shoprite Mini_Bredarsdorp_Tracker.xlsx | Table row 35 | AC Installation Complete | Inv JA Electrical: Inv 1123 | Col ExpenseActualTotal</t>
  </si>
  <si>
    <t>JA Electrical: Inv 1123</t>
  </si>
  <si>
    <t>Shoprite Mini_Bredarsdorp_Tracker.xlsx | Table row 36 | DC Installation Complete - Partial | Inv JA Electrical: Inv 1123 | Col ExpenseActualTotal</t>
  </si>
  <si>
    <t>DC Installation Complete - Partial</t>
  </si>
  <si>
    <t>Shoprite Mini_Bredarsdorp_Tracker.xlsx | Table row 37 | DC Installation Complete - Partial | Inv JA Electrical: Inv 1152 | Col ExpenseActualTotal</t>
  </si>
  <si>
    <t>JA Electrical: Inv 1152</t>
  </si>
  <si>
    <t>Shoprite Mini_Bredarsdorp_Tracker.xlsx | Table row 38 | Commissioning Complete | Inv JA Electrical: Inv 1152 | Col ExpenseActualTotal</t>
  </si>
  <si>
    <t>Shoprite Mini_Bredarsdorp_Tracker.xlsx | Table row 39 | Site De-establisment | Inv JA Electrical: Inv 1152 | Col ExpenseActualTotal</t>
  </si>
  <si>
    <t>Shoprite Mini_Bredarsdorp_Tracker.xlsx | Table row 40 | Handover Document Complete | Inv JA Electrical Inv 1153 | Col ExpenseActualTotal</t>
  </si>
  <si>
    <t>JA Electrical Inv 1153</t>
  </si>
  <si>
    <t>Shoprite Mini_Bredarsdorp_Tracker.xlsx | Table row 41 | End of Defects Period | Inv JA Electrical Inv 1153 | Col ExpenseActualTotal</t>
  </si>
  <si>
    <t>Shoprite Mini_Bredarsdorp_Tracker.xlsx | Table row 46 | Smartlogger | Inv Menlo - INV0003384 | Col ExpenseActualTotal</t>
  </si>
  <si>
    <t>Menlo - INV0003384</t>
  </si>
  <si>
    <t>Shoprite Mini_Bredarsdorp_Tracker.xlsx | Table row 47 | CTs &amp; Meters | Inv Accuenergy Inv: ASAI-006653 | Col ExpenseActualTotal</t>
  </si>
  <si>
    <t>PO4374-RRB-20251015 - RV Approved</t>
  </si>
  <si>
    <t>Accuenergy Inv: ASAI-006653</t>
  </si>
  <si>
    <t>Shoprite Mini_Bredarsdorp_Tracker.xlsx | Table row 48 | Techsitter | Inv Matriarch - INV-5366 | Col ExpenseActualTotal</t>
  </si>
  <si>
    <t>Matriarch - INV-5366</t>
  </si>
  <si>
    <t>Shoprite Mini_Bredarsdorp_Tracker.xlsx | Table row 49 | Delivery of Techsitter | Inv DSV Inv: 180153158 | Col ExpenseActualTotal</t>
  </si>
  <si>
    <t>Shoprite Mini_Bredarsdorp_Tracker.xlsx | Table row 50 | Battery  | Inv Red Pole - SO-35912 | Col ExpenseActualTotal</t>
  </si>
  <si>
    <t>Shoprite Mini_Bredarsdorp_Tracker.xlsx | Table row 51 | Delivery of Comms Equip | Inv Uber | Col ExpenseActualTotal</t>
  </si>
  <si>
    <t>Shoprite Mini_Bredarsdorp_Tracker.xlsx | Table row 52 | Delivery of Comms Equip | Inv Uber | Col ExpenseActualTotal</t>
  </si>
  <si>
    <t>Shoprite Mini_Bredarsdorp_Tracker.xlsx | Table row 53 | Power Supply | Inv Allocated from cpt Storeroom | Col ExpenseActualTotal</t>
  </si>
  <si>
    <t>Allocated from cpt Storeroom</t>
  </si>
  <si>
    <t>Shoprite Mini_Bredarsdorp_Tracker.xlsx | Table row 57 | PVDB | Inv Switchboard - 2-SOI002612 | Col ExpenseActualTotal</t>
  </si>
  <si>
    <t>PO4348-RRB-20250930 - RV Approved</t>
  </si>
  <si>
    <t>Switchboard - 2-SOI002612</t>
  </si>
  <si>
    <t>Shoprite Mini_Bredarsdorp_Tracker.xlsx | Table row 58 |  | Inv Switchboard - 2-SOI002610 | Col ExpenseActualTotal</t>
  </si>
  <si>
    <t>Switchboard - 2-SOI002610</t>
  </si>
  <si>
    <t>Shoprite Mini_Bredarsdorp_Tracker.xlsx | Table row 62 | Project Kick Off | Inv JA Electrical: Inv 1110 | Col ExpenseActualTotal</t>
  </si>
  <si>
    <t>Shoprite Mini_Bredarsdorp_Tracker.xlsx | Table row 63 | Site Establishment | Inv JA Electrical: Inv 1120 | Col ExpenseActualTotal</t>
  </si>
  <si>
    <t>Shoprite Mini_Bredarsdorp_Tracker.xlsx | Table row 64 | AC Installation Complete | Inv JA Electrical: Inv 1123 | Col ExpenseActualTotal</t>
  </si>
  <si>
    <t>Shoprite Mini_Bredarsdorp_Tracker.xlsx | Table row 65 | DC Installation Complete - Partial | Inv JA Electrical: Inv 1123 | Col ExpenseActualTotal</t>
  </si>
  <si>
    <t>Shoprite Mini_Bredarsdorp_Tracker.xlsx | Table row 66 | DC Installation Complete - Partial | Inv JA Electrical: Inv 1152 | Col ExpenseActualTotal</t>
  </si>
  <si>
    <t>Shoprite Mini_Bredarsdorp_Tracker.xlsx | Table row 67 | Commissioning Complete | Inv JA Electrical: Inv 1152 | Col ExpenseActualTotal</t>
  </si>
  <si>
    <t>Shoprite Mini_Bredarsdorp_Tracker.xlsx | Table row 68 | Site De-establisment | Inv JA Electrical: Inv 1152 | Col ExpenseActualTotal</t>
  </si>
  <si>
    <t>Shoprite Mini_Bredarsdorp_Tracker.xlsx | Table row 69 | Handover Document Complete | Inv JA Electrical Inv 1153 | Col ExpenseActualTotal</t>
  </si>
  <si>
    <t>Shoprite Mini_Bredarsdorp_Tracker.xlsx | Table row 70 | End of Defects Period | Inv JA Electrical Inv 1153 | Col ExpenseActualTotal</t>
  </si>
  <si>
    <t>Shoprite Mini_Bredarsdorp_Tracker.xlsx | Table row 87 | Inverter Cage | Inv Overstaalwerke - IN100634 | Col ExpenseActualTotal</t>
  </si>
  <si>
    <t>PO4476-RRB-20251118 -  RV Approved</t>
  </si>
  <si>
    <t>Overstaalwerke - IN100634</t>
  </si>
  <si>
    <t>Shoprite Mini_Bredarsdorp_Tracker.xlsx | Table row 88 |  | Inv Overstaalwerke - IN100634 | Col ExpenseActualTotal</t>
  </si>
  <si>
    <t>Shoprite Mini_Bredarsdorp_Tracker.xlsx | Table row 89 | Extractor Fan | Inv DK Refrigeration - INV0003287 | Col ExpenseActualTotal</t>
  </si>
  <si>
    <t>Extractor Fan</t>
  </si>
  <si>
    <t>DK Refrigeration - INV0003287</t>
  </si>
  <si>
    <t>Shoprite Mini_Bredarsdorp_Tracker.xlsx | Table row 95 | Project Kick Off | Inv JA Electrical: Inv 1110 | Col ExpenseActualTotal</t>
  </si>
  <si>
    <t>Shoprite Mini_Bredarsdorp_Tracker.xlsx | Table row 96 | Site Establishment | Inv JA Electrical: Inv 1120 | Col ExpenseActualTotal</t>
  </si>
  <si>
    <t>Shoprite Mini_Bredarsdorp_Tracker.xlsx | Table row 97 | AC Installation Complete | Inv JA Electrical: Inv 1123 | Col ExpenseActualTotal</t>
  </si>
  <si>
    <t>Shoprite Mini_Bredarsdorp_Tracker.xlsx | Table row 98 | DC Installation Complete - Partial | Inv JA Electrical: Inv 1123 | Col ExpenseActualTotal</t>
  </si>
  <si>
    <t>Shoprite Mini_Bredarsdorp_Tracker.xlsx | Table row 99 | DC Installation Complete - Partial | Inv JA Electrical: Inv 1152 | Col ExpenseActualTotal</t>
  </si>
  <si>
    <t>Shoprite Mini_Bredarsdorp_Tracker.xlsx | Table row 100 | Commissioning Complete | Inv JA Electrical: Inv 1152 | Col ExpenseActualTotal</t>
  </si>
  <si>
    <t>Shoprite Mini_Bredarsdorp_Tracker.xlsx | Table row 101 | Site De-establisment | Inv JA Electrical: Inv 1152 | Col ExpenseActualTotal</t>
  </si>
  <si>
    <t>Shoprite Mini_Bredarsdorp_Tracker.xlsx | Table row 102 | Handover Document Complete | Inv JA Electrical Inv 1153 | Col ExpenseActualTotal</t>
  </si>
  <si>
    <t>Shoprite Mini_Bredarsdorp_Tracker.xlsx | Table row 103 | End of Defects Period | Inv JA Electrical Inv 1153 | Col ExpenseActualTotal</t>
  </si>
  <si>
    <t>Shoprite Mini_Bredarsdorp_Tracker.xlsx | Table row 108 | Security | Inv Overberg Security : IN24945 | Col ExpenseActualTotal</t>
  </si>
  <si>
    <t>Overberg Security : IN24945</t>
  </si>
  <si>
    <t>Shoprite Mini_Bredarsdorp_Tracker.xlsx | Table row 112 | Project Kick Off | Inv JA Electrical: Inv 1110 | Col ExpenseActualTotal</t>
  </si>
  <si>
    <t>Shoprite Mini_Bredarsdorp_Tracker.xlsx | Table row 113 | Site Establishment | Inv JA Electrical: Inv 1120 | Col ExpenseActualTotal</t>
  </si>
  <si>
    <t>Shoprite Mini_Bredarsdorp_Tracker.xlsx | Table row 114 | AC Installation Complete | Inv JA Electrical: Inv 1123 | Col ExpenseActualTotal</t>
  </si>
  <si>
    <t>Shoprite Mini_Bredarsdorp_Tracker.xlsx | Table row 115 | DC Installation Complete - Partial | Inv JA Electrical: Inv 1123 | Col ExpenseActualTotal</t>
  </si>
  <si>
    <t>Shoprite Mini_Bredarsdorp_Tracker.xlsx | Table row 116 | DC Installation Complete - Partial | Inv JA Electrical: Inv 1152 | Col ExpenseActualTotal</t>
  </si>
  <si>
    <t>Shoprite Mini_Bredarsdorp_Tracker.xlsx | Table row 117 | Commissioning Complete | Inv JA Electrical: Inv 1152 | Col ExpenseActualTotal</t>
  </si>
  <si>
    <t>Shoprite Mini_Bredarsdorp_Tracker.xlsx | Table row 118 | Site De-establisment | Inv JA Electrical: Inv 1152 | Col ExpenseActualTotal</t>
  </si>
  <si>
    <t>Shoprite Mini_Bredarsdorp_Tracker.xlsx | Table row 119 | Handover Document Complete | Inv JA Electrical Inv 1153 | Col ExpenseActualTotal</t>
  </si>
  <si>
    <t>Shoprite Mini_Bredarsdorp_Tracker.xlsx | Table row 120 | End of Defects Period | Inv JA Electrical Inv 1153 | Col ExpenseActualTotal</t>
  </si>
  <si>
    <t>Shoprite Mini_Bredarsdorp_Tracker.xlsx | Table row 121 | Rounding Difference | Inv JA Electrical Inv 1153 | Col ExpenseActualTotal</t>
  </si>
  <si>
    <t>Shoprite Mini_Bredarsdorp_Tracker.xlsx | Table row 125 | Electrical PrEng sign off | Inv SunSpot - E037 | Col ExpenseActualTotal</t>
  </si>
  <si>
    <t>SunSpot - E037</t>
  </si>
  <si>
    <t>Shoprite Mini_Bredarsdorp_Tracker.xlsx | Table row 126 | Structural Sign Off | Inv  | Col ExpenseActualTotal</t>
  </si>
  <si>
    <t>Shoprite Mini_Bredarsdorp_Tracker.xlsx | Table row 127 | Scada for CoCT | Inv  | Col ExpenseActualTotal</t>
  </si>
  <si>
    <t>Shoprite Mini_Bredarsdorp_Tracker.xlsx | Table row 128 | Red Team Inspection | Inv Matriarch - INV-6235 | Col ExpenseActualTotal</t>
  </si>
  <si>
    <t>Shoprite Mini_Bredarsdorp_Tracker.xlsx | Table row 134 | Matriarch Defects Period - 1.25% | Inv Matriarch - INV-6234 | Col ExpenseActualTotal</t>
  </si>
  <si>
    <t>Shoprite Mini_Bredarsdorp_Tracker.xlsx | Table row 141 | Travel | Inv  | Col ExpenseActualTotal</t>
  </si>
  <si>
    <t>Shoprite Mini_Bredarsdorp_Tracker.xlsx | Table row 142 | Travel | Inv Expense Claim | Col ExpenseActualTotal</t>
  </si>
  <si>
    <t>Shoprite Mini_Bredarsdorp_Tracker.xlsx | Table row 143 | Travel | Inv Expense Claim | Col ExpenseActualTotal</t>
  </si>
  <si>
    <t>Shoprite Mini_Bredarsdorp_Tracker.xlsx | Table row 144 | Travel | Inv Expense Claim | Col ExpenseActualTotal</t>
  </si>
  <si>
    <t>Shoprite Mini_Bredarsdorp_Tracker.xlsx | Table row 156 | Domestic transport  | Inv ABL Transport Inv0231 | Col ExpenseActualTotal</t>
  </si>
  <si>
    <t xml:space="preserve">Domestic transport </t>
  </si>
  <si>
    <t xml:space="preserve">PO4515-GEN-20251202-RV approved </t>
  </si>
  <si>
    <t>ABL Transport Inv0231</t>
  </si>
  <si>
    <t>Shoprite Mini_Citrusdal_Tracker.xlsx | Table row 6 | Longi 610W - hi-MO 7 LR8-66HGD610M | Inv Krannich Inv 15-10014211 | Col ExpenseActualTotal</t>
  </si>
  <si>
    <t>Longi 610W - hi-MO 7 LR8-66HGD610M</t>
  </si>
  <si>
    <t>Krannich Inv 15-10014211</t>
  </si>
  <si>
    <t>Shoprite Mini_Citrusdal_Tracker.xlsx | Table row 8 | EPR Fees | Inv Krannich Inv 15-10014211 | Col ExpenseActualTotal</t>
  </si>
  <si>
    <t>Shoprite Mini_Citrusdal_Tracker.xlsx | Table row 9 | Reduction in size | Inv Allocated to Cpt Storeroom | Col ExpenseActualTotal</t>
  </si>
  <si>
    <t>Reduction in size</t>
  </si>
  <si>
    <t>Shoprite Mini_Citrusdal_Tracker.xlsx | Table row 10 | Delivery Fee | Inv Krannich Inv: 17010001217 | Col ExpenseActualTotal</t>
  </si>
  <si>
    <t>Krannich Inv: 17010001217</t>
  </si>
  <si>
    <t>Shoprite Mini_Citrusdal_Tracker.xlsx | Table row 14 | Huawei 100KTL | Inv Krannich Inv 15-10014211 | Col ExpenseActualTotal</t>
  </si>
  <si>
    <t>Shoprite Mini_Citrusdal_Tracker.xlsx | Table row 22 | Schletter Structure | Inv Schletter - INV2382 | Col ExpenseActualTotal</t>
  </si>
  <si>
    <t>PO4424-SMCD-20251030 - RV Approved</t>
  </si>
  <si>
    <t>Schletter - INV2382</t>
  </si>
  <si>
    <t>Shoprite Mini_Citrusdal_Tracker.xlsx | Table row 23 | Nuts and Bolts - Trunking | Inv Schletter - INV2410 | Col ExpenseActualTotal</t>
  </si>
  <si>
    <t>Nuts and Bolts - Trunking</t>
  </si>
  <si>
    <t>PO4467-SMCD-20251111 - RV Approved</t>
  </si>
  <si>
    <t>Schletter - INV2410</t>
  </si>
  <si>
    <t>Shoprite Mini_Citrusdal_Tracker.xlsx | Table row 30 | DC Cable - red from CPT stock | Inv Allocated from Cpt Storeroom | Col ExpenseActualTotal</t>
  </si>
  <si>
    <t>DC Cable - red from CPT stock</t>
  </si>
  <si>
    <t>Shoprite Mini_Citrusdal_Tracker.xlsx | Table row 31 | DC Cable - black from CPT stock | Inv Allocated from Cpt Storeroom | Col ExpenseActualTotal</t>
  </si>
  <si>
    <t>DC Cable - black from CPT stock</t>
  </si>
  <si>
    <t>Shoprite Mini_Citrusdal_Tracker.xlsx | Table row 34 | Project Kick Off | Inv JA Electrical INV 1109 | Col ExpenseActualTotal</t>
  </si>
  <si>
    <t>PO4380-SMCD-20251017 - RV Approved</t>
  </si>
  <si>
    <t>JA Electrical INV 1109</t>
  </si>
  <si>
    <t>Shoprite Mini_Citrusdal_Tracker.xlsx | Table row 35 | Site Establishment | Inv JA Electrical INV 1119 | Col ExpenseActualTotal</t>
  </si>
  <si>
    <t>JA Electrical INV 1119</t>
  </si>
  <si>
    <t>Shoprite Mini_Citrusdal_Tracker.xlsx | Table row 36 | AC Installation Complete - Partial | Inv JA Electrical INV 1124 | Col ExpenseActualTotal</t>
  </si>
  <si>
    <t>AC Installation Complete - Partial</t>
  </si>
  <si>
    <t>JA Electrical INV 1124</t>
  </si>
  <si>
    <t>Shoprite Mini_Citrusdal_Tracker.xlsx | Table row 37 | AC Installation Complete - Partial | Inv JA Electrical INV 1151 | Col ExpenseActualTotal</t>
  </si>
  <si>
    <t>JA Electrical INV 1151</t>
  </si>
  <si>
    <t>Shoprite Mini_Citrusdal_Tracker.xlsx | Table row 38 | DC Installation Complete - Partial | Inv JA Electrical INV 1124 | Col ExpenseActualTotal</t>
  </si>
  <si>
    <t>Shoprite Mini_Citrusdal_Tracker.xlsx | Table row 39 | DC Installation Complete - Partial | Inv JA Electrical INV 1151 | Col ExpenseActualTotal</t>
  </si>
  <si>
    <t>Shoprite Mini_Citrusdal_Tracker.xlsx | Table row 40 | Commissioning Complete | Inv JA Electrical INV 1151 | Col ExpenseActualTotal</t>
  </si>
  <si>
    <t>Shoprite Mini_Citrusdal_Tracker.xlsx | Table row 41 | Site De-establisment | Inv JA Electrical INV 1154 | Col ExpenseActualTotal</t>
  </si>
  <si>
    <t>JA Electrical INV 1154</t>
  </si>
  <si>
    <t>Shoprite Mini_Citrusdal_Tracker.xlsx | Table row 42 | Handover Document Complete | Inv JA Electrical INV 1154 | Col ExpenseActualTotal</t>
  </si>
  <si>
    <t>Shoprite Mini_Citrusdal_Tracker.xlsx | Table row 43 | End of Defects Period | Inv JA Electrical INV 1154 | Col ExpenseActualTotal</t>
  </si>
  <si>
    <t>Shoprite Mini_Citrusdal_Tracker.xlsx | Table row 48 | Smartlogger | Inv Menlo - INV0003384 | Col ExpenseActualTotal</t>
  </si>
  <si>
    <t>Shoprite Mini_Citrusdal_Tracker.xlsx | Table row 49 | CTs &amp; Meters | Inv Accuenergy Inv: ASAI-006652 | Col ExpenseActualTotal</t>
  </si>
  <si>
    <t>PO4373-SMCD-20251015 - RV approved</t>
  </si>
  <si>
    <t>Accuenergy Inv: ASAI-006652</t>
  </si>
  <si>
    <t>Shoprite Mini_Citrusdal_Tracker.xlsx | Table row 50 | Techsitter | Inv Matriarch - INV-5366 | Col ExpenseActualTotal</t>
  </si>
  <si>
    <t>Shoprite Mini_Citrusdal_Tracker.xlsx | Table row 51 | Delivery of Techsitter Meter | Inv DSV Inv: 180153158 | Col ExpenseActualTotal</t>
  </si>
  <si>
    <t>Shoprite Mini_Citrusdal_Tracker.xlsx | Table row 52 | Battery  | Inv Red Pole - SO-35912 | Col ExpenseActualTotal</t>
  </si>
  <si>
    <t>Shoprite Mini_Citrusdal_Tracker.xlsx | Table row 53 | Delivery of Comms Equip | Inv Uber | Col ExpenseActualTotal</t>
  </si>
  <si>
    <t>Shoprite Mini_Citrusdal_Tracker.xlsx | Table row 54 | Delivery of Comms Equip | Inv Uber | Col ExpenseActualTotal</t>
  </si>
  <si>
    <t>Shoprite Mini_Citrusdal_Tracker.xlsx | Table row 55 | Power Supply | Inv Allocated from Cpt Storeroom | Col ExpenseActualTotal</t>
  </si>
  <si>
    <t>Shoprite Mini_Citrusdal_Tracker.xlsx | Table row 56 | Courier of Comms Equip | Inv DSV Inv: 180157893 | Col ExpenseActualTotal</t>
  </si>
  <si>
    <t>Courier of Comms Equip</t>
  </si>
  <si>
    <t>Shoprite Mini_Citrusdal_Tracker.xlsx | Table row 59 | PVDB | Inv Switchboard - 2-SOI002606 | Col ExpenseActualTotal</t>
  </si>
  <si>
    <t>PO4328-SMCD-20250925 - RV Approved</t>
  </si>
  <si>
    <t>Switchboard - 2-SOI002606</t>
  </si>
  <si>
    <t>Shoprite Mini_Citrusdal_Tracker.xlsx | Table row 64 | Project Kick Off | Inv JA Electrical INV 1109 | Col ExpenseActualTotal</t>
  </si>
  <si>
    <t>Shoprite Mini_Citrusdal_Tracker.xlsx | Table row 65 | Site Establishment | Inv JA Electrical INV 1119 | Col ExpenseActualTotal</t>
  </si>
  <si>
    <t>Shoprite Mini_Citrusdal_Tracker.xlsx | Table row 66 | AC Installation Complete - Partial | Inv JA Electrical INV 1124 | Col ExpenseActualTotal</t>
  </si>
  <si>
    <t>Shoprite Mini_Citrusdal_Tracker.xlsx | Table row 67 | AC Installation Complete - Partial | Inv JA Electrical INV 1151 | Col ExpenseActualTotal</t>
  </si>
  <si>
    <t>Shoprite Mini_Citrusdal_Tracker.xlsx | Table row 68 | DC Installation Complete - Partial | Inv JA Electrical INV 1124 | Col ExpenseActualTotal</t>
  </si>
  <si>
    <t>Shoprite Mini_Citrusdal_Tracker.xlsx | Table row 69 | DC Installation Complete - Partial | Inv JA Electrical INV 1151 | Col ExpenseActualTotal</t>
  </si>
  <si>
    <t>Shoprite Mini_Citrusdal_Tracker.xlsx | Table row 70 | Commissioning Complete | Inv JA Electrical INV 1151 | Col ExpenseActualTotal</t>
  </si>
  <si>
    <t>Shoprite Mini_Citrusdal_Tracker.xlsx | Table row 71 | Site De-establisment | Inv JA Electrical INV 1154 | Col ExpenseActualTotal</t>
  </si>
  <si>
    <t>Shoprite Mini_Citrusdal_Tracker.xlsx | Table row 72 | Handover Document Complete | Inv JA Electrical INV 1154 | Col ExpenseActualTotal</t>
  </si>
  <si>
    <t>Shoprite Mini_Citrusdal_Tracker.xlsx | Table row 73 | End of Defects Period | Inv JA Electrical INV 1154 | Col ExpenseActualTotal</t>
  </si>
  <si>
    <t>Shoprite Mini_Citrusdal_Tracker.xlsx | Table row 88 | Inverter Awning | Inv Barrier Projects INV508 | Col ExpenseActualTotal</t>
  </si>
  <si>
    <t>Inverter Awning</t>
  </si>
  <si>
    <t>PO4360-SMCD-20251007 - RV Approved</t>
  </si>
  <si>
    <t>Barrier Projects INV508</t>
  </si>
  <si>
    <t>Shoprite Mini_Citrusdal_Tracker.xlsx | Table row 89 |  | Inv Barrier Projects INV508 | Col ExpenseActualTotal</t>
  </si>
  <si>
    <t>Shoprite Mini_Citrusdal_Tracker.xlsx | Table row 90 | Custom Walkway Landing | Inv Barrier Projects INV527 | Col ExpenseActualTotal</t>
  </si>
  <si>
    <t>Custom Walkway Landing</t>
  </si>
  <si>
    <t>PO4441-SMCD-20251104 - RV Approved</t>
  </si>
  <si>
    <t>Barrier Projects INV527</t>
  </si>
  <si>
    <t>Shoprite Mini_Citrusdal_Tracker.xlsx | Table row 91 |  | Inv Barrier Projects INV527 | Col ExpenseActualTotal</t>
  </si>
  <si>
    <t>Shoprite Mini_Citrusdal_Tracker.xlsx | Table row 98 | Project Kick Off | Inv JA Electrical INV 1109 | Col ExpenseActualTotal</t>
  </si>
  <si>
    <t>Shoprite Mini_Citrusdal_Tracker.xlsx | Table row 99 | Site Establishment | Inv JA Electrical INV 1119 | Col ExpenseActualTotal</t>
  </si>
  <si>
    <t>Shoprite Mini_Citrusdal_Tracker.xlsx | Table row 100 | AC Installation Complete - Partial | Inv JA Electrical INV 1124 | Col ExpenseActualTotal</t>
  </si>
  <si>
    <t>Shoprite Mini_Citrusdal_Tracker.xlsx | Table row 101 | AC Installation Complete - Partial | Inv JA Electrical INV 1151 | Col ExpenseActualTotal</t>
  </si>
  <si>
    <t>Shoprite Mini_Citrusdal_Tracker.xlsx | Table row 102 | DC Installation Complete - Partial | Inv JA Electrical INV 1124 | Col ExpenseActualTotal</t>
  </si>
  <si>
    <t>Shoprite Mini_Citrusdal_Tracker.xlsx | Table row 103 | DC Installation Complete - Partial | Inv JA Electrical INV 1151 | Col ExpenseActualTotal</t>
  </si>
  <si>
    <t>Shoprite Mini_Citrusdal_Tracker.xlsx | Table row 104 | Commissioning Complete | Inv JA Electrical INV 1151 | Col ExpenseActualTotal</t>
  </si>
  <si>
    <t>Shoprite Mini_Citrusdal_Tracker.xlsx | Table row 105 | Site De-establisment | Inv JA Electrical INV 1154 | Col ExpenseActualTotal</t>
  </si>
  <si>
    <t>Shoprite Mini_Citrusdal_Tracker.xlsx | Table row 106 | Handover Document Complete | Inv JA Electrical INV 1154 | Col ExpenseActualTotal</t>
  </si>
  <si>
    <t>Shoprite Mini_Citrusdal_Tracker.xlsx | Table row 107 | End of Defects Period | Inv JA Electrical INV 1154 | Col ExpenseActualTotal</t>
  </si>
  <si>
    <t>Shoprite Mini_Citrusdal_Tracker.xlsx | Table row 112 | Security | Inv HP Private Security - 3946 | Col ExpenseActualTotal</t>
  </si>
  <si>
    <t>PO4468-SMCD-20251111 - RV Approved</t>
  </si>
  <si>
    <t>HP Private Security - 3946</t>
  </si>
  <si>
    <t>Shoprite Mini_Citrusdal_Tracker.xlsx | Table row 116 | Project Kick Off | Inv JA Electrical INV 1109 | Col ExpenseActualTotal</t>
  </si>
  <si>
    <t>Shoprite Mini_Citrusdal_Tracker.xlsx | Table row 117 | Site Establishment | Inv JA Electrical INV 1119 | Col ExpenseActualTotal</t>
  </si>
  <si>
    <t>Shoprite Mini_Citrusdal_Tracker.xlsx | Table row 118 | AC Installation Complete - Partial | Inv JA Electrical INV 1124 | Col ExpenseActualTotal</t>
  </si>
  <si>
    <t>Shoprite Mini_Citrusdal_Tracker.xlsx | Table row 119 | AC Installation Complete - Partial | Inv JA Electrical INV 1151 | Col ExpenseActualTotal</t>
  </si>
  <si>
    <t>Shoprite Mini_Citrusdal_Tracker.xlsx | Table row 120 | DC Installation Complete - Partial | Inv JA Electrical INV 1124 | Col ExpenseActualTotal</t>
  </si>
  <si>
    <t>Shoprite Mini_Citrusdal_Tracker.xlsx | Table row 121 | DC Installation Complete - Partial | Inv JA Electrical INV 1151 | Col ExpenseActualTotal</t>
  </si>
  <si>
    <t>Shoprite Mini_Citrusdal_Tracker.xlsx | Table row 122 | Commissioning Complete | Inv JA Electrical INV 1151 | Col ExpenseActualTotal</t>
  </si>
  <si>
    <t>Shoprite Mini_Citrusdal_Tracker.xlsx | Table row 123 | Site De-establisment | Inv JA Electrical INV 1154 | Col ExpenseActualTotal</t>
  </si>
  <si>
    <t>Shoprite Mini_Citrusdal_Tracker.xlsx | Table row 124 | Handover Document Complete | Inv JA Electrical INV 1154 | Col ExpenseActualTotal</t>
  </si>
  <si>
    <t>Shoprite Mini_Citrusdal_Tracker.xlsx | Table row 125 | End of Defects Period | Inv JA Electrical INV 1154 | Col ExpenseActualTotal</t>
  </si>
  <si>
    <t>Shoprite Mini_Citrusdal_Tracker.xlsx | Table row 130 | Electrical PrEng sign off | Inv SunSpot - E034 | Col ExpenseActualTotal</t>
  </si>
  <si>
    <t>Shoprite Mini_Citrusdal_Tracker.xlsx | Table row 133 | Red Team Inspection | Inv Matriarch - INV-5975 | Col ExpenseActualTotal</t>
  </si>
  <si>
    <t>Shoprite Mini_Citrusdal_Tracker.xlsx | Table row 139 | Matriarch Defects Period - 1.25% | Inv Matriarch - INV-6234 | Col ExpenseActualTotal</t>
  </si>
  <si>
    <t>Shoprite Mini_Citrusdal_Tracker.xlsx | Table row 140 | Management | Inv  | Col ExpenseActualTotal</t>
  </si>
  <si>
    <t>Shoprite Mini_Citrusdal_Tracker.xlsx | Table row 141 | Project manager  | Inv  | Col ExpenseActualTotal</t>
  </si>
  <si>
    <t>Shoprite Mini_Citrusdal_Tracker.xlsx | Table row 142 | Planner time | Inv  | Col ExpenseActualTotal</t>
  </si>
  <si>
    <t>Shoprite Mini_Citrusdal_Tracker.xlsx | Table row 143 | De Snagging | Inv  | Col ExpenseActualTotal</t>
  </si>
  <si>
    <t>Shoprite Mini_Citrusdal_Tracker.xlsx | Table row 146 | Travel | Inv Expense Claim | Col ExpenseActualTotal</t>
  </si>
  <si>
    <t>Shoprite Mini_Citrusdal_Tracker.xlsx | Table row 147 | Travel | Inv Expense Claim | Col ExpenseActualTotal</t>
  </si>
  <si>
    <t>Shoprite Mini_Citrusdal_Tracker.xlsx | Table row 148 | Travel | Inv Expense Claim | Col ExpenseActualTotal</t>
  </si>
  <si>
    <t>Shoprite Mini_Citrusdal_Tracker.xlsx | Table row 149 | Travel | Inv Expense Claim | Col ExpenseActualTotal</t>
  </si>
  <si>
    <t>Shoprite Mini_Citrusdal_Tracker.xlsx | Table row 160 | Domestic Transport | Inv ABL Transport Inv 0205 | Col ExpenseActualTotal</t>
  </si>
  <si>
    <t>ABL Transport Inv 0205</t>
  </si>
  <si>
    <t>Shoprite Mini_Citrusdal_Tracker.xlsx | Table row 161 | Domestic Transport - Return of panels | Inv ABL Transport Inv 0231 | Col ExpenseActualTotal</t>
  </si>
  <si>
    <t>Domestic Transport - Return of panels</t>
  </si>
  <si>
    <t xml:space="preserve">PO4515-GEN-20251203 - RV Approved </t>
  </si>
  <si>
    <t>ABL Transport Inv 0231</t>
  </si>
  <si>
    <t>Sibasa_Tracker.xlsx | Table row 6 | Jinko 620W - MENLO  | Inv Menlo INV0002964 | Col ExpenseActualTotal</t>
  </si>
  <si>
    <t xml:space="preserve">Jinko 620W - MENLO </t>
  </si>
  <si>
    <t>PO3901-DIP-PH2-SIBA-20250514</t>
  </si>
  <si>
    <t>Menlo INV0002964</t>
  </si>
  <si>
    <t>Sibasa_Tracker.xlsx | Table row 7 | Replacement panels | Inv MSA Energy INV0003591 | Col ExpenseActualTotal</t>
  </si>
  <si>
    <t>Replacement panels</t>
  </si>
  <si>
    <t>MSA Energy INV0003591</t>
  </si>
  <si>
    <t>Sibasa_Tracker.xlsx | Table row 8 | Transport | Inv MSA Energy INV0003591 | Col ExpenseActualTotal</t>
  </si>
  <si>
    <t>Sibasa_Tracker.xlsx | Table row 13 | Huawei 100KTL - MENLO | Inv Menlo INV0002927 | Col ExpenseActualTotal</t>
  </si>
  <si>
    <t>Menlo INV0002927</t>
  </si>
  <si>
    <t>Sibasa_Tracker.xlsx | Table row 21 | Schletter Structure | Inv Schletter - INV1781 | Col ExpenseActualTotal</t>
  </si>
  <si>
    <t>PO3898-DSS-20250514 - RV Approved</t>
  </si>
  <si>
    <t>Schletter - INV1781</t>
  </si>
  <si>
    <t>Sibasa_Tracker.xlsx | Table row 22 | KlipLok Structure | Inv Schletter - INV1800 | Col ExpenseActualTotal</t>
  </si>
  <si>
    <t>KlipLok Structure</t>
  </si>
  <si>
    <t>PO3954-DSS-20250526 - RV Approved</t>
  </si>
  <si>
    <t>Schletter - INV1800</t>
  </si>
  <si>
    <t>Sibasa_Tracker.xlsx | Table row 28 | DC Cable | Inv Krannich - INV 15-10012803 | Col ExpenseActualTotal</t>
  </si>
  <si>
    <t>PO3933-DIP-Ph2-Siba--20250519 - RV Approved</t>
  </si>
  <si>
    <t>Krannich - INV 15-10012803</t>
  </si>
  <si>
    <t>Sibasa_Tracker.xlsx | Table row 29 | Freight | Inv Krannich - INV 15-10012803 | Col ExpenseActualTotal</t>
  </si>
  <si>
    <t>Sibasa_Tracker.xlsx | Table row 30 | Additional DC Cable - VO | Inv Krannich - INV 15-10012950 | Col ExpenseActualTotal</t>
  </si>
  <si>
    <t>PO3997-DSS-20250612 - RV Approved</t>
  </si>
  <si>
    <t>Krannich - INV 15-10012950</t>
  </si>
  <si>
    <t>Sibasa_Tracker.xlsx | Table row 32 | Project Kick Off | Inv Cosmic Sun: CS_SRS_001 | Col ExpenseActualTotal</t>
  </si>
  <si>
    <t>PO3888-DSS-20250513 - RV Approved</t>
  </si>
  <si>
    <t>Cosmic Sun: CS_SRS_001</t>
  </si>
  <si>
    <t>Sibasa_Tracker.xlsx | Table row 33 | Site Establishment | Inv Cosmic Sun : CS_SRS_002 | Col ExpenseActualTotal</t>
  </si>
  <si>
    <t>Cosmic Sun : CS_SRS_002</t>
  </si>
  <si>
    <t>Sibasa_Tracker.xlsx | Table row 34 | AC Installation Complete | Inv Cosmic Sun: CS_SRS_004 | Col ExpenseActualTotal</t>
  </si>
  <si>
    <t>Cosmic Sun: CS_SRS_004</t>
  </si>
  <si>
    <t>Sibasa_Tracker.xlsx | Table row 35 | DC Installation Complete | Inv Cosmic Sun : CS_SRS_003 | Col ExpenseActualTotal</t>
  </si>
  <si>
    <t>Cosmic Sun : CS_SRS_003</t>
  </si>
  <si>
    <t>Sibasa_Tracker.xlsx | Table row 36 | Commissioning Complete | Inv Cosmic Sun : CS_SRS_005 | Col ExpenseActualTotal</t>
  </si>
  <si>
    <t>Cosmic Sun : CS_SRS_005</t>
  </si>
  <si>
    <t>Sibasa_Tracker.xlsx | Table row 37 | Site De-establisment | Inv Cosmic Sun : CS_SRS_006 | Col ExpenseActualTotal</t>
  </si>
  <si>
    <t>Cosmic Sun : CS_SRS_006</t>
  </si>
  <si>
    <t>Sibasa_Tracker.xlsx | Table row 38 | Handover Document Complete | Inv Cosmic Sun : CS_SRS_007 | Col ExpenseActualTotal</t>
  </si>
  <si>
    <t>Cosmic Sun : CS_SRS_007</t>
  </si>
  <si>
    <t>Sibasa_Tracker.xlsx | Table row 39 | End of Defects Period | Inv Cosmic Sun : CS_SRS_008 | Col ExpenseActualTotal</t>
  </si>
  <si>
    <t>Cosmic Sun : CS_SRS_008</t>
  </si>
  <si>
    <t>Sibasa_Tracker.xlsx | Table row 44 | Smartlogger - MENLO | Inv Menlo INV0002927 | Col ExpenseActualTotal</t>
  </si>
  <si>
    <t>Sibasa_Tracker.xlsx | Table row 45 | CTs &amp; Meters | Inv ACCUENERGY - INV ASAI-005359 | Col ExpenseActualTotal</t>
  </si>
  <si>
    <t>PO3833-DIP-Ph2-Sibasa-20250429 - RV Approved</t>
  </si>
  <si>
    <t>ACCUENERGY - INV ASAI-005359</t>
  </si>
  <si>
    <t>Sibasa_Tracker.xlsx | Table row 46 |  | Inv Accuenergy - Inv ASAI-005800 | Col ExpenseActualTotal</t>
  </si>
  <si>
    <t>Sibasa_Tracker.xlsx | Table row 47 | Techsitter | Inv Matriarch Inv: 4451 | Col ExpenseActualTotal</t>
  </si>
  <si>
    <t>Sibasa_Tracker.xlsx | Table row 48 | UPS | Inv Frontline INV725690 | Col ExpenseActualTotal</t>
  </si>
  <si>
    <t>Sibasa_Tracker.xlsx | Table row 54 | PVDB | Inv Switchboard - Inv 2-SOI002092 | Col ExpenseActualTotal</t>
  </si>
  <si>
    <t>PO3887-DIP-Ph2-Sibasa-20250513 - RV Approved</t>
  </si>
  <si>
    <t>Switchboard - Inv 2-SOI002092</t>
  </si>
  <si>
    <t>Sibasa_Tracker.xlsx | Table row 59 | Project Kick Off | Inv Cosmic Sun: CS_SRS_001 | Col ExpenseActualTotal</t>
  </si>
  <si>
    <t>Sibasa_Tracker.xlsx | Table row 60 | Site Establishment | Inv Cosmic Sun : CS_SRS_002 | Col ExpenseActualTotal</t>
  </si>
  <si>
    <t>Sibasa_Tracker.xlsx | Table row 61 | AC Installation Complete | Inv Cosmic Sun: CS_SRS_004 | Col ExpenseActualTotal</t>
  </si>
  <si>
    <t>Sibasa_Tracker.xlsx | Table row 62 | DC Installation Complete | Inv Cosmic Sun : CS_SRS_003 | Col ExpenseActualTotal</t>
  </si>
  <si>
    <t>Sibasa_Tracker.xlsx | Table row 63 | Commissioning Complete | Inv Cosmic Sun : CS_SRS_005 | Col ExpenseActualTotal</t>
  </si>
  <si>
    <t>Sibasa_Tracker.xlsx | Table row 64 | Site De-establisment | Inv Cosmic Sun : CS_SRS_006 | Col ExpenseActualTotal</t>
  </si>
  <si>
    <t>Sibasa_Tracker.xlsx | Table row 65 | Handover Document Complete | Inv Cosmic Sun : CS_SRS_007 | Col ExpenseActualTotal</t>
  </si>
  <si>
    <t>Sibasa_Tracker.xlsx | Table row 66 | End of Defects Period | Inv Cosmic Sun : CS_SRS_008 | Col ExpenseActualTotal</t>
  </si>
  <si>
    <t>Sibasa_Tracker.xlsx | Table row 82 | Inverter Cage with roof | Inv The Engineering Hub INV/2025/06/0575 | Col ExpenseActualTotal</t>
  </si>
  <si>
    <t>The Engineering Hub INV/2025/06/0575</t>
  </si>
  <si>
    <t>Sibasa_Tracker.xlsx | Table row 83 | E-stop | Inv Cosmic Sun - CS_SRS_010 | Col ExpenseActualTotal</t>
  </si>
  <si>
    <t>E-stop</t>
  </si>
  <si>
    <t>Cosmic Sun - CS_SRS_010</t>
  </si>
  <si>
    <t>Sibasa_Tracker.xlsx | Table row 84 | Waterpoints | Inv Shanduka Projects - QT2365 | Col ExpenseActualTotal</t>
  </si>
  <si>
    <t>PO4341-DSS-20250929 - RV Approved</t>
  </si>
  <si>
    <t>Shanduka Projects - QT2365</t>
  </si>
  <si>
    <t>Sibasa_Tracker.xlsx | Table row 85 | CS - Re-establishment Cost - VO | Inv Cosmic Sun - CS_SRS_012 | Col ExpenseActualTotal</t>
  </si>
  <si>
    <t>CS - Re-establishment Cost - VO</t>
  </si>
  <si>
    <t>Cosmic Sun - CS_SRS_012</t>
  </si>
  <si>
    <t>Sibasa_Tracker.xlsx | Table row 86 | CS - Waterproofing removing and reinstall panels - Deposit - VO | Inv Cosmic Sun - CS_SRS_009 | Col ExpenseActualTotal</t>
  </si>
  <si>
    <t>CS - Waterproofing removing and reinstall panels - Deposit - VO</t>
  </si>
  <si>
    <t>PO4376-DSS-20251017 - RV Approved</t>
  </si>
  <si>
    <t>Cosmic Sun - CS_SRS_009</t>
  </si>
  <si>
    <t>Sibasa_Tracker.xlsx | Table row 87 | CS - Waterproofing removing and reinstall panels - All material on roof - VO | Inv Cosmic Sun -CS_SRS_011 | Col ExpenseActualTotal</t>
  </si>
  <si>
    <t>CS - Waterproofing removing and reinstall panels - All material on roof - VO</t>
  </si>
  <si>
    <t>Cosmic Sun -CS_SRS_011</t>
  </si>
  <si>
    <t>Sibasa_Tracker.xlsx | Table row 88 | CS - Waterproofing removing and reinstall panels - Snag Completion - VO | Inv Cosmic Sun - CS_SRS_013 | Col ExpenseActualTotal</t>
  </si>
  <si>
    <t>CS - Waterproofing removing and reinstall panels - Snag Completion - VO</t>
  </si>
  <si>
    <t>Cosmic Sun - CS_SRS_013</t>
  </si>
  <si>
    <t>Sibasa_Tracker.xlsx | Table row 90 | Amendment to inverter cage (updated design)  | Inv Engineering Hub INV/2026/01/0246 | Col ExpenseActualTotal</t>
  </si>
  <si>
    <t xml:space="preserve">Amendment to inverter cage (updated design) </t>
  </si>
  <si>
    <t>PO4582-DSS-20260127 - RV Approved</t>
  </si>
  <si>
    <t>Engineering Hub INV/2026/01/0246</t>
  </si>
  <si>
    <t>Sibasa_Tracker.xlsx | Table row 95 | Project Kick Off | Inv Cosmic Sun: CS_SRS_001 | Col ExpenseActualTotal</t>
  </si>
  <si>
    <t>Sibasa_Tracker.xlsx | Table row 96 | Site Establishment | Inv Cosmic Sun : CS_SRS_002 | Col ExpenseActualTotal</t>
  </si>
  <si>
    <t>Sibasa_Tracker.xlsx | Table row 97 | AC Installation Complete | Inv Cosmic Sun: CS_SRS_004 | Col ExpenseActualTotal</t>
  </si>
  <si>
    <t>Sibasa_Tracker.xlsx | Table row 98 | DC Installation Complete | Inv Cosmic Sun : CS_SRS_003 | Col ExpenseActualTotal</t>
  </si>
  <si>
    <t>Sibasa_Tracker.xlsx | Table row 99 | Commissioning Complete | Inv Cosmic Sun : CS_SRS_005 | Col ExpenseActualTotal</t>
  </si>
  <si>
    <t>Sibasa_Tracker.xlsx | Table row 100 | Site De-establisment | Inv Cosmic Sun : CS_SRS_006 | Col ExpenseActualTotal</t>
  </si>
  <si>
    <t>Sibasa_Tracker.xlsx | Table row 101 | Handover Document Complete | Inv Cosmic Sun : CS_SRS_007 | Col ExpenseActualTotal</t>
  </si>
  <si>
    <t>Sibasa_Tracker.xlsx | Table row 102 | End of Defects Period | Inv Cosmic Sun : CS_SRS_008 | Col ExpenseActualTotal</t>
  </si>
  <si>
    <t>Sibasa_Tracker.xlsx | Table row 108 | Security - May | Inv Bright Integrated Solutions: Inv 05/27 | Col ExpenseActualTotal</t>
  </si>
  <si>
    <t>Security - May</t>
  </si>
  <si>
    <t>PO3955-DSS-20250526 - RV Approved</t>
  </si>
  <si>
    <t>Bright Integrated Solutions: Inv 05/27</t>
  </si>
  <si>
    <t>Sibasa_Tracker.xlsx | Table row 109 | Security - June | Inv Bright Integrated Solutions: Inv 05/30 | Col ExpenseActualTotal</t>
  </si>
  <si>
    <t>PO3975-DSS-20250602 - RV Approved</t>
  </si>
  <si>
    <t>Bright Integrated Solutions: Inv 05/30</t>
  </si>
  <si>
    <t>Sibasa_Tracker.xlsx | Table row 110 | Security - November | Inv Bright Integrated Solutions: Inv10/25 | Col ExpenseActualTotal</t>
  </si>
  <si>
    <t>PO4377-DSS-20251017 - RV Approved</t>
  </si>
  <si>
    <t>Bright Integrated Solutions: Inv10/25</t>
  </si>
  <si>
    <t>Sibasa_Tracker.xlsx | Table row 111 | Security - December - Service complete | Inv Bright Integrated Solutions: Inv12/25 | Col ExpenseActualTotal</t>
  </si>
  <si>
    <t>Security - December - Service complete</t>
  </si>
  <si>
    <t>Bright Integrated Solutions: Inv12/25</t>
  </si>
  <si>
    <t>Sibasa_Tracker.xlsx | Table row 116 | Project Kick Off | Inv Cosmic Sun: CS_SRS_001 | Col ExpenseActualTotal</t>
  </si>
  <si>
    <t>Sibasa_Tracker.xlsx | Table row 117 | Site Establishment | Inv Cosmic Sun : CS_SRS_002 | Col ExpenseActualTotal</t>
  </si>
  <si>
    <t>Sibasa_Tracker.xlsx | Table row 118 | AC Installation Complete | Inv Cosmic Sun: CS_SRS_004 | Col ExpenseActualTotal</t>
  </si>
  <si>
    <t>Sibasa_Tracker.xlsx | Table row 119 | DC Installation Complete | Inv Cosmic Sun : CS_SRS_003 | Col ExpenseActualTotal</t>
  </si>
  <si>
    <t>Sibasa_Tracker.xlsx | Table row 120 | Commissioning Complete | Inv Cosmic Sun : CS_SRS_005 | Col ExpenseActualTotal</t>
  </si>
  <si>
    <t>Sibasa_Tracker.xlsx | Table row 121 | Site De-establisment | Inv Cosmic Sun : CS_SRS_006 | Col ExpenseActualTotal</t>
  </si>
  <si>
    <t>Sibasa_Tracker.xlsx | Table row 122 | Handover Document Complete | Inv Cosmic Sun : CS_SRS_007 | Col ExpenseActualTotal</t>
  </si>
  <si>
    <t>Sibasa_Tracker.xlsx | Table row 123 | End of Defects Period | Inv Cosmic Sun : CS_SRS_008 | Col ExpenseActualTotal</t>
  </si>
  <si>
    <t>Sibasa_Tracker.xlsx | Table row 128 | Electrical PrEng sign off | Inv Sunspot E027 | Col ExpenseActualTotal</t>
  </si>
  <si>
    <t>Sibasa_Tracker.xlsx | Table row 129 | Structural Sign Off | Inv L&amp;B Consulting - Invoice 1934 | Col ExpenseActualTotal</t>
  </si>
  <si>
    <t>Sibasa_Tracker.xlsx | Table row 130 | 2nd Structural Assessment | Inv L&amp;B Consulting - Invoice 1986 | Col ExpenseActualTotal</t>
  </si>
  <si>
    <t>2nd Structural Assessment</t>
  </si>
  <si>
    <t>L&amp;B Consulting - Invoice 1986</t>
  </si>
  <si>
    <t>Sibasa_Tracker.xlsx | Table row 131 | Red Team Inspection | Inv Matriarch - IN-4753 | Col ExpenseActualTotal</t>
  </si>
  <si>
    <t>Sibasa_Tracker.xlsx | Table row 137 | Matriarch Defects Period - 1.25% | Inv Matriarch - INV-4752 | Col ExpenseActualTotal</t>
  </si>
  <si>
    <t>Sibasa_Tracker.xlsx | Table row 138 | Management | Inv  | Col ExpenseActualTotal</t>
  </si>
  <si>
    <t>Sibasa_Tracker.xlsx | Table row 139 | Project manager  | Inv  | Col ExpenseActualTotal</t>
  </si>
  <si>
    <t>Sibasa_Tracker.xlsx | Table row 140 | Planner time | Inv  | Col ExpenseActualTotal</t>
  </si>
  <si>
    <t>Sibasa_Tracker.xlsx | Table row 141 | De Snagging | Inv  | Col ExpenseActualTotal</t>
  </si>
  <si>
    <t>Sibasa_Tracker.xlsx | Table row 144 | Travel | Inv Site Visit | Col ExpenseActualTotal</t>
  </si>
  <si>
    <t>Sibasa_Tracker.xlsx | Table row 145 | Travel | Inv Expense Claim | Col ExpenseActualTotal</t>
  </si>
  <si>
    <t>Sibasa_Tracker.xlsx | Table row 146 | Travel | Inv Expense Claim | Col ExpenseActualTotal</t>
  </si>
  <si>
    <t>Sibasa_Tracker.xlsx | Table row 147 | Travel | Inv Expense Claim | Col ExpenseActualTotal</t>
  </si>
  <si>
    <t>Sibasa_Tracker.xlsx | Table row 148 | Travel | Inv Expense Claim | Col ExpenseActualTotal</t>
  </si>
  <si>
    <t>Sibasa_Tracker.xlsx | Table row 149 | Travel | Inv Expense Claim | Col ExpenseActualTotal</t>
  </si>
  <si>
    <t>Sibasa_Tracker.xlsx | Table row 150 | Travel | Inv Expense Claim | Col ExpenseActualTotal</t>
  </si>
  <si>
    <t>Sibasa_Tracker.xlsx | Table row 151 | Travel | Inv Expense Claim | Col ExpenseActualTotal</t>
  </si>
  <si>
    <t>Sibasa_Tracker.xlsx | Table row 152 | Travel | Inv Expense Claim | Col ExpenseActualTotal</t>
  </si>
  <si>
    <t>Sibasa_Tracker.xlsx | Table row 153 | Travel | Inv  | Col ExpenseActualTotal</t>
  </si>
  <si>
    <t>Sibasa_Tracker.xlsx | Table row 154 |  | Inv  | Col ExpenseActualTotal</t>
  </si>
  <si>
    <t>Sibasa_Tracker.xlsx | Table row 157 | Welcome Bonus - Site Establishment | Inv Lizinex - 23408/202506/274905/I | Col ExpenseActualTotal</t>
  </si>
  <si>
    <t>Lizinex - 23408/202506/274905/I</t>
  </si>
  <si>
    <t>Sibasa_Tracker.xlsx | Table row 158 | Welcome Bonus - Commissioning | Inv Lizinex - 23408/202506/274905/I | Col ExpenseActualTotal</t>
  </si>
  <si>
    <t>Sibasa_Tracker.xlsx | Table row 160 | Community Engagement | Inv  | Col ExpenseActualTotal</t>
  </si>
  <si>
    <t>Sibasa_Tracker.xlsx | Table row 163 |  | Inv  | Col ExpenseActualTotal</t>
  </si>
  <si>
    <t>STD GQ_Tracker.xlsx | Table row 21 | Schletter Structure | Inv Schletter - INV2313 | Col ExpenseActualTotal</t>
  </si>
  <si>
    <t>PO4368-STD-20251014 - RV Approved</t>
  </si>
  <si>
    <t>Schletter - INV2313</t>
  </si>
  <si>
    <t>STD GQ_Tracker.xlsx | Table row 22 |  | Inv Schletter - INV2479 | Col ExpenseActualTotal</t>
  </si>
  <si>
    <t>Schletter - INV2479</t>
  </si>
  <si>
    <t>STD GQ_Tracker.xlsx | Table row 23 | Internal Connectors | Inv Schletter - INV2483 | Col ExpenseActualTotal</t>
  </si>
  <si>
    <t>Internal Connectors</t>
  </si>
  <si>
    <t>PO4516-STD-20251202 - RV Approved</t>
  </si>
  <si>
    <t>Schletter - INV2483</t>
  </si>
  <si>
    <t>STD GQ_Tracker.xlsx | Table row 24 | FA Screw M10 x 25 &amp; Flange | Inv Schletter - INV2317 | Col ExpenseActualTotal</t>
  </si>
  <si>
    <t>FA Screw M10 x 25 &amp; Flange</t>
  </si>
  <si>
    <t>PO4405-STD-20251024 - RV Approved</t>
  </si>
  <si>
    <t>Schletter - INV2317</t>
  </si>
  <si>
    <t>STD GQ_Tracker.xlsx | Table row 25 |  | Inv Schletter - INV2333 | Col ExpenseActualTotal</t>
  </si>
  <si>
    <t>Schletter - INV2333</t>
  </si>
  <si>
    <t>STD GQ_Tracker.xlsx | Table row 26 | New Rails | Inv Schletter - INV2392 | Col ExpenseActualTotal</t>
  </si>
  <si>
    <t>New Rails</t>
  </si>
  <si>
    <t>PO4440-STD-20251104 - RV Approved</t>
  </si>
  <si>
    <t>Schletter - INV2392</t>
  </si>
  <si>
    <t>STD GQ_Tracker.xlsx | Table row 27 | Credit for old Rails | Inv Schletter - CRN0282 | Col ExpenseActualTotal</t>
  </si>
  <si>
    <t>Credit for old Rails</t>
  </si>
  <si>
    <t>Schletter - CRN0282</t>
  </si>
  <si>
    <t>STD GQ_Tracker.xlsx | Table row 28 |  | Inv Schletter - INV2449 | Col ExpenseActualTotal</t>
  </si>
  <si>
    <t>PO4480-STD-20251120 - RV Approved</t>
  </si>
  <si>
    <t>Schletter - INV2449</t>
  </si>
  <si>
    <t>STD GQ_Tracker.xlsx | Table row 29 | Additional Rails | Inv Schletter - INV2415 | Col ExpenseActualTotal</t>
  </si>
  <si>
    <t>Additional Rails</t>
  </si>
  <si>
    <t>PO4470-STD-20251113 - RV Approved</t>
  </si>
  <si>
    <t>Schletter - INV2415</t>
  </si>
  <si>
    <t>STD GQ_Tracker.xlsx | Table row 32 | DC Cable - Rubicon + Delivery | Inv Rubicon INVRED-0136070 | Col ExpenseActualTotal</t>
  </si>
  <si>
    <t>DC Cable - Rubicon + Delivery</t>
  </si>
  <si>
    <t>PO4497-STB-20251126 - RV Approved</t>
  </si>
  <si>
    <t>Rubicon INVRED-0136070</t>
  </si>
  <si>
    <t>STD GQ_Tracker.xlsx | Table row 33 | DC Cable allocated to Superspar Despatch | Inv Allocated to superspar Despatch - PH2 | Col ExpenseActualTotal</t>
  </si>
  <si>
    <t>DC Cable allocated to Superspar Despatch</t>
  </si>
  <si>
    <t>Allocated to superspar Despatch - PH2</t>
  </si>
  <si>
    <t>STD GQ_Tracker.xlsx | Table row 35 | Project Kick Off | Inv Luken Solar INV-0673 | Col ExpenseActualTotal</t>
  </si>
  <si>
    <t>PO4351-STD-20251009 - RV Approved</t>
  </si>
  <si>
    <t>Luken Solar INV-0673</t>
  </si>
  <si>
    <t>STD GQ_Tracker.xlsx | Table row 36 | Site Establishment | Inv Luken Solar INV-0674 | Col ExpenseActualTotal</t>
  </si>
  <si>
    <t>Luken Solar INV-0674</t>
  </si>
  <si>
    <t>STD GQ_Tracker.xlsx | Table row 37 | AC Installation Complete | Inv Luken Solar INV-0689 | Col ExpenseActualTotal</t>
  </si>
  <si>
    <t>Luken Solar INV-0689</t>
  </si>
  <si>
    <t>STD GQ_Tracker.xlsx | Table row 38 | DC Installation Complete | Inv Luken Solar INV-0684 | Col ExpenseActualTotal</t>
  </si>
  <si>
    <t>Luken Solar INV-0684</t>
  </si>
  <si>
    <t>STD GQ_Tracker.xlsx | Table row 39 | DC Installation Complete | Inv Luken INV0692 | Col ExpenseActualTotal</t>
  </si>
  <si>
    <t>Luken INV0692</t>
  </si>
  <si>
    <t>STD GQ_Tracker.xlsx | Table row 40 | Commissioning Complete | Inv Luken Solar INV-0699 | Col ExpenseActualTotal</t>
  </si>
  <si>
    <t>Luken Solar INV-0699</t>
  </si>
  <si>
    <t>STD GQ_Tracker.xlsx | Table row 41 | Site De-establisment | Inv Luken Solar INV-0706 | Col ExpenseActualTotal</t>
  </si>
  <si>
    <t>Luken Solar INV-0706</t>
  </si>
  <si>
    <t>STD GQ_Tracker.xlsx | Table row 42 | Handover Document Complete | Inv Luken Solar INV-0702 | Col ExpenseActualTotal</t>
  </si>
  <si>
    <t>Luken Solar INV-0702</t>
  </si>
  <si>
    <t>STD GQ_Tracker.xlsx | Table row 43 | End of Defects Period | Inv Luken Solar INV-0705 | Col ExpenseActualTotal</t>
  </si>
  <si>
    <t>Luken Solar INV-0705</t>
  </si>
  <si>
    <t>STD GQ_Tracker.xlsx | Table row 49 | CTs &amp; Meters | Inv Accuenergy Inv: ASAI-006805 | Col ExpenseActualTotal</t>
  </si>
  <si>
    <t>PO4449-STD-20251106 - RV Approved</t>
  </si>
  <si>
    <t>Accuenergy Inv: ASAI-006805</t>
  </si>
  <si>
    <t>STD GQ_Tracker.xlsx | Table row 50 | Techsitter | Inv Matriarch Inv: 6200 | Col ExpenseActualTotal</t>
  </si>
  <si>
    <t>STD GQ_Tracker.xlsx | Table row 51 | Delivery of Techsitter | Inv DSV Inv: 180156055 | Col ExpenseActualTotal</t>
  </si>
  <si>
    <t>STD GQ_Tracker.xlsx | Table row 52 | Power Supply | Inv Current Automotion - INV346556 | Col ExpenseActualTotal</t>
  </si>
  <si>
    <t>PO4452-STD-20251107 - RV Approved</t>
  </si>
  <si>
    <t>Current Automotion - INV346556</t>
  </si>
  <si>
    <t>STD GQ_Tracker.xlsx | Table row 53 | Delivery | Inv DSV Inv: 180155155 | Col ExpenseActualTotal</t>
  </si>
  <si>
    <t>STD GQ_Tracker.xlsx | Table row 63 | Project Kick Off | Inv Luken Solar INV-0673 | Col ExpenseActualTotal</t>
  </si>
  <si>
    <t>STD GQ_Tracker.xlsx | Table row 64 | Site Establishment | Inv Luken Solar INV-0674 | Col ExpenseActualTotal</t>
  </si>
  <si>
    <t>STD GQ_Tracker.xlsx | Table row 65 | AC Installation Complete | Inv Luken Solar INV-0689 | Col ExpenseActualTotal</t>
  </si>
  <si>
    <t>STD GQ_Tracker.xlsx | Table row 66 | DC Installation Complete | Inv Luken Solar INV-0684 | Col ExpenseActualTotal</t>
  </si>
  <si>
    <t>STD GQ_Tracker.xlsx | Table row 67 | DC Installation Complete | Inv Luken INV0692 | Col ExpenseActualTotal</t>
  </si>
  <si>
    <t>STD GQ_Tracker.xlsx | Table row 68 | Commissioning Complete | Inv Luken Solar INV-0699 | Col ExpenseActualTotal</t>
  </si>
  <si>
    <t>STD GQ_Tracker.xlsx | Table row 69 | Site De-establisment | Inv Luken Solar INV-0706 | Col ExpenseActualTotal</t>
  </si>
  <si>
    <t>STD GQ_Tracker.xlsx | Table row 70 | Handover Document Complete | Inv Luken Solar INV-0702 | Col ExpenseActualTotal</t>
  </si>
  <si>
    <t>STD GQ_Tracker.xlsx | Table row 71 | End of Defects Period | Inv Luken Solar INV-0705 | Col ExpenseActualTotal</t>
  </si>
  <si>
    <t>STD GQ_Tracker.xlsx | Table row 85 | Contigency | Inv  | Col ExpenseActualTotal</t>
  </si>
  <si>
    <t>Contigency</t>
  </si>
  <si>
    <t>STD GQ_Tracker.xlsx | Table row 87 | Customized Maintenance | Inv Matriarch - iNV-6240 | Col ExpenseActualTotal</t>
  </si>
  <si>
    <t>Customized Maintenance</t>
  </si>
  <si>
    <t>Matriarch - iNV-6240</t>
  </si>
  <si>
    <t>STD GQ_Tracker.xlsx | Table row 89 | Lightning Protection System | Inv LPS - IN307558 | Col ExpenseActualTotal</t>
  </si>
  <si>
    <t>Lightning Protection System</t>
  </si>
  <si>
    <t>PO4421-STD-20251029 - RV Approved</t>
  </si>
  <si>
    <t>LPS - IN307558</t>
  </si>
  <si>
    <t>STD GQ_Tracker.xlsx | Table row 91 | Toilet Hire | Inv Talisman - 00216340 | Col ExpenseActualTotal</t>
  </si>
  <si>
    <t>Toilet Hire</t>
  </si>
  <si>
    <t>PO4432-STD-20251031 - RV Approved</t>
  </si>
  <si>
    <t>Talisman - 00216340</t>
  </si>
  <si>
    <t>STD GQ_Tracker.xlsx | Table row 92 | RS 485 SPD - Luken Supply &amp; Install | Inv  | Col ExpenseActualTotal</t>
  </si>
  <si>
    <t>RS 485 SPD - Luken Supply &amp; Install</t>
  </si>
  <si>
    <t>PO4609-STD-20260204 - RV Approved</t>
  </si>
  <si>
    <t>STD GQ_Tracker.xlsx | Table row 93 | Trench scanning | Inv Luken INV-0683 | Col ExpenseActualTotal</t>
  </si>
  <si>
    <t>Trench scanning</t>
  </si>
  <si>
    <t>PO4503-STD-20251127  -RV Approved</t>
  </si>
  <si>
    <t>Luken INV-0683</t>
  </si>
  <si>
    <t>STD GQ_Tracker.xlsx | Table row 96 | Project Kick Off | Inv Luken Solar INV-0673 | Col ExpenseActualTotal</t>
  </si>
  <si>
    <t>STD GQ_Tracker.xlsx | Table row 97 | Site Establishment | Inv Luken Solar INV-0674 | Col ExpenseActualTotal</t>
  </si>
  <si>
    <t>STD GQ_Tracker.xlsx | Table row 98 | AC Installation Complete | Inv Luken Solar INV-0689 | Col ExpenseActualTotal</t>
  </si>
  <si>
    <t>STD GQ_Tracker.xlsx | Table row 99 | DC Installation Complete | Inv Luken Solar INV-0684 | Col ExpenseActualTotal</t>
  </si>
  <si>
    <t>STD GQ_Tracker.xlsx | Table row 100 | DC Installation Complete | Inv Luken INV0692 | Col ExpenseActualTotal</t>
  </si>
  <si>
    <t>STD GQ_Tracker.xlsx | Table row 101 | Commissioning Complete | Inv Luken Solar INV-0699 | Col ExpenseActualTotal</t>
  </si>
  <si>
    <t>STD GQ_Tracker.xlsx | Table row 102 | Site De-establisment | Inv Luken Solar INV-0706 | Col ExpenseActualTotal</t>
  </si>
  <si>
    <t>STD GQ_Tracker.xlsx | Table row 103 | Handover Document Complete | Inv Luken Solar INV-0702 | Col ExpenseActualTotal</t>
  </si>
  <si>
    <t>STD GQ_Tracker.xlsx | Table row 104 | End of Defects Period | Inv Luken Solar INV-0705 | Col ExpenseActualTotal</t>
  </si>
  <si>
    <t>STD GQ_Tracker.xlsx | Table row 109 | Security | Inv  | Col ExpenseActualTotal</t>
  </si>
  <si>
    <t>STD GQ_Tracker.xlsx | Table row 113 | Project Kick Off | Inv Luken Solar INV-0673 | Col ExpenseActualTotal</t>
  </si>
  <si>
    <t>STD GQ_Tracker.xlsx | Table row 114 | Site Establishment | Inv Luken Solar INV-0674 | Col ExpenseActualTotal</t>
  </si>
  <si>
    <t>STD GQ_Tracker.xlsx | Table row 115 | AC Installation Complete | Inv Luken Solar INV-0689 | Col ExpenseActualTotal</t>
  </si>
  <si>
    <t>STD GQ_Tracker.xlsx | Table row 116 | DC Installation Complete | Inv Luken Solar INV-0684 | Col ExpenseActualTotal</t>
  </si>
  <si>
    <t>STD GQ_Tracker.xlsx | Table row 117 | DC Installation Complete | Inv Luken INV0692 | Col ExpenseActualTotal</t>
  </si>
  <si>
    <t>STD GQ_Tracker.xlsx | Table row 118 | Commissioning Complete | Inv Luken Solar INV-0699 | Col ExpenseActualTotal</t>
  </si>
  <si>
    <t>STD GQ_Tracker.xlsx | Table row 119 | Site De-establisment | Inv Luken Solar INV-0706 | Col ExpenseActualTotal</t>
  </si>
  <si>
    <t>STD GQ_Tracker.xlsx | Table row 120 | Handover Document Complete | Inv Luken Solar INV-0702 | Col ExpenseActualTotal</t>
  </si>
  <si>
    <t>STD GQ_Tracker.xlsx | Table row 121 | End of Defects Period | Inv Luken Solar INV-0705 | Col ExpenseActualTotal</t>
  </si>
  <si>
    <t>STD GQ_Tracker.xlsx | Table row 126 | Pr.Eng sign-off | Inv SunSpot - E036 | Col ExpenseActualTotal</t>
  </si>
  <si>
    <t>Pr.Eng sign-off</t>
  </si>
  <si>
    <t>SunSpot - E036</t>
  </si>
  <si>
    <t>STD GQ_Tracker.xlsx | Table row 127 | Structural Sign Off | Inv  | Col ExpenseActualTotal</t>
  </si>
  <si>
    <t>STD GQ_Tracker.xlsx | Table row 128 | Grid Study | Inv  | Col ExpenseActualTotal</t>
  </si>
  <si>
    <t>STD GQ_Tracker.xlsx | Table row 129 | Red Team Inspection | Inv Matriarch - INV-6235 | Col ExpenseActualTotal</t>
  </si>
  <si>
    <t>STD GQ_Tracker.xlsx | Table row 132 | PD Fee | Inv  | Col ExpenseActualTotal</t>
  </si>
  <si>
    <t>STD GQ_Tracker.xlsx | Table row 135 | Matriarch Defects Period - 1.25% | Inv Customized Maintenance Agreement | Col ExpenseActualTotal</t>
  </si>
  <si>
    <t>Customized Maintenance Agreement</t>
  </si>
  <si>
    <t>STD GQ_Tracker.xlsx | Table row 142 | Travel | Inv Expense Claim | Col ExpenseActualTotal</t>
  </si>
  <si>
    <t>STD GQ_Tracker.xlsx | Table row 143 | Travel | Inv Expense Claim | Col ExpenseActualTotal</t>
  </si>
  <si>
    <t>STD GQ_Tracker.xlsx | Table row 144 | Travel | Inv Expense Claim | Col ExpenseActualTotal</t>
  </si>
  <si>
    <t>STD GQ_Tracker.xlsx | Table row 145 | Travel | Inv Expense Claim | Col ExpenseActualTotal</t>
  </si>
  <si>
    <t>STD GQ_Tracker.xlsx | Table row 146 | Travel | Inv  | Col ExpenseActualTotal</t>
  </si>
  <si>
    <t>STD GQ_Tracker.xlsx | Table row 156 | Mounting Structure Inpsection | Inv  | Col ExpenseActualTotal</t>
  </si>
  <si>
    <t>Mounting Structure Inpsection</t>
  </si>
  <si>
    <t>PO4469-STD-20251113 - RV Approved</t>
  </si>
  <si>
    <t>Steelpark_Tracker.xlsx | Table row 6 | Jinko 590W - JKM590N-72HL4-BDV - Menlo | Inv  | Col ExpenseActualTotal</t>
  </si>
  <si>
    <t>Jinko 590W - JKM590N-72HL4-BDV - Menlo</t>
  </si>
  <si>
    <t>Steelpark_Tracker.xlsx | Table row 14 | Huawei 100KTL - Use stock from Mayo Macs | Inv  | Col ExpenseActualTotal</t>
  </si>
  <si>
    <t>Huawei 100KTL - Use stock from Mayo Macs</t>
  </si>
  <si>
    <t>Steelpark_Tracker.xlsx | Table row 21 | Schletter Structure | Inv  | Col ExpenseActualTotal</t>
  </si>
  <si>
    <t>Steelpark_Tracker.xlsx | Table row 31 | DC Cable - Menlo | Inv  | Col ExpenseActualTotal</t>
  </si>
  <si>
    <t>Steelpark_Tracker.xlsx | Table row 35 | Project Kick Off | Inv  | Col ExpenseActualTotal</t>
  </si>
  <si>
    <t>Steelpark_Tracker.xlsx | Table row 36 | Site Establishment | Inv  | Col ExpenseActualTotal</t>
  </si>
  <si>
    <t>Steelpark_Tracker.xlsx | Table row 37 | AC Installation Complete | Inv  | Col ExpenseActualTotal</t>
  </si>
  <si>
    <t>Steelpark_Tracker.xlsx | Table row 38 | DC Installation Complete | Inv  | Col ExpenseActualTotal</t>
  </si>
  <si>
    <t>Steelpark_Tracker.xlsx | Table row 39 | Commissioning Complete | Inv  | Col ExpenseActualTotal</t>
  </si>
  <si>
    <t>Steelpark_Tracker.xlsx | Table row 40 | Site De-establisment | Inv  | Col ExpenseActualTotal</t>
  </si>
  <si>
    <t>Steelpark_Tracker.xlsx | Table row 41 | Handover Document Complete | Inv  | Col ExpenseActualTotal</t>
  </si>
  <si>
    <t>Steelpark_Tracker.xlsx | Table row 42 | End of Defects Period | Inv  | Col ExpenseActualTotal</t>
  </si>
  <si>
    <t>Steelpark_Tracker.xlsx | Table row 47 | Smartlogger 3000 - Menlo | Inv  | Col ExpenseActualTotal</t>
  </si>
  <si>
    <t>Smartlogger 3000 - Menlo</t>
  </si>
  <si>
    <t>Steelpark_Tracker.xlsx | Table row 48 | CTs | Inv  | Col ExpenseActualTotal</t>
  </si>
  <si>
    <t>Steelpark_Tracker.xlsx | Table row 49 | Revenue Grade Meter | Inv  | Col ExpenseActualTotal</t>
  </si>
  <si>
    <t>Steelpark_Tracker.xlsx | Table row 50 | Check meter  | Inv CBB Inv: CBB-5722 | Col ExpenseActualTotal</t>
  </si>
  <si>
    <t xml:space="preserve">Check meter </t>
  </si>
  <si>
    <t>PO4051-STLP-20250627 - RV Approved</t>
  </si>
  <si>
    <t>CBB Inv: CBB-5722</t>
  </si>
  <si>
    <t>Steelpark_Tracker.xlsx | Table row 51 | Check Meter CT's | Inv Accuenergy Inv: ASAI-006974 | Col ExpenseActualTotal</t>
  </si>
  <si>
    <t>Check Meter CT's</t>
  </si>
  <si>
    <t>Accuenergy Inv: ASAI-006974</t>
  </si>
  <si>
    <t>Steelpark_Tracker.xlsx | Table row 52 | Lithium Battery | Inv Red Pole:SO-35689 | Col ExpenseActualTotal</t>
  </si>
  <si>
    <t>Red Pole:SO-35689</t>
  </si>
  <si>
    <t>Steelpark_Tracker.xlsx | Table row 53 | Power Supply | Inv current Automation Inv: SOQ324142 | Col ExpenseActualTotal</t>
  </si>
  <si>
    <t>current Automation Inv: SOQ324142</t>
  </si>
  <si>
    <t>Steelpark_Tracker.xlsx | Table row 57 | Comms DB | Inv  | Col ExpenseActualTotal</t>
  </si>
  <si>
    <t>Steelpark_Tracker.xlsx | Table row 62 | Project Kick Off | Inv  | Col ExpenseActualTotal</t>
  </si>
  <si>
    <t>Steelpark_Tracker.xlsx | Table row 63 | Site Establishment | Inv  | Col ExpenseActualTotal</t>
  </si>
  <si>
    <t>Steelpark_Tracker.xlsx | Table row 64 | AC Installation Complete | Inv  | Col ExpenseActualTotal</t>
  </si>
  <si>
    <t>Steelpark_Tracker.xlsx | Table row 65 | DC Installation Complete | Inv  | Col ExpenseActualTotal</t>
  </si>
  <si>
    <t>Steelpark_Tracker.xlsx | Table row 66 | Commissioning Complete | Inv  | Col ExpenseActualTotal</t>
  </si>
  <si>
    <t>Steelpark_Tracker.xlsx | Table row 67 | Site De-establisment | Inv  | Col ExpenseActualTotal</t>
  </si>
  <si>
    <t>Steelpark_Tracker.xlsx | Table row 68 | Handover Document Complete | Inv  | Col ExpenseActualTotal</t>
  </si>
  <si>
    <t>Steelpark_Tracker.xlsx | Table row 69 | End of Defects Period | Inv  | Col ExpenseActualTotal</t>
  </si>
  <si>
    <t>Steelpark_Tracker.xlsx | Table row 94 | Project Kick Off | Inv  | Col ExpenseActualTotal</t>
  </si>
  <si>
    <t>Steelpark_Tracker.xlsx | Table row 95 | Site Establishment | Inv  | Col ExpenseActualTotal</t>
  </si>
  <si>
    <t>Steelpark_Tracker.xlsx | Table row 96 | AC Installation Complete | Inv  | Col ExpenseActualTotal</t>
  </si>
  <si>
    <t>Steelpark_Tracker.xlsx | Table row 97 | DC Installation Complete | Inv  | Col ExpenseActualTotal</t>
  </si>
  <si>
    <t>Steelpark_Tracker.xlsx | Table row 98 | Commissioning Complete | Inv  | Col ExpenseActualTotal</t>
  </si>
  <si>
    <t>Steelpark_Tracker.xlsx | Table row 99 | Site De-establisment | Inv  | Col ExpenseActualTotal</t>
  </si>
  <si>
    <t>Steelpark_Tracker.xlsx | Table row 100 | Handover Document Complete | Inv  | Col ExpenseActualTotal</t>
  </si>
  <si>
    <t>Steelpark_Tracker.xlsx | Table row 101 | End of Defects Period | Inv  | Col ExpenseActualTotal</t>
  </si>
  <si>
    <t>Steelpark_Tracker.xlsx | Table row 110 | Project Kick Off | Inv  | Col ExpenseActualTotal</t>
  </si>
  <si>
    <t>Steelpark_Tracker.xlsx | Table row 111 | Site Establishment | Inv  | Col ExpenseActualTotal</t>
  </si>
  <si>
    <t>Steelpark_Tracker.xlsx | Table row 112 | AC Installation Complete | Inv  | Col ExpenseActualTotal</t>
  </si>
  <si>
    <t>Steelpark_Tracker.xlsx | Table row 113 | DC Installation Complete | Inv  | Col ExpenseActualTotal</t>
  </si>
  <si>
    <t>Steelpark_Tracker.xlsx | Table row 114 | Commissioning Complete | Inv  | Col ExpenseActualTotal</t>
  </si>
  <si>
    <t>Steelpark_Tracker.xlsx | Table row 115 | Site De-establisment | Inv  | Col ExpenseActualTotal</t>
  </si>
  <si>
    <t>Steelpark_Tracker.xlsx | Table row 116 | Handover Document Complete | Inv  | Col ExpenseActualTotal</t>
  </si>
  <si>
    <t>Steelpark_Tracker.xlsx | Table row 117 | End of Defects Period | Inv  | Col ExpenseActualTotal</t>
  </si>
  <si>
    <t>Steelpark_Tracker.xlsx | Table row 122 | Electrical PrEng sign off | Inv  | Col ExpenseActualTotal</t>
  </si>
  <si>
    <t>Steelpark_Tracker.xlsx | Table row 123 | Structural Sign Off | Inv L&amp;B Consulting: Inv  1701 | Col ExpenseActualTotal</t>
  </si>
  <si>
    <t>L&amp;B Consulting: Inv  1701</t>
  </si>
  <si>
    <t>Steelpark_Tracker.xlsx | Table row 124 | Scada for CoCT | Inv  | Col ExpenseActualTotal</t>
  </si>
  <si>
    <t>Steelpark_Tracker.xlsx | Table row 125 | Red Team Inspection | Inv  | Col ExpenseActualTotal</t>
  </si>
  <si>
    <t>Steelpark_Tracker.xlsx | Table row 126 | Roof inspection  | Inv HappySolar Inv: 0346 | Col ExpenseActualTotal</t>
  </si>
  <si>
    <t xml:space="preserve">Roof inspection </t>
  </si>
  <si>
    <t>HappySolar Inv: 0346</t>
  </si>
  <si>
    <t>Steelpark_Tracker.xlsx | Table row 127 | Roof inspection  | Inv Leading Edge INV0171 | Col ExpenseActualTotal</t>
  </si>
  <si>
    <t>Leading Edge INV0171</t>
  </si>
  <si>
    <t>Steelpark_Tracker.xlsx | Table row 129 | PD Fee | Inv  | Col ExpenseActualTotal</t>
  </si>
  <si>
    <t>Steelpark_Tracker.xlsx | Table row 132 | Matriarch Defects Period - 1.25% | Inv  | Col ExpenseActualTotal</t>
  </si>
  <si>
    <t>Steelpark_Tracker.xlsx | Table row 133 | Management | Inv  | Col ExpenseActualTotal</t>
  </si>
  <si>
    <t>Steelpark_Tracker.xlsx | Table row 134 | Project manager  | Inv  | Col ExpenseActualTotal</t>
  </si>
  <si>
    <t>Steelpark_Tracker.xlsx | Table row 135 | Planner time | Inv  | Col ExpenseActualTotal</t>
  </si>
  <si>
    <t>Steelpark_Tracker.xlsx | Table row 136 | De Snagging | Inv  | Col ExpenseActualTotal</t>
  </si>
  <si>
    <t>Steelpark_Tracker.xlsx | Table row 139 | Travel | Inv  | Col ExpenseActualTotal</t>
  </si>
  <si>
    <t>Steelpark_Tracker.xlsx | Table row 140 | Travel | Inv  | Col ExpenseActualTotal</t>
  </si>
  <si>
    <t>Steelpark_Tracker.xlsx | Table row 141 | Travel | Inv  | Col ExpenseActualTotal</t>
  </si>
  <si>
    <t>Steelpark_Tracker.xlsx | Table row 142 | Travel | Inv  | Col ExpenseActualTotal</t>
  </si>
  <si>
    <t>Superspar Ph2_Tracker.xlsx | Table row 6 | Jinko 610W - JKM610N-72HL4M-BDV | Inv MSA Energy - INV0003484 | Col ExpenseActualTotal</t>
  </si>
  <si>
    <t>Jinko 610W - JKM610N-72HL4M-BDV</t>
  </si>
  <si>
    <t>MSA Energy - INV0003484</t>
  </si>
  <si>
    <t>Superspar Ph2_Tracker.xlsx | Table row 13 | Huawei 100KTL | Inv MSA Energy - INV0003484 | Col ExpenseActualTotal</t>
  </si>
  <si>
    <t>Superspar Ph2_Tracker.xlsx | Table row 14 | Huawei 50KTL | Inv MSA Energy - INV0003484 | Col ExpenseActualTotal</t>
  </si>
  <si>
    <t>Superspar Ph2_Tracker.xlsx | Table row 21 | Clamp fit Pro  - From stock refer to stocksheet | Inv Allocated from PE Storetoom | Col ExpenseActualTotal</t>
  </si>
  <si>
    <t>Clamp fit Pro  - From stock refer to stocksheet</t>
  </si>
  <si>
    <t>Allocated from PE Storetoom</t>
  </si>
  <si>
    <t>Superspar Ph2_Tracker.xlsx | Table row 22 | Mid Clamps - From stock - refer to stocksheet | Inv Allocated from PE Storetoom | Col ExpenseActualTotal</t>
  </si>
  <si>
    <t>Mid Clamps - From stock - refer to stocksheet</t>
  </si>
  <si>
    <t>Superspar Ph2_Tracker.xlsx | Table row 23 | Mid Clamps - From stock - refer to stocksheet | Inv Allocated from PE Storeroom | Col ExpenseActualTotal</t>
  </si>
  <si>
    <t>Superspar Ph2_Tracker.xlsx | Table row 24 | End Clamps - From stock - refer to stocksheet | Inv Allocated from PE Storetoom | Col ExpenseActualTotal</t>
  </si>
  <si>
    <t>End Clamps - From stock - refer to stocksheet</t>
  </si>
  <si>
    <t>Superspar Ph2_Tracker.xlsx | Table row 26 | Balance of Equipment | Inv Schletter - INV2520 | Col ExpenseActualTotal</t>
  </si>
  <si>
    <t>Balance of Equipment</t>
  </si>
  <si>
    <t>PO4526-SSDPH2-20251208 - RV Approved</t>
  </si>
  <si>
    <t>Schletter - INV2520</t>
  </si>
  <si>
    <t>Superspar Ph2_Tracker.xlsx | Table row 31 | DC Cable - from Standard Bank GQ | Inv Allocated from Std Bank GQ | Col ExpenseActualTotal</t>
  </si>
  <si>
    <t>DC Cable - from Standard Bank GQ</t>
  </si>
  <si>
    <t>Allocated from Std Bank GQ</t>
  </si>
  <si>
    <t>Superspar Ph2_Tracker.xlsx | Table row 32 |  | Inv Allocated from Std Bank GQ | Col ExpenseActualTotal</t>
  </si>
  <si>
    <t>Superspar Ph2_Tracker.xlsx | Table row 33 | Courier | Inv DSV Inv:180161978 | Col ExpenseActualTotal</t>
  </si>
  <si>
    <t>Courier</t>
  </si>
  <si>
    <t>DSV Inv:180161978</t>
  </si>
  <si>
    <t>Superspar Ph2_Tracker.xlsx | Table row 35 | Project Kick Off | Inv BDL Solar- IN000763 | Col ExpenseActualTotal</t>
  </si>
  <si>
    <t>PO4523-SSDPH2-20251208 - RV Approved</t>
  </si>
  <si>
    <t>BDL Solar- IN000763</t>
  </si>
  <si>
    <t>Superspar Ph2_Tracker.xlsx | Table row 36 | Site Establishment | Inv BDL Solar- IN000764 | Col ExpenseActualTotal</t>
  </si>
  <si>
    <t>BDL Solar- IN000764</t>
  </si>
  <si>
    <t>Superspar Ph2_Tracker.xlsx | Table row 37 | AC Installation Complete | Inv  | Col ExpenseActualTotal</t>
  </si>
  <si>
    <t>Superspar Ph2_Tracker.xlsx | Table row 38 | DC Installation Complete | Inv  | Col ExpenseActualTotal</t>
  </si>
  <si>
    <t>Superspar Ph2_Tracker.xlsx | Table row 39 | Commissioning Complete | Inv  | Col ExpenseActualTotal</t>
  </si>
  <si>
    <t>Superspar Ph2_Tracker.xlsx | Table row 40 | Site De-establisment | Inv  | Col ExpenseActualTotal</t>
  </si>
  <si>
    <t>Superspar Ph2_Tracker.xlsx | Table row 41 | Handover Document Complete | Inv  | Col ExpenseActualTotal</t>
  </si>
  <si>
    <t>Superspar Ph2_Tracker.xlsx | Table row 42 | End of Defects Period | Inv  | Col ExpenseActualTotal</t>
  </si>
  <si>
    <t>Superspar Ph2_Tracker.xlsx | Table row 47 | Techsitter Meter | Inv  | Col ExpenseActualTotal</t>
  </si>
  <si>
    <t>Techsitter Meter</t>
  </si>
  <si>
    <t>Superspar Ph2_Tracker.xlsx | Table row 48 | Courier of Meter | Inv DSV Inv: 180163669 | Col ExpenseActualTotal</t>
  </si>
  <si>
    <t>Courier of Meter</t>
  </si>
  <si>
    <t>DSV Inv: 180163669</t>
  </si>
  <si>
    <t>Superspar Ph2_Tracker.xlsx | Table row 56 | PVDB | Inv Eastern Switchgear - 17043 | Col ExpenseActualTotal</t>
  </si>
  <si>
    <t>PO4533-SSDPH2-20251209 - RV Approved</t>
  </si>
  <si>
    <t>Eastern Switchgear - 17043</t>
  </si>
  <si>
    <t>Superspar Ph2_Tracker.xlsx | Table row 61 | Project Kick Off | Inv BDL Solar- IN000763 | Col ExpenseActualTotal</t>
  </si>
  <si>
    <t>Superspar Ph2_Tracker.xlsx | Table row 62 | Site Establishment | Inv BDL Solar- IN000764 | Col ExpenseActualTotal</t>
  </si>
  <si>
    <t>Superspar Ph2_Tracker.xlsx | Table row 63 | AC Installation Complete | Inv  | Col ExpenseActualTotal</t>
  </si>
  <si>
    <t>Superspar Ph2_Tracker.xlsx | Table row 64 | DC Installation Complete | Inv  | Col ExpenseActualTotal</t>
  </si>
  <si>
    <t>Superspar Ph2_Tracker.xlsx | Table row 65 | Commissioning Complete | Inv  | Col ExpenseActualTotal</t>
  </si>
  <si>
    <t>Superspar Ph2_Tracker.xlsx | Table row 66 | Site De-establisment | Inv  | Col ExpenseActualTotal</t>
  </si>
  <si>
    <t>Superspar Ph2_Tracker.xlsx | Table row 67 | Handover Document Complete | Inv  | Col ExpenseActualTotal</t>
  </si>
  <si>
    <t>Superspar Ph2_Tracker.xlsx | Table row 68 | End of Defects Period | Inv  | Col ExpenseActualTotal</t>
  </si>
  <si>
    <t>Superspar Ph2_Tracker.xlsx | Table row 82 | O&amp;M Performance Monitoring &amp; Advisory Ph1 and Ph2 included | Inv  | Col ExpenseActualTotal</t>
  </si>
  <si>
    <t>O&amp;M Performance Monitoring &amp; Advisory Ph1 and Ph2 included</t>
  </si>
  <si>
    <t>Superspar Ph2_Tracker.xlsx | Table row 84 | Upgrade of Router | Inv AccEnergy ASAI-007327 | Col ExpenseActualTotal</t>
  </si>
  <si>
    <t>Upgrade of Router</t>
  </si>
  <si>
    <t>PO4601-SSDPH2-20260203 - RV Approved</t>
  </si>
  <si>
    <t>AccEnergy ASAI-007327</t>
  </si>
  <si>
    <t>Superspar Ph2_Tracker.xlsx | Table row 93 | Project Kick Off | Inv BDL Solar- IN000763 | Col ExpenseActualTotal</t>
  </si>
  <si>
    <t>Superspar Ph2_Tracker.xlsx | Table row 94 | Site Establishment | Inv BDL Solar- IN000764 | Col ExpenseActualTotal</t>
  </si>
  <si>
    <t>Superspar Ph2_Tracker.xlsx | Table row 95 | AC Installation Complete | Inv  | Col ExpenseActualTotal</t>
  </si>
  <si>
    <t>Superspar Ph2_Tracker.xlsx | Table row 96 | DC Installation Complete | Inv  | Col ExpenseActualTotal</t>
  </si>
  <si>
    <t>Superspar Ph2_Tracker.xlsx | Table row 97 | Commissioning Complete | Inv  | Col ExpenseActualTotal</t>
  </si>
  <si>
    <t>Superspar Ph2_Tracker.xlsx | Table row 98 | Site De-establisment | Inv  | Col ExpenseActualTotal</t>
  </si>
  <si>
    <t>Superspar Ph2_Tracker.xlsx | Table row 99 | Handover Document Complete | Inv  | Col ExpenseActualTotal</t>
  </si>
  <si>
    <t>Superspar Ph2_Tracker.xlsx | Table row 100 | End of Defects Period | Inv  | Col ExpenseActualTotal</t>
  </si>
  <si>
    <t>Superspar Ph2_Tracker.xlsx | Table row 109 | Project Kick Off | Inv BDL Solar- IN000763 | Col ExpenseActualTotal</t>
  </si>
  <si>
    <t>Superspar Ph2_Tracker.xlsx | Table row 110 | Site Establishment | Inv BDL Solar- IN000764 | Col ExpenseActualTotal</t>
  </si>
  <si>
    <t>Superspar Ph2_Tracker.xlsx | Table row 111 | AC Installation Complete | Inv  | Col ExpenseActualTotal</t>
  </si>
  <si>
    <t>Superspar Ph2_Tracker.xlsx | Table row 112 | DC Installation Complete | Inv  | Col ExpenseActualTotal</t>
  </si>
  <si>
    <t>Superspar Ph2_Tracker.xlsx | Table row 113 | Commissioning Complete | Inv  | Col ExpenseActualTotal</t>
  </si>
  <si>
    <t>Superspar Ph2_Tracker.xlsx | Table row 114 | Site De-establisment | Inv  | Col ExpenseActualTotal</t>
  </si>
  <si>
    <t>Superspar Ph2_Tracker.xlsx | Table row 115 | Handover Document Complete | Inv  | Col ExpenseActualTotal</t>
  </si>
  <si>
    <t>Superspar Ph2_Tracker.xlsx | Table row 116 | End of Defects Period | Inv  | Col ExpenseActualTotal</t>
  </si>
  <si>
    <t>Superspar Ph2_Tracker.xlsx | Table row 121 | Electrical PrEng sign off | Inv  | Col ExpenseActualTotal</t>
  </si>
  <si>
    <t>Superspar Ph2_Tracker.xlsx | Table row 122 | Structural Sign Off | Inv  | Col ExpenseActualTotal</t>
  </si>
  <si>
    <t>Superspar Ph2_Tracker.xlsx | Table row 124 | Red Team Inspection | Inv  | Col ExpenseActualTotal</t>
  </si>
  <si>
    <t>Superspar Ph2_Tracker.xlsx | Table row 127 | PD Fee | Inv  | Col ExpenseActualTotal</t>
  </si>
  <si>
    <t>Superspar Ph2_Tracker.xlsx | Table row 130 | Matriarch Defects Period - 1.25% | Inv Performance Monitoring Contract | Col ExpenseActualTotal</t>
  </si>
  <si>
    <t>Performance Monitoring Contract</t>
  </si>
  <si>
    <t>Superspar Ph2_Tracker.xlsx | Table row 137 | Travel | Inv Expense Claim | Col ExpenseActualTotal</t>
  </si>
  <si>
    <t>Superspar Ph2_Tracker.xlsx | Table row 138 | Travel | Inv Expense Claim | Col ExpenseActualTotal</t>
  </si>
  <si>
    <t>Superspar Ph2_Tracker.xlsx | Table row 139 | Travel | Inv Expense Claim | Col ExpenseActualTotal</t>
  </si>
  <si>
    <t>Superspar Ph2_Tracker.xlsx | Table row 140 | Travel | Inv  | Col ExpenseActualTotal</t>
  </si>
  <si>
    <t>Superspar Ph2_Tracker.xlsx | Table row 141 | Travel | Inv  | Col ExpenseActualTotal</t>
  </si>
  <si>
    <t>Superspar Ph2_Tracker.xlsx | Table row 150 | Roof Repair | Inv  Luken Solar - Invoice 0658  | Col ExpenseActualTotal</t>
  </si>
  <si>
    <t>Roof Repair</t>
  </si>
  <si>
    <t xml:space="preserve"> Luken Solar - Invoice 0658 </t>
  </si>
  <si>
    <t>Superspar Ph2_Tracker.xlsx | Table row 151 | Higeco Recommission - VO | Inv Infinity Inv: IN002354 | Col ExpenseActualTotal</t>
  </si>
  <si>
    <t>Higeco Recommission - VO</t>
  </si>
  <si>
    <t>PO4599-SSDPH2-20260203 - RV Approved</t>
  </si>
  <si>
    <t>Infinity Inv: IN002354</t>
  </si>
  <si>
    <t>Superspar Ph2_Tracker.xlsx | Table row 152 | Inverter Cage - VO | Inv  | Col ExpenseActualTotal</t>
  </si>
  <si>
    <t>Inverter Cage - VO</t>
  </si>
  <si>
    <t>PO4597-SSDPH2-20260203 - RV Approved</t>
  </si>
  <si>
    <t>Swellengrebel_Tracker.xlsx | Table row 6 | Panel Size - TBC - 620W as placeholder | Inv  | Col ExpenseActualTotal</t>
  </si>
  <si>
    <t>Panel Size - TBC - 620W as placeholder</t>
  </si>
  <si>
    <t>Swellengrebel_Tracker.xlsx | Table row 14 | Huawei 100KTL | Inv  | Col ExpenseActualTotal</t>
  </si>
  <si>
    <t>Swellengrebel_Tracker.xlsx | Table row 21 | Schletter Structure | Inv  | Col ExpenseActualTotal</t>
  </si>
  <si>
    <t>Swellengrebel_Tracker.xlsx | Table row 28 | DC Cable | Inv  | Col ExpenseActualTotal</t>
  </si>
  <si>
    <t>Swellengrebel_Tracker.xlsx | Table row 32 | Project Kick Off | Inv  | Col ExpenseActualTotal</t>
  </si>
  <si>
    <t>Swellengrebel_Tracker.xlsx | Table row 33 | Site Establishment | Inv  | Col ExpenseActualTotal</t>
  </si>
  <si>
    <t>Swellengrebel_Tracker.xlsx | Table row 34 | AC Installation Complete | Inv  | Col ExpenseActualTotal</t>
  </si>
  <si>
    <t>Swellengrebel_Tracker.xlsx | Table row 35 | DC Installation Complete | Inv  | Col ExpenseActualTotal</t>
  </si>
  <si>
    <t>Swellengrebel_Tracker.xlsx | Table row 36 | Commissioning Complete | Inv  | Col ExpenseActualTotal</t>
  </si>
  <si>
    <t>Swellengrebel_Tracker.xlsx | Table row 37 | Site De-establisment | Inv  | Col ExpenseActualTotal</t>
  </si>
  <si>
    <t>Swellengrebel_Tracker.xlsx | Table row 38 | Handover Document Complete | Inv  | Col ExpenseActualTotal</t>
  </si>
  <si>
    <t>Swellengrebel_Tracker.xlsx | Table row 39 | End of Defects Period | Inv  | Col ExpenseActualTotal</t>
  </si>
  <si>
    <t>Swellengrebel_Tracker.xlsx | Table row 44 | Smartlogger 3000 | Inv  | Col ExpenseActualTotal</t>
  </si>
  <si>
    <t>Swellengrebel_Tracker.xlsx | Table row 45 | Comms DB | Inv  | Col ExpenseActualTotal</t>
  </si>
  <si>
    <t>Swellengrebel_Tracker.xlsx | Table row 46 | Revenue Grade Meter | Inv  | Col ExpenseActualTotal</t>
  </si>
  <si>
    <t>Swellengrebel_Tracker.xlsx | Table row 53 | PVDB | Inv  | Col ExpenseActualTotal</t>
  </si>
  <si>
    <t>PO4592-SWG-20260129 - RV Approved</t>
  </si>
  <si>
    <t>Swellengrebel_Tracker.xlsx | Table row 58 | Project Kick Off | Inv  | Col ExpenseActualTotal</t>
  </si>
  <si>
    <t>Swellengrebel_Tracker.xlsx | Table row 59 | Site Establishment | Inv  | Col ExpenseActualTotal</t>
  </si>
  <si>
    <t>Swellengrebel_Tracker.xlsx | Table row 60 | AC Installation Complete | Inv  | Col ExpenseActualTotal</t>
  </si>
  <si>
    <t>Swellengrebel_Tracker.xlsx | Table row 61 | DC Installation Complete | Inv  | Col ExpenseActualTotal</t>
  </si>
  <si>
    <t>Swellengrebel_Tracker.xlsx | Table row 62 | Commissioning Complete | Inv  | Col ExpenseActualTotal</t>
  </si>
  <si>
    <t>Swellengrebel_Tracker.xlsx | Table row 63 | Site De-establisment | Inv  | Col ExpenseActualTotal</t>
  </si>
  <si>
    <t>Swellengrebel_Tracker.xlsx | Table row 64 | Handover Document Complete | Inv  | Col ExpenseActualTotal</t>
  </si>
  <si>
    <t>Swellengrebel_Tracker.xlsx | Table row 65 | End of Defects Period | Inv  | Col ExpenseActualTotal</t>
  </si>
  <si>
    <t>Swellengrebel_Tracker.xlsx | Table row 80 | Inverter Cage | Inv  | Col ExpenseActualTotal</t>
  </si>
  <si>
    <t>Swellengrebel_Tracker.xlsx | Table row 81 | Anchor Points | Inv  | Col ExpenseActualTotal</t>
  </si>
  <si>
    <t>Swellengrebel_Tracker.xlsx | Table row 82 | Catladder | Inv  | Col ExpenseActualTotal</t>
  </si>
  <si>
    <t>Swellengrebel_Tracker.xlsx | Table row 90 | Project Kick Off | Inv  | Col ExpenseActualTotal</t>
  </si>
  <si>
    <t>Swellengrebel_Tracker.xlsx | Table row 91 | Site Establishment | Inv  | Col ExpenseActualTotal</t>
  </si>
  <si>
    <t>Swellengrebel_Tracker.xlsx | Table row 92 | AC Installation Complete | Inv  | Col ExpenseActualTotal</t>
  </si>
  <si>
    <t>Swellengrebel_Tracker.xlsx | Table row 93 | DC Installation Complete | Inv  | Col ExpenseActualTotal</t>
  </si>
  <si>
    <t>Swellengrebel_Tracker.xlsx | Table row 94 | Commissioning Complete | Inv  | Col ExpenseActualTotal</t>
  </si>
  <si>
    <t>Swellengrebel_Tracker.xlsx | Table row 95 | Site De-establisment | Inv  | Col ExpenseActualTotal</t>
  </si>
  <si>
    <t>Swellengrebel_Tracker.xlsx | Table row 96 | Handover Document Complete | Inv  | Col ExpenseActualTotal</t>
  </si>
  <si>
    <t>Swellengrebel_Tracker.xlsx | Table row 97 | End of Defects Period | Inv  | Col ExpenseActualTotal</t>
  </si>
  <si>
    <t>Swellengrebel_Tracker.xlsx | Table row 106 | Project Kick Off | Inv  | Col ExpenseActualTotal</t>
  </si>
  <si>
    <t>Swellengrebel_Tracker.xlsx | Table row 107 | Site Establishment | Inv  | Col ExpenseActualTotal</t>
  </si>
  <si>
    <t>Swellengrebel_Tracker.xlsx | Table row 108 | AC Installation Complete | Inv  | Col ExpenseActualTotal</t>
  </si>
  <si>
    <t>Swellengrebel_Tracker.xlsx | Table row 109 | DC Installation Complete | Inv  | Col ExpenseActualTotal</t>
  </si>
  <si>
    <t>Swellengrebel_Tracker.xlsx | Table row 110 | Commissioning Complete | Inv  | Col ExpenseActualTotal</t>
  </si>
  <si>
    <t>Swellengrebel_Tracker.xlsx | Table row 111 | Site De-establisment | Inv  | Col ExpenseActualTotal</t>
  </si>
  <si>
    <t>Swellengrebel_Tracker.xlsx | Table row 112 | Handover Document Complete | Inv  | Col ExpenseActualTotal</t>
  </si>
  <si>
    <t>Swellengrebel_Tracker.xlsx | Table row 113 | End of Defects Period | Inv  | Col ExpenseActualTotal</t>
  </si>
  <si>
    <t>Swellengrebel_Tracker.xlsx | Table row 118 | Electrical PrEng sign off | Inv  | Col ExpenseActualTotal</t>
  </si>
  <si>
    <t>Swellengrebel_Tracker.xlsx | Table row 119 | Structural Sign Off | Inv  | Col ExpenseActualTotal</t>
  </si>
  <si>
    <t>Swellengrebel_Tracker.xlsx | Table row 121 | Red Team Inspection | Inv  | Col ExpenseActualTotal</t>
  </si>
  <si>
    <t>Swellengrebel_Tracker.xlsx | Table row 124 | BDP Commission | Inv  | Col ExpenseActualTotal</t>
  </si>
  <si>
    <t>Swellengrebel_Tracker.xlsx | Table row 127 | Matriarch Defects Period - 1.25% | Inv  | Col ExpenseActualTotal</t>
  </si>
  <si>
    <t>Swellengrebel_Tracker.xlsx | Table row 134 | Travel | Inv  | Col ExpenseActualTotal</t>
  </si>
  <si>
    <t>Swellengrebel_Tracker.xlsx | Table row 135 | Travel | Inv  | Col ExpenseActualTotal</t>
  </si>
  <si>
    <t>Swellengrebel_Tracker.xlsx | Table row 136 | Travel | Inv  | Col ExpenseActualTotal</t>
  </si>
  <si>
    <t>Swellengrebel_Tracker.xlsx | Table row 137 | Travel | Inv  | Col ExpenseActualTotal</t>
  </si>
  <si>
    <t>Topsteel_Tracker.xlsx | Table row 6 | Panel Size -- 610W a | Inv MSA Energy INV0003560 | Col ExpenseActualTotal</t>
  </si>
  <si>
    <t>Panel Size -- 610W a</t>
  </si>
  <si>
    <t>MSA Energy INV0003560</t>
  </si>
  <si>
    <t>Topsteel_Tracker.xlsx | Table row 14 | Huawei 100KTL | Inv MSA Energy INV0003560 | Col ExpenseActualTotal</t>
  </si>
  <si>
    <t>Topsteel_Tracker.xlsx | Table row 21 | Schletter Structure | Inv Schletter Inv: INV002586 | Col ExpenseActualTotal</t>
  </si>
  <si>
    <t>PO4564-TPS-20260121 - RV Approved</t>
  </si>
  <si>
    <t>Schletter Inv: INV002586</t>
  </si>
  <si>
    <t>Topsteel_Tracker.xlsx | Table row 28 | DC Cable | Inv MSA Energy INV0003560 | Col ExpenseActualTotal</t>
  </si>
  <si>
    <t>Topsteel_Tracker.xlsx | Table row 32 | Project Kick Off | Inv Cosmic Sun - CS_TPS_001 | Col ExpenseActualTotal</t>
  </si>
  <si>
    <t>Cosmic Sun - CS_TPS_001</t>
  </si>
  <si>
    <t>Topsteel_Tracker.xlsx | Table row 33 | Site Establishment | Inv Cosmic Sun - CS_TPS_002 | Col ExpenseActualTotal</t>
  </si>
  <si>
    <t>Cosmic Sun - CS_TPS_002</t>
  </si>
  <si>
    <t>Topsteel_Tracker.xlsx | Table row 34 | AC Installation Complete | Inv  | Col ExpenseActualTotal</t>
  </si>
  <si>
    <t>Topsteel_Tracker.xlsx | Table row 35 | DC Installation Complete | Inv  | Col ExpenseActualTotal</t>
  </si>
  <si>
    <t>Topsteel_Tracker.xlsx | Table row 36 | Commissioning Complete | Inv  | Col ExpenseActualTotal</t>
  </si>
  <si>
    <t>Topsteel_Tracker.xlsx | Table row 37 | Site De-establisment | Inv  | Col ExpenseActualTotal</t>
  </si>
  <si>
    <t>Topsteel_Tracker.xlsx | Table row 38 | Handover Document Complete | Inv  | Col ExpenseActualTotal</t>
  </si>
  <si>
    <t>Topsteel_Tracker.xlsx | Table row 39 | End of Defects Period | Inv  | Col ExpenseActualTotal</t>
  </si>
  <si>
    <t>Topsteel_Tracker.xlsx | Table row 44 | Smartlogger 3000 | Inv MSA Energy INV0003560 | Col ExpenseActualTotal</t>
  </si>
  <si>
    <t>Topsteel_Tracker.xlsx | Table row 45 | Comms DB | Inv Accuenergy Inv: ASAI-007261 | Col ExpenseActualTotal</t>
  </si>
  <si>
    <t>PO4576-TPS-20260126 - RV Approved</t>
  </si>
  <si>
    <t>Accuenergy Inv: ASAI-007261</t>
  </si>
  <si>
    <t>Topsteel_Tracker.xlsx | Table row 46 | Revenue Grade Meter | Inv  | Col ExpenseActualTotal</t>
  </si>
  <si>
    <t>Topsteel_Tracker.xlsx | Table row 53 | PVDB | Inv  | Col ExpenseActualTotal</t>
  </si>
  <si>
    <t>PO4591-TPS-20260129 - RV Approved</t>
  </si>
  <si>
    <t>Topsteel_Tracker.xlsx | Table row 58 | Project Kick Off | Inv Cosmic Sun - CS_TPS_001 | Col ExpenseActualTotal</t>
  </si>
  <si>
    <t>Topsteel_Tracker.xlsx | Table row 59 | Site Establishment | Inv Cosmic Sun - CS_TPS_002 | Col ExpenseActualTotal</t>
  </si>
  <si>
    <t>Topsteel_Tracker.xlsx | Table row 60 | AC Installation Complete | Inv  | Col ExpenseActualTotal</t>
  </si>
  <si>
    <t>Topsteel_Tracker.xlsx | Table row 61 | DC Installation Complete | Inv  | Col ExpenseActualTotal</t>
  </si>
  <si>
    <t>Topsteel_Tracker.xlsx | Table row 62 | Commissioning Complete | Inv  | Col ExpenseActualTotal</t>
  </si>
  <si>
    <t>Topsteel_Tracker.xlsx | Table row 63 | Site De-establisment | Inv  | Col ExpenseActualTotal</t>
  </si>
  <si>
    <t>Topsteel_Tracker.xlsx | Table row 64 | Handover Document Complete | Inv  | Col ExpenseActualTotal</t>
  </si>
  <si>
    <t>Topsteel_Tracker.xlsx | Table row 65 | End of Defects Period | Inv  | Col ExpenseActualTotal</t>
  </si>
  <si>
    <t>Topsteel_Tracker.xlsx | Table row 90 | Project Kick Off | Inv Cosmic Sun - CS_TPS_001 | Col ExpenseActualTotal</t>
  </si>
  <si>
    <t>Topsteel_Tracker.xlsx | Table row 91 | Site Establishment | Inv Cosmic Sun - CS_TPS_002 | Col ExpenseActualTotal</t>
  </si>
  <si>
    <t>Topsteel_Tracker.xlsx | Table row 92 | AC Installation Complete | Inv  | Col ExpenseActualTotal</t>
  </si>
  <si>
    <t>Topsteel_Tracker.xlsx | Table row 93 | DC Installation Complete | Inv  | Col ExpenseActualTotal</t>
  </si>
  <si>
    <t>Topsteel_Tracker.xlsx | Table row 94 | Commissioning Complete | Inv  | Col ExpenseActualTotal</t>
  </si>
  <si>
    <t>Topsteel_Tracker.xlsx | Table row 95 | Site De-establisment | Inv  | Col ExpenseActualTotal</t>
  </si>
  <si>
    <t>Topsteel_Tracker.xlsx | Table row 96 | Handover Document Complete | Inv  | Col ExpenseActualTotal</t>
  </si>
  <si>
    <t>Topsteel_Tracker.xlsx | Table row 97 | End of Defects Period | Inv  | Col ExpenseActualTotal</t>
  </si>
  <si>
    <t>Topsteel_Tracker.xlsx | Table row 102 | Security | Inv  | Col ExpenseActualTotal</t>
  </si>
  <si>
    <t>Topsteel_Tracker.xlsx | Table row 106 | Project Kick Off | Inv Cosmic Sun - CS_TPS_001 | Col ExpenseActualTotal</t>
  </si>
  <si>
    <t>Topsteel_Tracker.xlsx | Table row 107 | Site Establishment | Inv Cosmic Sun - CS_TPS_002 | Col ExpenseActualTotal</t>
  </si>
  <si>
    <t>Topsteel_Tracker.xlsx | Table row 108 | AC Installation Complete | Inv  | Col ExpenseActualTotal</t>
  </si>
  <si>
    <t>Topsteel_Tracker.xlsx | Table row 109 | DC Installation Complete | Inv  | Col ExpenseActualTotal</t>
  </si>
  <si>
    <t>Topsteel_Tracker.xlsx | Table row 110 | Commissioning Complete | Inv  | Col ExpenseActualTotal</t>
  </si>
  <si>
    <t>Topsteel_Tracker.xlsx | Table row 111 | Site De-establisment | Inv  | Col ExpenseActualTotal</t>
  </si>
  <si>
    <t>Topsteel_Tracker.xlsx | Table row 112 | Handover Document Complete | Inv  | Col ExpenseActualTotal</t>
  </si>
  <si>
    <t>Topsteel_Tracker.xlsx | Table row 113 | End of Defects Period | Inv  | Col ExpenseActualTotal</t>
  </si>
  <si>
    <t>Topsteel_Tracker.xlsx | Table row 118 | Electrical PrEng sign off | Inv  | Col ExpenseActualTotal</t>
  </si>
  <si>
    <t>Topsteel_Tracker.xlsx | Table row 119 | Structural Sign Off | Inv L&amp;B Consulting - Inv 2039  | Col ExpenseActualTotal</t>
  </si>
  <si>
    <t xml:space="preserve">L&amp;B Consulting - Inv 2039 </t>
  </si>
  <si>
    <t>Topsteel_Tracker.xlsx | Table row 120 | SCADA for CoCT | Inv  | Col ExpenseActualTotal</t>
  </si>
  <si>
    <t>SCADA for CoCT</t>
  </si>
  <si>
    <t>Topsteel_Tracker.xlsx | Table row 121 | Red Team Inspection | Inv  | Col ExpenseActualTotal</t>
  </si>
  <si>
    <t>Topsteel_Tracker.xlsx | Table row 124 | PD Fee | Inv  | Col ExpenseActualTotal</t>
  </si>
  <si>
    <t>Topsteel_Tracker.xlsx | Table row 127 | Matriarch Defects Period - 1.25% | Inv  | Col ExpenseActualTotal</t>
  </si>
  <si>
    <t>Topsteel_Tracker.xlsx | Table row 134 | Travel | Inv Exepnse Claim | Col ExpenseActualTotal</t>
  </si>
  <si>
    <t>Topsteel_Tracker.xlsx | Table row 135 | Travel | Inv Exepnse Claim | Col ExpenseActualTotal</t>
  </si>
  <si>
    <t>Topsteel_Tracker.xlsx | Table row 136 | Travel | Inv  | Col ExpenseActualTotal</t>
  </si>
  <si>
    <t>Topsteel_Tracker.xlsx | Table row 137 | Travel | Inv  | Col ExpenseActualTotal</t>
  </si>
  <si>
    <t>Topsteel_Tracker.xlsx | Table row 138 | Travel | Inv  | Col ExpenseActualTotal</t>
  </si>
  <si>
    <t>Trident Steel GP_Tracker.xlsx | Table row 6 | Jinko 585W - TSS (1400) | Inv Menlo Inv IN0002290 | Col ExpenseActualTotal</t>
  </si>
  <si>
    <t>Jinko 585W - TSS (1400)</t>
  </si>
  <si>
    <t>Menlo Inv IN0002290</t>
  </si>
  <si>
    <t>Trident Steel GP_Tracker.xlsx | Table row 7 | Jinko 585W - CPD1 (1804) | Inv Menlo Inv IN0002363 | Col ExpenseActualTotal</t>
  </si>
  <si>
    <t>Jinko 585W - CPD1 (1804)</t>
  </si>
  <si>
    <t>Menlo Inv IN0002363</t>
  </si>
  <si>
    <t>Trident Steel GP_Tracker.xlsx | Table row 10 | Storage  | Inv Supply Chain - Inv SCO05052 | Col ExpenseActualTotal</t>
  </si>
  <si>
    <t xml:space="preserve">Storage </t>
  </si>
  <si>
    <t>Supply Chain - Inv SCO05052</t>
  </si>
  <si>
    <t>Trident Steel GP_Tracker.xlsx | Table row 12 |  | Inv Supply Chain - SCO05164 | Col ExpenseActualTotal</t>
  </si>
  <si>
    <t>Supply Chain - SCO05164</t>
  </si>
  <si>
    <t>Trident Steel GP_Tracker.xlsx | Table row 14 | SolarEdge 100kW | Inv HERHOLDT'S - INV995250 | Col ExpenseActualTotal</t>
  </si>
  <si>
    <t>SolarEdge 100kW</t>
  </si>
  <si>
    <t>PO3553-TSD-20250121 - RV Approved</t>
  </si>
  <si>
    <t>HERHOLDT'S - INV995250</t>
  </si>
  <si>
    <t>Trident Steel GP_Tracker.xlsx | Table row 15 | Solar Edge Synergy unit | Inv HERHOLDT'S - INV995250 | Col ExpenseActualTotal</t>
  </si>
  <si>
    <t>Solar Edge Synergy unit</t>
  </si>
  <si>
    <t>Trident Steel GP_Tracker.xlsx | Table row 16 | S1200 Optimiser - TSS | Inv HERHOLDT'S - INV987265 | Col ExpenseActualTotal</t>
  </si>
  <si>
    <t>S1200 Optimiser - TSS</t>
  </si>
  <si>
    <t>PO3554-TSD-20250121</t>
  </si>
  <si>
    <t>HERHOLDT'S - INV987265</t>
  </si>
  <si>
    <t>Trident Steel GP_Tracker.xlsx | Table row 17 | S1200 Optimiser - CPD1 | Inv HERHOLDT'S - INV987265 | Col ExpenseActualTotal</t>
  </si>
  <si>
    <t>S1200 Optimiser - CPD1</t>
  </si>
  <si>
    <t>Trident Steel GP_Tracker.xlsx | Table row 18 | Spare Optimizer 1200W/80V | Inv Herholdts - INV1113245 | Col ExpenseActualTotal</t>
  </si>
  <si>
    <t>Spare Optimizer 1200W/80V</t>
  </si>
  <si>
    <t>PO4193-TSG-20250804 - RV Approved</t>
  </si>
  <si>
    <t>Herholdts - INV1113245</t>
  </si>
  <si>
    <t>Trident Steel GP_Tracker.xlsx | Table row 19 |  | Inv  | Col ExpenseActualTotal</t>
  </si>
  <si>
    <t>Trident Steel GP_Tracker.xlsx | Table row 21 | IBR Roof | Inv SCHLETTER - INV1261 | Col ExpenseActualTotal</t>
  </si>
  <si>
    <t>IBR Roof</t>
  </si>
  <si>
    <t>PO3465-TRID-20241115 - RV Approved</t>
  </si>
  <si>
    <t>SCHLETTER - INV1261</t>
  </si>
  <si>
    <t>Trident Steel GP_Tracker.xlsx | Table row 22 | Delivery | Inv  | Col ExpenseActualTotal</t>
  </si>
  <si>
    <t>Trident Steel GP_Tracker.xlsx | Table row 23 | MS Top Up - Trunking Incl - Schletter | Inv Schletter - INV1643 | Col ExpenseActualTotal</t>
  </si>
  <si>
    <t>MS Top Up - Trunking Incl - Schletter</t>
  </si>
  <si>
    <t>PO3774-TSG-20250328 - RV Approved</t>
  </si>
  <si>
    <t>Schletter - INV1643</t>
  </si>
  <si>
    <t>Trident Steel GP_Tracker.xlsx | Table row 26 | DC Cable  | Inv Menlo Inv IN0002363 | Col ExpenseActualTotal</t>
  </si>
  <si>
    <t>Trident Steel GP_Tracker.xlsx | Table row 27 | DC Cable Budget | Inv  | Col ExpenseActualTotal</t>
  </si>
  <si>
    <t>Trident Steel GP_Tracker.xlsx | Table row 28 | Deposit - TSS | Inv Cosmic Sun CS_TRS_001 | Col ExpenseActualTotal</t>
  </si>
  <si>
    <t>Deposit - TSS</t>
  </si>
  <si>
    <t>PO3527-TSG-20241212</t>
  </si>
  <si>
    <t>Cosmic Sun CS_TRS_001</t>
  </si>
  <si>
    <t>Trident Steel GP_Tracker.xlsx | Table row 29 | All AC &amp; DC Equipment Onsite | Inv Cosmic Sun CS_TRS_003 | Col ExpenseActualTotal</t>
  </si>
  <si>
    <t>All AC &amp; DC Equipment Onsite</t>
  </si>
  <si>
    <t>Cosmic Sun CS_TRS_003</t>
  </si>
  <si>
    <t>Trident Steel GP_Tracker.xlsx | Table row 30 | Pracitcal Completion - TSS | Inv Cosmic Sun CS_TRS_008 | Col ExpenseActualTotal</t>
  </si>
  <si>
    <t>Pracitcal Completion - TSS</t>
  </si>
  <si>
    <t>Cosmic Sun CS_TRS_008</t>
  </si>
  <si>
    <t>Trident Steel GP_Tracker.xlsx | Table row 31 | Site Fully Commissioned - TSS | Inv Cosmic Sun CS_TRS_009 | Col ExpenseActualTotal</t>
  </si>
  <si>
    <t>Site Fully Commissioned - TSS</t>
  </si>
  <si>
    <t>Cosmic Sun CS_TRS_009</t>
  </si>
  <si>
    <t>Trident Steel GP_Tracker.xlsx | Table row 32 | Retention | Inv Cosmic Sun CS_TRS_013 | Col ExpenseActualTotal</t>
  </si>
  <si>
    <t>Cosmic Sun CS_TRS_013</t>
  </si>
  <si>
    <t>Trident Steel GP_Tracker.xlsx | Table row 34 | Deposit - CPD1 | Inv Cosmic Sun CS_TRS_001 | Col ExpenseActualTotal</t>
  </si>
  <si>
    <t>Deposit - CPD1</t>
  </si>
  <si>
    <t>Trident Steel GP_Tracker.xlsx | Table row 35 | All AC &amp; DC Equipment Onsite | Inv Cosmic Sun CS_TRS_003 | Col ExpenseActualTotal</t>
  </si>
  <si>
    <t>Trident Steel GP_Tracker.xlsx | Table row 36 | Practical Completion | Inv Cosmic Sun CS_TRS_010 | Col ExpenseActualTotal</t>
  </si>
  <si>
    <t>Cosmic Sun CS_TRS_010</t>
  </si>
  <si>
    <t>Trident Steel GP_Tracker.xlsx | Table row 37 | Site Fully Commissioned | Inv Cosmic Sun CS_TRS_010 | Col ExpenseActualTotal</t>
  </si>
  <si>
    <t>Site Fully Commissioned</t>
  </si>
  <si>
    <t>Trident Steel GP_Tracker.xlsx | Table row 38 | Retention | Inv Cosmic Sun CS_TRS_012 | Col ExpenseActualTotal</t>
  </si>
  <si>
    <t>Cosmic Sun CS_TRS_012</t>
  </si>
  <si>
    <t>Trident Steel GP_Tracker.xlsx | Table row 40 | SolarEdge Energy Meter | Inv HERHOLDT'S - INV995250 | Col ExpenseActualTotal</t>
  </si>
  <si>
    <t>SolarEdge Energy Meter</t>
  </si>
  <si>
    <t>Trident Steel GP_Tracker.xlsx | Table row 41 | CTs &amp; Router: TSS &amp; CPD - AccuEnergy | Inv Accuenergy - Inv ASAI-004650 | Col ExpenseActualTotal</t>
  </si>
  <si>
    <t>CTs &amp; Router: TSS &amp; CPD - AccuEnergy</t>
  </si>
  <si>
    <t>PO3565-TSG-20250127 - RV Approved</t>
  </si>
  <si>
    <t>Accuenergy - Inv ASAI-004650</t>
  </si>
  <si>
    <t>Trident Steel GP_Tracker.xlsx | Table row 42 | Revenue Grade Meter - Techsitter  | Inv Matriarch INV-3710 | Col ExpenseActualTotal</t>
  </si>
  <si>
    <t xml:space="preserve">Revenue Grade Meter - Techsitter </t>
  </si>
  <si>
    <t>Matriarch INV-3710</t>
  </si>
  <si>
    <t>Trident Steel GP_Tracker.xlsx | Table row 43 | Fibre - Volkirk Deposit | Inv Volkirk Fibre INV0001116 | Col ExpenseActualTotal</t>
  </si>
  <si>
    <t>Fibre - Volkirk Deposit</t>
  </si>
  <si>
    <t>PO3696-TSG-20250226 - RV Approved</t>
  </si>
  <si>
    <t>Volkirk Fibre INV0001116</t>
  </si>
  <si>
    <t>Trident Steel GP_Tracker.xlsx | Table row 44 | Fibre - Volkirk - Balance | Inv Volkirk Fibre - INV0001138 | Col ExpenseActualTotal</t>
  </si>
  <si>
    <t>Fibre - Volkirk - Balance</t>
  </si>
  <si>
    <t>Volkirk Fibre - INV0001138</t>
  </si>
  <si>
    <t>Trident Steel GP_Tracker.xlsx | Table row 45 | Solar Edge PPC-DG | Inv HERHOLDT'S - INV995250 | Col ExpenseActualTotal</t>
  </si>
  <si>
    <t>Solar Edge PPC-DG</t>
  </si>
  <si>
    <t>Trident Steel GP_Tracker.xlsx | Table row 46 | 24V PSU | Inv Accuenergy - Inv ASAI-004783 | Col ExpenseActualTotal</t>
  </si>
  <si>
    <t>24V PSU</t>
  </si>
  <si>
    <t>PO3648-TSG-20250211 - RV Approved</t>
  </si>
  <si>
    <t>Accuenergy - Inv ASAI-004783</t>
  </si>
  <si>
    <t>Trident Steel GP_Tracker.xlsx | Table row 47 | Janitza UMG 604 (moved from Trident PE) | Inv Harmonius Technical Inv: INV21620 | Col ExpenseActualTotal</t>
  </si>
  <si>
    <t>Janitza UMG 604 (moved from Trident PE)</t>
  </si>
  <si>
    <t>Harmonius Technical Inv: INV21620</t>
  </si>
  <si>
    <t>Trident Steel GP_Tracker.xlsx | Table row 48 | Shipping of Janitza | Inv DSV Inv: 180121124 | Col ExpenseActualTotal</t>
  </si>
  <si>
    <t>Shipping of Janitza</t>
  </si>
  <si>
    <t>Trident Steel GP_Tracker.xlsx | Table row 49 | Janitza UMG 604 - Harmonious | Inv Harmonius Technical QU100577 | Col ExpenseActualTotal</t>
  </si>
  <si>
    <t>Janitza UMG 604 - Harmonious</t>
  </si>
  <si>
    <t>PO3738-TSG-20250312 - RV Approved</t>
  </si>
  <si>
    <t>Harmonius Technical QU100577</t>
  </si>
  <si>
    <t>Trident Steel GP_Tracker.xlsx | Table row 50 | Delivery of Janitza | Inv DSV Inv:  180121124 | Col ExpenseActualTotal</t>
  </si>
  <si>
    <t>DSV Inv:  180121124</t>
  </si>
  <si>
    <t>Trident Steel GP_Tracker.xlsx | Table row 51 | Fibre - Volkirk : Main Sub - Deposit | Inv Volkirk Properties INV0001127 | Col ExpenseActualTotal</t>
  </si>
  <si>
    <t>Fibre - Volkirk : Main Sub - Deposit</t>
  </si>
  <si>
    <t>PO3752-TSG-20250317 - RV Approved</t>
  </si>
  <si>
    <t>Volkirk Properties INV0001127</t>
  </si>
  <si>
    <t>Trident Steel GP_Tracker.xlsx | Table row 52 | Fibre - Volkirk : Main Sub - Balance | Inv Volkirk Properties INV0001139 | Col ExpenseActualTotal</t>
  </si>
  <si>
    <t>Fibre - Volkirk : Main Sub - Balance</t>
  </si>
  <si>
    <t>Volkirk Properties INV0001139</t>
  </si>
  <si>
    <t>Trident Steel GP_Tracker.xlsx | Table row 53 | SE Hark EMS Package - Herholdts | Inv Herholdts - INV1071481 | Col ExpenseActualTotal</t>
  </si>
  <si>
    <t>SE Hark EMS Package - Herholdts</t>
  </si>
  <si>
    <t>PO3952-TSG-20250523 - RV Approved</t>
  </si>
  <si>
    <t>Herholdts - INV1071481</t>
  </si>
  <si>
    <t>Trident Steel GP_Tracker.xlsx | Table row 54 | Commisioning - Solar Edge Hours | Inv Herholdts - INV1058643 | Col ExpenseActualTotal</t>
  </si>
  <si>
    <t>Commisioning - Solar Edge Hours</t>
  </si>
  <si>
    <t>PO3861-TSG-20250509 - RV Approved</t>
  </si>
  <si>
    <t>Herholdts - INV1058643</t>
  </si>
  <si>
    <t>Trident Steel GP_Tracker.xlsx | Table row 55 | Fiber - Gensets | Inv VP Fibre - INV0001201 | Col ExpenseActualTotal</t>
  </si>
  <si>
    <t>Fiber - Gensets</t>
  </si>
  <si>
    <t>PO4074-TSG-20250630 - RV Approved</t>
  </si>
  <si>
    <t>VP Fibre - INV0001201</t>
  </si>
  <si>
    <t>Trident Steel GP_Tracker.xlsx | Table row 58 | DB Board Fast Track Fee | Inv CS_TRS_002 | Col ExpenseActualTotal</t>
  </si>
  <si>
    <t>DB Board Fast Track Fee</t>
  </si>
  <si>
    <t>PO3612-TRID-20210131 - RV Approved</t>
  </si>
  <si>
    <t>CS_TRS_002</t>
  </si>
  <si>
    <t>Trident Steel GP_Tracker.xlsx | Table row 60 | VO - AC Cable : Cosmic Sun | Inv Cosmic Sun CS_TRS_005 | Col ExpenseActualTotal</t>
  </si>
  <si>
    <t>VO - AC Cable : Cosmic Sun</t>
  </si>
  <si>
    <t>PO3675-TSG-20250219 - RV Approved</t>
  </si>
  <si>
    <t>Cosmic Sun CS_TRS_005</t>
  </si>
  <si>
    <t>Trident Steel GP_Tracker.xlsx | Table row 61 | Deposit - TSS | Inv Cosmic Sun CS_TRS_001 | Col ExpenseActualTotal</t>
  </si>
  <si>
    <t>Trident Steel GP_Tracker.xlsx | Table row 62 | All AC &amp; DC Equipment Onsite | Inv Cosmic Sun CS_TRS_003 | Col ExpenseActualTotal</t>
  </si>
  <si>
    <t>Trident Steel GP_Tracker.xlsx | Table row 63 | Pracitcal Completion - TSS | Inv Cosmic Sun CS_TRS_008 | Col ExpenseActualTotal</t>
  </si>
  <si>
    <t>Trident Steel GP_Tracker.xlsx | Table row 64 | Site Fully Commissioned - TSS | Inv Cosmic Sun CS_TRS_009 | Col ExpenseActualTotal</t>
  </si>
  <si>
    <t>Trident Steel GP_Tracker.xlsx | Table row 65 | Retention | Inv Cosmic Sun CS_TRS_013 | Col ExpenseActualTotal</t>
  </si>
  <si>
    <t>Trident Steel GP_Tracker.xlsx | Table row 67 | Deposit - CPD1 | Inv Cosmic Sun CS_TRS_001 | Col ExpenseActualTotal</t>
  </si>
  <si>
    <t>Trident Steel GP_Tracker.xlsx | Table row 68 | All AC &amp; DC Equipment Onsite | Inv Cosmic Sun CS_TRS_003 | Col ExpenseActualTotal</t>
  </si>
  <si>
    <t>Trident Steel GP_Tracker.xlsx | Table row 69 | Practical Completion | Inv Cosmic Sun CS_TRS_010 | Col ExpenseActualTotal</t>
  </si>
  <si>
    <t>Trident Steel GP_Tracker.xlsx | Table row 70 | Site Fully Commissioned | Inv Cosmic Sun CS_TRS_010 | Col ExpenseActualTotal</t>
  </si>
  <si>
    <t>Trident Steel GP_Tracker.xlsx | Table row 71 | Retention | Inv Cosmic Sun CS_TRS_012 | Col ExpenseActualTotal</t>
  </si>
  <si>
    <t>Trident Steel GP_Tracker.xlsx | Table row 82 | RUT Power Supply - AccuEnergy | Inv ASAI - 005420 | Col ExpenseActualTotal</t>
  </si>
  <si>
    <t>RUT Power Supply - AccuEnergy</t>
  </si>
  <si>
    <t>PO3858-TSG-20250508</t>
  </si>
  <si>
    <t>ASAI - 005420</t>
  </si>
  <si>
    <t>Trident Steel GP_Tracker.xlsx | Table row 83 | Plug point Fibre and Comms at Sub - Cosmic Sun | Inv Cosmic Sun: CS_TRS_011 | Col ExpenseActualTotal</t>
  </si>
  <si>
    <t>Plug point Fibre and Comms at Sub - Cosmic Sun</t>
  </si>
  <si>
    <t>PO3939-TSG-20250520 - RV Approved</t>
  </si>
  <si>
    <t>Cosmic Sun: CS_TRS_011</t>
  </si>
  <si>
    <t>Trident Steel GP_Tracker.xlsx | Table row 84 | Permanent Anchor Points - ATS Africa | Inv ATS AFRICA - INV-0386 | Col ExpenseActualTotal</t>
  </si>
  <si>
    <t>Permanent Anchor Points - ATS Africa</t>
  </si>
  <si>
    <t>PO3803-TSG-20250414 - RV Approved</t>
  </si>
  <si>
    <t>ATS AFRICA - INV-0386</t>
  </si>
  <si>
    <t>Trident Steel GP_Tracker.xlsx | Table row 85 |  | Inv ATS AFRICA - INV-0386 | Col ExpenseActualTotal</t>
  </si>
  <si>
    <t>Trident Steel GP_Tracker.xlsx | Table row 86 | Walkways- Cosmic Sun = 120m | Inv Cosmic Sun CS_TRS_006 | Col ExpenseActualTotal</t>
  </si>
  <si>
    <t>Walkways- Cosmic Sun = 120m</t>
  </si>
  <si>
    <t>PO3676-TSG-20250219 - RV Approved</t>
  </si>
  <si>
    <t>Cosmic Sun CS_TRS_006</t>
  </si>
  <si>
    <t>Trident Steel GP_Tracker.xlsx | Table row 87 | Walkways - Onvlee | Inv Onvlee PO-3697-TSG-20250226 | Col ExpenseActualTotal</t>
  </si>
  <si>
    <t>Walkways - Onvlee</t>
  </si>
  <si>
    <t>PO3697-TSG-20250226 - RV Approved</t>
  </si>
  <si>
    <t>Onvlee PO-3697-TSG-20250226</t>
  </si>
  <si>
    <t>Trident Steel GP_Tracker.xlsx | Table row 88 | Walkways Fastners | Inv Onvlee PO-3697-TSG-20250226 | Col ExpenseActualTotal</t>
  </si>
  <si>
    <t>Walkways Fastners</t>
  </si>
  <si>
    <t>Trident Steel GP_Tracker.xlsx | Table row 89 | Delivery  | Inv Onvlee PO-3697-TSG-20250226 | Col ExpenseActualTotal</t>
  </si>
  <si>
    <t>Trident Steel GP_Tracker.xlsx | Table row 90 | Cat6 Cable - Cosmic Sun | Inv Cosmic Sun CS_TRS_014 | Col ExpenseActualTotal</t>
  </si>
  <si>
    <t>Cat6 Cable - Cosmic Sun</t>
  </si>
  <si>
    <t>PO4086-TSG-20250702 - RV Approved</t>
  </si>
  <si>
    <t>Cosmic Sun CS_TRS_014</t>
  </si>
  <si>
    <t>Trident Steel GP_Tracker.xlsx | Table row 92 | Additional Courier | Inv Supply Chain - INV SCO05026 | Col ExpenseActualTotal</t>
  </si>
  <si>
    <t>Additional Courier</t>
  </si>
  <si>
    <t>PO3923-TSG-20250516 - RV Approved</t>
  </si>
  <si>
    <t>Supply Chain - INV SCO05026</t>
  </si>
  <si>
    <t>Trident Steel GP_Tracker.xlsx | Table row 93 | Temp Fence Transport &amp; Labour | Inv Supply Chain Optimiser Inv SCO04728 | Col ExpenseActualTotal</t>
  </si>
  <si>
    <t>Temp Fence Transport &amp; Labour</t>
  </si>
  <si>
    <t>PO3552-TRID-20250121 - RV Approved</t>
  </si>
  <si>
    <t>Supply Chain Optimiser Inv SCO04728</t>
  </si>
  <si>
    <t>Trident Steel GP_Tracker.xlsx | Table row 94 | Waterpoints - Deposit | Inv Plumbryt INV 3621-250314/01 | Col ExpenseActualTotal</t>
  </si>
  <si>
    <t>Waterpoints - Deposit</t>
  </si>
  <si>
    <t>PO3621-TSG-20250205 - RV Approved</t>
  </si>
  <si>
    <t>Plumbryt INV 3621-250314/01</t>
  </si>
  <si>
    <t>Trident Steel GP_Tracker.xlsx | Table row 95 | Waterpoints - Balance | Inv Plumbryt INV 3621-250314/01 | Col ExpenseActualTotal</t>
  </si>
  <si>
    <t>Waterpoints - Balance</t>
  </si>
  <si>
    <t>Trident Steel GP_Tracker.xlsx | Table row 96 | MV Shutdown | Inv  | Col ExpenseActualTotal</t>
  </si>
  <si>
    <t>MV Shutdown</t>
  </si>
  <si>
    <t>Trident Steel GP_Tracker.xlsx | Table row 97 | VO - Inverter Stands, Fence works: Cosmic Sun | Inv Cosmic Sun CS_TRS_004 | Col ExpenseActualTotal</t>
  </si>
  <si>
    <t>VO - Inverter Stands, Fence works: Cosmic Sun</t>
  </si>
  <si>
    <t>PO3661-TSG-20250214 - RV Approved</t>
  </si>
  <si>
    <t>Cosmic Sun CS_TRS_004</t>
  </si>
  <si>
    <t>Trident Steel GP_Tracker.xlsx | Table row 98 |  | Inv Cosmic Sun CS_TRS_007 | Col ExpenseActualTotal</t>
  </si>
  <si>
    <t>Cosmic Sun CS_TRS_007</t>
  </si>
  <si>
    <t>Trident Steel GP_Tracker.xlsx | Table row 99 | MV Metering - Malaysian Swittchgear | Inv Malaysian Inv SJ-11558 | Col ExpenseActualTotal</t>
  </si>
  <si>
    <t>MV Metering - Malaysian Swittchgear</t>
  </si>
  <si>
    <t>PO3725-TSG-20250306 - RV Approved</t>
  </si>
  <si>
    <t>Malaysian Inv SJ-11558</t>
  </si>
  <si>
    <t>Trident Steel GP_Tracker.xlsx | Table row 100 |  | Inv Malaysian Inv SJ-11558 | Col ExpenseActualTotal</t>
  </si>
  <si>
    <t>Trident Steel GP_Tracker.xlsx | Table row 101 | Domestic Transport | Inv Supply Chain - INV SCO05008 | Col ExpenseActualTotal</t>
  </si>
  <si>
    <t>PO3865-TSG-20250509 - RV Approved</t>
  </si>
  <si>
    <t>Supply Chain - INV SCO05008</t>
  </si>
  <si>
    <t>Trident Steel GP_Tracker.xlsx | Table row 102 | Walkways Mount Kits Top Up - Onvlee | Inv Onvlee INV01050372 | Col ExpenseActualTotal</t>
  </si>
  <si>
    <t>Walkways Mount Kits Top Up - Onvlee</t>
  </si>
  <si>
    <t>PO3914-TSG-20250515 - RV Approved</t>
  </si>
  <si>
    <t>Onvlee INV01050372</t>
  </si>
  <si>
    <t>Trident Steel GP_Tracker.xlsx | Table row 103 | Walkways Mount Kits Top Up Delivery - Onvlee | Inv Onvlee INV01050372 | Col ExpenseActualTotal</t>
  </si>
  <si>
    <t>Walkways Mount Kits Top Up Delivery - Onvlee</t>
  </si>
  <si>
    <t>Trident Steel GP_Tracker.xlsx | Table row 105 | Deposit - TSS | Inv Cosmic Sun CS_TRS_001 | Col ExpenseActualTotal</t>
  </si>
  <si>
    <t>Trident Steel GP_Tracker.xlsx | Table row 106 | All AC &amp; DC Equipment Onsite | Inv Cosmic Sun CS_TRS_003 | Col ExpenseActualTotal</t>
  </si>
  <si>
    <t>Trident Steel GP_Tracker.xlsx | Table row 107 | Pracitcal Completion - TSS | Inv Cosmic Sun CS_TRS_008 | Col ExpenseActualTotal</t>
  </si>
  <si>
    <t>Trident Steel GP_Tracker.xlsx | Table row 108 | Site Fully Commissioned - TSS | Inv Cosmic Sun CS_TRS_009 | Col ExpenseActualTotal</t>
  </si>
  <si>
    <t>Trident Steel GP_Tracker.xlsx | Table row 109 | Retention | Inv Cosmic Sun CS_TRS_013 | Col ExpenseActualTotal</t>
  </si>
  <si>
    <t>Trident Steel GP_Tracker.xlsx | Table row 111 | Deposit - CPD1 | Inv Cosmic Sun CS_TRS_001 | Col ExpenseActualTotal</t>
  </si>
  <si>
    <t>Trident Steel GP_Tracker.xlsx | Table row 112 | All AC &amp; DC Equipment Onsite | Inv Cosmic Sun CS_TRS_003 | Col ExpenseActualTotal</t>
  </si>
  <si>
    <t>Trident Steel GP_Tracker.xlsx | Table row 113 | Practical Completion | Inv Cosmic Sun CS_TRS_010 | Col ExpenseActualTotal</t>
  </si>
  <si>
    <t>Trident Steel GP_Tracker.xlsx | Table row 114 | Site Fully Commissioned | Inv Cosmic Sun CS_TRS_010 | Col ExpenseActualTotal</t>
  </si>
  <si>
    <t>Trident Steel GP_Tracker.xlsx | Table row 115 | Retention | Inv Cosmic Sun CS_TRS_012 | Col ExpenseActualTotal</t>
  </si>
  <si>
    <t>Trident Steel GP_Tracker.xlsx | Table row 120 | Security - Jan  | Inv Infantry - INV-2558 | Col ExpenseActualTotal</t>
  </si>
  <si>
    <t xml:space="preserve">Security - Jan </t>
  </si>
  <si>
    <t>PO3582-TSG-20250129 - RV Approved</t>
  </si>
  <si>
    <t>Infantry - INV-2558</t>
  </si>
  <si>
    <t>Trident Steel GP_Tracker.xlsx | Table row 121 | Security - April | Inv Infantry - INV-2759 | Col ExpenseActualTotal</t>
  </si>
  <si>
    <t>PO3810-TSG-20250416 - RV Approved</t>
  </si>
  <si>
    <t>Infantry - INV-2759</t>
  </si>
  <si>
    <t>Trident Steel GP_Tracker.xlsx | Table row 122 | Security - Feb | Inv Infantry - INV-2559 | Col ExpenseActualTotal</t>
  </si>
  <si>
    <t>Security - Feb</t>
  </si>
  <si>
    <t>PO3583-TSG-20250129 - RV Approved</t>
  </si>
  <si>
    <t>Infantry - INV-2559</t>
  </si>
  <si>
    <t>Trident Steel GP_Tracker.xlsx | Table row 123 | Security - Mar | Inv Infantry - INV-2670 | Col ExpenseActualTotal</t>
  </si>
  <si>
    <t>Security - Mar</t>
  </si>
  <si>
    <t>PO3710-TSG-20250303 - RV Approved</t>
  </si>
  <si>
    <t>Infantry - INV-2670</t>
  </si>
  <si>
    <t>Trident Steel GP_Tracker.xlsx | Table row 125 | Deposit -TSS | Inv Cosmic Sun CS_TRS_001 | Col ExpenseActualTotal</t>
  </si>
  <si>
    <t>Deposit -TSS</t>
  </si>
  <si>
    <t>Trident Steel GP_Tracker.xlsx | Table row 126 | All AC &amp; DC Equipment Onsite | Inv Cosmic Sun CS_TRS_003 | Col ExpenseActualTotal</t>
  </si>
  <si>
    <t>Trident Steel GP_Tracker.xlsx | Table row 127 | Pracitcal Completion - TSS | Inv Cosmic Sun CS_TRS_008 | Col ExpenseActualTotal</t>
  </si>
  <si>
    <t>Trident Steel GP_Tracker.xlsx | Table row 128 | Site Fully Commissioned - TSS | Inv Cosmic Sun CS_TRS_009 | Col ExpenseActualTotal</t>
  </si>
  <si>
    <t>Trident Steel GP_Tracker.xlsx | Table row 129 | Retention | Inv Cosmic Sun CS_TRS_013 | Col ExpenseActualTotal</t>
  </si>
  <si>
    <t>Trident Steel GP_Tracker.xlsx | Table row 131 | Deposit - CPD1 | Inv Cosmic Sun CS_TRS_001 | Col ExpenseActualTotal</t>
  </si>
  <si>
    <t>Trident Steel GP_Tracker.xlsx | Table row 132 | All AC &amp; DC Equipment Onsite | Inv Cosmic Sun CS_TRS_003 | Col ExpenseActualTotal</t>
  </si>
  <si>
    <t>Trident Steel GP_Tracker.xlsx | Table row 133 | Practical Completion | Inv Cosmic Sun CS_TRS_010 | Col ExpenseActualTotal</t>
  </si>
  <si>
    <t>Trident Steel GP_Tracker.xlsx | Table row 134 | Site Fully Commissioned | Inv Cosmic Sun CS_TRS_010 | Col ExpenseActualTotal</t>
  </si>
  <si>
    <t>Trident Steel GP_Tracker.xlsx | Table row 135 | Retention | Inv Cosmic Sun CS_TRS_012 | Col ExpenseActualTotal</t>
  </si>
  <si>
    <t>Trident Steel GP_Tracker.xlsx | Table row 139 | Electrical PrEng sign off | Inv Sunspot E024 | Col ExpenseActualTotal</t>
  </si>
  <si>
    <t>Sunspot E024</t>
  </si>
  <si>
    <t>Trident Steel GP_Tracker.xlsx | Table row 140 | Travel to site | Inv Sunspot E024 | Col ExpenseActualTotal</t>
  </si>
  <si>
    <t>Travel to site</t>
  </si>
  <si>
    <t>Trident Steel GP_Tracker.xlsx | Table row 141 | Structural sign off | Inv L&amp;B Consulting Inv: 1617 | Col ExpenseActualTotal</t>
  </si>
  <si>
    <t>L&amp;B Consulting Inv: 1617</t>
  </si>
  <si>
    <t>Trident Steel GP_Tracker.xlsx | Table row 142 | Grid Study - Outside of CoCT | Inv Okusha Engineering Inv EE14 | Col ExpenseActualTotal</t>
  </si>
  <si>
    <t>PO3689-TSG-20250220 - RV Approved</t>
  </si>
  <si>
    <t>Okusha Engineering Inv EE14</t>
  </si>
  <si>
    <t>Trident Steel GP_Tracker.xlsx | Table row 143 | Lightning Risk Assessment - LPS | Inv LPS INV 306601 | Col ExpenseActualTotal</t>
  </si>
  <si>
    <t>PO3564-TSG-20250127 - RV Approved</t>
  </si>
  <si>
    <t>LPS INV 306601</t>
  </si>
  <si>
    <t>Trident Steel GP_Tracker.xlsx | Table row 144 | Red Team Inspection | Inv Matriarch - INV-4423 | Col ExpenseActualTotal</t>
  </si>
  <si>
    <t>Matriarch - INV-4423</t>
  </si>
  <si>
    <t>Trident Steel GP_Tracker.xlsx | Table row 146 | Referral Fee  | Inv  | Col ExpenseActualTotal</t>
  </si>
  <si>
    <t xml:space="preserve">Referral Fee </t>
  </si>
  <si>
    <t>Trident Steel GP_Tracker.xlsx | Table row 149 | Matriarch Defects Period | Inv Matriarch - INV-4422 | Col ExpenseActualTotal</t>
  </si>
  <si>
    <t>Matriarch - INV-4422</t>
  </si>
  <si>
    <t>Trident Steel GP_Tracker.xlsx | Table row 150 |  | Inv Matriarch -CN-4996 | Col ExpenseActualTotal</t>
  </si>
  <si>
    <t>Matriarch -CN-4996</t>
  </si>
  <si>
    <t>Trident Steel GP_Tracker.xlsx | Table row 151 | MAM Performance Gaurantee | Inv Matriarch - INV-4997 | Col ExpenseActualTotal</t>
  </si>
  <si>
    <t>MAM Performance Gaurantee</t>
  </si>
  <si>
    <t>Matriarch - INV-4997</t>
  </si>
  <si>
    <t>Trident Steel GP_Tracker.xlsx | Table row 157 | Travel to site | Inv Expense Claims | Col ExpenseActualTotal</t>
  </si>
  <si>
    <t>Trident Steel GP_Tracker.xlsx | Table row 158 |  | Inv Expense Claims | Col ExpenseActualTotal</t>
  </si>
  <si>
    <t>Trident Steel GP_Tracker.xlsx | Table row 159 |  | Inv Expense Claims | Col ExpenseActualTotal</t>
  </si>
  <si>
    <t>Trident Steel GP_Tracker.xlsx | Table row 160 |  | Inv Expense Claims | Col ExpenseActualTotal</t>
  </si>
  <si>
    <t>Trident Steel GP_Tracker.xlsx | Table row 161 |  | Inv Expense Claims | Col ExpenseActualTotal</t>
  </si>
  <si>
    <t>Trident Steel GP_Tracker.xlsx | Table row 162 |  | Inv Expense Claims | Col ExpenseActualTotal</t>
  </si>
  <si>
    <t>Trident Steel GP_Tracker.xlsx | Table row 163 |  | Inv Expense Claims | Col ExpenseActualTotal</t>
  </si>
  <si>
    <t>Trident Steel GP_Tracker.xlsx | Table row 164 |  | Inv Expense Claims | Col ExpenseActualTotal</t>
  </si>
  <si>
    <t>Trident Steel GP_Tracker.xlsx | Table row 165 |  | Inv Expense Claims | Col ExpenseActualTotal</t>
  </si>
  <si>
    <t>Trident Steel GP_Tracker.xlsx | Table row 168 | Gen Sync Fix - AfrikEnergy | Inv AfrikEnergy - INV032882 | Col ExpenseActualTotal</t>
  </si>
  <si>
    <t>Gen Sync Fix - AfrikEnergy</t>
  </si>
  <si>
    <t>PO4081-TSG-20250701 - RV Approved</t>
  </si>
  <si>
    <t>AfrikEnergy - INV032882</t>
  </si>
  <si>
    <t>Trident Steel GP_Tracker.xlsx | Table row 169 | Plugs for switchgear - Cosmic Sun | Inv Cosmic Sun CS_TRS_015 | Col ExpenseActualTotal</t>
  </si>
  <si>
    <t>Plugs for switchgear - Cosmic Sun</t>
  </si>
  <si>
    <t>PO4140-TSG-20250721 - RV Approved</t>
  </si>
  <si>
    <t>Cosmic Sun CS_TRS_015</t>
  </si>
  <si>
    <t>Trident Steel GP_Tracker.xlsx | Table row 170 | Gen integration onsite support - AfrikEnergy | Inv AfrikEnergy - INV032885 | Col ExpenseActualTotal</t>
  </si>
  <si>
    <t>Gen integration onsite support - AfrikEnergy</t>
  </si>
  <si>
    <t>PO4141-TSG-20250721 - RV Approved</t>
  </si>
  <si>
    <t>AfrikEnergy - INV032885</t>
  </si>
  <si>
    <t>Trident Steel GP_Tracker.xlsx | Table row 171 | SSEG Additional Tests - Cosmic Sun | Inv Cosmic Sun: CS_TRS_999 | Col ExpenseActualTotal</t>
  </si>
  <si>
    <t>SSEG Additional Tests - Cosmic Sun</t>
  </si>
  <si>
    <t>PO4584-TSG-20260127 - RV Approved</t>
  </si>
  <si>
    <t>Cosmic Sun: CS_TRS_999</t>
  </si>
  <si>
    <t>Trident Steel GP_Tracker.xlsx | Table row 172 | Roof repairs | Inv A&amp;I Sheeting - Inv 6502 | Col ExpenseActualTotal</t>
  </si>
  <si>
    <t>Roof repairs</t>
  </si>
  <si>
    <t>A&amp;I Sheeting - Inv 6502</t>
  </si>
  <si>
    <t>Trident Steel GP_Tracker.xlsx | Table row 173 | COC fdor Waterpoints - Plumbryt | Inv Plumryt - 25/08/2025 | Col ExpenseActualTotal</t>
  </si>
  <si>
    <t>COC fdor Waterpoints - Plumbryt</t>
  </si>
  <si>
    <t>PO4245-TSG-20250820 - RV Approved</t>
  </si>
  <si>
    <t>Plumryt - 25/08/2025</t>
  </si>
  <si>
    <t>Trident Steel PE_Tracker.xlsx | Table row 4 | Product/ Service | Inv INVOICE NUMBER | Col ExpenseActualTotal</t>
  </si>
  <si>
    <t>Trident Steel PE_Tracker.xlsx | Table row 6 | 1. Panels | Inv Menlo Inv0002484 | Col ExpenseActualTotal</t>
  </si>
  <si>
    <t>1001274,3</t>
  </si>
  <si>
    <t>Menlo Inv0002484</t>
  </si>
  <si>
    <t>Trident Steel PE_Tracker.xlsx | Table row 7 | 1. Panels | Inv Menlo Inv0002539 | Col ExpenseActualTotal</t>
  </si>
  <si>
    <t>7967,7000000000007</t>
  </si>
  <si>
    <t>Menlo Inv0002539</t>
  </si>
  <si>
    <t>Trident Steel PE_Tracker.xlsx | Table row 8 | 1. Panels | Inv Menlo Inv0002539 | Col ExpenseActualTotal</t>
  </si>
  <si>
    <t>3250</t>
  </si>
  <si>
    <t>Trident Steel PE_Tracker.xlsx | Table row 13 | 2. Inverters | Inv Menlo Inv0002366 | Col ExpenseActualTotal</t>
  </si>
  <si>
    <t>Huawei 100kTL</t>
  </si>
  <si>
    <t>275481,40999999997</t>
  </si>
  <si>
    <t>Menlo Inv0002366</t>
  </si>
  <si>
    <t>Trident Steel PE_Tracker.xlsx | Table row 19 | 3. Mounting Structures | Inv Allocated from PE Stockroom | Col ExpenseActualTotal</t>
  </si>
  <si>
    <t>12415,12</t>
  </si>
  <si>
    <t>Trident Steel PE_Tracker.xlsx | Table row 23 | 4. DC Equipment | Inv Menlo Inv0002366 | Col ExpenseActualTotal</t>
  </si>
  <si>
    <t>133000</t>
  </si>
  <si>
    <t>Trident Steel PE_Tracker.xlsx | Table row 24 | 4. DC Equipment | Inv Menlo Inv0002484 | Col ExpenseActualTotal</t>
  </si>
  <si>
    <t>106400</t>
  </si>
  <si>
    <t>Trident Steel PE_Tracker.xlsx | Table row 25 | 4. DC Equipment | Inv Rubicon  INVWCRE-0065460 | Col ExpenseActualTotal</t>
  </si>
  <si>
    <t>29473,5</t>
  </si>
  <si>
    <t>Rubicon  INVWCRE-0065460</t>
  </si>
  <si>
    <t>Trident Steel PE_Tracker.xlsx | Table row 26 | 4. DC Equipment | Inv Rubicon INVWCRE-0065461 | Col ExpenseActualTotal</t>
  </si>
  <si>
    <t>Additional Cable</t>
  </si>
  <si>
    <t>14626,5</t>
  </si>
  <si>
    <t>Rubicon INVWCRE-0065461</t>
  </si>
  <si>
    <t>Trident Steel PE_Tracker.xlsx | Table row 27 | 4. DC Equipment | Inv Allocated to Stock | Col ExpenseActualTotal</t>
  </si>
  <si>
    <t xml:space="preserve">DC Cable Blck </t>
  </si>
  <si>
    <t>-13300</t>
  </si>
  <si>
    <t>Trident Steel PE_Tracker.xlsx | Table row 28 | 4. DC Equipment | Inv Allocated to Stock | Col ExpenseActualTotal</t>
  </si>
  <si>
    <t xml:space="preserve">Dc Cable Red </t>
  </si>
  <si>
    <t>-10640</t>
  </si>
  <si>
    <t>Trident Steel PE_Tracker.xlsx | Table row 29 | 4. DC Equipment | Inv Luken Solar INV-0615 | Col ExpenseActualTotal</t>
  </si>
  <si>
    <t>9000</t>
  </si>
  <si>
    <t>Luken Solar INV-0615</t>
  </si>
  <si>
    <t>Trident Steel PE_Tracker.xlsx | Table row 30 | 4. DC Equipment | Inv Luken Solar INV-0619 | Col ExpenseActualTotal</t>
  </si>
  <si>
    <t>13500</t>
  </si>
  <si>
    <t>Luken Solar INV-0619</t>
  </si>
  <si>
    <t>Trident Steel PE_Tracker.xlsx | Table row 31 | 4. DC Equipment | Inv Luken Solar INV-0625 | Col ExpenseActualTotal</t>
  </si>
  <si>
    <t>22500</t>
  </si>
  <si>
    <t>Luken Solar INV-0625</t>
  </si>
  <si>
    <t>Trident Steel PE_Tracker.xlsx | Table row 32 | 4. DC Equipment | Inv Luken Solar INV-0625 | Col ExpenseActualTotal</t>
  </si>
  <si>
    <t>18000</t>
  </si>
  <si>
    <t>Trident Steel PE_Tracker.xlsx | Table row 33 | 4. DC Equipment | Inv Luken Solar INV-0627 | Col ExpenseActualTotal</t>
  </si>
  <si>
    <t>Luken Solar INV-0627</t>
  </si>
  <si>
    <t>Trident Steel PE_Tracker.xlsx | Table row 34 | 4. DC Equipment | Inv Luken Solar INV-0634 | Col ExpenseActualTotal</t>
  </si>
  <si>
    <t>Luken Solar INV-0634</t>
  </si>
  <si>
    <t>Trident Steel PE_Tracker.xlsx | Table row 35 | 4. DC Equipment | Inv Luken Solar INV-0635 | Col ExpenseActualTotal</t>
  </si>
  <si>
    <t>4500</t>
  </si>
  <si>
    <t>Luken Solar INV-0635</t>
  </si>
  <si>
    <t>Trident Steel PE_Tracker.xlsx | Table row 36 | 4. DC Equipment | Inv Luken Solar INV-0636 | Col ExpenseActualTotal</t>
  </si>
  <si>
    <t>Luken Solar INV-0636</t>
  </si>
  <si>
    <t>Trident Steel PE_Tracker.xlsx | Table row 42 | 5. Monitoring | Inv Matriach INV-3706 | Col ExpenseActualTotal</t>
  </si>
  <si>
    <t>22338</t>
  </si>
  <si>
    <t>Matriach INV-3706</t>
  </si>
  <si>
    <t>Trident Steel PE_Tracker.xlsx | Table row 50 | 6. AC Equipment | Inv Eastern Switchgear INV16739 | Col ExpenseActualTotal</t>
  </si>
  <si>
    <t>AC Board 1 - Eastern SwitchGear - Deposit</t>
  </si>
  <si>
    <t>27902,5</t>
  </si>
  <si>
    <t>Eastern Switchgear INV16739</t>
  </si>
  <si>
    <t>Trident Steel PE_Tracker.xlsx | Table row 51 | 6. AC Equipment | Inv Eastern Switchgear INV16754 | Col ExpenseActualTotal</t>
  </si>
  <si>
    <t>AC Board  1- Eastern SwitchGear - Balance</t>
  </si>
  <si>
    <t>Eastern Switchgear INV16754</t>
  </si>
  <si>
    <t>Trident Steel PE_Tracker.xlsx | Table row 52 | 6. AC Equipment | Inv Eastern Switchgear INV16739 | Col ExpenseActualTotal</t>
  </si>
  <si>
    <t>AC Board 2 - Eastern SwitchGear - Deposit</t>
  </si>
  <si>
    <t>27369</t>
  </si>
  <si>
    <t>Trident Steel PE_Tracker.xlsx | Table row 53 | 6. AC Equipment | Inv Eastern Switchgear INV16754 | Col ExpenseActualTotal</t>
  </si>
  <si>
    <t>AC Board  2 - Eastern SwitchGear - Deposit</t>
  </si>
  <si>
    <t>Trident Steel PE_Tracker.xlsx | Table row 54 | 6. AC Equipment | Inv Eastern Switchgear INV16752 | Col ExpenseActualTotal</t>
  </si>
  <si>
    <t>Bus Bar Stubs - Eastern SwitchGear - Deposit</t>
  </si>
  <si>
    <t>13198</t>
  </si>
  <si>
    <t>Eastern Switchgear INV16752</t>
  </si>
  <si>
    <t>Trident Steel PE_Tracker.xlsx | Table row 55 | 6. AC Equipment | Inv Eastern Switchgear INV16752 | Col ExpenseActualTotal</t>
  </si>
  <si>
    <t>Bus Bar Stubs - Eastern SwitchGear - Balance</t>
  </si>
  <si>
    <t>Trident Steel PE_Tracker.xlsx | Table row 58 | 6. AC Equipment | Inv Luken Solar INV-0615 | Col ExpenseActualTotal</t>
  </si>
  <si>
    <t>26460</t>
  </si>
  <si>
    <t>Trident Steel PE_Tracker.xlsx | Table row 59 | 6. AC Equipment | Inv Luken Solar INV-0619 | Col ExpenseActualTotal</t>
  </si>
  <si>
    <t>39690</t>
  </si>
  <si>
    <t>Trident Steel PE_Tracker.xlsx | Table row 60 | 6. AC Equipment | Inv Luken Solar INV-0625 | Col ExpenseActualTotal</t>
  </si>
  <si>
    <t>66150</t>
  </si>
  <si>
    <t>Trident Steel PE_Tracker.xlsx | Table row 61 | 6. AC Equipment | Inv Luken Solar INV-0625 | Col ExpenseActualTotal</t>
  </si>
  <si>
    <t>52920</t>
  </si>
  <si>
    <t>Trident Steel PE_Tracker.xlsx | Table row 62 | 6. AC Equipment | Inv Luken Solar INV-0627 | Col ExpenseActualTotal</t>
  </si>
  <si>
    <t>Trident Steel PE_Tracker.xlsx | Table row 63 | 6. AC Equipment | Inv Luken Solar INV-0634 | Col ExpenseActualTotal</t>
  </si>
  <si>
    <t>Trident Steel PE_Tracker.xlsx | Table row 64 | 6. AC Equipment | Inv Luken Solar INV-0635 | Col ExpenseActualTotal</t>
  </si>
  <si>
    <t>13230</t>
  </si>
  <si>
    <t>Trident Steel PE_Tracker.xlsx | Table row 65 | 6. AC Equipment | Inv Luken Solar INV-0636 | Col ExpenseActualTotal</t>
  </si>
  <si>
    <t>Trident Steel PE_Tracker.xlsx | Table row 79 | 8. Product Add On  | Inv Onvlee Eng Inv PO3723-TRID-20250306 | Col ExpenseActualTotal</t>
  </si>
  <si>
    <t>35695,919999999998</t>
  </si>
  <si>
    <t>Onvlee Eng Inv PO3723-TRID-20250306</t>
  </si>
  <si>
    <t>Trident Steel PE_Tracker.xlsx | Table row 84 | 8. Product Add On  | Inv Allocated from 14A Christian Ave | Col ExpenseActualTotal</t>
  </si>
  <si>
    <t>Walkways (moved from 14 A Christiaan)</t>
  </si>
  <si>
    <t>17847,900000000001</t>
  </si>
  <si>
    <t>Allocated from 14A Christian Ave</t>
  </si>
  <si>
    <t>Trident Steel PE_Tracker.xlsx | Table row 85 | 8. Product Add On  | Inv THE ENGINEERING HUB - INV/2025/02/0322 | Col ExpenseActualTotal</t>
  </si>
  <si>
    <t>CatLadder - Supply and Install - Deposit</t>
  </si>
  <si>
    <t>33804</t>
  </si>
  <si>
    <t>THE ENGINEERING HUB - INV/2025/02/0322</t>
  </si>
  <si>
    <t>Trident Steel PE_Tracker.xlsx | Table row 88 | 8. Product Add On  | Inv Ezi Systems: VIN2618 | Col ExpenseActualTotal</t>
  </si>
  <si>
    <t>28725</t>
  </si>
  <si>
    <t>Ezi Systems: VIN2618</t>
  </si>
  <si>
    <t>Trident Steel PE_Tracker.xlsx | Table row 93 | 9. AC &amp; DC installation | Inv Luken Solar INV-0615 | Col ExpenseActualTotal</t>
  </si>
  <si>
    <t>35100</t>
  </si>
  <si>
    <t>Trident Steel PE_Tracker.xlsx | Table row 94 | 9. AC &amp; DC installation | Inv Luken Solar INV-0619 | Col ExpenseActualTotal</t>
  </si>
  <si>
    <t>52650</t>
  </si>
  <si>
    <t>Trident Steel PE_Tracker.xlsx | Table row 95 | 9. AC &amp; DC installation | Inv Luken Solar INV-0625 | Col ExpenseActualTotal</t>
  </si>
  <si>
    <t>87750</t>
  </si>
  <si>
    <t>Trident Steel PE_Tracker.xlsx | Table row 96 | 9. AC &amp; DC installation | Inv Luken Solar INV-0625 | Col ExpenseActualTotal</t>
  </si>
  <si>
    <t>70200</t>
  </si>
  <si>
    <t>Trident Steel PE_Tracker.xlsx | Table row 97 | 9. AC &amp; DC installation | Inv Luken Solar INV-0627 | Col ExpenseActualTotal</t>
  </si>
  <si>
    <t>Trident Steel PE_Tracker.xlsx | Table row 98 | 9. AC &amp; DC installation | Inv Luken Solar INV-0634 | Col ExpenseActualTotal</t>
  </si>
  <si>
    <t>Trident Steel PE_Tracker.xlsx | Table row 99 | 9. AC &amp; DC installation | Inv Luken Solar INV-0635 | Col ExpenseActualTotal</t>
  </si>
  <si>
    <t>17550</t>
  </si>
  <si>
    <t>Trident Steel PE_Tracker.xlsx | Table row 100 | 9. AC &amp; DC installation | Inv Luken Solar INV-0636 | Col ExpenseActualTotal</t>
  </si>
  <si>
    <t>Trident Steel PE_Tracker.xlsx | Table row 104 | 10. Site Logistics | Inv Luken Solar INV-0615 | Col ExpenseActualTotal</t>
  </si>
  <si>
    <t>5500</t>
  </si>
  <si>
    <t>Trident Steel PE_Tracker.xlsx | Table row 105 | 10. Site Logistics | Inv Luken Solar INV-0619 | Col ExpenseActualTotal</t>
  </si>
  <si>
    <t>8250</t>
  </si>
  <si>
    <t>Trident Steel PE_Tracker.xlsx | Table row 106 | 10. Site Logistics | Inv Luken Solar INV-0625 | Col ExpenseActualTotal</t>
  </si>
  <si>
    <t>13750</t>
  </si>
  <si>
    <t>Trident Steel PE_Tracker.xlsx | Table row 107 | 10. Site Logistics | Inv Luken Solar INV-0625 | Col ExpenseActualTotal</t>
  </si>
  <si>
    <t>11000</t>
  </si>
  <si>
    <t>Trident Steel PE_Tracker.xlsx | Table row 108 | 10. Site Logistics | Inv Luken Solar INV-0627 | Col ExpenseActualTotal</t>
  </si>
  <si>
    <t>Trident Steel PE_Tracker.xlsx | Table row 109 | 10. Site Logistics | Inv Luken Solar INV-0634 | Col ExpenseActualTotal</t>
  </si>
  <si>
    <t>Trident Steel PE_Tracker.xlsx | Table row 110 | 10. Site Logistics | Inv Luken Solar INV-0635 | Col ExpenseActualTotal</t>
  </si>
  <si>
    <t>2750</t>
  </si>
  <si>
    <t>Trident Steel PE_Tracker.xlsx | Table row 111 | 10. Site Logistics | Inv Luken Solar INV-0636 | Col ExpenseActualTotal</t>
  </si>
  <si>
    <t>Tsakana Corner_Tracker.xlsx | Table row 6 | Longi 620W - Menlo | Inv Krannich - INV 15-10012800 | Col ExpenseActualTotal</t>
  </si>
  <si>
    <t>Longi 620W - Menlo</t>
  </si>
  <si>
    <t>PO3932-DIP-Ph2-Tsakane-20250519 - RV Approved</t>
  </si>
  <si>
    <t>Krannich - INV 15-10012800</t>
  </si>
  <si>
    <t>Tsakana Corner_Tracker.xlsx | Table row 7 |  | Inv Krannich - INV 15-10012799 | Col ExpenseActualTotal</t>
  </si>
  <si>
    <t>Krannich - INV 15-10012799</t>
  </si>
  <si>
    <t>Tsakana Corner_Tracker.xlsx | Table row 8 | ChemiTek Solar Wash | Inv Krannich - INV 15-10012799 | Col ExpenseActualTotal</t>
  </si>
  <si>
    <t>ChemiTek Solar Wash</t>
  </si>
  <si>
    <t>Tsakana Corner_Tracker.xlsx | Table row 9 | EPR Fees | Inv Krannich - INV 15-10012799 | Col ExpenseActualTotal</t>
  </si>
  <si>
    <t>Tsakana Corner_Tracker.xlsx | Table row 10 |  | Inv Krannich - INV 15-10012799 | Col ExpenseActualTotal</t>
  </si>
  <si>
    <t>Tsakana Corner_Tracker.xlsx | Table row 11 |  | Inv Krannich - INV 15-10012800 | Col ExpenseActualTotal</t>
  </si>
  <si>
    <t>Tsakana Corner_Tracker.xlsx | Table row 14 | Huawei 100KTL - Menlo | Inv Menlo INV0002938 | Col ExpenseActualTotal</t>
  </si>
  <si>
    <t>PO3908-DIP-PH2-TSK-20250514</t>
  </si>
  <si>
    <t>Menlo INV0002938</t>
  </si>
  <si>
    <t>Tsakana Corner_Tracker.xlsx | Table row 22 | Schletter Structure | Inv Schletter - INV1790 | Col ExpenseActualTotal</t>
  </si>
  <si>
    <t>PO3942-DTC-20250521 - RV Approved</t>
  </si>
  <si>
    <t>Schletter - INV1790</t>
  </si>
  <si>
    <t>Tsakana Corner_Tracker.xlsx | Table row 23 | Schletter - Mid and End Clamps top up/replacement - VO | Inv Schletter - INV1869 | Col ExpenseActualTotal</t>
  </si>
  <si>
    <t>Schletter - Mid and End Clamps top up/replacement - VO</t>
  </si>
  <si>
    <t>PO3999-DTC-20250617 - RV Approved</t>
  </si>
  <si>
    <t>Schletter - INV1869</t>
  </si>
  <si>
    <t>Tsakana Corner_Tracker.xlsx | Table row 24 | Available Budget | Inv  | Col ExpenseActualTotal</t>
  </si>
  <si>
    <t>Tsakana Corner_Tracker.xlsx | Table row 29 | DC Cable - Krannich | Inv Krannich - INV 15-10012816 | Col ExpenseActualTotal</t>
  </si>
  <si>
    <t>DC Cable - Krannich</t>
  </si>
  <si>
    <t>Krannich - INV 15-10012816</t>
  </si>
  <si>
    <t>Tsakana Corner_Tracker.xlsx | Table row 33 | Project Kick Off | Inv Cosmic Sun CS_TSK_001 | Col ExpenseActualTotal</t>
  </si>
  <si>
    <t>PO3875-DTC-20250513 - RV Approved</t>
  </si>
  <si>
    <t>Cosmic Sun CS_TSK_001</t>
  </si>
  <si>
    <t>Tsakana Corner_Tracker.xlsx | Table row 34 | Site Establishment | Inv Cosmic Sun CS_TSK_002 | Col ExpenseActualTotal</t>
  </si>
  <si>
    <t>Cosmic Sun CS_TSK_002</t>
  </si>
  <si>
    <t>Tsakana Corner_Tracker.xlsx | Table row 35 | AC Installation Complete | Inv Cosmic Sun CS_TSK_004 | Col ExpenseActualTotal</t>
  </si>
  <si>
    <t>Cosmic Sun CS_TSK_004</t>
  </si>
  <si>
    <t>Tsakana Corner_Tracker.xlsx | Table row 36 | DC Installation Complete | Inv Cosmic Sun CS_TSK_003 | Col ExpenseActualTotal</t>
  </si>
  <si>
    <t>Cosmic Sun CS_TSK_003</t>
  </si>
  <si>
    <t>Tsakana Corner_Tracker.xlsx | Table row 37 | Commissioning Complete | Inv Cosmic Sun CS_TSK_005 | Col ExpenseActualTotal</t>
  </si>
  <si>
    <t>Cosmic Sun CS_TSK_005</t>
  </si>
  <si>
    <t>Tsakana Corner_Tracker.xlsx | Table row 38 | Site De-establisment | Inv Cosmic Sun CS_TSK_006 | Col ExpenseActualTotal</t>
  </si>
  <si>
    <t>Cosmic Sun CS_TSK_006</t>
  </si>
  <si>
    <t>Tsakana Corner_Tracker.xlsx | Table row 39 | Handover Document Complete | Inv Cosmic Sun CS_TSK_007 | Col ExpenseActualTotal</t>
  </si>
  <si>
    <t>Cosmic Sun CS_TSK_007</t>
  </si>
  <si>
    <t>Tsakana Corner_Tracker.xlsx | Table row 40 | End of Defects Period | Inv Cosmic Sun CS_TSK_008 | Col ExpenseActualTotal</t>
  </si>
  <si>
    <t>Cosmic Sun CS_TSK_008</t>
  </si>
  <si>
    <t>Tsakana Corner_Tracker.xlsx | Table row 45 | Smartlogger - Menlo | Inv Menlo INV0002935 | Col ExpenseActualTotal</t>
  </si>
  <si>
    <t>Menlo INV0002935</t>
  </si>
  <si>
    <t>Tsakana Corner_Tracker.xlsx | Table row 46 | CTs &amp; Meters | Inv Accuenergy Inv: ASAI005364 | Col ExpenseActualTotal</t>
  </si>
  <si>
    <t>PO3838-DIP-Ph2-Tsakane-20250429 - RV Approved</t>
  </si>
  <si>
    <t>Accuenergy Inv: ASAI005364</t>
  </si>
  <si>
    <t>Tsakana Corner_Tracker.xlsx | Table row 47 |  | Inv Accuenergy - Inv ASAI-005800 | Col ExpenseActualTotal</t>
  </si>
  <si>
    <t>Tsakana Corner_Tracker.xlsx | Table row 48 | Techsitter | Inv Matriarch Inv: 4451 | Col ExpenseActualTotal</t>
  </si>
  <si>
    <t>Tsakana Corner_Tracker.xlsx | Table row 49 | UPS | Inv Frontline INV725690 | Col ExpenseActualTotal</t>
  </si>
  <si>
    <t>Tsakana Corner_Tracker.xlsx | Table row 55 | PVDB | Inv Switchboard Inv: 2-SOI002098 | Col ExpenseActualTotal</t>
  </si>
  <si>
    <t>PO3874-DIP-Ph2-Tsakane-20250513 - RV Approved</t>
  </si>
  <si>
    <t>Switchboard Inv: 2-SOI002098</t>
  </si>
  <si>
    <t>Tsakana Corner_Tracker.xlsx | Table row 60 | Project Kick Off | Inv Cosmic Sun CS_TSK_001 | Col ExpenseActualTotal</t>
  </si>
  <si>
    <t>Tsakana Corner_Tracker.xlsx | Table row 61 | Site Establishment | Inv Cosmic Sun CS_TSK_002 | Col ExpenseActualTotal</t>
  </si>
  <si>
    <t>Tsakana Corner_Tracker.xlsx | Table row 62 | AC Installation Complete | Inv Cosmic Sun CS_TSK_004 | Col ExpenseActualTotal</t>
  </si>
  <si>
    <t>Tsakana Corner_Tracker.xlsx | Table row 63 | DC Installation Complete | Inv Cosmic Sun CS_TSK_003 | Col ExpenseActualTotal</t>
  </si>
  <si>
    <t>Tsakana Corner_Tracker.xlsx | Table row 64 | Commissioning Complete | Inv Cosmic Sun CS_TSK_005 | Col ExpenseActualTotal</t>
  </si>
  <si>
    <t>Tsakana Corner_Tracker.xlsx | Table row 65 | Site De-establisment | Inv Cosmic Sun CS_TSK_006 | Col ExpenseActualTotal</t>
  </si>
  <si>
    <t>Tsakana Corner_Tracker.xlsx | Table row 66 | Handover Document Complete | Inv Cosmic Sun CS_TSK_007 | Col ExpenseActualTotal</t>
  </si>
  <si>
    <t>Tsakana Corner_Tracker.xlsx | Table row 67 | End of Defects Period | Inv Cosmic Sun CS_TSK_008 | Col ExpenseActualTotal</t>
  </si>
  <si>
    <t>Tsakana Corner_Tracker.xlsx | Table row 81 | Inverter Cage - Deposit | Inv JRL Engineering INV00425 | Col ExpenseActualTotal</t>
  </si>
  <si>
    <t>Inverter Cage - Deposit</t>
  </si>
  <si>
    <t>PO4481-DTC-20251124 - RV Approved</t>
  </si>
  <si>
    <t>JRL Engineering INV00425</t>
  </si>
  <si>
    <t>Tsakana Corner_Tracker.xlsx | Table row 82 | Inverter Cage - Balance | Inv JRL Engineering INV00425 | Col ExpenseActualTotal</t>
  </si>
  <si>
    <t>Inverter Cage - Balance</t>
  </si>
  <si>
    <t>Tsakana Corner_Tracker.xlsx | Table row 83 | DB cage with Roof - Deposit | Inv JRL Engineering INV00426 | Col ExpenseActualTotal</t>
  </si>
  <si>
    <t>DB cage with Roof - Deposit</t>
  </si>
  <si>
    <t>JRL Engineering INV00426</t>
  </si>
  <si>
    <t>Tsakana Corner_Tracker.xlsx | Table row 84 | DB cage with Roof - Balance | Inv JRL Engineering INV00426 | Col ExpenseActualTotal</t>
  </si>
  <si>
    <t>DB cage with Roof - Balance</t>
  </si>
  <si>
    <t>Tsakana Corner_Tracker.xlsx | Table row 85 | Waterpoints - Plumbryt - Deposit | Inv Plumryt INV 024 | Col ExpenseActualTotal</t>
  </si>
  <si>
    <t>Waterpoints - Plumbryt - Deposit</t>
  </si>
  <si>
    <t>PO4549-DTC-20260108 - RV Approved</t>
  </si>
  <si>
    <t>Plumryt INV 024</t>
  </si>
  <si>
    <t>Tsakana Corner_Tracker.xlsx | Table row 86 | Waterpoints - Plumbryt - Balance | Inv Plumryt INV 024 | Col ExpenseActualTotal</t>
  </si>
  <si>
    <t>Waterpoints - Plumbryt - Balance</t>
  </si>
  <si>
    <t>Tsakana Corner_Tracker.xlsx | Table row 87 | CS - Waterproofing removing and reinstall panels - VO | Inv Cosmic Sun - CS_TSK_010 | Col ExpenseActualTotal</t>
  </si>
  <si>
    <t>CS - Waterproofing removing and reinstall panels - VO</t>
  </si>
  <si>
    <t>PO4357-DTC-20251006 - RV Approved</t>
  </si>
  <si>
    <t>Cosmic Sun - CS_TSK_010</t>
  </si>
  <si>
    <t>Tsakana Corner_Tracker.xlsx | Table row 88 | CS - Waterproofing removing and reinstall panels - VO | Inv Cosmic Sun - CS_TSK_012 | Col ExpenseActualTotal</t>
  </si>
  <si>
    <t>Cosmic Sun - CS_TSK_012</t>
  </si>
  <si>
    <t>Tsakana Corner_Tracker.xlsx | Table row 89 | CS - DB Stand | Inv Cosmic Sun: CS_TSK_009 | Col ExpenseActualTotal</t>
  </si>
  <si>
    <t>CS - DB Stand</t>
  </si>
  <si>
    <t>PO4343-DTC-20250930 - RV Approved</t>
  </si>
  <si>
    <t>Cosmic Sun: CS_TSK_009</t>
  </si>
  <si>
    <t>Tsakana Corner_Tracker.xlsx | Table row 90 | E Stop | Inv Cosmic Sun - CS_TSK_011 | Col ExpenseActualTotal</t>
  </si>
  <si>
    <t>E Stop</t>
  </si>
  <si>
    <t>Cosmic Sun - CS_TSK_011</t>
  </si>
  <si>
    <t>Tsakana Corner_Tracker.xlsx | Table row 94 | Project Kick Off | Inv Cosmic Sun CS_TSK_001 | Col ExpenseActualTotal</t>
  </si>
  <si>
    <t>Tsakana Corner_Tracker.xlsx | Table row 95 | Site Establishment | Inv Cosmic Sun CS_TSK_002 | Col ExpenseActualTotal</t>
  </si>
  <si>
    <t>Tsakana Corner_Tracker.xlsx | Table row 96 | AC Installation Complete | Inv Cosmic Sun CS_TSK_004 | Col ExpenseActualTotal</t>
  </si>
  <si>
    <t>Tsakana Corner_Tracker.xlsx | Table row 97 | DC Installation Complete | Inv Cosmic Sun CS_TSK_003 | Col ExpenseActualTotal</t>
  </si>
  <si>
    <t>Tsakana Corner_Tracker.xlsx | Table row 98 | Commissioning Complete | Inv Cosmic Sun CS_TSK_005 | Col ExpenseActualTotal</t>
  </si>
  <si>
    <t>Tsakana Corner_Tracker.xlsx | Table row 99 | Site De-establisment | Inv Cosmic Sun CS_TSK_006 | Col ExpenseActualTotal</t>
  </si>
  <si>
    <t>Tsakana Corner_Tracker.xlsx | Table row 100 | Handover Document Complete | Inv Cosmic Sun CS_TSK_007 | Col ExpenseActualTotal</t>
  </si>
  <si>
    <t>Tsakana Corner_Tracker.xlsx | Table row 101 | End of Defects Period | Inv Cosmic Sun CS_TSK_008 | Col ExpenseActualTotal</t>
  </si>
  <si>
    <t>Tsakana Corner_Tracker.xlsx | Table row 114 | Project Kick Off | Inv Cosmic Sun CS_TSK_001 | Col ExpenseActualTotal</t>
  </si>
  <si>
    <t>Tsakana Corner_Tracker.xlsx | Table row 115 | Site Establishment | Inv Cosmic Sun CS_TSK_002 | Col ExpenseActualTotal</t>
  </si>
  <si>
    <t>Tsakana Corner_Tracker.xlsx | Table row 116 | AC Installation Complete | Inv Cosmic Sun CS_TSK_004 | Col ExpenseActualTotal</t>
  </si>
  <si>
    <t>Tsakana Corner_Tracker.xlsx | Table row 117 |  | Inv Cosmic Sun CS_TSK_004 | Col ExpenseActualTotal</t>
  </si>
  <si>
    <t>Tsakana Corner_Tracker.xlsx | Table row 118 | DC Installation Complete | Inv Cosmic Sun CS_TSK_003 | Col ExpenseActualTotal</t>
  </si>
  <si>
    <t>Tsakana Corner_Tracker.xlsx | Table row 119 | Commissioning Complete | Inv Cosmic Sun CS_TSK_005 | Col ExpenseActualTotal</t>
  </si>
  <si>
    <t>Tsakana Corner_Tracker.xlsx | Table row 120 | Site De-establisment | Inv Cosmic Sun CS_TSK_006 | Col ExpenseActualTotal</t>
  </si>
  <si>
    <t>Tsakana Corner_Tracker.xlsx | Table row 121 | Handover Document Complete | Inv Cosmic Sun CS_TSK_007 | Col ExpenseActualTotal</t>
  </si>
  <si>
    <t>Tsakana Corner_Tracker.xlsx | Table row 122 | End of Defects Period | Inv Cosmic Sun CS_TSK_008 | Col ExpenseActualTotal</t>
  </si>
  <si>
    <t>Tsakana Corner_Tracker.xlsx | Table row 127 | Electrical PrEng sign off | Inv Sunspot E027 | Col ExpenseActualTotal</t>
  </si>
  <si>
    <t>Tsakana Corner_Tracker.xlsx | Table row 128 | Structural Sign Off | Inv L&amp;B Consulting - Invoice 1934  | Col ExpenseActualTotal</t>
  </si>
  <si>
    <t>Tsakana Corner_Tracker.xlsx | Table row 129 | Red Team Inspection | Inv  | Col ExpenseActualTotal</t>
  </si>
  <si>
    <t>Tsakana Corner_Tracker.xlsx | Table row 136 | Matriarch Defects Period - 1.25% | Inv  | Col ExpenseActualTotal</t>
  </si>
  <si>
    <t>Tsakana Corner_Tracker.xlsx | Table row 137 | Management | Inv  | Col ExpenseActualTotal</t>
  </si>
  <si>
    <t>Tsakana Corner_Tracker.xlsx | Table row 138 | Project manager  | Inv  | Col ExpenseActualTotal</t>
  </si>
  <si>
    <t>Tsakana Corner_Tracker.xlsx | Table row 139 | Planner time | Inv  | Col ExpenseActualTotal</t>
  </si>
  <si>
    <t>Tsakana Corner_Tracker.xlsx | Table row 140 | De Snagging | Inv  | Col ExpenseActualTotal</t>
  </si>
  <si>
    <t>Tsakana Corner_Tracker.xlsx | Table row 143 | Travel | Inv Site Visit | Col ExpenseActualTotal</t>
  </si>
  <si>
    <t>Tsakana Corner_Tracker.xlsx | Table row 144 | Travel | Inv Expense Claim | Col ExpenseActualTotal</t>
  </si>
  <si>
    <t>Tsakana Corner_Tracker.xlsx | Table row 145 | Travel | Inv Expense Claim | Col ExpenseActualTotal</t>
  </si>
  <si>
    <t>Tsakana Corner_Tracker.xlsx | Table row 146 | Travel | Inv Expense Claim | Col ExpenseActualTotal</t>
  </si>
  <si>
    <t>Tsakana Corner_Tracker.xlsx | Table row 147 | Travel | Inv Expense Claim | Col ExpenseActualTotal</t>
  </si>
  <si>
    <t>Tsakana Corner_Tracker.xlsx | Table row 148 | Travel | Inv Expense Claim | Col ExpenseActualTotal</t>
  </si>
  <si>
    <t>Tsakana Corner_Tracker.xlsx | Table row 149 | Travel | Inv Expense Claim | Col ExpenseActualTotal</t>
  </si>
  <si>
    <t>Tsakana Corner_Tracker.xlsx | Table row 150 | Travel | Inv Expense Claim | Col ExpenseActualTotal</t>
  </si>
  <si>
    <t>Tsakana Corner_Tracker.xlsx | Table row 151 | Travel | Inv Expense Claim | Col ExpenseActualTotal</t>
  </si>
  <si>
    <t>Tsakana Corner_Tracker.xlsx | Table row 152 | Travel | Inv Expense Claim | Col ExpenseActualTotal</t>
  </si>
  <si>
    <t>Tsakana Corner_Tracker.xlsx | Table row 153 |  | Inv  | Col ExpenseActualTotal</t>
  </si>
  <si>
    <t>Tsakana Corner_Tracker.xlsx | Table row 156 | Welcome Bonus - Site Establishment | Inv Luxanio Trading - 23404-202506-274901-I | Col ExpenseActualTotal</t>
  </si>
  <si>
    <t>Luxanio Trading - 23404-202506-274901-I</t>
  </si>
  <si>
    <t>Tsakana Corner_Tracker.xlsx | Table row 157 | Welcome Bonus - Commissioning | Inv Luxanio Trading - 23404-202506-274901-I | Col ExpenseActualTotal</t>
  </si>
  <si>
    <t>Tsakana Corner_Tracker.xlsx | Table row 159 | Community Engagement | Inv  | Col ExpenseActualTotal</t>
  </si>
  <si>
    <t>Tsakana Corner_Tracker.xlsx | Table row 161 | Alternative Tie In - Cosmic Sun | Inv Cosmic Sun: CS_TSK_013 | Col ExpenseActualTotal</t>
  </si>
  <si>
    <t>Alternative Tie In - Cosmic Sun</t>
  </si>
  <si>
    <t>PO4604-DTC-20260204 - RV Approved</t>
  </si>
  <si>
    <t>Cosmic Sun: CS_TSK_013</t>
  </si>
  <si>
    <t>Tsakana Corner_Tracker.xlsx | Table row 162 |  | Inv Cosmic Sun - CS_TSK_014 | Col ExpenseActualTotal</t>
  </si>
  <si>
    <t>Cosmic Sun - CS_TSK_014</t>
  </si>
  <si>
    <t>Umzimkhulu_Tracker.xlsx | Table row 6 | Jinko 620W - MENLO | Inv Menlo INV0002863 | Col ExpenseActualTotal</t>
  </si>
  <si>
    <t>PO3912-DIP-PH2-UMZI=20250514</t>
  </si>
  <si>
    <t>Menlo INV0002863</t>
  </si>
  <si>
    <t>Umzimkhulu_Tracker.xlsx | Table row 8 |  | Inv Menlo - INV0003277 | Col ExpenseActualTotal</t>
  </si>
  <si>
    <t>Menlo - INV0003277</t>
  </si>
  <si>
    <t>Umzimkhulu_Tracker.xlsx | Table row 13 | Huawei 100KTL - MENLO | Inv Menlo - INV0002962 | Col ExpenseActualTotal</t>
  </si>
  <si>
    <t>PO3895-DIP-PH2-UMZI=20250514</t>
  </si>
  <si>
    <t>Menlo - INV0002962</t>
  </si>
  <si>
    <t>Umzimkhulu_Tracker.xlsx | Table row 21 | Schletter Structure | Inv SCHLETTER - INV1764 | Col ExpenseActualTotal</t>
  </si>
  <si>
    <t>PO3920-DIP2UMZ-20250515 - RV Approved</t>
  </si>
  <si>
    <t>SCHLETTER - INV1764</t>
  </si>
  <si>
    <t>Umzimkhulu_Tracker.xlsx | Table row 22 | Kliplok brackets (Kliplok551 - PE store) | Inv Allocated from PE Stockroom | Col ExpenseActualTotal</t>
  </si>
  <si>
    <t>Kliplok brackets (Kliplok551 - PE store)</t>
  </si>
  <si>
    <t>Umzimkhulu_Tracker.xlsx | Table row 24 | Delivery | Inv DSV Inv: 180133248 | Col ExpenseActualTotal</t>
  </si>
  <si>
    <t>DSV Inv: 180133248</t>
  </si>
  <si>
    <t>Umzimkhulu_Tracker.xlsx | Table row 28 | DC Cable - MENLO | Inv Menlo - INV0002962 | Col ExpenseActualTotal</t>
  </si>
  <si>
    <t>Umzimkhulu_Tracker.xlsx | Table row 32 | Project Kick Off | Inv Thula Moya Inv: IN04718 | Col ExpenseActualTotal</t>
  </si>
  <si>
    <t>PO3886-DIP2UMZ-20250513 - RV Approved</t>
  </si>
  <si>
    <t>Thula Moya Inv: IN04718</t>
  </si>
  <si>
    <t>Umzimkhulu_Tracker.xlsx | Table row 33 | Site Establishment | Inv Thula Moya Inv: IN04718 | Col ExpenseActualTotal</t>
  </si>
  <si>
    <t>Umzimkhulu_Tracker.xlsx | Table row 34 | AC Installation Complete | Inv Thula Moya Inv: IN04798 | Col ExpenseActualTotal</t>
  </si>
  <si>
    <t>Thula Moya Inv: IN04798</t>
  </si>
  <si>
    <t>Umzimkhulu_Tracker.xlsx | Table row 35 | DC Installation Complete | Inv Thula Moya IN04776 | Col ExpenseActualTotal</t>
  </si>
  <si>
    <t>Thula Moya IN04776</t>
  </si>
  <si>
    <t>Umzimkhulu_Tracker.xlsx | Table row 36 | DC Installation Complete | Inv Thula Moya IN04835 | Col ExpenseActualTotal</t>
  </si>
  <si>
    <t>Thula Moya IN04835</t>
  </si>
  <si>
    <t>Umzimkhulu_Tracker.xlsx | Table row 37 | Commissioning Complete | Inv Thula Moya IN04836 | Col ExpenseActualTotal</t>
  </si>
  <si>
    <t>Thula Moya IN04836</t>
  </si>
  <si>
    <t>Umzimkhulu_Tracker.xlsx | Table row 38 | Site De-establisment | Inv Thula Moya IN04837 | Col ExpenseActualTotal</t>
  </si>
  <si>
    <t>Thula Moya IN04837</t>
  </si>
  <si>
    <t>Umzimkhulu_Tracker.xlsx | Table row 39 | Handover Document Complete | Inv Thula Moya  | Col ExpenseActualTotal</t>
  </si>
  <si>
    <t xml:space="preserve">Thula Moya </t>
  </si>
  <si>
    <t>Umzimkhulu_Tracker.xlsx | Table row 40 | End of Defects Period | Inv Thula Moya IN04839 | Col ExpenseActualTotal</t>
  </si>
  <si>
    <t>Thula Moya IN04839</t>
  </si>
  <si>
    <t>Umzimkhulu_Tracker.xlsx | Table row 45 | Smartlogger - MENLO | Inv Menlo - INV0002929 | Col ExpenseActualTotal</t>
  </si>
  <si>
    <t>Menlo - INV0002929</t>
  </si>
  <si>
    <t>Umzimkhulu_Tracker.xlsx | Table row 46 | CTs &amp; Meters | Inv Accuenergy - INV ASAI-005355 | Col ExpenseActualTotal</t>
  </si>
  <si>
    <t>PO3829-DIP-Ph2-Umzi-20250429 - RV Approved</t>
  </si>
  <si>
    <t>Accuenergy - INV ASAI-005355</t>
  </si>
  <si>
    <t>Umzimkhulu_Tracker.xlsx | Table row 47 | Din Rail Kit | Inv Accuenergy - Inv ASAI-005800 | Col ExpenseActualTotal</t>
  </si>
  <si>
    <t>Din Rail Kit</t>
  </si>
  <si>
    <t>Umzimkhulu_Tracker.xlsx | Table row 48 | Techsitter | Inv Matriarch Inv: 4451 | Col ExpenseActualTotal</t>
  </si>
  <si>
    <t>Umzimkhulu_Tracker.xlsx | Table row 49 | Delivery of Techsitter Meter | Inv DSV Inv: 180143171 | Col ExpenseActualTotal</t>
  </si>
  <si>
    <t>DSV Inv: 180143171</t>
  </si>
  <si>
    <t>Umzimkhulu_Tracker.xlsx | Table row 50 | UPS | Inv Frontline Inv725690 | Col ExpenseActualTotal</t>
  </si>
  <si>
    <t>Frontline Inv725690</t>
  </si>
  <si>
    <t>Umzimkhulu_Tracker.xlsx | Table row 51 | CTs | Inv Accuenergy - Inv ASAI-005580 | Col ExpenseActualTotal</t>
  </si>
  <si>
    <t>PO3957-DIP-Ph2-Umzi-20250527 - RV Approved</t>
  </si>
  <si>
    <t>Accuenergy - Inv ASAI-005580</t>
  </si>
  <si>
    <t>Umzimkhulu_Tracker.xlsx | Table row 52 | Courier of Simcard | Inv DSV Inv: 180150385 | Col ExpenseActualTotal</t>
  </si>
  <si>
    <t>Courier of Simcard</t>
  </si>
  <si>
    <t>Umzimkhulu_Tracker.xlsx | Table row 53 | Apex Device | Inv Rubicon INVWCRE-0068505 | Col ExpenseActualTotal</t>
  </si>
  <si>
    <t>Apex Device</t>
  </si>
  <si>
    <t>PO3967-DIP-PH2-Umzi-20250529 - RV Approved</t>
  </si>
  <si>
    <t>Rubicon INVWCRE-0068505</t>
  </si>
  <si>
    <t>Umzimkhulu_Tracker.xlsx | Table row 54 | Apex Edge Device | Inv rubicon Inv: INVWCRE-0068578 | Col ExpenseActualTotal</t>
  </si>
  <si>
    <t>PO3987-DIP-Ph2-Umzi-20250609 - RV Approved</t>
  </si>
  <si>
    <t>rubicon Inv: INVWCRE-0068578</t>
  </si>
  <si>
    <t>Umzimkhulu_Tracker.xlsx | Table row 57 | PVDB | Inv SwitchBoard - Inv 2-SOI002090 | Col ExpenseActualTotal</t>
  </si>
  <si>
    <t>SwitchBoard - Inv 2-SOI002090</t>
  </si>
  <si>
    <t>Umzimkhulu_Tracker.xlsx | Table row 58 | Supply and Install SPDs | Inv Thula Moya Inv - IN04962 | Col ExpenseActualTotal</t>
  </si>
  <si>
    <t>Supply and Install SPDs</t>
  </si>
  <si>
    <t>PO4438-UMZ-20251104 - RV Approved</t>
  </si>
  <si>
    <t>Thula Moya Inv - IN04962</t>
  </si>
  <si>
    <t>Umzimkhulu_Tracker.xlsx | Table row 59 | Supply and Install SPDs - Recover cost from SWB | Inv Switchboard - 2-ARI001536 | Col ExpenseActualTotal</t>
  </si>
  <si>
    <t>Supply and Install SPDs - Recover cost from SWB</t>
  </si>
  <si>
    <t>Umzimkhulu_Tracker.xlsx | Table row 61 | Project Kick Off | Inv Thula Moya Inv: IN04718 | Col ExpenseActualTotal</t>
  </si>
  <si>
    <t>Umzimkhulu_Tracker.xlsx | Table row 62 | Site Establishment | Inv Thula Moya Inv: IN04718 | Col ExpenseActualTotal</t>
  </si>
  <si>
    <t>Umzimkhulu_Tracker.xlsx | Table row 63 | AC Installation Complete | Inv Thula Moya Inv: IN04798 | Col ExpenseActualTotal</t>
  </si>
  <si>
    <t>Umzimkhulu_Tracker.xlsx | Table row 64 | DC Installation Complete | Inv Thula Moya IN04776 | Col ExpenseActualTotal</t>
  </si>
  <si>
    <t>Umzimkhulu_Tracker.xlsx | Table row 65 | DC Installation Complete | Inv Thula Moya IN04835 | Col ExpenseActualTotal</t>
  </si>
  <si>
    <t>Umzimkhulu_Tracker.xlsx | Table row 66 | Commissioning Complete | Inv Thula Moya IN04836 | Col ExpenseActualTotal</t>
  </si>
  <si>
    <t>Umzimkhulu_Tracker.xlsx | Table row 67 | Site De-establisment | Inv Thula Moya IN04837 | Col ExpenseActualTotal</t>
  </si>
  <si>
    <t>Umzimkhulu_Tracker.xlsx | Table row 68 | Handover Document Complete | Inv Thula Moya IN04838 | Col ExpenseActualTotal</t>
  </si>
  <si>
    <t>Thula Moya IN04838</t>
  </si>
  <si>
    <t>Umzimkhulu_Tracker.xlsx | Table row 69 | End of Defects Period | Inv Thula Moya IN04839 | Col ExpenseActualTotal</t>
  </si>
  <si>
    <t>Umzimkhulu_Tracker.xlsx | Table row 83 | Waterpoints | Inv Justin &amp; Joann Construction | Col ExpenseActualTotal</t>
  </si>
  <si>
    <t>PO4320-UMZ-20250918 - RV Approved</t>
  </si>
  <si>
    <t>Justin &amp; Joann Construction</t>
  </si>
  <si>
    <t>Umzimkhulu_Tracker.xlsx | Table row 85 | Manufacture &amp; Installation of Cage | Inv The Engineering Hub Inv: INV/2025/06/0571 | Col ExpenseActualTotal</t>
  </si>
  <si>
    <t>Manufacture &amp; Installation of Cage</t>
  </si>
  <si>
    <t>PO3963-UMZ-20250527 - RV Approved</t>
  </si>
  <si>
    <t>The Engineering Hub Inv: INV/2025/06/0571</t>
  </si>
  <si>
    <t>Umzimkhulu_Tracker.xlsx | Table row 86 | Relocation of Containers | Inv Thula Moya: IN04809 | Col ExpenseActualTotal</t>
  </si>
  <si>
    <t>Relocation of Containers</t>
  </si>
  <si>
    <t>PO4161-UMZ-20250725 - RV Approved</t>
  </si>
  <si>
    <t>Thula Moya: IN04809</t>
  </si>
  <si>
    <t>Umzimkhulu_Tracker.xlsx | Table row 88 | Crane Truck | Inv Luxinio Trading - Inv 87151 | Col ExpenseActualTotal</t>
  </si>
  <si>
    <t>Crane Truck</t>
  </si>
  <si>
    <t>Luxinio Trading - Inv 87151</t>
  </si>
  <si>
    <t>Umzimkhulu_Tracker.xlsx | Table row 89 | Estop | Inv Thula Moya - IN04932 | Col ExpenseActualTotal</t>
  </si>
  <si>
    <t>PO4388-UMZ-20251021 - RV Approved</t>
  </si>
  <si>
    <t>Thula Moya - IN04932</t>
  </si>
  <si>
    <t>Umzimkhulu_Tracker.xlsx | Table row 90 | Install Extra Palisade Fencing - VO | Inv The Engineering Hub Inv: INV/2025/10/0526 | Col ExpenseActualTotal</t>
  </si>
  <si>
    <t>Install Extra Palisade Fencing - VO</t>
  </si>
  <si>
    <t>PO4408-UMZ-20251027 - RV Approved</t>
  </si>
  <si>
    <t>The Engineering Hub Inv: INV/2025/10/0526</t>
  </si>
  <si>
    <t>Umzimkhulu_Tracker.xlsx | Table row 93 | Project Kick Off | Inv Thula Moya Inv: IN04718 | Col ExpenseActualTotal</t>
  </si>
  <si>
    <t>Umzimkhulu_Tracker.xlsx | Table row 94 | Site Establishment | Inv Thula Moya Inv: IN04718 | Col ExpenseActualTotal</t>
  </si>
  <si>
    <t>Umzimkhulu_Tracker.xlsx | Table row 95 | AC Installation Complete | Inv Thula Moya Inv: IN04798 | Col ExpenseActualTotal</t>
  </si>
  <si>
    <t>Umzimkhulu_Tracker.xlsx | Table row 96 | DC Installation Complete | Inv Thula Moya IN04776 | Col ExpenseActualTotal</t>
  </si>
  <si>
    <t>Umzimkhulu_Tracker.xlsx | Table row 97 | DC Installation Complete | Inv Thula Moya IN04835 | Col ExpenseActualTotal</t>
  </si>
  <si>
    <t>Umzimkhulu_Tracker.xlsx | Table row 98 | Commissioning Complete | Inv Thula Moya IN04836 | Col ExpenseActualTotal</t>
  </si>
  <si>
    <t>Umzimkhulu_Tracker.xlsx | Table row 99 | Site De-establisment | Inv Thula Moya IN04939 | Col ExpenseActualTotal</t>
  </si>
  <si>
    <t>Thula Moya IN04939</t>
  </si>
  <si>
    <t>Umzimkhulu_Tracker.xlsx | Table row 100 | Handover Document Complete | Inv Thula Moya IN04940 | Col ExpenseActualTotal</t>
  </si>
  <si>
    <t>Thula Moya IN04940</t>
  </si>
  <si>
    <t>Umzimkhulu_Tracker.xlsx | Table row 101 | End of Defects Period | Inv Thula Moya IN04945 | Col ExpenseActualTotal</t>
  </si>
  <si>
    <t>Thula Moya IN04945</t>
  </si>
  <si>
    <t>Umzimkhulu_Tracker.xlsx | Table row 108 | Security - June | Inv Bidvest ProteaCoin - 743752 | Col ExpenseActualTotal</t>
  </si>
  <si>
    <t>PO3966-UMZ-20250528 - RV Approved</t>
  </si>
  <si>
    <t>Bidvest ProteaCoin - 743752</t>
  </si>
  <si>
    <t>Umzimkhulu_Tracker.xlsx | Table row 109 | Security - July | Inv  | Col ExpenseActualTotal</t>
  </si>
  <si>
    <t>Umzimkhulu_Tracker.xlsx | Table row 114 | Project Kick Off | Inv Thula Moya Inv: IN04718 | Col ExpenseActualTotal</t>
  </si>
  <si>
    <t>Umzimkhulu_Tracker.xlsx | Table row 115 | Site Establishment | Inv Thula Moya Inv: IN04718 | Col ExpenseActualTotal</t>
  </si>
  <si>
    <t>Umzimkhulu_Tracker.xlsx | Table row 116 | AC Installation Complete | Inv Thula Moya Inv: IN04798 | Col ExpenseActualTotal</t>
  </si>
  <si>
    <t>Umzimkhulu_Tracker.xlsx | Table row 117 | DC Installation Complete | Inv Thula Moya IN04776 | Col ExpenseActualTotal</t>
  </si>
  <si>
    <t>Umzimkhulu_Tracker.xlsx | Table row 118 | DC Installation Complete | Inv Thula Moya IN04835 | Col ExpenseActualTotal</t>
  </si>
  <si>
    <t>Umzimkhulu_Tracker.xlsx | Table row 119 | Commissioning Complete | Inv Thula Moya IN04836 | Col ExpenseActualTotal</t>
  </si>
  <si>
    <t>Umzimkhulu_Tracker.xlsx | Table row 120 | Site De-establisment | Inv Thula Moya IN04837 | Col ExpenseActualTotal</t>
  </si>
  <si>
    <t>Umzimkhulu_Tracker.xlsx | Table row 121 |  | Inv Thula Moya IN04837 | Col ExpenseActualTotal</t>
  </si>
  <si>
    <t>Umzimkhulu_Tracker.xlsx | Table row 122 | Handover Document Complete | Inv Thula Moya IN04838 | Col ExpenseActualTotal</t>
  </si>
  <si>
    <t>Umzimkhulu_Tracker.xlsx | Table row 123 | End of Defects Period | Inv Thula Moya IN04839 | Col ExpenseActualTotal</t>
  </si>
  <si>
    <t>Umzimkhulu_Tracker.xlsx | Table row 128 | Electrical PrEng sign off | Inv Sunspot E027 | Col ExpenseActualTotal</t>
  </si>
  <si>
    <t>Umzimkhulu_Tracker.xlsx | Table row 129 | Structural Sign Off | Inv  L&amp;B Consulting - Invoice 1934 | Col ExpenseActualTotal</t>
  </si>
  <si>
    <t>Umzimkhulu_Tracker.xlsx | Table row 130 | Red Team Inspection | Inv Matriarch - INV-4987 | Col ExpenseActualTotal</t>
  </si>
  <si>
    <t>Umzimkhulu_Tracker.xlsx | Table row 137 | Matriarch Defects Period - 1.25% | Inv Matriarch - INV-4986 | Col ExpenseActualTotal</t>
  </si>
  <si>
    <t>Umzimkhulu_Tracker.xlsx | Table row 138 | Management | Inv  | Col ExpenseActualTotal</t>
  </si>
  <si>
    <t>Umzimkhulu_Tracker.xlsx | Table row 139 | Project manager  | Inv  | Col ExpenseActualTotal</t>
  </si>
  <si>
    <t>Umzimkhulu_Tracker.xlsx | Table row 140 | Planner time | Inv  | Col ExpenseActualTotal</t>
  </si>
  <si>
    <t>Umzimkhulu_Tracker.xlsx | Table row 141 | De Snagging | Inv  | Col ExpenseActualTotal</t>
  </si>
  <si>
    <t>Umzimkhulu_Tracker.xlsx | Table row 144 | Travel | Inv  | Col ExpenseActualTotal</t>
  </si>
  <si>
    <t>Umzimkhulu_Tracker.xlsx | Table row 145 | Travel | Inv Expense Claim | Col ExpenseActualTotal</t>
  </si>
  <si>
    <t>Umzimkhulu_Tracker.xlsx | Table row 146 | Travel | Inv Expense Claim | Col ExpenseActualTotal</t>
  </si>
  <si>
    <t>Umzimkhulu_Tracker.xlsx | Table row 147 | Travel | Inv Expense Claim | Col ExpenseActualTotal</t>
  </si>
  <si>
    <t>Umzimkhulu_Tracker.xlsx | Table row 148 | Travel | Inv Expense Claim | Col ExpenseActualTotal</t>
  </si>
  <si>
    <t>Umzimkhulu_Tracker.xlsx | Table row 149 | Travel | Inv Expense Claim | Col ExpenseActualTotal</t>
  </si>
  <si>
    <t>Umzimkhulu_Tracker.xlsx | Table row 150 | Travel | Inv Expense Claim | Col ExpenseActualTotal</t>
  </si>
  <si>
    <t>Umzimkhulu_Tracker.xlsx | Table row 151 | Travel | Inv Expense Claim | Col ExpenseActualTotal</t>
  </si>
  <si>
    <t>Umzimkhulu_Tracker.xlsx | Table row 152 | Travel | Inv Expense Claim | Col ExpenseActualTotal</t>
  </si>
  <si>
    <t>Umzimkhulu_Tracker.xlsx | Table row 153 | Travel | Inv Expense Claim | Col ExpenseActualTotal</t>
  </si>
  <si>
    <t>Umzimkhulu_Tracker.xlsx | Table row 157 | Welcome Bonus - Site Establishment | Inv Luxanio Trading - 23405/202506/274902/I | Col ExpenseActualTotal</t>
  </si>
  <si>
    <t>Luxanio Trading - 23405/202506/274902/I</t>
  </si>
  <si>
    <t>Umzimkhulu_Tracker.xlsx | Table row 158 | Welcome Bonus - Commissioning | Inv Luxanio Trading - 23405/202506/274902/I | Col ExpenseActualTotal</t>
  </si>
  <si>
    <t>Umzimkhulu_Tracker.xlsx | Table row 160 | Community Engagement | Inv  | Col ExpenseActualTotal</t>
  </si>
  <si>
    <t>Upper_East_Side_Hotel_Tracker.xlsx | Table row 6 | Jinko 590W | Inv Menlo INV0003168 | Col ExpenseActualTotal</t>
  </si>
  <si>
    <t>PO4155-UES-20250723 - RV Approved</t>
  </si>
  <si>
    <t>Menlo INV0003168</t>
  </si>
  <si>
    <t>Upper_East_Side_Hotel_Tracker.xlsx | Table row 7 | Replacement panels | Inv MSA Energy INV0003593 | Col ExpenseActualTotal</t>
  </si>
  <si>
    <t>MSA Energy INV0003593</t>
  </si>
  <si>
    <t>Upper_East_Side_Hotel_Tracker.xlsx | Table row 8 | Transport | Inv MSA Energy INV0003593 | Col ExpenseActualTotal</t>
  </si>
  <si>
    <t>Upper_East_Side_Hotel_Tracker.xlsx | Table row 13 | SMA Core 2 - 110kVA | Inv Krannich INV15-10013383 | Col ExpenseActualTotal</t>
  </si>
  <si>
    <t>SMA Core 2 - 110kVA</t>
  </si>
  <si>
    <t>PO4153-UES-20250723 - RV Approved</t>
  </si>
  <si>
    <t>Krannich INV15-10013383</t>
  </si>
  <si>
    <t>Upper_East_Side_Hotel_Tracker.xlsx | Table row 14 | EPR | Inv Krannich INV15-10013383 | Col ExpenseActualTotal</t>
  </si>
  <si>
    <t>EPR</t>
  </si>
  <si>
    <t>Upper_East_Side_Hotel_Tracker.xlsx | Table row 15 | Freight | Inv Krannich INV15-10013383 | Col ExpenseActualTotal</t>
  </si>
  <si>
    <t>Upper_East_Side_Hotel_Tracker.xlsx | Table row 21 | Schletter Structure | Inv Schletter - INV1994 | Col ExpenseActualTotal</t>
  </si>
  <si>
    <t>PO4150-UES-20250722 - RV Approved</t>
  </si>
  <si>
    <t>Schletter - INV1994</t>
  </si>
  <si>
    <t>Upper_East_Side_Hotel_Tracker.xlsx | Table row 23 | Mid Clamps | Inv  | Col ExpenseActualTotal</t>
  </si>
  <si>
    <t>PO4594-UESH-20260129 - RV Approved</t>
  </si>
  <si>
    <t>Upper_East_Side_Hotel_Tracker.xlsx | Table row 28 | DC Cable | Inv Rubicon INVWCRE-0069676 | Col ExpenseActualTotal</t>
  </si>
  <si>
    <t>Rubicon INVWCRE-0069676</t>
  </si>
  <si>
    <t>Upper_East_Side_Hotel_Tracker.xlsx | Table row 29 | DC Cable | Inv Rubicon INVRED-0137860 | Col ExpenseActualTotal</t>
  </si>
  <si>
    <t>PO4570-UESH-20260122 - RV Approved</t>
  </si>
  <si>
    <t>Rubicon INVRED-0137860</t>
  </si>
  <si>
    <t>Upper_East_Side_Hotel_Tracker.xlsx | Table row 32 | Project Kick Off | Inv Cosmic Sun - CS_UES_001 | Col ExpenseActualTotal</t>
  </si>
  <si>
    <t>PO4157-UESH-20250724 - RV Approved</t>
  </si>
  <si>
    <t>Cosmic Sun - CS_UES_001</t>
  </si>
  <si>
    <t>Upper_East_Side_Hotel_Tracker.xlsx | Table row 33 | Site Establishment | Inv Cosmic Sun - CS_UES_002 | Col ExpenseActualTotal</t>
  </si>
  <si>
    <t>Cosmic Sun - CS_UES_002</t>
  </si>
  <si>
    <t>Upper_East_Side_Hotel_Tracker.xlsx | Table row 34 | AC Installation Complete | Inv Cosmic Sun - CS_UES_003 | Col ExpenseActualTotal</t>
  </si>
  <si>
    <t>Cosmic Sun - CS_UES_003</t>
  </si>
  <si>
    <t>Upper_East_Side_Hotel_Tracker.xlsx | Table row 35 | DC Installation Complete | Inv Cosmic Sun - CS_UES_003 | Col ExpenseActualTotal</t>
  </si>
  <si>
    <t>Upper_East_Side_Hotel_Tracker.xlsx | Table row 36 | Commissioning Complete | Inv Cosmic Sun - CS_UES_003 | Col ExpenseActualTotal</t>
  </si>
  <si>
    <t>Upper_East_Side_Hotel_Tracker.xlsx | Table row 37 | Site De-establisment | Inv Cosmic Sun - CS_UES_003 | Col ExpenseActualTotal</t>
  </si>
  <si>
    <t>Upper_East_Side_Hotel_Tracker.xlsx | Table row 38 | Handover Document Complete | Inv Cosmic Sun - CS_UES_003 | Col ExpenseActualTotal</t>
  </si>
  <si>
    <t>Upper_East_Side_Hotel_Tracker.xlsx | Table row 39 | End of Defects Period | Inv Cosmic Sun - CS_UES_003 | Col ExpenseActualTotal</t>
  </si>
  <si>
    <t>Upper_East_Side_Hotel_Tracker.xlsx | Table row 44 | Data Manager | Inv  | Col ExpenseActualTotal</t>
  </si>
  <si>
    <t>Data Manager</t>
  </si>
  <si>
    <t>PO4261-UESH-20250821 - RV Approved</t>
  </si>
  <si>
    <t>Upper_East_Side_Hotel_Tracker.xlsx | Table row 45 | CTs &amp; Meters | Inv AccuEnergy ASAI-005840 | Col ExpenseActualTotal</t>
  </si>
  <si>
    <t>PO4061-UES-20250630 - RV Approved</t>
  </si>
  <si>
    <t>AccuEnergy ASAI-005840</t>
  </si>
  <si>
    <t>Upper_East_Side_Hotel_Tracker.xlsx | Table row 46 | Techsitter | Inv Matriarch - INV-4742 | Col ExpenseActualTotal</t>
  </si>
  <si>
    <t>Upper_East_Side_Hotel_Tracker.xlsx | Table row 47 | APEX | Inv Rubicon INVWCRE-0069106 | Col ExpenseActualTotal</t>
  </si>
  <si>
    <t>PO4076-UES-20250630 - RV Approved</t>
  </si>
  <si>
    <t>Rubicon INVWCRE-0069106</t>
  </si>
  <si>
    <t>Upper_East_Side_Hotel_Tracker.xlsx | Table row 54 | Project Kick Off | Inv Cosmic Sun - CS_UES_001 | Col ExpenseActualTotal</t>
  </si>
  <si>
    <t>Upper_East_Side_Hotel_Tracker.xlsx | Table row 55 | Site Establishment | Inv Cosmic Sun - CS_UES_002 | Col ExpenseActualTotal</t>
  </si>
  <si>
    <t>Upper_East_Side_Hotel_Tracker.xlsx | Table row 56 | AC Installation Complete | Inv Cosmic Sun - CS_UES_003 | Col ExpenseActualTotal</t>
  </si>
  <si>
    <t>Upper_East_Side_Hotel_Tracker.xlsx | Table row 57 | DC Installation Complete | Inv Cosmic Sun - CS_UES_003 | Col ExpenseActualTotal</t>
  </si>
  <si>
    <t>Upper_East_Side_Hotel_Tracker.xlsx | Table row 58 | Commissioning Complete | Inv Cosmic Sun - CS_UES_003 | Col ExpenseActualTotal</t>
  </si>
  <si>
    <t>Upper_East_Side_Hotel_Tracker.xlsx | Table row 59 | Site De-establisment | Inv Cosmic Sun - CS_UES_003 | Col ExpenseActualTotal</t>
  </si>
  <si>
    <t>Upper_East_Side_Hotel_Tracker.xlsx | Table row 60 | Handover Document Complete | Inv Cosmic Sun - CS_UES_003 | Col ExpenseActualTotal</t>
  </si>
  <si>
    <t>Upper_East_Side_Hotel_Tracker.xlsx | Table row 61 | End of Defects Period | Inv Cosmic Sun - CS_UES_003 | Col ExpenseActualTotal</t>
  </si>
  <si>
    <t>Upper_East_Side_Hotel_Tracker.xlsx | Table row 77 | Roof Replacement - Deposit | Inv WC Ideal Solutions Inv: INV-0398 | Col ExpenseActualTotal</t>
  </si>
  <si>
    <t>Roof Replacement - Deposit</t>
  </si>
  <si>
    <t>PO3855-UESH-20250507 - RV Approved</t>
  </si>
  <si>
    <t>WC Ideal Solutions Inv: INV-0398</t>
  </si>
  <si>
    <t>Upper_East_Side_Hotel_Tracker.xlsx | Table row 79 | Roof Replacement - Deposit Credit Note | Inv WC Ideal Solutions - CN-0400 | Col ExpenseActualTotal</t>
  </si>
  <si>
    <t>Roof Replacement - Deposit Credit Note</t>
  </si>
  <si>
    <t>WC Ideal Solutions - CN-0400</t>
  </si>
  <si>
    <t>Upper_East_Side_Hotel_Tracker.xlsx | Table row 81 | Roof Replacement - Deposit | Inv FMS Property - INV21346 | Col ExpenseActualTotal</t>
  </si>
  <si>
    <t>FMS Property - INV21346</t>
  </si>
  <si>
    <t>Upper_East_Side_Hotel_Tracker.xlsx | Table row 82 | Roof Replacement - Weekly Completion | Inv FMS Property - INV21346 | Col ExpenseActualTotal</t>
  </si>
  <si>
    <t>Roof Replacement - Weekly Completion</t>
  </si>
  <si>
    <t>Upper_East_Side_Hotel_Tracker.xlsx | Table row 83 | Roof Replacement - Weekly Completion | Inv FMS Property - INV21346 | Col ExpenseActualTotal</t>
  </si>
  <si>
    <t>Upper_East_Side_Hotel_Tracker.xlsx | Table row 84 | Roof Replacement - Weekly Completion | Inv FMS Property - INV21346 | Col ExpenseActualTotal</t>
  </si>
  <si>
    <t>Upper_East_Side_Hotel_Tracker.xlsx | Table row 85 | Roof Replacement - Handover | Inv FMS Property - INV21346 | Col ExpenseActualTotal</t>
  </si>
  <si>
    <t>Roof Replacement - Handover</t>
  </si>
  <si>
    <t>Upper_East_Side_Hotel_Tracker.xlsx | Table row 87 | Anchor Points | Inv INV000336 | Col ExpenseActualTotal</t>
  </si>
  <si>
    <t>PO4378-UESH-20251017 - RV Approved</t>
  </si>
  <si>
    <t>INV000336</t>
  </si>
  <si>
    <t>Upper_East_Side_Hotel_Tracker.xlsx | Table row 88 |  | Inv INV000336 | Col ExpenseActualTotal</t>
  </si>
  <si>
    <t>Upper_East_Side_Hotel_Tracker.xlsx | Table row 89 | Lithium Battery | Inv Red Pole - SO-35912 | Col ExpenseActualTotal</t>
  </si>
  <si>
    <t>Upper_East_Side_Hotel_Tracker.xlsx | Table row 91 |  | Inv FMS Property - INV22455 | Col ExpenseActualTotal</t>
  </si>
  <si>
    <t>FMS Property - INV22455</t>
  </si>
  <si>
    <t>Upper_East_Side_Hotel_Tracker.xlsx | Table row 95 | Project Kick Off | Inv Cosmic Sun - CS_UES_001 | Col ExpenseActualTotal</t>
  </si>
  <si>
    <t>Upper_East_Side_Hotel_Tracker.xlsx | Table row 96 | Site Establishment | Inv Cosmic Sun - CS_UES_002 | Col ExpenseActualTotal</t>
  </si>
  <si>
    <t>Upper_East_Side_Hotel_Tracker.xlsx | Table row 97 | AC Installation Complete | Inv Cosmic Sun - CS_UES_003 | Col ExpenseActualTotal</t>
  </si>
  <si>
    <t>Upper_East_Side_Hotel_Tracker.xlsx | Table row 98 | DC Installation Complete | Inv Cosmic Sun - CS_UES_003 | Col ExpenseActualTotal</t>
  </si>
  <si>
    <t>Upper_East_Side_Hotel_Tracker.xlsx | Table row 99 | Commissioning Complete | Inv Cosmic Sun - CS_UES_003 | Col ExpenseActualTotal</t>
  </si>
  <si>
    <t>Upper_East_Side_Hotel_Tracker.xlsx | Table row 100 | Site De-establisment | Inv Cosmic Sun - CS_UES_003 | Col ExpenseActualTotal</t>
  </si>
  <si>
    <t>Upper_East_Side_Hotel_Tracker.xlsx | Table row 101 | Handover Document Complete | Inv Cosmic Sun - CS_UES_003 | Col ExpenseActualTotal</t>
  </si>
  <si>
    <t>Upper_East_Side_Hotel_Tracker.xlsx | Table row 102 | End of Defects Period | Inv Cosmic Sun - CS_UES_003 | Col ExpenseActualTotal</t>
  </si>
  <si>
    <t>Upper_East_Side_Hotel_Tracker.xlsx | Table row 111 | Project Kick Off | Inv Cosmic Sun - CS_UES_001 | Col ExpenseActualTotal</t>
  </si>
  <si>
    <t>Upper_East_Side_Hotel_Tracker.xlsx | Table row 112 | Site Establishment | Inv Cosmic Sun - CS_UES_002 | Col ExpenseActualTotal</t>
  </si>
  <si>
    <t>Upper_East_Side_Hotel_Tracker.xlsx | Table row 113 |  | Inv Cosmic Sun - CS_UES_002 | Col ExpenseActualTotal</t>
  </si>
  <si>
    <t>Upper_East_Side_Hotel_Tracker.xlsx | Table row 114 | AC Installation Complete | Inv Cosmic Sun - CS_UES_003 | Col ExpenseActualTotal</t>
  </si>
  <si>
    <t>Upper_East_Side_Hotel_Tracker.xlsx | Table row 115 |  | Inv Cosmic Sun - CS_UES_003 | Col ExpenseActualTotal</t>
  </si>
  <si>
    <t>Upper_East_Side_Hotel_Tracker.xlsx | Table row 116 | DC Installation Complete | Inv Cosmic Sun - CS_UES_003 | Col ExpenseActualTotal</t>
  </si>
  <si>
    <t>Upper_East_Side_Hotel_Tracker.xlsx | Table row 117 | Commissioning Complete | Inv Cosmic Sun - CS_UES_003 | Col ExpenseActualTotal</t>
  </si>
  <si>
    <t>Upper_East_Side_Hotel_Tracker.xlsx | Table row 118 | Site De-establisment | Inv Cosmic Sun - CS_UES_003 | Col ExpenseActualTotal</t>
  </si>
  <si>
    <t>Upper_East_Side_Hotel_Tracker.xlsx | Table row 119 | Handover Document Complete | Inv Cosmic Sun - CS_UES_003 | Col ExpenseActualTotal</t>
  </si>
  <si>
    <t>Upper_East_Side_Hotel_Tracker.xlsx | Table row 120 | End of Defects Period | Inv Cosmic Sun - CS_UES_003 | Col ExpenseActualTotal</t>
  </si>
  <si>
    <t>Upper_East_Side_Hotel_Tracker.xlsx | Table row 125 | Electrical PrEng sign off | Inv  | Col ExpenseActualTotal</t>
  </si>
  <si>
    <t>Upper_East_Side_Hotel_Tracker.xlsx | Table row 126 | Structural Sign Off | Inv L&amp;B Consulting - INV-1963 | Col ExpenseActualTotal</t>
  </si>
  <si>
    <t>PO3799-UES-20250411 - RV Approved</t>
  </si>
  <si>
    <t>L&amp;B Consulting - INV-1963</t>
  </si>
  <si>
    <t>Upper_East_Side_Hotel_Tracker.xlsx | Table row 127 | Grid Study | Inv City of Cape Town - 708360339 | Col ExpenseActualTotal</t>
  </si>
  <si>
    <t>PO4381-UESH-20251020 - RV Approved</t>
  </si>
  <si>
    <t>City of Cape Town - 708360339</t>
  </si>
  <si>
    <t>Upper_East_Side_Hotel_Tracker.xlsx | Table row 128 | Red Team | Inv  | Col ExpenseActualTotal</t>
  </si>
  <si>
    <t>Upper_East_Side_Hotel_Tracker.xlsx | Table row 134 | Matriarch Defects Period - 1.25% | Inv  | Col ExpenseActualTotal</t>
  </si>
  <si>
    <t>Upper_East_Side_Hotel_Tracker.xlsx | Table row 135 | Management | Inv  | Col ExpenseActualTotal</t>
  </si>
  <si>
    <t>Upper_East_Side_Hotel_Tracker.xlsx | Table row 136 | Project manager  | Inv  | Col ExpenseActualTotal</t>
  </si>
  <si>
    <t>Upper_East_Side_Hotel_Tracker.xlsx | Table row 137 | Planner time | Inv  | Col ExpenseActualTotal</t>
  </si>
  <si>
    <t>Upper_East_Side_Hotel_Tracker.xlsx | Table row 138 | De Snagging | Inv  | Col ExpenseActualTotal</t>
  </si>
  <si>
    <t>Upper_East_Side_Hotel_Tracker.xlsx | Table row 141 | Travel | Inv Expense Claim | Col ExpenseActualTotal</t>
  </si>
  <si>
    <t>Upper_East_Side_Hotel_Tracker.xlsx | Table row 142 | Travel | Inv Expense Claim | Col ExpenseActualTotal</t>
  </si>
  <si>
    <t>Upper_East_Side_Hotel_Tracker.xlsx | Table row 143 | Travel | Inv Expense Claim | Col ExpenseActualTotal</t>
  </si>
  <si>
    <t>Upper_East_Side_Hotel_Tracker.xlsx | Table row 144 | Travel | Inv Expense Claim | Col ExpenseActualTotal</t>
  </si>
  <si>
    <t>Upper_East_Side_Hotel_Tracker.xlsx | Table row 145 | Travel | Inv Expense Claim | Col ExpenseActualTotal</t>
  </si>
  <si>
    <t>Upper_East_Side_Hotel_Tracker.xlsx | Table row 146 | Travel | Inv Expense Claim | Col ExpenseActualTotal</t>
  </si>
  <si>
    <t>Upper_East_Side_Hotel_Tracker.xlsx | Table row 147 | Travel | Inv Expense Claim | Col ExpenseActualTotal</t>
  </si>
  <si>
    <t>Upper_East_Side_Hotel_Tracker.xlsx | Table row 148 | Travel | Inv Expense Claim | Col ExpenseActualTotal</t>
  </si>
  <si>
    <t>Upper_East_Side_Hotel_Tracker.xlsx | Table row 149 | Travel | Inv Expense Claim | Col ExpenseActualTotal</t>
  </si>
  <si>
    <t>Upper_East_Side_Hotel_Tracker.xlsx | Table row 150 | Travel | Inv Expense Claim | Col ExpenseActualTotal</t>
  </si>
  <si>
    <t>Upper_East_Side_Hotel_Tracker.xlsx | Table row 151 | Travel | Inv  | Col ExpenseActualTotal</t>
  </si>
  <si>
    <t>Upper_East_Side_Hotel_Tracker.xlsx | Table row 152 | Travel | Inv  | Col ExpenseActualTotal</t>
  </si>
  <si>
    <t>Upper_East_Side_Hotel_Tracker.xlsx | Table row 153 | Travel | Inv  | Col ExpenseActualTotal</t>
  </si>
  <si>
    <t>Waterside_Tracker.xlsx | Table row 6 | Jinko 590 modules - Menlo | Inv Menlo - INV0003286 | Col ExpenseActualTotal</t>
  </si>
  <si>
    <t>Jinko 590 modules - Menlo</t>
  </si>
  <si>
    <t>Menlo - INV0003286</t>
  </si>
  <si>
    <t>Waterside_Tracker.xlsx | Table row 7 |  | Inv Menlo - INV0003286 | Col ExpenseActualTotal</t>
  </si>
  <si>
    <t>Waterside_Tracker.xlsx | Table row 13 | Huawei 50KTL (Boundary stock to move - CPT store) | Inv Allocated from Boundary Terraces | Col ExpenseActualTotal</t>
  </si>
  <si>
    <t>Huawei 50KTL (Boundary stock to move - CPT store)</t>
  </si>
  <si>
    <t>Allocated from Boundary Terraces</t>
  </si>
  <si>
    <t>Waterside_Tracker.xlsx | Table row 21 | Schletter Structure | Inv Schletter - INV2213 | Col ExpenseActualTotal</t>
  </si>
  <si>
    <t>PO4258-WATER-20250831 - RV Approved</t>
  </si>
  <si>
    <t>Schletter - INV2213</t>
  </si>
  <si>
    <t>Waterside_Tracker.xlsx | Table row 23 | Additional Rails | Inv Schletter - INV2374 | Col ExpenseActualTotal</t>
  </si>
  <si>
    <t>PO4427-WATER-20251030 - RV Approved</t>
  </si>
  <si>
    <t>Schletter - INV2374</t>
  </si>
  <si>
    <t>Waterside_Tracker.xlsx | Table row 28 | DC Cable - Menlo | Inv Menlo - INV0003286 | Col ExpenseActualTotal</t>
  </si>
  <si>
    <t>Waterside_Tracker.xlsx | Table row 32 | Project Kick Off | Inv Matthews Group - INV1533 | Col ExpenseActualTotal</t>
  </si>
  <si>
    <t>PO4309-WATER-20250915 - RV Approved</t>
  </si>
  <si>
    <t>Matthews Group - INV1533</t>
  </si>
  <si>
    <t>Waterside_Tracker.xlsx | Table row 33 | Site Establishment | Inv Matthews Group - INV1548 | Col ExpenseActualTotal</t>
  </si>
  <si>
    <t>Matthews Group - INV1548</t>
  </si>
  <si>
    <t>Waterside_Tracker.xlsx | Table row 34 | AC Installation Complete | Inv Matthews Group - INV1564 | Col ExpenseActualTotal</t>
  </si>
  <si>
    <t>Matthews Group - INV1564</t>
  </si>
  <si>
    <t>Waterside_Tracker.xlsx | Table row 35 | DC Installation Complete | Inv Matthews Group - INV1565 | Col ExpenseActualTotal</t>
  </si>
  <si>
    <t>Matthews Group - INV1565</t>
  </si>
  <si>
    <t>Waterside_Tracker.xlsx | Table row 36 | Commissioning Complete | Inv Matthews Group - INV-1572 | Col ExpenseActualTotal</t>
  </si>
  <si>
    <t>Matthews Group - INV-1572</t>
  </si>
  <si>
    <t>Waterside_Tracker.xlsx | Table row 37 | Site De-establisment | Inv Matthews Group - INV-1573 | Col ExpenseActualTotal</t>
  </si>
  <si>
    <t>Matthews Group - INV-1573</t>
  </si>
  <si>
    <t>Waterside_Tracker.xlsx | Table row 38 | Handover Document Complete | Inv Matthews Group - INV-1574 | Col ExpenseActualTotal</t>
  </si>
  <si>
    <t>Matthews Group - INV-1574</t>
  </si>
  <si>
    <t>Waterside_Tracker.xlsx | Table row 39 | End of Defects Period | Inv Matthews Group - INV-1575 | Col ExpenseActualTotal</t>
  </si>
  <si>
    <t>Matthews Group - INV-1575</t>
  </si>
  <si>
    <t>Waterside_Tracker.xlsx | Table row 44 | Smartlogger | Inv Menlo - INV0003286 | Col ExpenseActualTotal</t>
  </si>
  <si>
    <t>Waterside_Tracker.xlsx | Table row 45 | CTs &amp; Meters | Inv Accuenergy - ASAI-006135 | Col ExpenseActualTotal</t>
  </si>
  <si>
    <t>Accuenergy - ASAI-006135</t>
  </si>
  <si>
    <t>Waterside_Tracker.xlsx | Table row 46 | Techsitter | Inv Matriarch INV-5207 | Col ExpenseActualTotal</t>
  </si>
  <si>
    <t>Matriarch INV-5207</t>
  </si>
  <si>
    <t>Waterside_Tracker.xlsx | Table row 47 | Battery | Inv Red Pole Energy: SO-35689 | Col ExpenseActualTotal</t>
  </si>
  <si>
    <t>Waterside_Tracker.xlsx | Table row 48 | Powersupply | Inv Mantech-SOR1007853 | Col ExpenseActualTotal</t>
  </si>
  <si>
    <t>Waterside_Tracker.xlsx | Table row 49 |  | Inv Mantech - CRN949171 | Col ExpenseActualTotal</t>
  </si>
  <si>
    <t>Waterside_Tracker.xlsx | Table row 50 | Battery | Inv Current Automotion - SOQ324142 | Col ExpenseActualTotal</t>
  </si>
  <si>
    <t>Waterside_Tracker.xlsx | Table row 53 | PVDB | Inv Switchboard Group 2-SOI0011237 | Col ExpenseActualTotal</t>
  </si>
  <si>
    <t>Switchboard Group 2-SOI0011237</t>
  </si>
  <si>
    <t>Waterside_Tracker.xlsx | Table row 58 | Project Kick Off | Inv Matthews Group - INV1533 | Col ExpenseActualTotal</t>
  </si>
  <si>
    <t>Waterside_Tracker.xlsx | Table row 59 | Site Establishment | Inv Matthews Group - INV1548 | Col ExpenseActualTotal</t>
  </si>
  <si>
    <t>Waterside_Tracker.xlsx | Table row 60 | AC Installation Complete | Inv Matthews Group - INV1564 | Col ExpenseActualTotal</t>
  </si>
  <si>
    <t>Waterside_Tracker.xlsx | Table row 61 | DC Installation Complete | Inv Matthews Group - INV1565 | Col ExpenseActualTotal</t>
  </si>
  <si>
    <t>Waterside_Tracker.xlsx | Table row 62 | Commissioning Complete | Inv Matthews Group - INV-1572 | Col ExpenseActualTotal</t>
  </si>
  <si>
    <t>Waterside_Tracker.xlsx | Table row 63 | Site De-establisment | Inv Matthews Group - INV-1573 | Col ExpenseActualTotal</t>
  </si>
  <si>
    <t>Waterside_Tracker.xlsx | Table row 64 | Handover Document Complete | Inv Matthews Group - INV-1574 | Col ExpenseActualTotal</t>
  </si>
  <si>
    <t>Waterside_Tracker.xlsx | Table row 65 | End of Defects Period | Inv Matthews Group - INV-1575 | Col ExpenseActualTotal</t>
  </si>
  <si>
    <t>Waterside_Tracker.xlsx | Table row 81 | Check Meter | Inv CBB - CBB-5722 | Col ExpenseActualTotal</t>
  </si>
  <si>
    <t>Waterside_Tracker.xlsx | Table row 83 | Anchor Points - Deposit | Inv Accend Rope Access - INV-4926 | Col ExpenseActualTotal</t>
  </si>
  <si>
    <t>PO4278-WSD-20250826 - RV Approved</t>
  </si>
  <si>
    <t>Accend Rope Access - INV-4926</t>
  </si>
  <si>
    <t>Waterside_Tracker.xlsx | Table row 84 | Anchor Points - Balance | Inv Accend Rope Access - INV-4926 | Col ExpenseActualTotal</t>
  </si>
  <si>
    <t>Waterside_Tracker.xlsx | Table row 90 | Project Kick Off | Inv Matthews Group - INV1533 | Col ExpenseActualTotal</t>
  </si>
  <si>
    <t>Waterside_Tracker.xlsx | Table row 91 | Site Establishment | Inv Matthews Group - INV1548 | Col ExpenseActualTotal</t>
  </si>
  <si>
    <t>Waterside_Tracker.xlsx | Table row 92 | AC Installation Complete | Inv Matthews Group - INV1564 | Col ExpenseActualTotal</t>
  </si>
  <si>
    <t>Waterside_Tracker.xlsx | Table row 93 | DC Installation Complete | Inv Matthews Group - INV1565 | Col ExpenseActualTotal</t>
  </si>
  <si>
    <t>Waterside_Tracker.xlsx | Table row 94 | Commissioning Complete | Inv Matthews Group - INV-1572 | Col ExpenseActualTotal</t>
  </si>
  <si>
    <t>Waterside_Tracker.xlsx | Table row 95 | Site De-establisment | Inv Matthews Group - INV-1573 | Col ExpenseActualTotal</t>
  </si>
  <si>
    <t>Waterside_Tracker.xlsx | Table row 96 | Handover Document Complete | Inv Matthews Group - INV-1574 | Col ExpenseActualTotal</t>
  </si>
  <si>
    <t>Waterside_Tracker.xlsx | Table row 97 | End of Defects Period | Inv Matthews Group - INV-1575 | Col ExpenseActualTotal</t>
  </si>
  <si>
    <t>Waterside_Tracker.xlsx | Table row 106 | Project Kick Off | Inv Matthews Group - INV1533 | Col ExpenseActualTotal</t>
  </si>
  <si>
    <t>Waterside_Tracker.xlsx | Table row 107 | Site Establishment | Inv Matthews Group - INV1548 | Col ExpenseActualTotal</t>
  </si>
  <si>
    <t>Waterside_Tracker.xlsx | Table row 108 | AC Installation Complete | Inv Matthews Group - INV1564 | Col ExpenseActualTotal</t>
  </si>
  <si>
    <t>Waterside_Tracker.xlsx | Table row 109 | DC Installation Complete | Inv Matthews Group - INV1565 | Col ExpenseActualTotal</t>
  </si>
  <si>
    <t>Waterside_Tracker.xlsx | Table row 110 | Commissioning Complete | Inv Matthews Group - INV-1572 | Col ExpenseActualTotal</t>
  </si>
  <si>
    <t>Waterside_Tracker.xlsx | Table row 111 | Site De-establisment | Inv Matthews Group - INV-1573 | Col ExpenseActualTotal</t>
  </si>
  <si>
    <t>Waterside_Tracker.xlsx | Table row 112 | Handover Document Complete | Inv Matthews Group - INV-1574 | Col ExpenseActualTotal</t>
  </si>
  <si>
    <t>Waterside_Tracker.xlsx | Table row 113 | End of Defects Period | Inv Matthews Group - INV-1575 | Col ExpenseActualTotal</t>
  </si>
  <si>
    <t>Waterside_Tracker.xlsx | Table row 118 | Electrical PrEng sign off | Inv SunSpot - E038 | Col ExpenseActualTotal</t>
  </si>
  <si>
    <t>SunSpot - E038</t>
  </si>
  <si>
    <t>Waterside_Tracker.xlsx | Table row 119 | Structural Sign Off | Inv L&amp;B Inv: 1701 | Col ExpenseActualTotal</t>
  </si>
  <si>
    <t>L&amp;B Inv: 1701</t>
  </si>
  <si>
    <t>Waterside_Tracker.xlsx | Table row 121 | Red Team Inspection | Inv Matriarch - INV-5975 | Col ExpenseActualTotal</t>
  </si>
  <si>
    <t>Waterside_Tracker.xlsx | Table row 127 | Matriarch Defects Period - 1.25% | Inv  | Col ExpenseActualTotal</t>
  </si>
  <si>
    <t>Waterside_Tracker.xlsx | Table row 134 | Travel | Inv Expense Claim | Col ExpenseActualTotal</t>
  </si>
  <si>
    <t>Waterside_Tracker.xlsx | Table row 135 | Travel | Inv Expense Claim | Col ExpenseActualTotal</t>
  </si>
  <si>
    <t>Waterside_Tracker.xlsx | Table row 136 | Travel | Inv Expense Claim | Col ExpenseActualTotal</t>
  </si>
  <si>
    <t>Waterside_Tracker.xlsx | Table row 137 | Travel | Inv Expense Claim | Col ExpenseActualTotal</t>
  </si>
  <si>
    <t>Waterside_Tracker.xlsx | Table row 138 | Travel | Inv Expense Claim | Col ExpenseActualTotal</t>
  </si>
  <si>
    <t>Waterside_Tracker.xlsx | Table row 139 | Travel | Inv Expense Claim | Col ExpenseActualTotal</t>
  </si>
  <si>
    <t>Waterside_Tracker.xlsx | Table row 148 | Equipment delivery | Inv  | Col ExpenseActualTotal</t>
  </si>
  <si>
    <t>Equipment delivery</t>
  </si>
  <si>
    <t>PO4536-WSD-20251212 - RV Approved</t>
  </si>
  <si>
    <t>Westway BESS_Tracker.xlsx | Table row 71 | SigenStack 50kW Hybrid Inverter | Inv  | Col ExpenseActualTotal</t>
  </si>
  <si>
    <t>SigenStack 50kW Hybrid Inverter</t>
  </si>
  <si>
    <t>PO4615-WWB-20260209 - RV Approved</t>
  </si>
  <si>
    <t>Westway BESS_Tracker.xlsx | Table row 72 | SigenStack Battery 12kWh | Inv  | Col ExpenseActualTotal</t>
  </si>
  <si>
    <t>SigenStack Battery 12kWh</t>
  </si>
  <si>
    <t>Westway BESS_Tracker.xlsx | Table row 73 | Sigen Power Sensor | Inv  | Col ExpenseActualTotal</t>
  </si>
  <si>
    <t>Sigen Power Sensor</t>
  </si>
  <si>
    <t>Westway BESS_Tracker.xlsx | Table row 74 | SigenStack Battery controller | Inv  | Col ExpenseActualTotal</t>
  </si>
  <si>
    <t>SigenStack Battery controller</t>
  </si>
  <si>
    <t>Westway BESS_Tracker.xlsx | Table row 75 | SigenStack Accessories  | Inv  | Col ExpenseActualTotal</t>
  </si>
  <si>
    <t xml:space="preserve">SigenStack Accessories </t>
  </si>
  <si>
    <t>Westway BESS_Tracker.xlsx | Table row 77 | Installation - Deposit | Inv  | Col ExpenseActualTotal</t>
  </si>
  <si>
    <t>Installation - Deposit</t>
  </si>
  <si>
    <t>Westway BESS_Tracker.xlsx | Table row 78 | Installation - Commissioning Complete | Inv  | Col ExpenseActualTotal</t>
  </si>
  <si>
    <t>Installation - Commissioning Complete</t>
  </si>
  <si>
    <t>Westway BESS_Tracker.xlsx | Table row 79 | Installation - End of Defects - 30 Days | Inv  | Col ExpenseActualTotal</t>
  </si>
  <si>
    <t>Installation - End of Defects - 30 Days</t>
  </si>
  <si>
    <t>Westway BESS_Tracker.xlsx | Table row 82 | Installer Equipment - Deposit | Inv  | Col ExpenseActualTotal</t>
  </si>
  <si>
    <t>Installer Equipment - Deposit</t>
  </si>
  <si>
    <t>Westway BESS_Tracker.xlsx | Table row 83 | Installer Equipment - Balance | Inv  | Col ExpenseActualTotal</t>
  </si>
  <si>
    <t>Installer Equipment - Balance</t>
  </si>
  <si>
    <t>Westway BESS_Tracker.xlsx | Table row 84 | Installer Equipment - End of Defects - 30 Days | Inv  | Col ExpenseActualTotal</t>
  </si>
  <si>
    <t>Installer Equipment - End of Defects - 30 Days</t>
  </si>
  <si>
    <t>Westway BESS_Tracker.xlsx | Table row 148 | Matriarch Defects Period | Inv  | Col ExpenseActualTotal</t>
  </si>
  <si>
    <t>Westway BESS_Tracker.xlsx | Table row 155 | Travel | Inv  | Col ExpenseActualTotal</t>
  </si>
  <si>
    <t>Westway BESS_Tracker.xlsx | Table row 156 | Travel | Inv  | Col ExpenseActualTotal</t>
  </si>
  <si>
    <t>Westway BESS_Tracker.xlsx | Table row 157 | Travel | Inv  | Col ExpenseActualTotal</t>
  </si>
  <si>
    <t>MilestoneDesciption</t>
  </si>
  <si>
    <t>Milestone%</t>
  </si>
  <si>
    <t>MilstoneAmount</t>
  </si>
  <si>
    <t>MilestoneInvoiceNumber</t>
  </si>
  <si>
    <t>MilestoneInvoiceRaisedDate</t>
  </si>
  <si>
    <t>PaymentRecievedDate</t>
  </si>
  <si>
    <t>MilestoneRequirement</t>
  </si>
  <si>
    <t>Acceptance and Initial Deposit</t>
  </si>
  <si>
    <t>004830</t>
  </si>
  <si>
    <t>Delivery of Panels</t>
  </si>
  <si>
    <t>004853</t>
  </si>
  <si>
    <t>004907</t>
  </si>
  <si>
    <t>16/01/2026</t>
  </si>
  <si>
    <t>awaiting HO meeting date</t>
  </si>
  <si>
    <t>Client VO - Walkways</t>
  </si>
  <si>
    <t>004908</t>
  </si>
  <si>
    <t>004882</t>
  </si>
  <si>
    <t>004771</t>
  </si>
  <si>
    <t>004820</t>
  </si>
  <si>
    <t>004893</t>
  </si>
  <si>
    <t>004932</t>
  </si>
  <si>
    <t>ACTUAL</t>
  </si>
  <si>
    <t xml:space="preserve">FINANCIAL REVIEW </t>
  </si>
  <si>
    <t>TIMELINE REVIEW</t>
  </si>
  <si>
    <t>2025 Actual Revenue</t>
  </si>
  <si>
    <t>2026 Budget Revenue</t>
  </si>
  <si>
    <t>2026 Budget COS</t>
  </si>
  <si>
    <t>Planned Revenue</t>
  </si>
  <si>
    <t>3984069,2478406997</t>
  </si>
  <si>
    <t>Start Date</t>
  </si>
  <si>
    <t>265580,75868420571</t>
  </si>
  <si>
    <t>004769</t>
  </si>
  <si>
    <t>004827</t>
  </si>
  <si>
    <t>004804</t>
  </si>
  <si>
    <t>004928</t>
  </si>
  <si>
    <t>Site achieved PC today - 22 Jan -  Invoice Sent</t>
  </si>
  <si>
    <t>004784</t>
  </si>
  <si>
    <t>004809</t>
  </si>
  <si>
    <t>004817</t>
  </si>
  <si>
    <t>004899</t>
  </si>
  <si>
    <t>004929</t>
  </si>
  <si>
    <t>Has this been received?</t>
  </si>
  <si>
    <t>M1 - Mobilisation</t>
  </si>
  <si>
    <t>004486</t>
  </si>
  <si>
    <t>M2 - Upon delivery to site of all Major Equipment</t>
  </si>
  <si>
    <t>004564</t>
  </si>
  <si>
    <t>M3 - Upon receipt of the Practical Completion Certificate</t>
  </si>
  <si>
    <t>004624</t>
  </si>
  <si>
    <t>M4 - Upon receipt of the Provisional Acceptance Certificate</t>
  </si>
  <si>
    <t>004816</t>
  </si>
  <si>
    <t>M5 - Upon receipt of the Final Acceptance Certificate</t>
  </si>
  <si>
    <t>VO - Anchor Point</t>
  </si>
  <si>
    <t>004780</t>
  </si>
  <si>
    <t>VO - Waterpoint Clamps</t>
  </si>
  <si>
    <t>004744</t>
  </si>
  <si>
    <t>Hanodver</t>
  </si>
  <si>
    <t>004751</t>
  </si>
  <si>
    <t>004938</t>
  </si>
  <si>
    <t>there is not Formal Handover, just walk-through</t>
  </si>
  <si>
    <t>Deposit - Coega Steel</t>
  </si>
  <si>
    <t>004753</t>
  </si>
  <si>
    <t>Delivery of Panels - Batch 1</t>
  </si>
  <si>
    <t>004823</t>
  </si>
  <si>
    <t>Delivery of Panels - Batch 2</t>
  </si>
  <si>
    <t>004838</t>
  </si>
  <si>
    <t>004783</t>
  </si>
  <si>
    <t>004933</t>
  </si>
  <si>
    <t>Completion Certificate to be shared</t>
  </si>
  <si>
    <t>284090,90999540733</t>
  </si>
  <si>
    <t>004728</t>
  </si>
  <si>
    <t>Final Completion Issued</t>
  </si>
  <si>
    <t>686671,8625778947</t>
  </si>
  <si>
    <t>004729</t>
  </si>
  <si>
    <t>962918,10696038778</t>
  </si>
  <si>
    <t>004730</t>
  </si>
  <si>
    <t>4243,8044146811626</t>
  </si>
  <si>
    <t>004731</t>
  </si>
  <si>
    <t>VO - Damaged Panels recovered from Installer</t>
  </si>
  <si>
    <t>004846 +  CN004886 + 004887</t>
  </si>
  <si>
    <t>Reduced system size capex</t>
  </si>
  <si>
    <t>CN004886 + 004887</t>
  </si>
  <si>
    <t>004800</t>
  </si>
  <si>
    <t>004828</t>
  </si>
  <si>
    <t>004854</t>
  </si>
  <si>
    <t>004878</t>
  </si>
  <si>
    <t>004733</t>
  </si>
  <si>
    <t>Acceptance and initial Deposit</t>
  </si>
  <si>
    <t>004766</t>
  </si>
  <si>
    <t>Signature of Contract</t>
  </si>
  <si>
    <t>004874</t>
  </si>
  <si>
    <t>Design Sign Off</t>
  </si>
  <si>
    <t>Site Establishment Completion</t>
  </si>
  <si>
    <t>Start of Rooftop Structure Installation</t>
  </si>
  <si>
    <t>Mounting Structure Delivery to Site</t>
  </si>
  <si>
    <t>004876</t>
  </si>
  <si>
    <t>Module Delivery to Site</t>
  </si>
  <si>
    <t>Inverter Delivery to Site</t>
  </si>
  <si>
    <t>004896</t>
  </si>
  <si>
    <t>Works Completion &amp; PV Output</t>
  </si>
  <si>
    <t>Retention Claimable</t>
  </si>
  <si>
    <t>VO - Roof Remedial Work</t>
  </si>
  <si>
    <t>VO - Walkways</t>
  </si>
  <si>
    <t>VO - Catladder Design, manufacture, supply &amp; install</t>
  </si>
  <si>
    <t>VO - Waterpoint</t>
  </si>
  <si>
    <t>004839</t>
  </si>
  <si>
    <t>004872</t>
  </si>
  <si>
    <t>004885</t>
  </si>
  <si>
    <t xml:space="preserve">SSEG export received </t>
  </si>
  <si>
    <t>217893,46139542307</t>
  </si>
  <si>
    <t>004732</t>
  </si>
  <si>
    <t>1092119,359986383</t>
  </si>
  <si>
    <t>004734</t>
  </si>
  <si>
    <t>004646</t>
  </si>
  <si>
    <t>Delivery of Main Equipment (Solar Panels Inverters and Balance of System)</t>
  </si>
  <si>
    <t>Delivery of Main Equipment (Inverters, Batteries and Balance of System)</t>
  </si>
  <si>
    <t>Installation Completion Date (Physical Completion)</t>
  </si>
  <si>
    <t>VO - Roof Repairs</t>
  </si>
  <si>
    <t>004636</t>
  </si>
  <si>
    <t>004654</t>
  </si>
  <si>
    <t>1044632,7242355701</t>
  </si>
  <si>
    <t>0</t>
  </si>
  <si>
    <t>004673</t>
  </si>
  <si>
    <t>VO - Panels</t>
  </si>
  <si>
    <t>004859</t>
  </si>
  <si>
    <t>3199251,4666193202</t>
  </si>
  <si>
    <t>853949,90620856965</t>
  </si>
  <si>
    <t>IEP First Milestone</t>
  </si>
  <si>
    <t>Procurement Deposits (Long Lead Items)</t>
  </si>
  <si>
    <t>Subcontractor Deposits</t>
  </si>
  <si>
    <t>Structure Balance Payment</t>
  </si>
  <si>
    <t>Solar Panel - Batch Payment</t>
  </si>
  <si>
    <t>Transformers &amp; AC Equipment</t>
  </si>
  <si>
    <t>Solar Panel - Batch Payment &amp; AC Equipment</t>
  </si>
  <si>
    <t>Installer Milestones</t>
  </si>
  <si>
    <t>2566596,30608257</t>
  </si>
  <si>
    <t>004773</t>
  </si>
  <si>
    <t>004787</t>
  </si>
  <si>
    <t>004841</t>
  </si>
  <si>
    <t>004861</t>
  </si>
  <si>
    <t>209368,5917112302</t>
  </si>
  <si>
    <t>004735</t>
  </si>
  <si>
    <t>We have a SSEG requirment from Standard Bank. Causing delays</t>
  </si>
  <si>
    <t>Delivery of BESS</t>
  </si>
  <si>
    <t>Practical Completion Solar</t>
  </si>
  <si>
    <t>Practical Completion BESS</t>
  </si>
  <si>
    <t>Handover Solar</t>
  </si>
  <si>
    <t>Handover BESS</t>
  </si>
  <si>
    <t>355211,92256985529</t>
  </si>
  <si>
    <t>004737</t>
  </si>
  <si>
    <t>286911,36933192768</t>
  </si>
  <si>
    <t>004736</t>
  </si>
  <si>
    <t>1203406,5042778139</t>
  </si>
  <si>
    <t>004770</t>
  </si>
  <si>
    <t>004815</t>
  </si>
  <si>
    <t>004865</t>
  </si>
  <si>
    <t>004892</t>
  </si>
  <si>
    <t>Reduced CAPEX</t>
  </si>
  <si>
    <t>Installation of Meters</t>
  </si>
  <si>
    <t>004715</t>
  </si>
  <si>
    <t>004835</t>
  </si>
  <si>
    <t>004879</t>
  </si>
  <si>
    <t>004936</t>
  </si>
  <si>
    <t>004467</t>
  </si>
  <si>
    <t>004552</t>
  </si>
  <si>
    <t>004632</t>
  </si>
  <si>
    <t>004678</t>
  </si>
  <si>
    <t>004690</t>
  </si>
  <si>
    <t>Credit Note Walkways</t>
  </si>
  <si>
    <t>004898</t>
  </si>
  <si>
    <t>004931</t>
  </si>
  <si>
    <t>004469</t>
  </si>
  <si>
    <t>004553</t>
  </si>
  <si>
    <t>004575</t>
  </si>
  <si>
    <t>004618</t>
  </si>
  <si>
    <t>004691</t>
  </si>
  <si>
    <t>Credit Note - Walk ways</t>
  </si>
  <si>
    <t>004471</t>
  </si>
  <si>
    <t>004554</t>
  </si>
  <si>
    <t>004583</t>
  </si>
  <si>
    <t>004619</t>
  </si>
  <si>
    <t>004692</t>
  </si>
  <si>
    <t>004555</t>
  </si>
  <si>
    <t>004576</t>
  </si>
  <si>
    <t>004608</t>
  </si>
  <si>
    <t>004693</t>
  </si>
  <si>
    <t>Credit Note - Walkways</t>
  </si>
  <si>
    <t>Claim 1</t>
  </si>
  <si>
    <t>004866</t>
  </si>
  <si>
    <t>Claim 2</t>
  </si>
  <si>
    <t>004903</t>
  </si>
  <si>
    <t>Claim 4</t>
  </si>
  <si>
    <t>004873</t>
  </si>
  <si>
    <t>004847 + CN004888 + 004889</t>
  </si>
  <si>
    <t>Reduced size CAPEX</t>
  </si>
  <si>
    <t>CN004888 + 004889</t>
  </si>
  <si>
    <t>004738</t>
  </si>
  <si>
    <t>Milestone 1: Site Establishment Preperation &amp; HSE</t>
  </si>
  <si>
    <t>004852</t>
  </si>
  <si>
    <t>15/10/2025</t>
  </si>
  <si>
    <t>Milestone 2: DC Installation Partial Completion</t>
  </si>
  <si>
    <t>004884</t>
  </si>
  <si>
    <t>Milestone 2: DC Installation Final Completion</t>
  </si>
  <si>
    <t>004904</t>
  </si>
  <si>
    <t>Milestone 3: AC Installation Partial Completion</t>
  </si>
  <si>
    <t>Milestone 3: AC Installation Final Completion</t>
  </si>
  <si>
    <t>Milestone 4: Commissioning Complete</t>
  </si>
  <si>
    <t>Milestone 4:Retention</t>
  </si>
  <si>
    <t>Milestone 5: QA Inspections Complete</t>
  </si>
  <si>
    <t>004930</t>
  </si>
  <si>
    <t>Coupa portal issues preventing payment</t>
  </si>
  <si>
    <t>Milestone 5:Retention</t>
  </si>
  <si>
    <t>Milestone 6: Project Closure</t>
  </si>
  <si>
    <t>Milestone 6:Retention</t>
  </si>
  <si>
    <t>Retentions</t>
  </si>
  <si>
    <t>004914</t>
  </si>
  <si>
    <t>Client Rebate for PVDB</t>
  </si>
  <si>
    <t>Signature of this Proposal, receipt of solar panels on site.</t>
  </si>
  <si>
    <t>Receipt of inverters of site</t>
  </si>
  <si>
    <t>004902</t>
  </si>
  <si>
    <t>Delivery note has been submitted for payment, Bank is waiting on Client to submit paperwork</t>
  </si>
  <si>
    <t>All provisional test successful finalised, and documentation provided.</t>
  </si>
  <si>
    <t>004890</t>
  </si>
  <si>
    <t>004937</t>
  </si>
  <si>
    <t>004644</t>
  </si>
  <si>
    <t>004648</t>
  </si>
  <si>
    <t>Receipt of solar panels on site</t>
  </si>
  <si>
    <t>004657</t>
  </si>
  <si>
    <t>004697</t>
  </si>
  <si>
    <t>All provisional test successfully finalised</t>
  </si>
  <si>
    <t>Handover Partial</t>
  </si>
  <si>
    <t>All documentation provided</t>
  </si>
  <si>
    <t>004631</t>
  </si>
  <si>
    <t>004649</t>
  </si>
  <si>
    <t>004658</t>
  </si>
  <si>
    <t>004696</t>
  </si>
  <si>
    <t>004606</t>
  </si>
  <si>
    <t>004667</t>
  </si>
  <si>
    <t>004688</t>
  </si>
  <si>
    <t>All documentation provided - What else is required.</t>
  </si>
  <si>
    <t>604824,67068324215</t>
  </si>
  <si>
    <t>004739</t>
  </si>
  <si>
    <t>delayed due to AC tie in issue</t>
  </si>
  <si>
    <t>161772,51342611699</t>
  </si>
  <si>
    <t>004740</t>
  </si>
  <si>
    <t>VO - Relocation of Crane</t>
  </si>
  <si>
    <t>004807</t>
  </si>
  <si>
    <t>2786482,9696951094</t>
  </si>
  <si>
    <t>004723</t>
  </si>
  <si>
    <t>Additional Roof Revenue</t>
  </si>
  <si>
    <t>004881</t>
  </si>
  <si>
    <t>828367,24558144587</t>
  </si>
  <si>
    <t>627398,7135472073</t>
  </si>
  <si>
    <t>004814</t>
  </si>
  <si>
    <t>004875</t>
  </si>
  <si>
    <t>004915</t>
  </si>
  <si>
    <t>004900</t>
  </si>
  <si>
    <t>Statuses for milestones</t>
  </si>
  <si>
    <t>Restricted List</t>
  </si>
  <si>
    <t>Statuses for project</t>
  </si>
  <si>
    <t>Panel Supplier</t>
  </si>
  <si>
    <t>Inverter Supplier</t>
  </si>
  <si>
    <t>Inverter Brand</t>
  </si>
  <si>
    <t>Provinces</t>
  </si>
  <si>
    <t>Open</t>
  </si>
  <si>
    <t>Jinko Direct</t>
  </si>
  <si>
    <t>Herholdts</t>
  </si>
  <si>
    <t>SMA</t>
  </si>
  <si>
    <t xml:space="preserve">Yes </t>
  </si>
  <si>
    <t>Western Cape</t>
  </si>
  <si>
    <t>Longi Direct</t>
  </si>
  <si>
    <t>Kathea</t>
  </si>
  <si>
    <t>SolarEdge</t>
  </si>
  <si>
    <t>No</t>
  </si>
  <si>
    <t>Eastern Cape</t>
  </si>
  <si>
    <t>Procurement</t>
  </si>
  <si>
    <t>Pre Planning</t>
  </si>
  <si>
    <t>Krannich</t>
  </si>
  <si>
    <t>Huawei</t>
  </si>
  <si>
    <t>Processing</t>
  </si>
  <si>
    <t>Nothern Cape</t>
  </si>
  <si>
    <t>Cancelled</t>
  </si>
  <si>
    <t>Rubicon</t>
  </si>
  <si>
    <t>ATESS</t>
  </si>
  <si>
    <t>KwaZulu Natal</t>
  </si>
  <si>
    <t>Quality</t>
  </si>
  <si>
    <t>Segen Solar</t>
  </si>
  <si>
    <t>SMA and ATESS</t>
  </si>
  <si>
    <t>North West</t>
  </si>
  <si>
    <t>Aarden Solar</t>
  </si>
  <si>
    <t>Emerce</t>
  </si>
  <si>
    <t>SolarEdge and ATESS</t>
  </si>
  <si>
    <t>Free State</t>
  </si>
  <si>
    <t>Huawei and ATESS</t>
  </si>
  <si>
    <t>Limpopo</t>
  </si>
  <si>
    <t>Mpumalanga</t>
  </si>
  <si>
    <t>Jinko Direct (Coega)</t>
  </si>
  <si>
    <t>Gauteng</t>
  </si>
  <si>
    <t>Futureneers</t>
  </si>
  <si>
    <t>Thula Moya</t>
  </si>
  <si>
    <t xml:space="preserve">Menlo </t>
  </si>
  <si>
    <t>Iseli</t>
  </si>
  <si>
    <t>Sept 2025 - Aug 2026</t>
  </si>
  <si>
    <t>Mondi - Email about JA Electrical's LOG</t>
  </si>
  <si>
    <t>Shaun</t>
  </si>
  <si>
    <t>FY 2026 Adhoc_Tracker.xlsx</t>
  </si>
  <si>
    <t>Project Activities - Magic Co</t>
  </si>
  <si>
    <t>Project Activities - Project Name 2</t>
  </si>
  <si>
    <t>Project Activities - Project Name 3</t>
  </si>
  <si>
    <t>FY 2026 Adhoc_Tracker.xlsx | Table row 6 | Router | Inv  | Col ExpenseActualTotal</t>
  </si>
  <si>
    <t>1. Products - Magic Co</t>
  </si>
  <si>
    <t>FY 2026 Adhoc_Tracker.xlsx | Table row 52 | Travel | Inv  | Col ExpenseActualTotal</t>
  </si>
  <si>
    <t>2. Services - Magic Co</t>
  </si>
  <si>
    <t>Mayo Macs_Tracker.xlsx | Table row 141 | 15. Service Add On | Inv Matthews Group - INV-1595  | Col ExpenseActualTotal</t>
  </si>
  <si>
    <t>17157,5</t>
  </si>
  <si>
    <t xml:space="preserve">Matthews Group - INV-1595 </t>
  </si>
  <si>
    <t>Mayo Macs_Tracker.xlsx | Table row 144 | 15. Service Add On | Inv  | Col ExpenseActualTotal</t>
  </si>
  <si>
    <t>Mondi_Tracker_Rev02.xlsm | Table row 444 | Raising Fee | Inv  | Col ExpenseActualTotal</t>
  </si>
  <si>
    <t>Raising Fee</t>
  </si>
  <si>
    <t>Mondi_Tracker_Rev02.xlsm | Table row 445 | January Interest | Inv  | Col ExpenseActualTotal</t>
  </si>
  <si>
    <t>January Interest</t>
  </si>
  <si>
    <t>Mondi_Tracker_Rev02.xlsm | Table row 446 | February Interest | Inv  | Col ExpenseActualTotal</t>
  </si>
  <si>
    <t>February Interest</t>
  </si>
  <si>
    <t>Mondi_Tracker_Rev02.xlsm | Table row 447 | March Interest | Inv  | Col ExpenseActualTotal</t>
  </si>
  <si>
    <t>March Interest</t>
  </si>
  <si>
    <t>Mondi_Tracker_Rev02.xlsm | Table row 448 | April Interest | Inv  | Col ExpenseActualTotal</t>
  </si>
  <si>
    <t>April Interest</t>
  </si>
  <si>
    <t>Mondi_Tracker_Rev02.xlsm | Table row 449 | May  Interest | Inv  | Col ExpenseActualTotal</t>
  </si>
  <si>
    <t>May  Interest</t>
  </si>
  <si>
    <t>Mondi_Tracker_Rev02.xlsm | Table row 450 | June Interest | Inv  | Col ExpenseActualTotal</t>
  </si>
  <si>
    <t>June Interest</t>
  </si>
  <si>
    <t>Mondi_Tracker_Rev02.xlsm | Table row 451 | July Interest | Inv  | Col ExpenseActualTotal</t>
  </si>
  <si>
    <t>July Interest</t>
  </si>
  <si>
    <t>Mondi_Tracker_Rev02.xlsm | Table row 452 | August Interest | Inv  | Col ExpenseActualTotal</t>
  </si>
  <si>
    <t>August Interest</t>
  </si>
  <si>
    <t>Red Rocket_Tracker.xlsx | Table row 206 | JA Electrical - Additional scope and EE changes - VO | Inv JA Electrical - INV 1158 | Col ExpenseActualTotal</t>
  </si>
  <si>
    <t>JA Electrical - INV 1158</t>
  </si>
  <si>
    <t>Red Rocket_Tracker.xlsx | Table row 214 | Tie - in 2 Isolation Transformer Bypass | Inv HappySolar - INV-0353 | Col ExpenseActualTotal</t>
  </si>
  <si>
    <t>Tie - in 2 Isolation Transformer Bypass</t>
  </si>
  <si>
    <t>JP Approved (no PO)</t>
  </si>
  <si>
    <t>HappySolar - INV-0353</t>
  </si>
  <si>
    <t>004940</t>
  </si>
  <si>
    <t>Magic Company - Deposit</t>
  </si>
  <si>
    <t>004909</t>
  </si>
  <si>
    <t>Magic Company - Balance</t>
  </si>
  <si>
    <t>004912</t>
  </si>
  <si>
    <t>31/03/2026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</si>
</sst>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">
    <numFmt numFmtId="8" formatCode="&quot;R&quot;#,##0.00;[Red]\-&quot;R&quot;#,##0.00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_(&quot;R&quot;* #,##0.00_);_(&quot;R&quot;* \(#,##0.00\);_(&quot;R&quot;* &quot;-&quot;??_);_(@_)"/>
    <numFmt numFmtId="165" formatCode="_(* #,##0.00_);_(* \(#,##0.00\);_(* &quot;-&quot;??_);_(@_)"/>
    <numFmt numFmtId="166" formatCode="_(* #,##0_);_(* \(#,##0\);_(* &quot;-&quot;??_);_(@_)"/>
    <numFmt numFmtId="167" formatCode="0.000%"/>
    <numFmt numFmtId="168" formatCode="_-[$R-436]* #,##0.00_-;\-[$R-436]* #,##0.00_-;_-[$R-436]* &quot;-&quot;??_-;_-@_-"/>
    <numFmt numFmtId="169" formatCode="_-[$R-1C09]* #,##0.00_-;\-[$R-1C09]* #,##0.00_-;_-[$R-1C09]* &quot;-&quot;??_-;_-@_-"/>
    <numFmt numFmtId="170" formatCode="0.0"/>
    <numFmt numFmtId="171" formatCode="_-\R\ * #,##0.00_-;\-\R\ * #,##0.00_-;_-\R\ * &quot;-&quot;??_-;_-@_-"/>
    <numFmt numFmtId="172" formatCode="0.0%"/>
    <numFmt numFmtId="173" formatCode="yyyy\-mm\-dd"/>
    <numFmt numFmtId="174" formatCode="_-* #,##0.00\ &quot;$&quot;_-;\-* #,##0.00\ &quot;$&quot;_-;_-* &quot;-&quot;??\ &quot;$&quot;_-;_-@_-"/>
    <numFmt numFmtId="175" formatCode="dd\-mmm\-yyyy\ hh:mm:ss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404040"/>
      <name val="Calibri"/>
      <family val="2"/>
    </font>
    <font>
      <b/>
      <sz val="11"/>
      <color rgb="FF000000"/>
      <name val="Calibri"/>
      <family val="2"/>
    </font>
    <font>
      <b/>
      <sz val="12"/>
      <color rgb="FFFFFFFF"/>
      <name val="Calibri"/>
      <family val="2"/>
    </font>
    <font>
      <sz val="10"/>
      <color rgb="FF40404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22"/>
      <color rgb="FFFFFFFF"/>
      <name val="Calibri"/>
      <family val="2"/>
    </font>
    <font>
      <sz val="22"/>
      <color theme="1"/>
      <name val="Calibri"/>
      <family val="2"/>
      <scheme val="minor"/>
    </font>
    <font>
      <b/>
      <sz val="10"/>
      <color rgb="FF404040"/>
      <name val="Calibri"/>
      <family val="2"/>
    </font>
    <font>
      <sz val="11"/>
      <color rgb="FF000000"/>
      <name val="Calibri"/>
      <family val="2"/>
    </font>
    <font>
      <sz val="10"/>
      <color rgb="FFFF0000"/>
      <name val="Calibri"/>
      <family val="2"/>
    </font>
    <font>
      <b/>
      <sz val="12"/>
      <color rgb="FFFF0000"/>
      <name val="Calibri"/>
      <family val="2"/>
    </font>
    <font>
      <sz val="10"/>
      <color theme="9" tint="-0.249977111117893"/>
      <name val="Calibri"/>
      <family val="2"/>
    </font>
    <font>
      <b/>
      <sz val="10"/>
      <color theme="9" tint="-0.249977111117893"/>
      <name val="Calibri"/>
      <family val="2"/>
    </font>
    <font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404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FFFFFF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indexed="64"/>
      </right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medium">
        <color rgb="FFFF0000"/>
      </top>
      <bottom/>
      <diagonal/>
    </border>
  </borders>
  <cellStyleXfs count="8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174" fontId="25" fillId="0" borderId="0"/>
  </cellStyleXfs>
  <cellXfs count="401">
    <xf numFmtId="0" fontId="0" fillId="0" borderId="0" xfId="0"/>
    <xf numFmtId="164" fontId="0" fillId="0" borderId="0" xfId="2" applyFont="1"/>
    <xf numFmtId="14" fontId="0" fillId="0" borderId="0" xfId="0" applyNumberFormat="1"/>
    <xf numFmtId="169" fontId="0" fillId="3" borderId="0" xfId="0" applyNumberFormat="1" applyFill="1"/>
    <xf numFmtId="164" fontId="0" fillId="0" borderId="0" xfId="2" applyFont="1" applyBorder="1"/>
    <xf numFmtId="164" fontId="0" fillId="3" borderId="0" xfId="2" applyFont="1" applyFill="1" applyBorder="1"/>
    <xf numFmtId="9" fontId="0" fillId="0" borderId="0" xfId="5" applyFont="1"/>
    <xf numFmtId="15" fontId="3" fillId="3" borderId="0" xfId="0" applyNumberFormat="1" applyFont="1" applyFill="1"/>
    <xf numFmtId="0" fontId="3" fillId="3" borderId="0" xfId="0" applyFont="1" applyFill="1"/>
    <xf numFmtId="0" fontId="0" fillId="3" borderId="0" xfId="6" applyFont="1" applyFill="1" applyBorder="1"/>
    <xf numFmtId="44" fontId="2" fillId="3" borderId="1" xfId="0" applyNumberFormat="1" applyFont="1" applyFill="1" applyBorder="1"/>
    <xf numFmtId="0" fontId="3" fillId="3" borderId="1" xfId="0" applyFont="1" applyFill="1" applyBorder="1"/>
    <xf numFmtId="15" fontId="3" fillId="3" borderId="1" xfId="0" applyNumberFormat="1" applyFont="1" applyFill="1" applyBorder="1"/>
    <xf numFmtId="0" fontId="2" fillId="3" borderId="1" xfId="0" applyFont="1" applyFill="1" applyBorder="1"/>
    <xf numFmtId="44" fontId="3" fillId="3" borderId="1" xfId="0" applyNumberFormat="1" applyFont="1" applyFill="1" applyBorder="1"/>
    <xf numFmtId="44" fontId="2" fillId="3" borderId="1" xfId="1" applyNumberFormat="1" applyFont="1" applyFill="1" applyBorder="1" applyProtection="1"/>
    <xf numFmtId="44" fontId="2" fillId="3" borderId="1" xfId="2" applyNumberFormat="1" applyFont="1" applyFill="1" applyBorder="1"/>
    <xf numFmtId="44" fontId="2" fillId="3" borderId="1" xfId="2" applyNumberFormat="1" applyFont="1" applyFill="1" applyBorder="1" applyProtection="1"/>
    <xf numFmtId="44" fontId="2" fillId="3" borderId="1" xfId="1" applyNumberFormat="1" applyFont="1" applyFill="1" applyBorder="1"/>
    <xf numFmtId="166" fontId="2" fillId="3" borderId="1" xfId="1" applyNumberFormat="1" applyFont="1" applyFill="1" applyBorder="1"/>
    <xf numFmtId="0" fontId="17" fillId="3" borderId="1" xfId="0" applyFont="1" applyFill="1" applyBorder="1"/>
    <xf numFmtId="14" fontId="2" fillId="3" borderId="1" xfId="0" applyNumberFormat="1" applyFont="1" applyFill="1" applyBorder="1"/>
    <xf numFmtId="166" fontId="2" fillId="3" borderId="1" xfId="1" applyNumberFormat="1" applyFont="1" applyFill="1" applyBorder="1" applyProtection="1"/>
    <xf numFmtId="14" fontId="2" fillId="3" borderId="1" xfId="2" applyNumberFormat="1" applyFont="1" applyFill="1" applyBorder="1"/>
    <xf numFmtId="14" fontId="2" fillId="3" borderId="1" xfId="1" applyNumberFormat="1" applyFont="1" applyFill="1" applyBorder="1" applyProtection="1"/>
    <xf numFmtId="14" fontId="2" fillId="3" borderId="1" xfId="2" applyNumberFormat="1" applyFont="1" applyFill="1" applyBorder="1" applyProtection="1"/>
    <xf numFmtId="0" fontId="3" fillId="3" borderId="3" xfId="0" applyFont="1" applyFill="1" applyBorder="1"/>
    <xf numFmtId="0" fontId="3" fillId="3" borderId="4" xfId="0" applyFont="1" applyFill="1" applyBorder="1"/>
    <xf numFmtId="15" fontId="3" fillId="3" borderId="4" xfId="0" applyNumberFormat="1" applyFont="1" applyFill="1" applyBorder="1"/>
    <xf numFmtId="44" fontId="3" fillId="3" borderId="4" xfId="0" applyNumberFormat="1" applyFont="1" applyFill="1" applyBorder="1"/>
    <xf numFmtId="0" fontId="2" fillId="3" borderId="0" xfId="0" applyFont="1" applyFill="1"/>
    <xf numFmtId="44" fontId="2" fillId="3" borderId="0" xfId="0" applyNumberFormat="1" applyFont="1" applyFill="1"/>
    <xf numFmtId="44" fontId="3" fillId="3" borderId="0" xfId="0" applyNumberFormat="1" applyFont="1" applyFill="1"/>
    <xf numFmtId="44" fontId="2" fillId="3" borderId="4" xfId="2" applyNumberFormat="1" applyFont="1" applyFill="1" applyBorder="1"/>
    <xf numFmtId="44" fontId="2" fillId="3" borderId="0" xfId="2" applyNumberFormat="1" applyFont="1" applyFill="1" applyBorder="1"/>
    <xf numFmtId="0" fontId="3" fillId="3" borderId="2" xfId="0" applyFont="1" applyFill="1" applyBorder="1"/>
    <xf numFmtId="0" fontId="3" fillId="3" borderId="6" xfId="0" applyFont="1" applyFill="1" applyBorder="1"/>
    <xf numFmtId="0" fontId="3" fillId="3" borderId="7" xfId="0" applyFont="1" applyFill="1" applyBorder="1"/>
    <xf numFmtId="44" fontId="2" fillId="3" borderId="0" xfId="1" applyNumberFormat="1" applyFont="1" applyFill="1" applyBorder="1" applyProtection="1"/>
    <xf numFmtId="0" fontId="3" fillId="3" borderId="5" xfId="0" applyFont="1" applyFill="1" applyBorder="1"/>
    <xf numFmtId="0" fontId="3" fillId="3" borderId="8" xfId="0" applyFont="1" applyFill="1" applyBorder="1"/>
    <xf numFmtId="44" fontId="2" fillId="3" borderId="6" xfId="0" applyNumberFormat="1" applyFont="1" applyFill="1" applyBorder="1"/>
    <xf numFmtId="0" fontId="2" fillId="3" borderId="4" xfId="0" applyFont="1" applyFill="1" applyBorder="1"/>
    <xf numFmtId="14" fontId="2" fillId="3" borderId="4" xfId="2" applyNumberFormat="1" applyFont="1" applyFill="1" applyBorder="1"/>
    <xf numFmtId="166" fontId="2" fillId="3" borderId="4" xfId="1" applyNumberFormat="1" applyFont="1" applyFill="1" applyBorder="1"/>
    <xf numFmtId="164" fontId="2" fillId="3" borderId="1" xfId="2" applyFont="1" applyFill="1" applyBorder="1"/>
    <xf numFmtId="164" fontId="3" fillId="3" borderId="1" xfId="2" applyFont="1" applyFill="1" applyBorder="1"/>
    <xf numFmtId="164" fontId="3" fillId="3" borderId="0" xfId="2" applyFont="1" applyFill="1" applyBorder="1"/>
    <xf numFmtId="164" fontId="3" fillId="3" borderId="6" xfId="2" applyFont="1" applyFill="1" applyBorder="1"/>
    <xf numFmtId="164" fontId="0" fillId="3" borderId="0" xfId="0" applyNumberFormat="1" applyFill="1"/>
    <xf numFmtId="14" fontId="0" fillId="3" borderId="0" xfId="0" applyNumberFormat="1" applyFill="1"/>
    <xf numFmtId="164" fontId="0" fillId="3" borderId="0" xfId="2" applyFont="1" applyFill="1" applyBorder="1" applyAlignment="1">
      <alignment horizontal="center"/>
    </xf>
    <xf numFmtId="0" fontId="0" fillId="3" borderId="0" xfId="0" applyFill="1"/>
    <xf numFmtId="14" fontId="7" fillId="3" borderId="0" xfId="0" applyNumberFormat="1" applyFont="1" applyFill="1"/>
    <xf numFmtId="44" fontId="0" fillId="3" borderId="0" xfId="2" applyNumberFormat="1" applyFont="1" applyFill="1" applyBorder="1"/>
    <xf numFmtId="164" fontId="0" fillId="3" borderId="0" xfId="2" applyFont="1" applyFill="1" applyBorder="1" applyAlignment="1">
      <alignment horizontal="left"/>
    </xf>
    <xf numFmtId="169" fontId="0" fillId="3" borderId="0" xfId="5" applyNumberFormat="1" applyFont="1" applyFill="1" applyBorder="1" applyAlignment="1">
      <alignment horizontal="center"/>
    </xf>
    <xf numFmtId="0" fontId="7" fillId="3" borderId="0" xfId="0" applyFont="1" applyFill="1"/>
    <xf numFmtId="168" fontId="6" fillId="3" borderId="0" xfId="0" applyNumberFormat="1" applyFont="1" applyFill="1"/>
    <xf numFmtId="168" fontId="14" fillId="3" borderId="0" xfId="0" applyNumberFormat="1" applyFont="1" applyFill="1"/>
    <xf numFmtId="8" fontId="6" fillId="3" borderId="0" xfId="0" applyNumberFormat="1" applyFont="1" applyFill="1"/>
    <xf numFmtId="0" fontId="6" fillId="3" borderId="0" xfId="0" applyFont="1" applyFill="1"/>
    <xf numFmtId="164" fontId="6" fillId="3" borderId="0" xfId="2" applyFont="1" applyFill="1" applyBorder="1"/>
    <xf numFmtId="165" fontId="0" fillId="3" borderId="0" xfId="1" applyFont="1" applyFill="1" applyBorder="1"/>
    <xf numFmtId="168" fontId="0" fillId="3" borderId="0" xfId="0" applyNumberFormat="1" applyFill="1"/>
    <xf numFmtId="164" fontId="12" fillId="3" borderId="0" xfId="2" applyFont="1" applyFill="1" applyBorder="1"/>
    <xf numFmtId="167" fontId="0" fillId="3" borderId="0" xfId="5" applyNumberFormat="1" applyFont="1" applyFill="1" applyBorder="1"/>
    <xf numFmtId="164" fontId="13" fillId="3" borderId="0" xfId="2" applyFont="1" applyFill="1" applyBorder="1" applyAlignment="1">
      <alignment horizontal="center" vertical="center"/>
    </xf>
    <xf numFmtId="0" fontId="15" fillId="3" borderId="0" xfId="0" applyFont="1" applyFill="1" applyAlignment="1">
      <alignment horizontal="left" vertical="center" wrapText="1"/>
    </xf>
    <xf numFmtId="164" fontId="16" fillId="3" borderId="0" xfId="2" applyFont="1" applyFill="1" applyBorder="1" applyAlignment="1">
      <alignment horizontal="center" vertical="center"/>
    </xf>
    <xf numFmtId="9" fontId="0" fillId="3" borderId="0" xfId="5" applyFont="1" applyFill="1" applyBorder="1"/>
    <xf numFmtId="8" fontId="0" fillId="3" borderId="0" xfId="0" applyNumberFormat="1" applyFill="1"/>
    <xf numFmtId="164" fontId="2" fillId="3" borderId="0" xfId="2" applyFont="1" applyFill="1" applyBorder="1"/>
    <xf numFmtId="44" fontId="0" fillId="3" borderId="0" xfId="0" applyNumberFormat="1" applyFill="1"/>
    <xf numFmtId="10" fontId="0" fillId="3" borderId="0" xfId="5" applyNumberFormat="1" applyFont="1" applyFill="1" applyBorder="1"/>
    <xf numFmtId="14" fontId="6" fillId="3" borderId="0" xfId="0" applyNumberFormat="1" applyFont="1" applyFill="1"/>
    <xf numFmtId="14" fontId="6" fillId="3" borderId="1" xfId="0" applyNumberFormat="1" applyFont="1" applyFill="1" applyBorder="1"/>
    <xf numFmtId="164" fontId="0" fillId="3" borderId="1" xfId="2" applyFont="1" applyFill="1" applyBorder="1"/>
    <xf numFmtId="14" fontId="0" fillId="3" borderId="1" xfId="0" applyNumberFormat="1" applyFill="1" applyBorder="1"/>
    <xf numFmtId="14" fontId="7" fillId="3" borderId="1" xfId="0" applyNumberFormat="1" applyFont="1" applyFill="1" applyBorder="1"/>
    <xf numFmtId="17" fontId="7" fillId="3" borderId="1" xfId="0" applyNumberFormat="1" applyFont="1" applyFill="1" applyBorder="1"/>
    <xf numFmtId="9" fontId="0" fillId="3" borderId="1" xfId="5" applyFont="1" applyFill="1" applyBorder="1"/>
    <xf numFmtId="14" fontId="0" fillId="3" borderId="1" xfId="2" applyNumberFormat="1" applyFont="1" applyFill="1" applyBorder="1"/>
    <xf numFmtId="14" fontId="0" fillId="3" borderId="0" xfId="2" applyNumberFormat="1" applyFont="1" applyFill="1" applyBorder="1"/>
    <xf numFmtId="14" fontId="0" fillId="3" borderId="0" xfId="5" applyNumberFormat="1" applyFont="1" applyFill="1" applyBorder="1"/>
    <xf numFmtId="0" fontId="7" fillId="0" borderId="0" xfId="0" applyFont="1"/>
    <xf numFmtId="0" fontId="6" fillId="0" borderId="0" xfId="2" applyNumberFormat="1" applyFont="1" applyBorder="1"/>
    <xf numFmtId="164" fontId="3" fillId="0" borderId="0" xfId="2" applyFont="1" applyBorder="1"/>
    <xf numFmtId="49" fontId="6" fillId="0" borderId="0" xfId="2" applyNumberFormat="1" applyFont="1" applyBorder="1" applyAlignment="1"/>
    <xf numFmtId="164" fontId="8" fillId="0" borderId="0" xfId="2" applyFont="1" applyBorder="1"/>
    <xf numFmtId="164" fontId="8" fillId="2" borderId="0" xfId="2" applyFont="1" applyFill="1" applyBorder="1"/>
    <xf numFmtId="9" fontId="7" fillId="0" borderId="0" xfId="5" applyFont="1" applyBorder="1" applyAlignment="1">
      <alignment horizontal="center"/>
    </xf>
    <xf numFmtId="165" fontId="12" fillId="0" borderId="0" xfId="1" applyFont="1" applyBorder="1"/>
    <xf numFmtId="9" fontId="0" fillId="0" borderId="0" xfId="5" applyFont="1" applyBorder="1" applyAlignment="1">
      <alignment horizontal="center"/>
    </xf>
    <xf numFmtId="164" fontId="0" fillId="0" borderId="0" xfId="2" applyFont="1" applyBorder="1" applyAlignment="1">
      <alignment horizontal="center"/>
    </xf>
    <xf numFmtId="9" fontId="7" fillId="0" borderId="0" xfId="5" applyFont="1" applyBorder="1"/>
    <xf numFmtId="164" fontId="7" fillId="0" borderId="0" xfId="2" applyFont="1" applyFill="1" applyBorder="1"/>
    <xf numFmtId="166" fontId="0" fillId="0" borderId="0" xfId="1" applyNumberFormat="1" applyFont="1" applyBorder="1"/>
    <xf numFmtId="9" fontId="0" fillId="0" borderId="0" xfId="5" applyFont="1" applyBorder="1"/>
    <xf numFmtId="166" fontId="8" fillId="0" borderId="0" xfId="1" applyNumberFormat="1" applyFont="1" applyBorder="1"/>
    <xf numFmtId="44" fontId="3" fillId="3" borderId="0" xfId="2" applyNumberFormat="1" applyFont="1" applyFill="1" applyBorder="1"/>
    <xf numFmtId="166" fontId="3" fillId="3" borderId="0" xfId="1" applyNumberFormat="1" applyFont="1" applyFill="1" applyBorder="1"/>
    <xf numFmtId="0" fontId="0" fillId="3" borderId="0" xfId="0" applyFill="1" applyAlignment="1">
      <alignment horizontal="center" vertical="center"/>
    </xf>
    <xf numFmtId="10" fontId="0" fillId="3" borderId="0" xfId="5" applyNumberFormat="1" applyFont="1" applyFill="1" applyBorder="1" applyAlignment="1">
      <alignment horizontal="center" vertical="center"/>
    </xf>
    <xf numFmtId="166" fontId="0" fillId="3" borderId="0" xfId="1" applyNumberFormat="1" applyFont="1" applyFill="1" applyBorder="1" applyAlignment="1">
      <alignment horizontal="center" vertical="center"/>
    </xf>
    <xf numFmtId="44" fontId="0" fillId="3" borderId="0" xfId="5" applyNumberFormat="1" applyFont="1" applyFill="1" applyBorder="1" applyAlignment="1">
      <alignment horizontal="center" vertical="center"/>
    </xf>
    <xf numFmtId="164" fontId="0" fillId="3" borderId="0" xfId="2" applyFon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5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15" fontId="0" fillId="3" borderId="0" xfId="0" applyNumberFormat="1" applyFill="1"/>
    <xf numFmtId="9" fontId="0" fillId="3" borderId="0" xfId="5" applyFont="1" applyFill="1" applyBorder="1" applyAlignment="1">
      <alignment horizontal="center" vertical="center"/>
    </xf>
    <xf numFmtId="164" fontId="0" fillId="3" borderId="0" xfId="2" applyFont="1" applyFill="1"/>
    <xf numFmtId="164" fontId="2" fillId="3" borderId="4" xfId="2" applyFont="1" applyFill="1" applyBorder="1"/>
    <xf numFmtId="164" fontId="2" fillId="3" borderId="1" xfId="2" applyFont="1" applyFill="1" applyBorder="1" applyProtection="1"/>
    <xf numFmtId="0" fontId="0" fillId="3" borderId="0" xfId="2" applyNumberFormat="1" applyFont="1" applyFill="1" applyBorder="1"/>
    <xf numFmtId="0" fontId="0" fillId="3" borderId="0" xfId="2" applyNumberFormat="1" applyFont="1" applyFill="1" applyBorder="1" applyAlignment="1">
      <alignment horizontal="center"/>
    </xf>
    <xf numFmtId="0" fontId="0" fillId="3" borderId="0" xfId="5" applyNumberFormat="1" applyFont="1" applyFill="1" applyBorder="1" applyAlignment="1">
      <alignment horizontal="center"/>
    </xf>
    <xf numFmtId="171" fontId="0" fillId="0" borderId="0" xfId="0" applyNumberFormat="1"/>
    <xf numFmtId="172" fontId="0" fillId="0" borderId="0" xfId="0" applyNumberFormat="1"/>
    <xf numFmtId="1" fontId="0" fillId="0" borderId="0" xfId="0" applyNumberFormat="1"/>
    <xf numFmtId="173" fontId="0" fillId="0" borderId="0" xfId="0" applyNumberFormat="1"/>
    <xf numFmtId="0" fontId="0" fillId="4" borderId="9" xfId="0" applyFill="1" applyBorder="1"/>
    <xf numFmtId="0" fontId="0" fillId="5" borderId="9" xfId="0" applyFill="1" applyBorder="1"/>
    <xf numFmtId="15" fontId="7" fillId="0" borderId="0" xfId="0" applyNumberFormat="1" applyFont="1"/>
    <xf numFmtId="15" fontId="3" fillId="0" borderId="0" xfId="0" applyNumberFormat="1" applyFont="1"/>
    <xf numFmtId="0" fontId="6" fillId="0" borderId="0" xfId="0" applyFont="1"/>
    <xf numFmtId="0" fontId="11" fillId="3" borderId="0" xfId="0" applyFont="1" applyFill="1"/>
    <xf numFmtId="0" fontId="11" fillId="0" borderId="0" xfId="0" applyFont="1"/>
    <xf numFmtId="164" fontId="0" fillId="0" borderId="0" xfId="0" applyNumberFormat="1"/>
    <xf numFmtId="8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170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0" fontId="6" fillId="0" borderId="0" xfId="0" applyNumberFormat="1" applyFont="1" applyAlignment="1">
      <alignment horizontal="center" vertical="center" wrapText="1"/>
    </xf>
    <xf numFmtId="10" fontId="0" fillId="0" borderId="0" xfId="0" applyNumberFormat="1"/>
    <xf numFmtId="170" fontId="0" fillId="0" borderId="0" xfId="0" applyNumberFormat="1"/>
    <xf numFmtId="166" fontId="0" fillId="0" borderId="0" xfId="0" applyNumberFormat="1"/>
    <xf numFmtId="0" fontId="10" fillId="0" borderId="0" xfId="0" applyFont="1"/>
    <xf numFmtId="0" fontId="0" fillId="0" borderId="10" xfId="0" applyBorder="1"/>
    <xf numFmtId="0" fontId="0" fillId="3" borderId="10" xfId="0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9" fontId="0" fillId="0" borderId="0" xfId="5" applyFont="1" applyAlignment="1">
      <alignment horizontal="center" vertical="center"/>
    </xf>
    <xf numFmtId="9" fontId="0" fillId="0" borderId="10" xfId="0" applyNumberFormat="1" applyBorder="1" applyAlignment="1">
      <alignment horizontal="center" vertical="center"/>
    </xf>
    <xf numFmtId="164" fontId="0" fillId="0" borderId="0" xfId="2" applyFont="1" applyAlignment="1">
      <alignment horizontal="center" vertical="center"/>
    </xf>
    <xf numFmtId="0" fontId="6" fillId="0" borderId="12" xfId="0" applyFont="1" applyBorder="1"/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3" xfId="0" applyNumberFormat="1" applyFont="1" applyBorder="1" applyAlignment="1">
      <alignment horizontal="center" vertical="center"/>
    </xf>
    <xf numFmtId="164" fontId="6" fillId="0" borderId="12" xfId="2" applyFont="1" applyBorder="1" applyAlignment="1">
      <alignment horizontal="center" vertical="center"/>
    </xf>
    <xf numFmtId="9" fontId="6" fillId="0" borderId="12" xfId="5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9" fontId="6" fillId="6" borderId="12" xfId="5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2" fontId="6" fillId="0" borderId="12" xfId="0" applyNumberFormat="1" applyFont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/>
    </xf>
    <xf numFmtId="14" fontId="0" fillId="0" borderId="0" xfId="5" applyNumberFormat="1" applyFont="1"/>
    <xf numFmtId="166" fontId="0" fillId="0" borderId="0" xfId="1" applyNumberFormat="1" applyFont="1"/>
    <xf numFmtId="14" fontId="6" fillId="3" borderId="0" xfId="2" applyNumberFormat="1" applyFont="1" applyFill="1" applyBorder="1"/>
    <xf numFmtId="9" fontId="3" fillId="0" borderId="0" xfId="5" applyFont="1" applyBorder="1"/>
    <xf numFmtId="0" fontId="3" fillId="0" borderId="0" xfId="1" applyNumberFormat="1" applyFont="1" applyBorder="1"/>
    <xf numFmtId="0" fontId="3" fillId="0" borderId="0" xfId="2" applyNumberFormat="1" applyFont="1" applyBorder="1"/>
    <xf numFmtId="0" fontId="3" fillId="3" borderId="0" xfId="2" applyNumberFormat="1" applyFont="1" applyFill="1" applyBorder="1"/>
    <xf numFmtId="0" fontId="0" fillId="0" borderId="0" xfId="2" applyNumberFormat="1" applyFont="1" applyBorder="1"/>
    <xf numFmtId="15" fontId="17" fillId="0" borderId="0" xfId="0" applyNumberFormat="1" applyFont="1"/>
    <xf numFmtId="166" fontId="6" fillId="6" borderId="12" xfId="1" applyNumberFormat="1" applyFont="1" applyFill="1" applyBorder="1" applyAlignment="1">
      <alignment horizontal="center" vertical="center"/>
    </xf>
    <xf numFmtId="166" fontId="0" fillId="3" borderId="0" xfId="1" applyNumberFormat="1" applyFont="1" applyFill="1" applyAlignment="1">
      <alignment horizontal="center" vertical="center"/>
    </xf>
    <xf numFmtId="1" fontId="0" fillId="0" borderId="0" xfId="0" applyNumberFormat="1" applyAlignment="1">
      <alignment horizontal="center"/>
    </xf>
    <xf numFmtId="0" fontId="6" fillId="0" borderId="12" xfId="0" applyFont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64" fontId="0" fillId="3" borderId="0" xfId="2" applyFont="1" applyFill="1" applyBorder="1" applyAlignment="1">
      <alignment horizontal="left" vertical="center"/>
    </xf>
    <xf numFmtId="169" fontId="0" fillId="3" borderId="0" xfId="5" applyNumberFormat="1" applyFon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169" fontId="0" fillId="3" borderId="0" xfId="0" applyNumberFormat="1" applyFill="1" applyAlignment="1">
      <alignment horizontal="left" vertical="center"/>
    </xf>
    <xf numFmtId="167" fontId="0" fillId="3" borderId="0" xfId="5" applyNumberFormat="1" applyFont="1" applyFill="1" applyBorder="1" applyAlignment="1">
      <alignment horizontal="left" vertical="center"/>
    </xf>
    <xf numFmtId="9" fontId="0" fillId="3" borderId="0" xfId="5" applyFont="1" applyFill="1" applyBorder="1" applyAlignment="1">
      <alignment horizontal="left" vertical="center"/>
    </xf>
    <xf numFmtId="14" fontId="0" fillId="3" borderId="0" xfId="0" applyNumberFormat="1" applyFill="1" applyAlignment="1">
      <alignment horizontal="left" vertical="center"/>
    </xf>
    <xf numFmtId="164" fontId="0" fillId="3" borderId="0" xfId="0" applyNumberFormat="1" applyFill="1" applyAlignment="1">
      <alignment horizontal="left" vertical="center"/>
    </xf>
    <xf numFmtId="14" fontId="0" fillId="0" borderId="0" xfId="2" applyNumberFormat="1" applyFont="1"/>
    <xf numFmtId="164" fontId="1" fillId="3" borderId="0" xfId="2" applyFont="1" applyFill="1" applyBorder="1"/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 wrapText="1"/>
    </xf>
    <xf numFmtId="0" fontId="6" fillId="7" borderId="8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16" fontId="0" fillId="0" borderId="1" xfId="0" applyNumberFormat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16" fontId="0" fillId="0" borderId="3" xfId="0" applyNumberFormat="1" applyBorder="1" applyAlignment="1">
      <alignment horizontal="center" vertical="center" wrapText="1"/>
    </xf>
    <xf numFmtId="0" fontId="0" fillId="0" borderId="15" xfId="0" applyBorder="1" applyAlignment="1">
      <alignment vertical="center" wrapText="1"/>
    </xf>
    <xf numFmtId="0" fontId="18" fillId="3" borderId="0" xfId="0" applyFont="1" applyFill="1" applyAlignment="1">
      <alignment horizontal="left" vertical="center"/>
    </xf>
    <xf numFmtId="16" fontId="6" fillId="7" borderId="4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16" fontId="0" fillId="0" borderId="4" xfId="0" applyNumberFormat="1" applyBorder="1" applyAlignment="1">
      <alignment horizontal="center" vertical="center" wrapText="1"/>
    </xf>
    <xf numFmtId="0" fontId="6" fillId="7" borderId="4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14" fontId="2" fillId="8" borderId="1" xfId="0" applyNumberFormat="1" applyFont="1" applyFill="1" applyBorder="1"/>
    <xf numFmtId="0" fontId="0" fillId="0" borderId="0" xfId="0" pivotButton="1"/>
    <xf numFmtId="0" fontId="20" fillId="9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0" fillId="0" borderId="16" xfId="0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9" fontId="0" fillId="0" borderId="17" xfId="5" applyFont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9" fontId="0" fillId="0" borderId="0" xfId="5" applyFont="1" applyBorder="1" applyAlignment="1">
      <alignment horizontal="center" vertical="center"/>
    </xf>
    <xf numFmtId="0" fontId="0" fillId="0" borderId="20" xfId="0" applyBorder="1"/>
    <xf numFmtId="0" fontId="19" fillId="0" borderId="0" xfId="0" applyFont="1" applyAlignment="1">
      <alignment horizontal="left" vertical="top" wrapText="1"/>
    </xf>
    <xf numFmtId="0" fontId="19" fillId="0" borderId="0" xfId="0" applyFont="1" applyAlignment="1">
      <alignment horizontal="left"/>
    </xf>
    <xf numFmtId="0" fontId="19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0" fillId="10" borderId="0" xfId="0" applyFill="1"/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10" borderId="0" xfId="0" applyFill="1" applyAlignment="1">
      <alignment vertical="top" wrapText="1"/>
    </xf>
    <xf numFmtId="9" fontId="0" fillId="10" borderId="17" xfId="5" applyFont="1" applyFill="1" applyBorder="1" applyAlignment="1">
      <alignment horizontal="center" vertical="center"/>
    </xf>
    <xf numFmtId="0" fontId="19" fillId="10" borderId="0" xfId="0" applyFont="1" applyFill="1" applyAlignment="1">
      <alignment horizontal="left" vertical="top" wrapText="1"/>
    </xf>
    <xf numFmtId="0" fontId="19" fillId="0" borderId="0" xfId="0" applyFont="1" applyAlignment="1">
      <alignment horizontal="left" vertical="center" wrapText="1"/>
    </xf>
    <xf numFmtId="0" fontId="6" fillId="10" borderId="0" xfId="0" applyFont="1" applyFill="1"/>
    <xf numFmtId="0" fontId="6" fillId="0" borderId="0" xfId="0" applyFont="1" applyAlignment="1">
      <alignment vertical="top" wrapText="1"/>
    </xf>
    <xf numFmtId="0" fontId="0" fillId="11" borderId="0" xfId="0" applyFill="1"/>
    <xf numFmtId="0" fontId="19" fillId="8" borderId="0" xfId="0" applyFont="1" applyFill="1" applyAlignment="1">
      <alignment horizontal="left"/>
    </xf>
    <xf numFmtId="0" fontId="0" fillId="11" borderId="10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9" fontId="0" fillId="11" borderId="17" xfId="5" applyFont="1" applyFill="1" applyBorder="1" applyAlignment="1">
      <alignment horizontal="center" vertical="center"/>
    </xf>
    <xf numFmtId="0" fontId="19" fillId="11" borderId="0" xfId="0" applyFont="1" applyFill="1" applyAlignment="1">
      <alignment horizontal="left"/>
    </xf>
    <xf numFmtId="0" fontId="6" fillId="11" borderId="0" xfId="0" applyFont="1" applyFill="1"/>
    <xf numFmtId="164" fontId="0" fillId="3" borderId="0" xfId="2" applyFont="1" applyFill="1" applyAlignment="1">
      <alignment horizontal="center" vertical="center"/>
    </xf>
    <xf numFmtId="15" fontId="7" fillId="8" borderId="0" xfId="0" applyNumberFormat="1" applyFont="1" applyFill="1"/>
    <xf numFmtId="166" fontId="3" fillId="8" borderId="0" xfId="1" applyNumberFormat="1" applyFont="1" applyFill="1" applyBorder="1"/>
    <xf numFmtId="0" fontId="3" fillId="8" borderId="0" xfId="1" applyNumberFormat="1" applyFont="1" applyFill="1" applyBorder="1"/>
    <xf numFmtId="0" fontId="19" fillId="8" borderId="0" xfId="0" applyFont="1" applyFill="1" applyAlignment="1">
      <alignment horizontal="left" wrapText="1"/>
    </xf>
    <xf numFmtId="0" fontId="0" fillId="0" borderId="0" xfId="5" applyNumberFormat="1" applyFont="1"/>
    <xf numFmtId="164" fontId="0" fillId="12" borderId="1" xfId="2" applyFont="1" applyFill="1" applyBorder="1"/>
    <xf numFmtId="164" fontId="0" fillId="13" borderId="1" xfId="2" applyFont="1" applyFill="1" applyBorder="1"/>
    <xf numFmtId="14" fontId="6" fillId="13" borderId="1" xfId="0" applyNumberFormat="1" applyFont="1" applyFill="1" applyBorder="1"/>
    <xf numFmtId="14" fontId="6" fillId="12" borderId="1" xfId="0" applyNumberFormat="1" applyFont="1" applyFill="1" applyBorder="1"/>
    <xf numFmtId="0" fontId="0" fillId="2" borderId="0" xfId="0" applyFill="1"/>
    <xf numFmtId="164" fontId="0" fillId="14" borderId="0" xfId="2" applyFont="1" applyFill="1"/>
    <xf numFmtId="0" fontId="0" fillId="0" borderId="0" xfId="2" applyNumberFormat="1" applyFont="1"/>
    <xf numFmtId="0" fontId="0" fillId="0" borderId="0" xfId="0" applyAlignment="1">
      <alignment horizontal="left" vertical="center"/>
    </xf>
    <xf numFmtId="164" fontId="0" fillId="0" borderId="0" xfId="2" applyFont="1" applyFill="1"/>
    <xf numFmtId="0" fontId="0" fillId="2" borderId="0" xfId="0" applyFill="1" applyAlignment="1">
      <alignment vertical="top" wrapText="1"/>
    </xf>
    <xf numFmtId="0" fontId="24" fillId="0" borderId="0" xfId="0" applyFont="1" applyAlignment="1">
      <alignment horizontal="left" vertical="center"/>
    </xf>
    <xf numFmtId="0" fontId="22" fillId="16" borderId="21" xfId="0" applyFont="1" applyFill="1" applyBorder="1" applyAlignment="1">
      <alignment horizontal="center" vertical="center"/>
    </xf>
    <xf numFmtId="1" fontId="22" fillId="15" borderId="21" xfId="0" applyNumberFormat="1" applyFont="1" applyFill="1" applyBorder="1" applyAlignment="1">
      <alignment horizontal="center" vertical="center"/>
    </xf>
    <xf numFmtId="1" fontId="24" fillId="0" borderId="21" xfId="0" applyNumberFormat="1" applyFont="1" applyBorder="1" applyAlignment="1">
      <alignment horizontal="center" vertical="center"/>
    </xf>
    <xf numFmtId="172" fontId="22" fillId="15" borderId="21" xfId="0" applyNumberFormat="1" applyFont="1" applyFill="1" applyBorder="1" applyAlignment="1">
      <alignment horizontal="center" vertical="center"/>
    </xf>
    <xf numFmtId="174" fontId="25" fillId="0" borderId="0" xfId="7"/>
    <xf numFmtId="0" fontId="26" fillId="6" borderId="21" xfId="0" applyFont="1" applyFill="1" applyBorder="1" applyAlignment="1">
      <alignment horizontal="left" vertical="center"/>
    </xf>
    <xf numFmtId="0" fontId="26" fillId="6" borderId="21" xfId="0" applyFont="1" applyFill="1" applyBorder="1" applyAlignment="1">
      <alignment horizontal="center" vertical="center"/>
    </xf>
    <xf numFmtId="4" fontId="22" fillId="15" borderId="21" xfId="0" applyNumberFormat="1" applyFont="1" applyFill="1" applyBorder="1" applyAlignment="1">
      <alignment horizontal="center" vertical="center"/>
    </xf>
    <xf numFmtId="0" fontId="24" fillId="17" borderId="0" xfId="0" applyFont="1" applyFill="1" applyAlignment="1">
      <alignment horizontal="left" vertical="top" wrapText="1"/>
    </xf>
    <xf numFmtId="0" fontId="29" fillId="0" borderId="21" xfId="0" applyFont="1" applyBorder="1" applyAlignment="1">
      <alignment horizontal="left" vertical="center"/>
    </xf>
    <xf numFmtId="1" fontId="30" fillId="15" borderId="21" xfId="0" applyNumberFormat="1" applyFont="1" applyFill="1" applyBorder="1" applyAlignment="1">
      <alignment horizontal="left" vertical="center"/>
    </xf>
    <xf numFmtId="9" fontId="6" fillId="0" borderId="0" xfId="5" applyFont="1" applyAlignment="1">
      <alignment horizontal="center"/>
    </xf>
    <xf numFmtId="14" fontId="0" fillId="0" borderId="0" xfId="2" applyNumberFormat="1" applyFont="1" applyBorder="1"/>
    <xf numFmtId="0" fontId="21" fillId="0" borderId="0" xfId="0" applyFont="1" applyAlignment="1">
      <alignment horizontal="left" vertical="center"/>
    </xf>
    <xf numFmtId="164" fontId="6" fillId="0" borderId="12" xfId="2" applyFont="1" applyBorder="1"/>
    <xf numFmtId="164" fontId="19" fillId="3" borderId="0" xfId="2" applyFont="1" applyFill="1" applyAlignment="1">
      <alignment horizontal="center" vertical="center"/>
    </xf>
    <xf numFmtId="44" fontId="2" fillId="18" borderId="0" xfId="2" applyNumberFormat="1" applyFont="1" applyFill="1" applyBorder="1"/>
    <xf numFmtId="44" fontId="3" fillId="18" borderId="0" xfId="2" applyNumberFormat="1" applyFont="1" applyFill="1" applyBorder="1"/>
    <xf numFmtId="166" fontId="3" fillId="18" borderId="0" xfId="1" applyNumberFormat="1" applyFont="1" applyFill="1" applyBorder="1"/>
    <xf numFmtId="44" fontId="3" fillId="18" borderId="1" xfId="2" applyNumberFormat="1" applyFont="1" applyFill="1" applyBorder="1"/>
    <xf numFmtId="0" fontId="3" fillId="18" borderId="1" xfId="0" applyFont="1" applyFill="1" applyBorder="1"/>
    <xf numFmtId="44" fontId="2" fillId="18" borderId="4" xfId="2" applyNumberFormat="1" applyFont="1" applyFill="1" applyBorder="1"/>
    <xf numFmtId="0" fontId="2" fillId="18" borderId="4" xfId="2" applyNumberFormat="1" applyFont="1" applyFill="1" applyBorder="1"/>
    <xf numFmtId="44" fontId="2" fillId="18" borderId="1" xfId="2" applyNumberFormat="1" applyFont="1" applyFill="1" applyBorder="1"/>
    <xf numFmtId="0" fontId="2" fillId="18" borderId="1" xfId="2" applyNumberFormat="1" applyFont="1" applyFill="1" applyBorder="1"/>
    <xf numFmtId="166" fontId="2" fillId="18" borderId="1" xfId="1" applyNumberFormat="1" applyFont="1" applyFill="1" applyBorder="1"/>
    <xf numFmtId="44" fontId="2" fillId="18" borderId="1" xfId="0" applyNumberFormat="1" applyFont="1" applyFill="1" applyBorder="1"/>
    <xf numFmtId="0" fontId="2" fillId="18" borderId="1" xfId="0" applyFont="1" applyFill="1" applyBorder="1"/>
    <xf numFmtId="0" fontId="2" fillId="18" borderId="1" xfId="2" applyNumberFormat="1" applyFont="1" applyFill="1" applyBorder="1" applyProtection="1"/>
    <xf numFmtId="44" fontId="2" fillId="18" borderId="1" xfId="2" applyNumberFormat="1" applyFont="1" applyFill="1" applyBorder="1" applyProtection="1"/>
    <xf numFmtId="44" fontId="2" fillId="18" borderId="1" xfId="1" applyNumberFormat="1" applyFont="1" applyFill="1" applyBorder="1" applyProtection="1"/>
    <xf numFmtId="166" fontId="2" fillId="18" borderId="1" xfId="1" applyNumberFormat="1" applyFont="1" applyFill="1" applyBorder="1" applyProtection="1"/>
    <xf numFmtId="0" fontId="2" fillId="18" borderId="1" xfId="1" applyNumberFormat="1" applyFont="1" applyFill="1" applyBorder="1" applyProtection="1"/>
    <xf numFmtId="44" fontId="2" fillId="0" borderId="0" xfId="2" applyNumberFormat="1" applyFont="1" applyFill="1" applyBorder="1"/>
    <xf numFmtId="0" fontId="3" fillId="0" borderId="0" xfId="0" applyFont="1"/>
    <xf numFmtId="0" fontId="3" fillId="0" borderId="1" xfId="0" applyFont="1" applyBorder="1"/>
    <xf numFmtId="44" fontId="2" fillId="0" borderId="4" xfId="2" applyNumberFormat="1" applyFont="1" applyFill="1" applyBorder="1"/>
    <xf numFmtId="0" fontId="2" fillId="0" borderId="4" xfId="2" applyNumberFormat="1" applyFont="1" applyFill="1" applyBorder="1"/>
    <xf numFmtId="14" fontId="2" fillId="0" borderId="4" xfId="2" applyNumberFormat="1" applyFont="1" applyFill="1" applyBorder="1"/>
    <xf numFmtId="164" fontId="2" fillId="0" borderId="4" xfId="2" applyFont="1" applyFill="1" applyBorder="1"/>
    <xf numFmtId="166" fontId="2" fillId="0" borderId="4" xfId="1" applyNumberFormat="1" applyFont="1" applyFill="1" applyBorder="1"/>
    <xf numFmtId="44" fontId="2" fillId="0" borderId="1" xfId="2" applyNumberFormat="1" applyFont="1" applyFill="1" applyBorder="1"/>
    <xf numFmtId="0" fontId="2" fillId="0" borderId="1" xfId="2" applyNumberFormat="1" applyFont="1" applyFill="1" applyBorder="1"/>
    <xf numFmtId="14" fontId="2" fillId="0" borderId="1" xfId="2" applyNumberFormat="1" applyFont="1" applyFill="1" applyBorder="1"/>
    <xf numFmtId="164" fontId="2" fillId="0" borderId="1" xfId="2" applyFont="1" applyFill="1" applyBorder="1"/>
    <xf numFmtId="44" fontId="2" fillId="0" borderId="1" xfId="0" applyNumberFormat="1" applyFont="1" applyBorder="1"/>
    <xf numFmtId="0" fontId="2" fillId="0" borderId="1" xfId="0" applyFont="1" applyBorder="1"/>
    <xf numFmtId="14" fontId="2" fillId="0" borderId="1" xfId="0" applyNumberFormat="1" applyFont="1" applyBorder="1"/>
    <xf numFmtId="0" fontId="2" fillId="0" borderId="1" xfId="2" applyNumberFormat="1" applyFont="1" applyFill="1" applyBorder="1" applyProtection="1"/>
    <xf numFmtId="44" fontId="2" fillId="0" borderId="1" xfId="2" applyNumberFormat="1" applyFont="1" applyFill="1" applyBorder="1" applyProtection="1"/>
    <xf numFmtId="44" fontId="2" fillId="0" borderId="1" xfId="1" applyNumberFormat="1" applyFont="1" applyFill="1" applyBorder="1" applyProtection="1"/>
    <xf numFmtId="14" fontId="2" fillId="0" borderId="1" xfId="1" applyNumberFormat="1" applyFont="1" applyFill="1" applyBorder="1" applyProtection="1"/>
    <xf numFmtId="164" fontId="2" fillId="0" borderId="1" xfId="2" applyFont="1" applyFill="1" applyBorder="1" applyProtection="1"/>
    <xf numFmtId="44" fontId="2" fillId="18" borderId="0" xfId="0" applyNumberFormat="1" applyFont="1" applyFill="1"/>
    <xf numFmtId="164" fontId="3" fillId="7" borderId="1" xfId="2" applyFont="1" applyFill="1" applyBorder="1"/>
    <xf numFmtId="164" fontId="2" fillId="7" borderId="1" xfId="2" applyFont="1" applyFill="1" applyBorder="1"/>
    <xf numFmtId="164" fontId="3" fillId="7" borderId="0" xfId="2" applyFont="1" applyFill="1" applyBorder="1"/>
    <xf numFmtId="164" fontId="3" fillId="7" borderId="6" xfId="2" applyFont="1" applyFill="1" applyBorder="1"/>
    <xf numFmtId="164" fontId="3" fillId="19" borderId="1" xfId="2" applyFont="1" applyFill="1" applyBorder="1"/>
    <xf numFmtId="164" fontId="2" fillId="19" borderId="1" xfId="2" applyFont="1" applyFill="1" applyBorder="1"/>
    <xf numFmtId="164" fontId="3" fillId="19" borderId="0" xfId="2" applyFont="1" applyFill="1" applyBorder="1"/>
    <xf numFmtId="164" fontId="3" fillId="19" borderId="6" xfId="2" applyFont="1" applyFill="1" applyBorder="1"/>
    <xf numFmtId="0" fontId="2" fillId="18" borderId="4" xfId="2" applyNumberFormat="1" applyFont="1" applyFill="1" applyBorder="1" applyAlignment="1">
      <alignment horizontal="center"/>
    </xf>
    <xf numFmtId="0" fontId="2" fillId="18" borderId="1" xfId="2" applyNumberFormat="1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2" fillId="18" borderId="1" xfId="1" applyNumberFormat="1" applyFont="1" applyFill="1" applyBorder="1" applyAlignment="1" applyProtection="1">
      <alignment horizontal="center"/>
    </xf>
    <xf numFmtId="0" fontId="2" fillId="18" borderId="1" xfId="2" applyNumberFormat="1" applyFont="1" applyFill="1" applyBorder="1" applyAlignment="1" applyProtection="1">
      <alignment horizontal="center"/>
    </xf>
    <xf numFmtId="0" fontId="0" fillId="20" borderId="0" xfId="0" applyFill="1" applyAlignment="1">
      <alignment horizontal="center" vertical="center"/>
    </xf>
    <xf numFmtId="164" fontId="3" fillId="0" borderId="1" xfId="2" applyFont="1" applyFill="1" applyBorder="1"/>
    <xf numFmtId="164" fontId="3" fillId="0" borderId="0" xfId="2" applyFont="1" applyFill="1" applyBorder="1"/>
    <xf numFmtId="164" fontId="3" fillId="0" borderId="6" xfId="2" applyFont="1" applyFill="1" applyBorder="1"/>
    <xf numFmtId="14" fontId="2" fillId="18" borderId="4" xfId="2" applyNumberFormat="1" applyFont="1" applyFill="1" applyBorder="1"/>
    <xf numFmtId="14" fontId="2" fillId="18" borderId="1" xfId="2" applyNumberFormat="1" applyFont="1" applyFill="1" applyBorder="1"/>
    <xf numFmtId="14" fontId="2" fillId="18" borderId="1" xfId="0" applyNumberFormat="1" applyFont="1" applyFill="1" applyBorder="1"/>
    <xf numFmtId="168" fontId="0" fillId="3" borderId="0" xfId="0" applyNumberFormat="1" applyFill="1" applyAlignment="1">
      <alignment horizontal="left" vertical="center"/>
    </xf>
    <xf numFmtId="168" fontId="28" fillId="3" borderId="0" xfId="0" applyNumberFormat="1" applyFont="1" applyFill="1"/>
    <xf numFmtId="164" fontId="2" fillId="3" borderId="0" xfId="2" applyFont="1" applyFill="1"/>
    <xf numFmtId="164" fontId="3" fillId="11" borderId="0" xfId="2" applyFont="1" applyFill="1" applyBorder="1"/>
    <xf numFmtId="1" fontId="22" fillId="15" borderId="23" xfId="0" applyNumberFormat="1" applyFont="1" applyFill="1" applyBorder="1" applyAlignment="1">
      <alignment horizontal="center" vertical="center"/>
    </xf>
    <xf numFmtId="3" fontId="22" fillId="15" borderId="23" xfId="0" applyNumberFormat="1" applyFont="1" applyFill="1" applyBorder="1" applyAlignment="1">
      <alignment horizontal="center" vertical="center"/>
    </xf>
    <xf numFmtId="172" fontId="22" fillId="8" borderId="21" xfId="0" applyNumberFormat="1" applyFont="1" applyFill="1" applyBorder="1" applyAlignment="1">
      <alignment horizontal="center" vertical="center"/>
    </xf>
    <xf numFmtId="1" fontId="22" fillId="8" borderId="21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33" fillId="0" borderId="0" xfId="0" applyFont="1" applyAlignment="1">
      <alignment horizontal="left" vertical="top"/>
    </xf>
    <xf numFmtId="0" fontId="26" fillId="6" borderId="23" xfId="0" applyFont="1" applyFill="1" applyBorder="1" applyAlignment="1">
      <alignment horizontal="center" vertical="center"/>
    </xf>
    <xf numFmtId="3" fontId="24" fillId="0" borderId="23" xfId="0" applyNumberFormat="1" applyFont="1" applyBorder="1" applyAlignment="1">
      <alignment horizontal="center" vertical="center"/>
    </xf>
    <xf numFmtId="175" fontId="22" fillId="16" borderId="21" xfId="0" applyNumberFormat="1" applyFont="1" applyFill="1" applyBorder="1" applyAlignment="1">
      <alignment horizontal="center" vertical="center"/>
    </xf>
    <xf numFmtId="164" fontId="0" fillId="0" borderId="0" xfId="2" applyFont="1" applyFill="1" applyAlignment="1">
      <alignment horizontal="center" vertical="center"/>
    </xf>
    <xf numFmtId="164" fontId="1" fillId="3" borderId="0" xfId="2" applyFont="1" applyFill="1"/>
    <xf numFmtId="9" fontId="22" fillId="15" borderId="23" xfId="5" applyFont="1" applyFill="1" applyBorder="1" applyAlignment="1">
      <alignment horizontal="center" vertical="center"/>
    </xf>
    <xf numFmtId="9" fontId="22" fillId="8" borderId="23" xfId="0" applyNumberFormat="1" applyFont="1" applyFill="1" applyBorder="1" applyAlignment="1">
      <alignment horizontal="center" vertical="center"/>
    </xf>
    <xf numFmtId="164" fontId="22" fillId="15" borderId="23" xfId="2" applyFont="1" applyFill="1" applyBorder="1" applyAlignment="1">
      <alignment horizontal="center" vertical="center"/>
    </xf>
    <xf numFmtId="164" fontId="22" fillId="8" borderId="23" xfId="2" applyFont="1" applyFill="1" applyBorder="1" applyAlignment="1">
      <alignment horizontal="center" vertical="center"/>
    </xf>
    <xf numFmtId="0" fontId="20" fillId="9" borderId="0" xfId="0" applyFont="1" applyFill="1" applyAlignment="1">
      <alignment horizontal="left" vertical="top" wrapText="1"/>
    </xf>
    <xf numFmtId="0" fontId="0" fillId="0" borderId="5" xfId="0" applyBorder="1" applyAlignment="1">
      <alignment vertical="center"/>
    </xf>
    <xf numFmtId="9" fontId="0" fillId="0" borderId="0" xfId="5" applyFont="1" applyFill="1" applyAlignment="1">
      <alignment horizontal="center" vertical="center"/>
    </xf>
    <xf numFmtId="0" fontId="27" fillId="6" borderId="0" xfId="0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1" fillId="8" borderId="0" xfId="0" applyFont="1" applyFill="1" applyAlignment="1">
      <alignment horizontal="left" vertical="center"/>
    </xf>
    <xf numFmtId="0" fontId="0" fillId="0" borderId="0" xfId="0"/>
    <xf numFmtId="0" fontId="23" fillId="6" borderId="0" xfId="0" applyFont="1" applyFill="1" applyAlignment="1">
      <alignment horizontal="left" vertical="center"/>
    </xf>
    <xf numFmtId="0" fontId="24" fillId="6" borderId="0" xfId="0" applyFont="1" applyFill="1" applyAlignment="1">
      <alignment horizontal="left" vertical="top" wrapText="1"/>
    </xf>
    <xf numFmtId="0" fontId="24" fillId="17" borderId="34" xfId="0" applyFont="1" applyFill="1" applyBorder="1" applyAlignment="1">
      <alignment horizontal="left" vertical="top" wrapText="1"/>
    </xf>
    <xf numFmtId="0" fontId="24" fillId="17" borderId="35" xfId="0" applyFont="1" applyFill="1" applyBorder="1" applyAlignment="1">
      <alignment horizontal="left" vertical="top" wrapText="1"/>
    </xf>
    <xf numFmtId="0" fontId="24" fillId="17" borderId="36" xfId="0" applyFont="1" applyFill="1" applyBorder="1" applyAlignment="1">
      <alignment horizontal="left" vertical="top" wrapText="1"/>
    </xf>
    <xf numFmtId="0" fontId="24" fillId="17" borderId="37" xfId="0" applyFont="1" applyFill="1" applyBorder="1" applyAlignment="1">
      <alignment horizontal="left" vertical="top" wrapText="1"/>
    </xf>
    <xf numFmtId="0" fontId="24" fillId="17" borderId="0" xfId="0" applyFont="1" applyFill="1" applyAlignment="1">
      <alignment horizontal="left" vertical="top" wrapText="1"/>
    </xf>
    <xf numFmtId="0" fontId="24" fillId="17" borderId="38" xfId="0" applyFont="1" applyFill="1" applyBorder="1" applyAlignment="1">
      <alignment horizontal="left" vertical="top" wrapText="1"/>
    </xf>
    <xf numFmtId="0" fontId="24" fillId="17" borderId="39" xfId="0" applyFont="1" applyFill="1" applyBorder="1" applyAlignment="1">
      <alignment horizontal="left" vertical="top" wrapText="1"/>
    </xf>
    <xf numFmtId="0" fontId="24" fillId="17" borderId="12" xfId="0" applyFont="1" applyFill="1" applyBorder="1" applyAlignment="1">
      <alignment horizontal="left" vertical="top" wrapText="1"/>
    </xf>
    <xf numFmtId="0" fontId="24" fillId="17" borderId="40" xfId="0" applyFont="1" applyFill="1" applyBorder="1" applyAlignment="1">
      <alignment horizontal="left" vertical="top" wrapText="1"/>
    </xf>
    <xf numFmtId="0" fontId="31" fillId="17" borderId="24" xfId="0" applyFont="1" applyFill="1" applyBorder="1" applyAlignment="1">
      <alignment horizontal="left" vertical="top" wrapText="1"/>
    </xf>
    <xf numFmtId="0" fontId="31" fillId="17" borderId="49" xfId="0" applyFont="1" applyFill="1" applyBorder="1" applyAlignment="1">
      <alignment horizontal="left" vertical="top" wrapText="1"/>
    </xf>
    <xf numFmtId="0" fontId="31" fillId="17" borderId="25" xfId="0" applyFont="1" applyFill="1" applyBorder="1" applyAlignment="1">
      <alignment horizontal="left" vertical="top" wrapText="1"/>
    </xf>
    <xf numFmtId="0" fontId="31" fillId="17" borderId="0" xfId="0" applyFont="1" applyFill="1" applyAlignment="1">
      <alignment horizontal="left" vertical="top" wrapText="1"/>
    </xf>
    <xf numFmtId="0" fontId="21" fillId="0" borderId="22" xfId="0" applyFont="1" applyBorder="1" applyAlignment="1">
      <alignment horizontal="center" vertical="center"/>
    </xf>
    <xf numFmtId="0" fontId="0" fillId="8" borderId="0" xfId="0" applyFill="1"/>
    <xf numFmtId="0" fontId="24" fillId="0" borderId="0" xfId="0" applyFont="1" applyAlignment="1">
      <alignment horizontal="left" vertical="center"/>
    </xf>
    <xf numFmtId="0" fontId="33" fillId="0" borderId="26" xfId="0" applyFont="1" applyBorder="1" applyAlignment="1">
      <alignment horizontal="left" vertical="top" wrapText="1"/>
    </xf>
    <xf numFmtId="0" fontId="33" fillId="0" borderId="27" xfId="0" applyFont="1" applyBorder="1" applyAlignment="1">
      <alignment horizontal="left" vertical="top" wrapText="1"/>
    </xf>
    <xf numFmtId="0" fontId="33" fillId="0" borderId="28" xfId="0" applyFont="1" applyBorder="1" applyAlignment="1">
      <alignment horizontal="left" vertical="top" wrapText="1"/>
    </xf>
    <xf numFmtId="0" fontId="33" fillId="0" borderId="29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0" fontId="33" fillId="0" borderId="30" xfId="0" applyFont="1" applyBorder="1" applyAlignment="1">
      <alignment horizontal="left" vertical="top" wrapText="1"/>
    </xf>
    <xf numFmtId="0" fontId="33" fillId="0" borderId="31" xfId="0" applyFont="1" applyBorder="1" applyAlignment="1">
      <alignment horizontal="left" vertical="top" wrapText="1"/>
    </xf>
    <xf numFmtId="0" fontId="33" fillId="0" borderId="32" xfId="0" applyFont="1" applyBorder="1" applyAlignment="1">
      <alignment horizontal="left" vertical="top" wrapText="1"/>
    </xf>
    <xf numFmtId="0" fontId="33" fillId="0" borderId="33" xfId="0" applyFont="1" applyBorder="1" applyAlignment="1">
      <alignment horizontal="left" vertical="top" wrapText="1"/>
    </xf>
    <xf numFmtId="0" fontId="36" fillId="3" borderId="41" xfId="0" applyFont="1" applyFill="1" applyBorder="1" applyAlignment="1">
      <alignment horizontal="left" vertical="top" wrapText="1"/>
    </xf>
    <xf numFmtId="0" fontId="35" fillId="3" borderId="42" xfId="0" applyFont="1" applyFill="1" applyBorder="1" applyAlignment="1">
      <alignment horizontal="left" vertical="top"/>
    </xf>
    <xf numFmtId="0" fontId="35" fillId="3" borderId="43" xfId="0" applyFont="1" applyFill="1" applyBorder="1" applyAlignment="1">
      <alignment horizontal="left" vertical="top"/>
    </xf>
    <xf numFmtId="0" fontId="35" fillId="3" borderId="44" xfId="0" applyFont="1" applyFill="1" applyBorder="1" applyAlignment="1">
      <alignment horizontal="left" vertical="top"/>
    </xf>
    <xf numFmtId="0" fontId="35" fillId="3" borderId="0" xfId="0" applyFont="1" applyFill="1" applyAlignment="1">
      <alignment horizontal="left" vertical="top"/>
    </xf>
    <xf numFmtId="0" fontId="35" fillId="3" borderId="45" xfId="0" applyFont="1" applyFill="1" applyBorder="1" applyAlignment="1">
      <alignment horizontal="left" vertical="top"/>
    </xf>
    <xf numFmtId="0" fontId="35" fillId="3" borderId="46" xfId="0" applyFont="1" applyFill="1" applyBorder="1" applyAlignment="1">
      <alignment horizontal="left" vertical="top"/>
    </xf>
    <xf numFmtId="0" fontId="35" fillId="3" borderId="47" xfId="0" applyFont="1" applyFill="1" applyBorder="1" applyAlignment="1">
      <alignment horizontal="left" vertical="top"/>
    </xf>
    <xf numFmtId="0" fontId="35" fillId="3" borderId="48" xfId="0" applyFont="1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8">
    <cellStyle name="Comma" xfId="1" builtinId="3"/>
    <cellStyle name="Comma 2" xfId="3" xr:uid="{D412998A-BB44-4E52-9B7B-499D589EE53C}"/>
    <cellStyle name="Currency" xfId="2" builtinId="4"/>
    <cellStyle name="Currency 2" xfId="7" xr:uid="{A45CD9DA-55EE-4E8E-BE55-D4F7A0EB80FD}"/>
    <cellStyle name="Hyperlink" xfId="6" builtinId="8"/>
    <cellStyle name="Normal" xfId="0" builtinId="0"/>
    <cellStyle name="Normal 2" xfId="4" xr:uid="{7CE0FAF2-A6A7-46BF-8A05-38641AE6FE63}"/>
    <cellStyle name="Percent" xfId="5" builtinId="5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yyyy/mm/dd"/>
    </dxf>
    <dxf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70C0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999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04AC08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4E0EA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rgb="FFFFC000"/>
        </patternFill>
      </fill>
    </dxf>
    <dxf>
      <fill>
        <patternFill>
          <bgColor rgb="FF04AC08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4E0EA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ont>
        <b/>
        <i val="0"/>
        <color rgb="FFC0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4AC08"/>
        </patternFill>
      </fill>
    </dxf>
    <dxf>
      <fill>
        <patternFill>
          <bgColor rgb="FF7030A0"/>
        </patternFill>
      </fill>
    </dxf>
    <dxf>
      <fill>
        <patternFill>
          <bgColor theme="7" tint="0.59996337778862885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4E0EA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70C0"/>
        </patternFill>
      </fill>
    </dxf>
    <dxf>
      <fill>
        <patternFill>
          <bgColor theme="2" tint="-0.499984740745262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3" formatCode="yyyy\-mm\-dd"/>
    </dxf>
    <dxf>
      <numFmt numFmtId="173" formatCode="yyyy\-mm\-dd"/>
    </dxf>
    <dxf>
      <numFmt numFmtId="173" formatCode="yyyy\-mm\-dd"/>
    </dxf>
    <dxf>
      <numFmt numFmtId="1" formatCode="0"/>
    </dxf>
    <dxf>
      <numFmt numFmtId="1" formatCode="0"/>
    </dxf>
    <dxf>
      <numFmt numFmtId="1" formatCode="0"/>
    </dxf>
    <dxf>
      <numFmt numFmtId="173" formatCode="yyyy\-mm\-dd"/>
    </dxf>
    <dxf>
      <numFmt numFmtId="1" formatCode="0"/>
    </dxf>
    <dxf>
      <numFmt numFmtId="173" formatCode="yyyy\-mm\-dd"/>
    </dxf>
    <dxf>
      <numFmt numFmtId="173" formatCode="yyyy\-mm\-dd"/>
    </dxf>
    <dxf>
      <numFmt numFmtId="173" formatCode="yyyy\-mm\-dd"/>
    </dxf>
    <dxf>
      <numFmt numFmtId="0" formatCode="General"/>
    </dxf>
    <dxf>
      <numFmt numFmtId="1" formatCode="0"/>
    </dxf>
    <dxf>
      <numFmt numFmtId="172" formatCode="0.0%"/>
    </dxf>
    <dxf>
      <numFmt numFmtId="171" formatCode="_-\R\ * #,##0.00_-;\-\R\ * #,##0.00_-;_-\R\ * &quot;-&quot;??_-;_-@_-"/>
    </dxf>
    <dxf>
      <numFmt numFmtId="171" formatCode="_-\R\ * #,##0.00_-;\-\R\ * #,##0.00_-;_-\R\ * &quot;-&quot;??_-;_-@_-"/>
    </dxf>
    <dxf>
      <numFmt numFmtId="171" formatCode="_-\R\ * #,##0.00_-;\-\R\ * #,##0.00_-;_-\R\ * &quot;-&quot;??_-;_-@_-"/>
    </dxf>
    <dxf>
      <numFmt numFmtId="171" formatCode="_-\R\ * #,##0.00_-;\-\R\ * #,##0.00_-;_-\R\ * &quot;-&quot;??_-;_-@_-"/>
    </dxf>
    <dxf>
      <numFmt numFmtId="171" formatCode="_-\R\ * #,##0.00_-;\-\R\ * #,##0.00_-;_-\R\ * &quot;-&quot;??_-;_-@_-"/>
    </dxf>
    <dxf>
      <numFmt numFmtId="0" formatCode="General"/>
    </dxf>
    <dxf>
      <numFmt numFmtId="21" formatCode="dd\-m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21" formatCode="dd\-m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1" formatCode="dd\-m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1" formatCode="dd\-m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&quot;* #,##0.00_);_(&quot;R&quot;* \(#,##0.00\);_(&quot;R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&quot;* #,##0.00_);_(&quot;R&quot;* \(#,##0.00\);_(&quot;R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&quot;* #,##0.00_);_(&quot;R&quot;* \(#,##0.00\);_(&quot;R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&quot;* #,##0.00_);_(&quot;R&quot;* \(#,##0.00\);_(&quot;R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&quot;* #,##0.00_);_(&quot;R&quot;* \(#,##0.00\);_(&quot;R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&quot;R&quot;* #,##0.00_);_(&quot;R&quot;* \(#,##0.00\);_(&quot;R&quot;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66" formatCode="_(* #,##0_);_(* \(#,##0\);_(* &quot;-&quot;??_);_(@_)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9" formatCode="yyyy/mm/dd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  <right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auto="1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PivotTable Style 1" table="0" count="1" xr9:uid="{B4A78CBA-0568-424D-85A9-0F543FB5600F}">
      <tableStyleElement type="wholeTable" dxfId="140"/>
    </tableStyle>
  </tableStyles>
  <colors>
    <mruColors>
      <color rgb="FFFF6600"/>
      <color rgb="FF66FF33"/>
      <color rgb="FF00CC00"/>
      <color rgb="FF94E0EA"/>
      <color rgb="FF0099FF"/>
      <color rgb="FF04AC0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17/06/relationships/rdRichValue" Target="richData/rdrichvalue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2/10/relationships/richValueRel" Target="richData/richValueRel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'COS Tracker 26'!$A$5</c:f>
              <c:strCache>
                <c:ptCount val="1"/>
                <c:pt idx="0">
                  <c:v>Budget COS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'COS Tracker 26'!$B$1:$M$1</c:f>
              <c:numCache>
                <c:formatCode>m/d/yyyy</c:formatCode>
                <c:ptCount val="12"/>
                <c:pt idx="0">
                  <c:v>45901</c:v>
                </c:pt>
                <c:pt idx="1">
                  <c:v>45931</c:v>
                </c:pt>
                <c:pt idx="2">
                  <c:v>45962</c:v>
                </c:pt>
                <c:pt idx="3">
                  <c:v>45992</c:v>
                </c:pt>
                <c:pt idx="4">
                  <c:v>46023</c:v>
                </c:pt>
                <c:pt idx="5">
                  <c:v>46054</c:v>
                </c:pt>
                <c:pt idx="6">
                  <c:v>46082</c:v>
                </c:pt>
                <c:pt idx="7">
                  <c:v>46113</c:v>
                </c:pt>
                <c:pt idx="8">
                  <c:v>46143</c:v>
                </c:pt>
                <c:pt idx="9">
                  <c:v>46174</c:v>
                </c:pt>
                <c:pt idx="10">
                  <c:v>46204</c:v>
                </c:pt>
                <c:pt idx="11">
                  <c:v>46235</c:v>
                </c:pt>
              </c:numCache>
            </c:numRef>
          </c:cat>
          <c:val>
            <c:numRef>
              <c:f>'COS Tracker 26'!$B$5:$M$5</c:f>
              <c:numCache>
                <c:formatCode>_("R"* #\ ##0.00_);_("R"* \(#\ ##0.00\);_("R"* "-"??_);_(@_)</c:formatCode>
                <c:ptCount val="12"/>
                <c:pt idx="0">
                  <c:v>8083466.991006257</c:v>
                </c:pt>
                <c:pt idx="1">
                  <c:v>16346971.766611634</c:v>
                </c:pt>
                <c:pt idx="2">
                  <c:v>20063809.836184785</c:v>
                </c:pt>
                <c:pt idx="3">
                  <c:v>12381959.439018428</c:v>
                </c:pt>
                <c:pt idx="4">
                  <c:v>12395435.223081922</c:v>
                </c:pt>
                <c:pt idx="5">
                  <c:v>20724666.977664825</c:v>
                </c:pt>
                <c:pt idx="6">
                  <c:v>20599956.603475731</c:v>
                </c:pt>
                <c:pt idx="7">
                  <c:v>23137378.14182568</c:v>
                </c:pt>
                <c:pt idx="8">
                  <c:v>31403537.82008272</c:v>
                </c:pt>
                <c:pt idx="9">
                  <c:v>41710854.070031598</c:v>
                </c:pt>
                <c:pt idx="10">
                  <c:v>39116760.201133199</c:v>
                </c:pt>
                <c:pt idx="11">
                  <c:v>73983831.010536849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C0-4818-A9E0-65F40CAEC31F}"/>
            </c:ext>
          </c:extLst>
        </c:ser>
        <c:ser>
          <c:idx val="0"/>
          <c:order val="1"/>
          <c:tx>
            <c:strRef>
              <c:f>'COS Tracker 26'!$A$2</c:f>
              <c:strCache>
                <c:ptCount val="1"/>
                <c:pt idx="0">
                  <c:v>Planned 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-6.3064875810785015E-2"/>
                  <c:y val="-0.1662754977584161"/>
                </c:manualLayout>
              </c:layout>
              <c:numFmt formatCode="&quot;R&quot;#,##0.0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32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696D-4370-865A-FCF3886C5BE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'COS Tracker 26'!$B$1:$M$1</c:f>
              <c:numCache>
                <c:formatCode>m/d/yyyy</c:formatCode>
                <c:ptCount val="12"/>
                <c:pt idx="0">
                  <c:v>45901</c:v>
                </c:pt>
                <c:pt idx="1">
                  <c:v>45931</c:v>
                </c:pt>
                <c:pt idx="2">
                  <c:v>45962</c:v>
                </c:pt>
                <c:pt idx="3">
                  <c:v>45992</c:v>
                </c:pt>
                <c:pt idx="4">
                  <c:v>46023</c:v>
                </c:pt>
                <c:pt idx="5">
                  <c:v>46054</c:v>
                </c:pt>
                <c:pt idx="6">
                  <c:v>46082</c:v>
                </c:pt>
                <c:pt idx="7">
                  <c:v>46113</c:v>
                </c:pt>
                <c:pt idx="8">
                  <c:v>46143</c:v>
                </c:pt>
                <c:pt idx="9">
                  <c:v>46174</c:v>
                </c:pt>
                <c:pt idx="10">
                  <c:v>46204</c:v>
                </c:pt>
                <c:pt idx="11">
                  <c:v>46235</c:v>
                </c:pt>
              </c:numCache>
            </c:numRef>
          </c:cat>
          <c:val>
            <c:numRef>
              <c:f>'COS Tracker 26'!$B$2:$M$2</c:f>
              <c:numCache>
                <c:formatCode>_("R"* #\ ##0.00_);_("R"* \(#\ ##0.00\);_("R"* "-"??_);_(@_)</c:formatCode>
                <c:ptCount val="12"/>
                <c:pt idx="0">
                  <c:v>2438312.2420000006</c:v>
                </c:pt>
                <c:pt idx="1">
                  <c:v>13336335.454510482</c:v>
                </c:pt>
                <c:pt idx="2">
                  <c:v>15554164.722097512</c:v>
                </c:pt>
                <c:pt idx="3">
                  <c:v>4374191.2309999978</c:v>
                </c:pt>
                <c:pt idx="4">
                  <c:v>5249189.9363984093</c:v>
                </c:pt>
                <c:pt idx="5">
                  <c:v>15446335.655991863</c:v>
                </c:pt>
                <c:pt idx="6">
                  <c:v>12244192.967473228</c:v>
                </c:pt>
                <c:pt idx="7">
                  <c:v>26892918.084507331</c:v>
                </c:pt>
                <c:pt idx="8">
                  <c:v>60718488.103775665</c:v>
                </c:pt>
                <c:pt idx="9">
                  <c:v>19438024.775077876</c:v>
                </c:pt>
                <c:pt idx="10">
                  <c:v>16341988.380966667</c:v>
                </c:pt>
                <c:pt idx="11">
                  <c:v>12133717.534112768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C0-4818-A9E0-65F40CAEC31F}"/>
            </c:ext>
          </c:extLst>
        </c:ser>
        <c:ser>
          <c:idx val="1"/>
          <c:order val="2"/>
          <c:tx>
            <c:strRef>
              <c:f>'COS Tracker 26'!$A$3</c:f>
              <c:strCache>
                <c:ptCount val="1"/>
                <c:pt idx="0">
                  <c:v>Realised COS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-9.1209531131300647E-2"/>
                  <c:y val="-0.21178247609229833"/>
                </c:manualLayout>
              </c:layout>
              <c:numFmt formatCode="&quot;R&quot;#,##0.0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n-US" sz="28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696D-4370-865A-FCF3886C5BE7}"/>
                </c:ext>
              </c:extLst>
            </c:dLbl>
            <c:numFmt formatCode="&quot;R&quot;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'COS Tracker 26'!$B$1:$M$1</c:f>
              <c:numCache>
                <c:formatCode>m/d/yyyy</c:formatCode>
                <c:ptCount val="12"/>
                <c:pt idx="0">
                  <c:v>45901</c:v>
                </c:pt>
                <c:pt idx="1">
                  <c:v>45931</c:v>
                </c:pt>
                <c:pt idx="2">
                  <c:v>45962</c:v>
                </c:pt>
                <c:pt idx="3">
                  <c:v>45992</c:v>
                </c:pt>
                <c:pt idx="4">
                  <c:v>46023</c:v>
                </c:pt>
                <c:pt idx="5">
                  <c:v>46054</c:v>
                </c:pt>
                <c:pt idx="6">
                  <c:v>46082</c:v>
                </c:pt>
                <c:pt idx="7">
                  <c:v>46113</c:v>
                </c:pt>
                <c:pt idx="8">
                  <c:v>46143</c:v>
                </c:pt>
                <c:pt idx="9">
                  <c:v>46174</c:v>
                </c:pt>
                <c:pt idx="10">
                  <c:v>46204</c:v>
                </c:pt>
                <c:pt idx="11">
                  <c:v>46235</c:v>
                </c:pt>
              </c:numCache>
            </c:numRef>
          </c:cat>
          <c:val>
            <c:numRef>
              <c:f>'COS Tracker 26'!$B$3:$M$3</c:f>
              <c:numCache>
                <c:formatCode>_("R"* #\ ##0.00_);_("R"* \(#\ ##0.00\);_("R"* "-"??_);_(@_)</c:formatCode>
                <c:ptCount val="12"/>
                <c:pt idx="0">
                  <c:v>2687490.95</c:v>
                </c:pt>
                <c:pt idx="1">
                  <c:v>13400189.890000001</c:v>
                </c:pt>
                <c:pt idx="2">
                  <c:v>15691387.65</c:v>
                </c:pt>
                <c:pt idx="3">
                  <c:v>4411406</c:v>
                </c:pt>
                <c:pt idx="4">
                  <c:v>5246689.9363984093</c:v>
                </c:pt>
                <c:pt idx="5">
                  <c:v>8631737.8449080437</c:v>
                </c:pt>
                <c:pt idx="6">
                  <c:v>0</c:v>
                </c:pt>
                <c:pt idx="7">
                  <c:v>4548575.9492250234</c:v>
                </c:pt>
                <c:pt idx="8">
                  <c:v>9345883.2192250229</c:v>
                </c:pt>
                <c:pt idx="9">
                  <c:v>1006648.806628152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C0-4818-A9E0-65F40CAEC31F}"/>
            </c:ext>
          </c:extLst>
        </c:ser>
        <c:ser>
          <c:idx val="3"/>
          <c:order val="3"/>
          <c:tx>
            <c:strRef>
              <c:f>'COS Tracker 26'!$A$4</c:f>
              <c:strCache>
                <c:ptCount val="1"/>
                <c:pt idx="0">
                  <c:v>Outstanding COS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'COS Tracker 26'!$B$4:$M$4</c:f>
              <c:numCache>
                <c:formatCode>_("R"* #\ ##0.00_);_("R"* \(#\ ##0.00\);_("R"*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2500</c:v>
                </c:pt>
                <c:pt idx="5">
                  <c:v>6814597.8110838197</c:v>
                </c:pt>
                <c:pt idx="6">
                  <c:v>12244192.967473228</c:v>
                </c:pt>
                <c:pt idx="7">
                  <c:v>22344342.135282308</c:v>
                </c:pt>
                <c:pt idx="8">
                  <c:v>51372604.884550646</c:v>
                </c:pt>
                <c:pt idx="9">
                  <c:v>18431375.968449723</c:v>
                </c:pt>
                <c:pt idx="10">
                  <c:v>16341988.380966667</c:v>
                </c:pt>
                <c:pt idx="11">
                  <c:v>12133717.534112768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5C0-4818-A9E0-65F40CAEC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26149200"/>
        <c:axId val="1026157360"/>
      </c:barChart>
      <c:dateAx>
        <c:axId val="102614920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157360"/>
        <c:crosses val="autoZero"/>
        <c:auto val="1"/>
        <c:lblOffset val="100"/>
        <c:baseTimeUnit val="months"/>
      </c:dateAx>
      <c:valAx>
        <c:axId val="1026157360"/>
        <c:scaling>
          <c:orientation val="minMax"/>
          <c:max val="4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14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2000"/>
              <a:t>2026 Forecast</a:t>
            </a:r>
            <a:r>
              <a:rPr lang="en-ZA" sz="2000" baseline="0"/>
              <a:t> vs Actual COS YTD &amp; REV YTD</a:t>
            </a:r>
            <a:endParaRPr lang="en-Z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ZA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'COS Tracker 26'!$A$13</c:f>
              <c:strCache>
                <c:ptCount val="1"/>
                <c:pt idx="0">
                  <c:v>YTD Budget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485824096449573E-2"/>
                  <c:y val="-6.326050706435495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6F-4590-B419-0E927E6D8A35}"/>
                </c:ext>
              </c:extLst>
            </c:dLbl>
            <c:dLbl>
              <c:idx val="1"/>
              <c:layout>
                <c:manualLayout>
                  <c:x val="-2.7201750916556577E-2"/>
                  <c:y val="-9.0108483643496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6F-4590-B419-0E927E6D8A35}"/>
                </c:ext>
              </c:extLst>
            </c:dLbl>
            <c:dLbl>
              <c:idx val="2"/>
              <c:layout>
                <c:manualLayout>
                  <c:x val="-2.8742708912751404E-2"/>
                  <c:y val="-8.62730584179052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6F-4590-B419-0E927E6D8A35}"/>
                </c:ext>
              </c:extLst>
            </c:dLbl>
            <c:numFmt formatCode="&quot;R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'COS Tracker 26'!$B$1:$M$1</c:f>
              <c:numCache>
                <c:formatCode>m/d/yyyy</c:formatCode>
                <c:ptCount val="12"/>
                <c:pt idx="0">
                  <c:v>45901</c:v>
                </c:pt>
                <c:pt idx="1">
                  <c:v>45931</c:v>
                </c:pt>
                <c:pt idx="2">
                  <c:v>45962</c:v>
                </c:pt>
                <c:pt idx="3">
                  <c:v>45992</c:v>
                </c:pt>
                <c:pt idx="4">
                  <c:v>46023</c:v>
                </c:pt>
                <c:pt idx="5">
                  <c:v>46054</c:v>
                </c:pt>
                <c:pt idx="6">
                  <c:v>46082</c:v>
                </c:pt>
                <c:pt idx="7">
                  <c:v>46113</c:v>
                </c:pt>
                <c:pt idx="8">
                  <c:v>46143</c:v>
                </c:pt>
                <c:pt idx="9">
                  <c:v>46174</c:v>
                </c:pt>
                <c:pt idx="10">
                  <c:v>46204</c:v>
                </c:pt>
                <c:pt idx="11">
                  <c:v>46235</c:v>
                </c:pt>
              </c:numCache>
            </c:numRef>
          </c:cat>
          <c:val>
            <c:numRef>
              <c:f>'COS Tracker 26'!$B$13:$M$13</c:f>
              <c:numCache>
                <c:formatCode>_("R"* #\ ##0.00_);_("R"* \(#\ ##0.00\);_("R"* "-"??_);_(@_)</c:formatCode>
                <c:ptCount val="12"/>
                <c:pt idx="0">
                  <c:v>8083466.991006257</c:v>
                </c:pt>
                <c:pt idx="1">
                  <c:v>24430438.757617891</c:v>
                </c:pt>
                <c:pt idx="2">
                  <c:v>44494248.593802676</c:v>
                </c:pt>
                <c:pt idx="3">
                  <c:v>56876208.032821104</c:v>
                </c:pt>
                <c:pt idx="4">
                  <c:v>69271643.255903021</c:v>
                </c:pt>
                <c:pt idx="5">
                  <c:v>89996310.233567849</c:v>
                </c:pt>
                <c:pt idx="6">
                  <c:v>110596266.83704358</c:v>
                </c:pt>
                <c:pt idx="7">
                  <c:v>133733644.97886926</c:v>
                </c:pt>
                <c:pt idx="8">
                  <c:v>165137182.79895198</c:v>
                </c:pt>
                <c:pt idx="9">
                  <c:v>206848036.86898357</c:v>
                </c:pt>
                <c:pt idx="10">
                  <c:v>245964797.07011676</c:v>
                </c:pt>
                <c:pt idx="11">
                  <c:v>319948628.08065361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F-4590-B419-0E927E6D8A35}"/>
            </c:ext>
          </c:extLst>
        </c:ser>
        <c:ser>
          <c:idx val="1"/>
          <c:order val="1"/>
          <c:tx>
            <c:strRef>
              <c:f>'COS Tracker 26'!$A$11</c:f>
              <c:strCache>
                <c:ptCount val="1"/>
                <c:pt idx="0">
                  <c:v>YTD Realised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2627938846535914E-2"/>
                  <c:y val="4.413139925221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6F-4590-B419-0E927E6D8A35}"/>
                </c:ext>
              </c:extLst>
            </c:dLbl>
            <c:dLbl>
              <c:idx val="1"/>
              <c:layout>
                <c:manualLayout>
                  <c:x val="-1.8469655604785772E-2"/>
                  <c:y val="3.4542836188233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6F-4590-B419-0E927E6D8A35}"/>
                </c:ext>
              </c:extLst>
            </c:dLbl>
            <c:dLbl>
              <c:idx val="2"/>
              <c:layout>
                <c:manualLayout>
                  <c:x val="-2.9770014243547967E-2"/>
                  <c:y val="5.18022497033963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6F-4590-B419-0E927E6D8A35}"/>
                </c:ext>
              </c:extLst>
            </c:dLbl>
            <c:dLbl>
              <c:idx val="3"/>
              <c:layout>
                <c:manualLayout>
                  <c:x val="-3.0283606082589329E-2"/>
                  <c:y val="5.44537162245705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36F-4590-B419-0E927E6D8A35}"/>
                </c:ext>
              </c:extLst>
            </c:dLbl>
            <c:dLbl>
              <c:idx val="4"/>
              <c:layout>
                <c:manualLayout>
                  <c:x val="-2.8228436788852881E-2"/>
                  <c:y val="6.65824012467526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6C-4BA3-984B-32A3EBB0203A}"/>
                </c:ext>
              </c:extLst>
            </c:dLbl>
            <c:dLbl>
              <c:idx val="5"/>
              <c:layout>
                <c:manualLayout>
                  <c:x val="-2.7201155473081853E-2"/>
                  <c:y val="6.45025149428365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6C-4BA3-984B-32A3EBB0203A}"/>
                </c:ext>
              </c:extLst>
            </c:dLbl>
            <c:numFmt formatCode="&quot;R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'COS Tracker 26'!$B$11:$G$11</c:f>
              <c:numCache>
                <c:formatCode>_("R"* #\ ##0.00_);_("R"* \(#\ ##0.00\);_("R"* "-"??_);_(@_)</c:formatCode>
                <c:ptCount val="6"/>
                <c:pt idx="0">
                  <c:v>2687490.95</c:v>
                </c:pt>
                <c:pt idx="1">
                  <c:v>16087680.84</c:v>
                </c:pt>
                <c:pt idx="2">
                  <c:v>31779068.490000002</c:v>
                </c:pt>
                <c:pt idx="3">
                  <c:v>36190474.490000002</c:v>
                </c:pt>
                <c:pt idx="4">
                  <c:v>41437164.426398411</c:v>
                </c:pt>
                <c:pt idx="5">
                  <c:v>50068902.271306455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F-4590-B419-0E927E6D8A35}"/>
            </c:ext>
          </c:extLst>
        </c:ser>
        <c:ser>
          <c:idx val="2"/>
          <c:order val="2"/>
          <c:tx>
            <c:strRef>
              <c:f>'REV Tracker 26'!$A$11</c:f>
              <c:strCache>
                <c:ptCount val="1"/>
                <c:pt idx="0">
                  <c:v>YTD Realised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6C-4BA3-984B-32A3EBB0203A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B6C-4BA3-984B-32A3EBB0203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B6C-4BA3-984B-32A3EBB0203A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B6C-4BA3-984B-32A3EBB0203A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B6C-4BA3-984B-32A3EBB0203A}"/>
                </c:ext>
              </c:extLst>
            </c:dLbl>
            <c:dLbl>
              <c:idx val="5"/>
              <c:layout>
                <c:manualLayout>
                  <c:x val="3.3382356128717434E-2"/>
                  <c:y val="7.7209913388107787E-2"/>
                </c:manualLayout>
              </c:layout>
              <c:numFmt formatCode="&quot;R&quot;#,##0" sourceLinked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E-7B6C-4BA3-984B-32A3EBB0203A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B6C-4BA3-984B-32A3EBB0203A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B6C-4BA3-984B-32A3EBB0203A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B6C-4BA3-984B-32A3EBB0203A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B6C-4BA3-984B-32A3EBB0203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B6C-4BA3-984B-32A3EBB0203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B6C-4BA3-984B-32A3EBB0203A}"/>
                </c:ext>
              </c:extLst>
            </c:dLbl>
            <c:numFmt formatCode="&quot;R&quot;#,##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'REV Tracker 26'!$B$11:$M$11</c:f>
              <c:numCache>
                <c:formatCode>_("R"* #\ ##0.00_);_("R"* \(#\ ##0.00\);_("R"* "-"??_);_(@_)</c:formatCode>
                <c:ptCount val="12"/>
                <c:pt idx="0">
                  <c:v>2487971.96</c:v>
                </c:pt>
                <c:pt idx="1">
                  <c:v>18775446.32</c:v>
                </c:pt>
                <c:pt idx="2">
                  <c:v>39710734.920000002</c:v>
                </c:pt>
                <c:pt idx="3">
                  <c:v>44035181.920000002</c:v>
                </c:pt>
                <c:pt idx="4">
                  <c:v>49588076.515518799</c:v>
                </c:pt>
                <c:pt idx="5">
                  <c:v>57208076.861456797</c:v>
                </c:pt>
                <c:pt idx="6">
                  <c:v>57208076.861456797</c:v>
                </c:pt>
                <c:pt idx="7">
                  <c:v>69534107.471644282</c:v>
                </c:pt>
                <c:pt idx="8">
                  <c:v>78140945.081807017</c:v>
                </c:pt>
                <c:pt idx="9">
                  <c:v>80476793.203853801</c:v>
                </c:pt>
                <c:pt idx="10">
                  <c:v>80476793.203853801</c:v>
                </c:pt>
                <c:pt idx="11">
                  <c:v>80476793.203853801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6C-4BA3-984B-32A3EBB020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75792208"/>
        <c:axId val="1375775888"/>
      </c:lineChart>
      <c:dateAx>
        <c:axId val="137579220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75888"/>
        <c:crosses val="autoZero"/>
        <c:auto val="1"/>
        <c:lblOffset val="100"/>
        <c:baseTimeUnit val="months"/>
      </c:dateAx>
      <c:valAx>
        <c:axId val="13757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79220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2000"/>
              <a:t>Cashflow Current &amp; Forecast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'Cashflow 2026'!$B$2</c:f>
              <c:strCache>
                <c:ptCount val="1"/>
                <c:pt idx="0">
                  <c:v> Opening Balance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'Cashflow 2026'!$C$1:$BC$1</c:f>
              <c:numCache>
                <c:formatCode>d\-mmm\-yy</c:formatCode>
                <c:ptCount val="53"/>
                <c:pt idx="0">
                  <c:v>45901</c:v>
                </c:pt>
                <c:pt idx="1">
                  <c:v>45908</c:v>
                </c:pt>
                <c:pt idx="2">
                  <c:v>45915</c:v>
                </c:pt>
                <c:pt idx="3">
                  <c:v>45922</c:v>
                </c:pt>
                <c:pt idx="4">
                  <c:v>45929</c:v>
                </c:pt>
                <c:pt idx="5">
                  <c:v>45936</c:v>
                </c:pt>
                <c:pt idx="6">
                  <c:v>45943</c:v>
                </c:pt>
                <c:pt idx="7">
                  <c:v>45950</c:v>
                </c:pt>
                <c:pt idx="8">
                  <c:v>45957</c:v>
                </c:pt>
                <c:pt idx="9">
                  <c:v>45964</c:v>
                </c:pt>
                <c:pt idx="10">
                  <c:v>45971</c:v>
                </c:pt>
                <c:pt idx="11">
                  <c:v>45978</c:v>
                </c:pt>
                <c:pt idx="12">
                  <c:v>45985</c:v>
                </c:pt>
                <c:pt idx="13">
                  <c:v>45992</c:v>
                </c:pt>
                <c:pt idx="14">
                  <c:v>45999</c:v>
                </c:pt>
                <c:pt idx="15">
                  <c:v>46006</c:v>
                </c:pt>
                <c:pt idx="16">
                  <c:v>46013</c:v>
                </c:pt>
                <c:pt idx="17">
                  <c:v>46020</c:v>
                </c:pt>
                <c:pt idx="18">
                  <c:v>46027</c:v>
                </c:pt>
                <c:pt idx="19">
                  <c:v>46034</c:v>
                </c:pt>
                <c:pt idx="20">
                  <c:v>46041</c:v>
                </c:pt>
                <c:pt idx="21">
                  <c:v>46048</c:v>
                </c:pt>
                <c:pt idx="22">
                  <c:v>46055</c:v>
                </c:pt>
                <c:pt idx="23">
                  <c:v>46062</c:v>
                </c:pt>
                <c:pt idx="24">
                  <c:v>46069</c:v>
                </c:pt>
                <c:pt idx="25">
                  <c:v>46076</c:v>
                </c:pt>
                <c:pt idx="26">
                  <c:v>46083</c:v>
                </c:pt>
                <c:pt idx="27">
                  <c:v>46090</c:v>
                </c:pt>
                <c:pt idx="28">
                  <c:v>46097</c:v>
                </c:pt>
                <c:pt idx="29">
                  <c:v>46104</c:v>
                </c:pt>
                <c:pt idx="30">
                  <c:v>46111</c:v>
                </c:pt>
                <c:pt idx="31">
                  <c:v>46118</c:v>
                </c:pt>
                <c:pt idx="32">
                  <c:v>46125</c:v>
                </c:pt>
                <c:pt idx="33">
                  <c:v>46132</c:v>
                </c:pt>
                <c:pt idx="34">
                  <c:v>46139</c:v>
                </c:pt>
                <c:pt idx="35">
                  <c:v>46146</c:v>
                </c:pt>
                <c:pt idx="36">
                  <c:v>46153</c:v>
                </c:pt>
                <c:pt idx="37">
                  <c:v>46160</c:v>
                </c:pt>
                <c:pt idx="38">
                  <c:v>46167</c:v>
                </c:pt>
                <c:pt idx="39">
                  <c:v>46174</c:v>
                </c:pt>
                <c:pt idx="40">
                  <c:v>46181</c:v>
                </c:pt>
                <c:pt idx="41">
                  <c:v>46188</c:v>
                </c:pt>
                <c:pt idx="42">
                  <c:v>46195</c:v>
                </c:pt>
                <c:pt idx="43">
                  <c:v>46202</c:v>
                </c:pt>
                <c:pt idx="44">
                  <c:v>46209</c:v>
                </c:pt>
                <c:pt idx="45">
                  <c:v>46216</c:v>
                </c:pt>
                <c:pt idx="46">
                  <c:v>46223</c:v>
                </c:pt>
                <c:pt idx="47">
                  <c:v>46230</c:v>
                </c:pt>
                <c:pt idx="48">
                  <c:v>46237</c:v>
                </c:pt>
                <c:pt idx="49">
                  <c:v>46244</c:v>
                </c:pt>
                <c:pt idx="50">
                  <c:v>46251</c:v>
                </c:pt>
                <c:pt idx="51">
                  <c:v>46258</c:v>
                </c:pt>
                <c:pt idx="52">
                  <c:v>46265</c:v>
                </c:pt>
              </c:numCache>
            </c:numRef>
          </c:cat>
          <c:val>
            <c:numRef>
              <c:f>'Cashflow 2026'!$C$2:$BC$2</c:f>
              <c:numCache>
                <c:formatCode>_("R"* #\ ##0.00_);_("R"* \(#\ ##0.00\);_("R"* "-"??_);_(@_)</c:formatCode>
                <c:ptCount val="53"/>
                <c:pt idx="0">
                  <c:v>1556526</c:v>
                </c:pt>
                <c:pt idx="1">
                  <c:v>3580340</c:v>
                </c:pt>
                <c:pt idx="2">
                  <c:v>527515</c:v>
                </c:pt>
                <c:pt idx="3">
                  <c:v>7875482</c:v>
                </c:pt>
                <c:pt idx="4">
                  <c:v>1204726</c:v>
                </c:pt>
                <c:pt idx="5">
                  <c:v>-4374408.7853796342</c:v>
                </c:pt>
                <c:pt idx="6">
                  <c:v>973662.18</c:v>
                </c:pt>
                <c:pt idx="7">
                  <c:v>1960047.58</c:v>
                </c:pt>
                <c:pt idx="8">
                  <c:v>-1441343</c:v>
                </c:pt>
                <c:pt idx="9">
                  <c:v>-6174050</c:v>
                </c:pt>
                <c:pt idx="10">
                  <c:v>130113</c:v>
                </c:pt>
                <c:pt idx="11">
                  <c:v>11600815</c:v>
                </c:pt>
                <c:pt idx="12">
                  <c:v>9456413</c:v>
                </c:pt>
                <c:pt idx="13">
                  <c:v>-1234955</c:v>
                </c:pt>
                <c:pt idx="14">
                  <c:v>3446697</c:v>
                </c:pt>
                <c:pt idx="15">
                  <c:v>735773</c:v>
                </c:pt>
                <c:pt idx="16">
                  <c:v>-5837489</c:v>
                </c:pt>
                <c:pt idx="17">
                  <c:v>-7081812</c:v>
                </c:pt>
                <c:pt idx="18">
                  <c:v>945482</c:v>
                </c:pt>
                <c:pt idx="19">
                  <c:v>-3832882</c:v>
                </c:pt>
                <c:pt idx="20">
                  <c:v>-3859225.23</c:v>
                </c:pt>
                <c:pt idx="21">
                  <c:v>9448423</c:v>
                </c:pt>
                <c:pt idx="22">
                  <c:v>1353049</c:v>
                </c:pt>
                <c:pt idx="23">
                  <c:v>-2072823</c:v>
                </c:pt>
                <c:pt idx="24">
                  <c:v>5702444</c:v>
                </c:pt>
                <c:pt idx="25">
                  <c:v>234353.58158546127</c:v>
                </c:pt>
                <c:pt idx="26">
                  <c:v>26206895.701587453</c:v>
                </c:pt>
                <c:pt idx="27">
                  <c:v>26347165.815402076</c:v>
                </c:pt>
                <c:pt idx="28">
                  <c:v>25127899.736769326</c:v>
                </c:pt>
                <c:pt idx="29">
                  <c:v>23782832.786567569</c:v>
                </c:pt>
                <c:pt idx="30">
                  <c:v>30553777.40567822</c:v>
                </c:pt>
                <c:pt idx="31">
                  <c:v>25143856.574428678</c:v>
                </c:pt>
                <c:pt idx="32">
                  <c:v>22837912.039418854</c:v>
                </c:pt>
                <c:pt idx="33">
                  <c:v>22093283.123075694</c:v>
                </c:pt>
                <c:pt idx="34">
                  <c:v>20492379.244121183</c:v>
                </c:pt>
                <c:pt idx="35">
                  <c:v>-1110960.7155012675</c:v>
                </c:pt>
                <c:pt idx="36">
                  <c:v>-6906738.2544062538</c:v>
                </c:pt>
                <c:pt idx="37">
                  <c:v>-8064105.9262183839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C-402B-9BBC-94406CEA1B12}"/>
            </c:ext>
          </c:extLst>
        </c:ser>
        <c:ser>
          <c:idx val="1"/>
          <c:order val="1"/>
          <c:tx>
            <c:strRef>
              <c:f>'Cashflow 2026'!$B$3</c:f>
              <c:strCache>
                <c:ptCount val="1"/>
                <c:pt idx="0">
                  <c:v> Project inflows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'Cashflow 2026'!$C$1:$BC$1</c:f>
              <c:numCache>
                <c:formatCode>d\-mmm\-yy</c:formatCode>
                <c:ptCount val="53"/>
                <c:pt idx="0">
                  <c:v>45901</c:v>
                </c:pt>
                <c:pt idx="1">
                  <c:v>45908</c:v>
                </c:pt>
                <c:pt idx="2">
                  <c:v>45915</c:v>
                </c:pt>
                <c:pt idx="3">
                  <c:v>45922</c:v>
                </c:pt>
                <c:pt idx="4">
                  <c:v>45929</c:v>
                </c:pt>
                <c:pt idx="5">
                  <c:v>45936</c:v>
                </c:pt>
                <c:pt idx="6">
                  <c:v>45943</c:v>
                </c:pt>
                <c:pt idx="7">
                  <c:v>45950</c:v>
                </c:pt>
                <c:pt idx="8">
                  <c:v>45957</c:v>
                </c:pt>
                <c:pt idx="9">
                  <c:v>45964</c:v>
                </c:pt>
                <c:pt idx="10">
                  <c:v>45971</c:v>
                </c:pt>
                <c:pt idx="11">
                  <c:v>45978</c:v>
                </c:pt>
                <c:pt idx="12">
                  <c:v>45985</c:v>
                </c:pt>
                <c:pt idx="13">
                  <c:v>45992</c:v>
                </c:pt>
                <c:pt idx="14">
                  <c:v>45999</c:v>
                </c:pt>
                <c:pt idx="15">
                  <c:v>46006</c:v>
                </c:pt>
                <c:pt idx="16">
                  <c:v>46013</c:v>
                </c:pt>
                <c:pt idx="17">
                  <c:v>46020</c:v>
                </c:pt>
                <c:pt idx="18">
                  <c:v>46027</c:v>
                </c:pt>
                <c:pt idx="19">
                  <c:v>46034</c:v>
                </c:pt>
                <c:pt idx="20">
                  <c:v>46041</c:v>
                </c:pt>
                <c:pt idx="21">
                  <c:v>46048</c:v>
                </c:pt>
                <c:pt idx="22">
                  <c:v>46055</c:v>
                </c:pt>
                <c:pt idx="23">
                  <c:v>46062</c:v>
                </c:pt>
                <c:pt idx="24">
                  <c:v>46069</c:v>
                </c:pt>
                <c:pt idx="25">
                  <c:v>46076</c:v>
                </c:pt>
                <c:pt idx="26">
                  <c:v>46083</c:v>
                </c:pt>
                <c:pt idx="27">
                  <c:v>46090</c:v>
                </c:pt>
                <c:pt idx="28">
                  <c:v>46097</c:v>
                </c:pt>
                <c:pt idx="29">
                  <c:v>46104</c:v>
                </c:pt>
                <c:pt idx="30">
                  <c:v>46111</c:v>
                </c:pt>
                <c:pt idx="31">
                  <c:v>46118</c:v>
                </c:pt>
                <c:pt idx="32">
                  <c:v>46125</c:v>
                </c:pt>
                <c:pt idx="33">
                  <c:v>46132</c:v>
                </c:pt>
                <c:pt idx="34">
                  <c:v>46139</c:v>
                </c:pt>
                <c:pt idx="35">
                  <c:v>46146</c:v>
                </c:pt>
                <c:pt idx="36">
                  <c:v>46153</c:v>
                </c:pt>
                <c:pt idx="37">
                  <c:v>46160</c:v>
                </c:pt>
                <c:pt idx="38">
                  <c:v>46167</c:v>
                </c:pt>
                <c:pt idx="39">
                  <c:v>46174</c:v>
                </c:pt>
                <c:pt idx="40">
                  <c:v>46181</c:v>
                </c:pt>
                <c:pt idx="41">
                  <c:v>46188</c:v>
                </c:pt>
                <c:pt idx="42">
                  <c:v>46195</c:v>
                </c:pt>
                <c:pt idx="43">
                  <c:v>46202</c:v>
                </c:pt>
                <c:pt idx="44">
                  <c:v>46209</c:v>
                </c:pt>
                <c:pt idx="45">
                  <c:v>46216</c:v>
                </c:pt>
                <c:pt idx="46">
                  <c:v>46223</c:v>
                </c:pt>
                <c:pt idx="47">
                  <c:v>46230</c:v>
                </c:pt>
                <c:pt idx="48">
                  <c:v>46237</c:v>
                </c:pt>
                <c:pt idx="49">
                  <c:v>46244</c:v>
                </c:pt>
                <c:pt idx="50">
                  <c:v>46251</c:v>
                </c:pt>
                <c:pt idx="51">
                  <c:v>46258</c:v>
                </c:pt>
                <c:pt idx="52">
                  <c:v>46265</c:v>
                </c:pt>
              </c:numCache>
            </c:numRef>
          </c:cat>
          <c:val>
            <c:numRef>
              <c:f>'Cashflow 2026'!$C$3:$BC$3</c:f>
              <c:numCache>
                <c:formatCode>_("R"* #\ ##0.00_);_("R"* \(#\ ##0.00\);_("R"* "-"??_);_(@_)</c:formatCode>
                <c:ptCount val="53"/>
                <c:pt idx="0">
                  <c:v>1508831.2925</c:v>
                </c:pt>
                <c:pt idx="1">
                  <c:v>996017.31196017505</c:v>
                </c:pt>
                <c:pt idx="2">
                  <c:v>9608788.4159327913</c:v>
                </c:pt>
                <c:pt idx="3">
                  <c:v>714674.03604477551</c:v>
                </c:pt>
                <c:pt idx="4">
                  <c:v>0</c:v>
                </c:pt>
                <c:pt idx="5">
                  <c:v>3454247.6638685586</c:v>
                </c:pt>
                <c:pt idx="6">
                  <c:v>4548213.3031710703</c:v>
                </c:pt>
                <c:pt idx="7">
                  <c:v>4244204.3650000002</c:v>
                </c:pt>
                <c:pt idx="8">
                  <c:v>256659.63060825705</c:v>
                </c:pt>
                <c:pt idx="9">
                  <c:v>2328044.5251537953</c:v>
                </c:pt>
                <c:pt idx="10">
                  <c:v>14614012.578354398</c:v>
                </c:pt>
                <c:pt idx="11">
                  <c:v>154070.40000000002</c:v>
                </c:pt>
                <c:pt idx="12">
                  <c:v>969440.42125763465</c:v>
                </c:pt>
                <c:pt idx="13">
                  <c:v>3028418.250833333</c:v>
                </c:pt>
                <c:pt idx="14">
                  <c:v>5998643.1587385656</c:v>
                </c:pt>
                <c:pt idx="15">
                  <c:v>4009086.5804205807</c:v>
                </c:pt>
                <c:pt idx="16">
                  <c:v>0</c:v>
                </c:pt>
                <c:pt idx="17">
                  <c:v>7339326.7755633863</c:v>
                </c:pt>
                <c:pt idx="18">
                  <c:v>646738.55607388192</c:v>
                </c:pt>
                <c:pt idx="19">
                  <c:v>3150976.5849149711</c:v>
                </c:pt>
                <c:pt idx="20">
                  <c:v>6255</c:v>
                </c:pt>
                <c:pt idx="21">
                  <c:v>172433.76155814462</c:v>
                </c:pt>
                <c:pt idx="22">
                  <c:v>1117774.2905900902</c:v>
                </c:pt>
                <c:pt idx="23">
                  <c:v>910429.15561740345</c:v>
                </c:pt>
                <c:pt idx="24">
                  <c:v>5960554.8865885772</c:v>
                </c:pt>
                <c:pt idx="25">
                  <c:v>33435812.468674973</c:v>
                </c:pt>
                <c:pt idx="26">
                  <c:v>3213512.696060075</c:v>
                </c:pt>
                <c:pt idx="27">
                  <c:v>156643.12083333335</c:v>
                </c:pt>
                <c:pt idx="28">
                  <c:v>186295.71509834839</c:v>
                </c:pt>
                <c:pt idx="29">
                  <c:v>9382531.7317058817</c:v>
                </c:pt>
                <c:pt idx="30">
                  <c:v>3504874.8428894575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CC-402B-9BBC-94406CEA1B12}"/>
            </c:ext>
          </c:extLst>
        </c:ser>
        <c:ser>
          <c:idx val="2"/>
          <c:order val="2"/>
          <c:tx>
            <c:strRef>
              <c:f>'Cashflow 2026'!$B$5</c:f>
              <c:strCache>
                <c:ptCount val="1"/>
                <c:pt idx="0">
                  <c:v> Project Outflows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'Cashflow 2026'!$C$1:$BC$1</c:f>
              <c:numCache>
                <c:formatCode>d\-mmm\-yy</c:formatCode>
                <c:ptCount val="53"/>
                <c:pt idx="0">
                  <c:v>45901</c:v>
                </c:pt>
                <c:pt idx="1">
                  <c:v>45908</c:v>
                </c:pt>
                <c:pt idx="2">
                  <c:v>45915</c:v>
                </c:pt>
                <c:pt idx="3">
                  <c:v>45922</c:v>
                </c:pt>
                <c:pt idx="4">
                  <c:v>45929</c:v>
                </c:pt>
                <c:pt idx="5">
                  <c:v>45936</c:v>
                </c:pt>
                <c:pt idx="6">
                  <c:v>45943</c:v>
                </c:pt>
                <c:pt idx="7">
                  <c:v>45950</c:v>
                </c:pt>
                <c:pt idx="8">
                  <c:v>45957</c:v>
                </c:pt>
                <c:pt idx="9">
                  <c:v>45964</c:v>
                </c:pt>
                <c:pt idx="10">
                  <c:v>45971</c:v>
                </c:pt>
                <c:pt idx="11">
                  <c:v>45978</c:v>
                </c:pt>
                <c:pt idx="12">
                  <c:v>45985</c:v>
                </c:pt>
                <c:pt idx="13">
                  <c:v>45992</c:v>
                </c:pt>
                <c:pt idx="14">
                  <c:v>45999</c:v>
                </c:pt>
                <c:pt idx="15">
                  <c:v>46006</c:v>
                </c:pt>
                <c:pt idx="16">
                  <c:v>46013</c:v>
                </c:pt>
                <c:pt idx="17">
                  <c:v>46020</c:v>
                </c:pt>
                <c:pt idx="18">
                  <c:v>46027</c:v>
                </c:pt>
                <c:pt idx="19">
                  <c:v>46034</c:v>
                </c:pt>
                <c:pt idx="20">
                  <c:v>46041</c:v>
                </c:pt>
                <c:pt idx="21">
                  <c:v>46048</c:v>
                </c:pt>
                <c:pt idx="22">
                  <c:v>46055</c:v>
                </c:pt>
                <c:pt idx="23">
                  <c:v>46062</c:v>
                </c:pt>
                <c:pt idx="24">
                  <c:v>46069</c:v>
                </c:pt>
                <c:pt idx="25">
                  <c:v>46076</c:v>
                </c:pt>
                <c:pt idx="26">
                  <c:v>46083</c:v>
                </c:pt>
                <c:pt idx="27">
                  <c:v>46090</c:v>
                </c:pt>
                <c:pt idx="28">
                  <c:v>46097</c:v>
                </c:pt>
                <c:pt idx="29">
                  <c:v>46104</c:v>
                </c:pt>
                <c:pt idx="30">
                  <c:v>46111</c:v>
                </c:pt>
                <c:pt idx="31">
                  <c:v>46118</c:v>
                </c:pt>
                <c:pt idx="32">
                  <c:v>46125</c:v>
                </c:pt>
                <c:pt idx="33">
                  <c:v>46132</c:v>
                </c:pt>
                <c:pt idx="34">
                  <c:v>46139</c:v>
                </c:pt>
                <c:pt idx="35">
                  <c:v>46146</c:v>
                </c:pt>
                <c:pt idx="36">
                  <c:v>46153</c:v>
                </c:pt>
                <c:pt idx="37">
                  <c:v>46160</c:v>
                </c:pt>
                <c:pt idx="38">
                  <c:v>46167</c:v>
                </c:pt>
                <c:pt idx="39">
                  <c:v>46174</c:v>
                </c:pt>
                <c:pt idx="40">
                  <c:v>46181</c:v>
                </c:pt>
                <c:pt idx="41">
                  <c:v>46188</c:v>
                </c:pt>
                <c:pt idx="42">
                  <c:v>46195</c:v>
                </c:pt>
                <c:pt idx="43">
                  <c:v>46202</c:v>
                </c:pt>
                <c:pt idx="44">
                  <c:v>46209</c:v>
                </c:pt>
                <c:pt idx="45">
                  <c:v>46216</c:v>
                </c:pt>
                <c:pt idx="46">
                  <c:v>46223</c:v>
                </c:pt>
                <c:pt idx="47">
                  <c:v>46230</c:v>
                </c:pt>
                <c:pt idx="48">
                  <c:v>46237</c:v>
                </c:pt>
                <c:pt idx="49">
                  <c:v>46244</c:v>
                </c:pt>
                <c:pt idx="50">
                  <c:v>46251</c:v>
                </c:pt>
                <c:pt idx="51">
                  <c:v>46258</c:v>
                </c:pt>
                <c:pt idx="52">
                  <c:v>46265</c:v>
                </c:pt>
              </c:numCache>
            </c:numRef>
          </c:cat>
          <c:val>
            <c:numRef>
              <c:f>'Cashflow 2026'!$C$5:$BC$5</c:f>
              <c:numCache>
                <c:formatCode>_("R"* #\ ##0.00_);_("R"* \(#\ ##0.00\);_("R"* "-"??_);_(@_)</c:formatCode>
                <c:ptCount val="53"/>
                <c:pt idx="0">
                  <c:v>7980967.6324999984</c:v>
                </c:pt>
                <c:pt idx="1">
                  <c:v>1145138.0200000003</c:v>
                </c:pt>
                <c:pt idx="2">
                  <c:v>697080.31499999994</c:v>
                </c:pt>
                <c:pt idx="3">
                  <c:v>2962870.1291739126</c:v>
                </c:pt>
                <c:pt idx="4">
                  <c:v>4987336.5290100118</c:v>
                </c:pt>
                <c:pt idx="5">
                  <c:v>1738338.7235000001</c:v>
                </c:pt>
                <c:pt idx="6">
                  <c:v>6512356.4615000002</c:v>
                </c:pt>
                <c:pt idx="7">
                  <c:v>4594576.2075000005</c:v>
                </c:pt>
                <c:pt idx="8">
                  <c:v>2963161.6780000008</c:v>
                </c:pt>
                <c:pt idx="9">
                  <c:v>1676295.9140000001</c:v>
                </c:pt>
                <c:pt idx="10">
                  <c:v>704290.495</c:v>
                </c:pt>
                <c:pt idx="11">
                  <c:v>788530.87950000027</c:v>
                </c:pt>
                <c:pt idx="12">
                  <c:v>8251445.1101343045</c:v>
                </c:pt>
                <c:pt idx="13">
                  <c:v>2062601.5374999999</c:v>
                </c:pt>
                <c:pt idx="14">
                  <c:v>5487967.3789260685</c:v>
                </c:pt>
                <c:pt idx="15">
                  <c:v>8732166.1660807431</c:v>
                </c:pt>
                <c:pt idx="16">
                  <c:v>2147359.6300000004</c:v>
                </c:pt>
                <c:pt idx="17">
                  <c:v>1262366.3999999999</c:v>
                </c:pt>
                <c:pt idx="18">
                  <c:v>2758730.8433260857</c:v>
                </c:pt>
                <c:pt idx="19">
                  <c:v>4149286</c:v>
                </c:pt>
                <c:pt idx="20">
                  <c:v>2503883.1189999999</c:v>
                </c:pt>
                <c:pt idx="21">
                  <c:v>6553946.0907644201</c:v>
                </c:pt>
                <c:pt idx="22">
                  <c:v>3376385.1810000013</c:v>
                </c:pt>
                <c:pt idx="23">
                  <c:v>1842509.5252130411</c:v>
                </c:pt>
                <c:pt idx="24">
                  <c:v>10825348.102267677</c:v>
                </c:pt>
                <c:pt idx="25">
                  <c:v>6859973.1459375387</c:v>
                </c:pt>
                <c:pt idx="26">
                  <c:v>2535465.132166666</c:v>
                </c:pt>
                <c:pt idx="27">
                  <c:v>838131.7493872937</c:v>
                </c:pt>
                <c:pt idx="28">
                  <c:v>993585.21522131527</c:v>
                </c:pt>
                <c:pt idx="29">
                  <c:v>2073809.6625164396</c:v>
                </c:pt>
                <c:pt idx="30">
                  <c:v>8377018.2240602132</c:v>
                </c:pt>
                <c:pt idx="31">
                  <c:v>1622661.0771666665</c:v>
                </c:pt>
                <c:pt idx="32">
                  <c:v>61345.458500000001</c:v>
                </c:pt>
                <c:pt idx="33">
                  <c:v>917620.42111135263</c:v>
                </c:pt>
                <c:pt idx="34">
                  <c:v>20920056.501779292</c:v>
                </c:pt>
                <c:pt idx="35">
                  <c:v>5099118.6216701511</c:v>
                </c:pt>
                <c:pt idx="36">
                  <c:v>460708.75457729457</c:v>
                </c:pt>
                <c:pt idx="37">
                  <c:v>2338751.8040172593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ECC-402B-9BBC-94406CEA1B12}"/>
            </c:ext>
          </c:extLst>
        </c:ser>
        <c:ser>
          <c:idx val="3"/>
          <c:order val="3"/>
          <c:tx>
            <c:strRef>
              <c:f>'Cashflow 2026'!$B$6</c:f>
              <c:strCache>
                <c:ptCount val="1"/>
                <c:pt idx="0">
                  <c:v> Closing Balance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'Cashflow 2026'!$C$6:$BC$6</c:f>
              <c:numCache>
                <c:formatCode>_("R"* #\ ##0.00_);_("R"* \(#\ ##0.00\);_("R"* "-"??_);_(@_)</c:formatCode>
                <c:ptCount val="53"/>
                <c:pt idx="0">
                  <c:v>-5443529.0704676099</c:v>
                </c:pt>
                <c:pt idx="1">
                  <c:v>2903300.5614925623</c:v>
                </c:pt>
                <c:pt idx="2">
                  <c:v>8911304.3704651799</c:v>
                </c:pt>
                <c:pt idx="3">
                  <c:v>5099367.1764032524</c:v>
                </c:pt>
                <c:pt idx="4">
                  <c:v>-4310529.2594776237</c:v>
                </c:pt>
                <c:pt idx="5">
                  <c:v>-3246634.4927945584</c:v>
                </c:pt>
                <c:pt idx="6">
                  <c:v>-1578615.6261124127</c:v>
                </c:pt>
                <c:pt idx="7">
                  <c:v>1021541.0897165174</c:v>
                </c:pt>
                <c:pt idx="8">
                  <c:v>-4735979.6951752268</c:v>
                </c:pt>
                <c:pt idx="9">
                  <c:v>-6112903.6876496188</c:v>
                </c:pt>
                <c:pt idx="10">
                  <c:v>13449232.784550983</c:v>
                </c:pt>
                <c:pt idx="11">
                  <c:v>10375752.221696585</c:v>
                </c:pt>
                <c:pt idx="12">
                  <c:v>1583806.0123199141</c:v>
                </c:pt>
                <c:pt idx="13">
                  <c:v>-752127.99420450348</c:v>
                </c:pt>
                <c:pt idx="14">
                  <c:v>3474383.0722746588</c:v>
                </c:pt>
                <c:pt idx="15">
                  <c:v>-4470296.2931979988</c:v>
                </c:pt>
                <c:pt idx="16">
                  <c:v>-8467838.3375378363</c:v>
                </c:pt>
                <c:pt idx="17">
                  <c:v>-1487841.3319744503</c:v>
                </c:pt>
                <c:pt idx="18">
                  <c:v>-1768552.6184006324</c:v>
                </c:pt>
                <c:pt idx="19">
                  <c:v>-5433233.7462334577</c:v>
                </c:pt>
                <c:pt idx="20">
                  <c:v>-6958895.6801484283</c:v>
                </c:pt>
                <c:pt idx="21">
                  <c:v>2464868.3396452963</c:v>
                </c:pt>
                <c:pt idx="22">
                  <c:v>-1508859.0931453491</c:v>
                </c:pt>
                <c:pt idx="23">
                  <c:v>-3608200.5723310756</c:v>
                </c:pt>
                <c:pt idx="24">
                  <c:v>234353.58158546127</c:v>
                </c:pt>
                <c:pt idx="25">
                  <c:v>26206895.701587453</c:v>
                </c:pt>
                <c:pt idx="26">
                  <c:v>26347165.815402076</c:v>
                </c:pt>
                <c:pt idx="27">
                  <c:v>25127899.736769326</c:v>
                </c:pt>
                <c:pt idx="28">
                  <c:v>23782832.786567569</c:v>
                </c:pt>
                <c:pt idx="29">
                  <c:v>30553777.40567822</c:v>
                </c:pt>
                <c:pt idx="30">
                  <c:v>25143856.574428678</c:v>
                </c:pt>
                <c:pt idx="31">
                  <c:v>22837912.039418854</c:v>
                </c:pt>
                <c:pt idx="32">
                  <c:v>22093283.123075694</c:v>
                </c:pt>
                <c:pt idx="33">
                  <c:v>20492379.244121183</c:v>
                </c:pt>
                <c:pt idx="34">
                  <c:v>-1110960.7155012675</c:v>
                </c:pt>
                <c:pt idx="35">
                  <c:v>-6906738.2544062538</c:v>
                </c:pt>
                <c:pt idx="36">
                  <c:v>-8064105.9262183839</c:v>
                </c:pt>
                <c:pt idx="37">
                  <c:v>-11099516.647470478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CC-402B-9BBC-94406CEA1B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146800"/>
        <c:axId val="1026151120"/>
      </c:lineChart>
      <c:dateAx>
        <c:axId val="1026146800"/>
        <c:scaling>
          <c:orientation val="minMax"/>
          <c:max val="46112"/>
          <c:min val="46054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151120"/>
        <c:crosses val="autoZero"/>
        <c:auto val="1"/>
        <c:lblOffset val="100"/>
        <c:baseTimeUnit val="days"/>
        <c:majorUnit val="5"/>
        <c:majorTimeUnit val="days"/>
      </c:dateAx>
      <c:valAx>
        <c:axId val="102615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14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[0.Program Dashboard FY26.xlsm]Sheet1!PivotTable17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Count of Project Name by Phase </a:t>
            </a:r>
          </a:p>
        </c:rich>
      </c:tx>
      <c:layout>
        <c:manualLayout>
          <c:xMode val="edge"/>
          <c:yMode val="edge"/>
          <c:x val="0.43551689884918232"/>
          <c:y val="3.8913754769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</c:pivotFmt>
      <c:pivotFmt>
        <c:idx val="2"/>
        <c:spPr>
          <a:solidFill>
            <a:srgbClr val="FFFF00"/>
          </a:solidFill>
          <a:ln>
            <a:noFill/>
          </a:ln>
          <a:effectLst/>
        </c:spPr>
      </c:pivotFmt>
      <c:pivotFmt>
        <c:idx val="3"/>
        <c:spPr>
          <a:solidFill>
            <a:srgbClr val="FFC000"/>
          </a:solidFill>
          <a:ln>
            <a:noFill/>
          </a:ln>
          <a:effectLst/>
        </c:spPr>
      </c:pivotFmt>
      <c:pivotFmt>
        <c:idx val="4"/>
        <c:spPr>
          <a:solidFill>
            <a:srgbClr val="00CC00"/>
          </a:solidFill>
          <a:ln>
            <a:noFill/>
          </a:ln>
          <a:effectLst/>
        </c:spPr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rgbClr val="7030A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</c:pivotFmt>
      <c:pivotFmt>
        <c:idx val="10"/>
        <c:spPr>
          <a:solidFill>
            <a:srgbClr val="FFFF00"/>
          </a:solidFill>
          <a:ln>
            <a:noFill/>
          </a:ln>
          <a:effectLst/>
        </c:spPr>
      </c:pivotFmt>
      <c:pivotFmt>
        <c:idx val="11"/>
        <c:spPr>
          <a:solidFill>
            <a:srgbClr val="FFC000"/>
          </a:solidFill>
          <a:ln>
            <a:noFill/>
          </a:ln>
          <a:effectLst/>
        </c:spPr>
      </c:pivotFmt>
      <c:pivotFmt>
        <c:idx val="12"/>
        <c:spPr>
          <a:solidFill>
            <a:srgbClr val="00CC00"/>
          </a:solidFill>
          <a:ln>
            <a:noFill/>
          </a:ln>
          <a:effectLst/>
        </c:spPr>
      </c:pivotFmt>
      <c:pivotFmt>
        <c:idx val="13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7030A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/>
        </c:spPr>
      </c:pivotFmt>
      <c:pivotFmt>
        <c:idx val="18"/>
        <c:spPr>
          <a:solidFill>
            <a:srgbClr val="FFFF00"/>
          </a:solidFill>
          <a:ln>
            <a:noFill/>
          </a:ln>
          <a:effectLst/>
        </c:spPr>
      </c:pivotFmt>
      <c:pivotFmt>
        <c:idx val="19"/>
        <c:spPr>
          <a:solidFill>
            <a:srgbClr val="FFC000"/>
          </a:solidFill>
          <a:ln>
            <a:noFill/>
          </a:ln>
          <a:effectLst/>
        </c:spPr>
      </c:pivotFmt>
      <c:pivotFmt>
        <c:idx val="20"/>
        <c:spPr>
          <a:solidFill>
            <a:srgbClr val="00CC00"/>
          </a:solidFill>
          <a:ln>
            <a:noFill/>
          </a:ln>
          <a:effectLst/>
        </c:spPr>
      </c:pivotFmt>
      <c:pivotFmt>
        <c:idx val="21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rgbClr val="7030A0"/>
          </a:solidFill>
          <a:ln>
            <a:noFill/>
          </a:ln>
          <a:effectLst/>
        </c:spPr>
      </c:pivotFmt>
      <c:pivotFmt>
        <c:idx val="23"/>
        <c:spPr>
          <a:solidFill>
            <a:srgbClr val="FF0000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00B0F0"/>
          </a:solidFill>
          <a:ln>
            <a:noFill/>
          </a:ln>
          <a:effectLst/>
        </c:spPr>
      </c:pivotFmt>
      <c:pivotFmt>
        <c:idx val="26"/>
        <c:spPr>
          <a:solidFill>
            <a:srgbClr val="FFFF00"/>
          </a:solidFill>
          <a:ln>
            <a:noFill/>
          </a:ln>
          <a:effectLst/>
        </c:spPr>
      </c:pivotFmt>
      <c:pivotFmt>
        <c:idx val="27"/>
        <c:spPr>
          <a:solidFill>
            <a:srgbClr val="FFC000"/>
          </a:solidFill>
          <a:ln>
            <a:noFill/>
          </a:ln>
          <a:effectLst/>
        </c:spPr>
      </c:pivotFmt>
      <c:pivotFmt>
        <c:idx val="28"/>
        <c:spPr>
          <a:solidFill>
            <a:srgbClr val="00CC00"/>
          </a:solidFill>
          <a:ln>
            <a:noFill/>
          </a:ln>
          <a:effectLst/>
        </c:spPr>
      </c:pivotFmt>
      <c:pivotFmt>
        <c:idx val="2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0"/>
        <c:spPr>
          <a:solidFill>
            <a:srgbClr val="7030A0"/>
          </a:solidFill>
          <a:ln>
            <a:noFill/>
          </a:ln>
          <a:effectLst/>
        </c:spPr>
      </c:pivotFmt>
      <c:pivotFmt>
        <c:idx val="31"/>
        <c:spPr>
          <a:solidFill>
            <a:srgbClr val="FF0000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0B0F0"/>
          </a:solidFill>
          <a:ln>
            <a:noFill/>
          </a:ln>
          <a:effectLst/>
        </c:spPr>
      </c:pivotFmt>
      <c:pivotFmt>
        <c:idx val="36"/>
        <c:spPr>
          <a:solidFill>
            <a:srgbClr val="FFFF00"/>
          </a:solidFill>
          <a:ln>
            <a:noFill/>
          </a:ln>
          <a:effectLst/>
        </c:spPr>
      </c:pivotFmt>
      <c:pivotFmt>
        <c:idx val="37"/>
        <c:spPr>
          <a:solidFill>
            <a:srgbClr val="FFC000"/>
          </a:solidFill>
          <a:ln>
            <a:noFill/>
          </a:ln>
          <a:effectLst/>
        </c:spPr>
      </c:pivotFmt>
      <c:pivotFmt>
        <c:idx val="38"/>
        <c:spPr>
          <a:solidFill>
            <a:srgbClr val="00CC00"/>
          </a:solidFill>
          <a:ln>
            <a:noFill/>
          </a:ln>
          <a:effectLst/>
        </c:spPr>
      </c:pivotFmt>
      <c:pivotFmt>
        <c:idx val="3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0"/>
        <c:spPr>
          <a:solidFill>
            <a:srgbClr val="FF0000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0B0F0"/>
          </a:solidFill>
          <a:ln>
            <a:noFill/>
          </a:ln>
          <a:effectLst/>
        </c:spPr>
      </c:pivotFmt>
      <c:pivotFmt>
        <c:idx val="43"/>
        <c:spPr>
          <a:solidFill>
            <a:srgbClr val="FFFF00"/>
          </a:solidFill>
          <a:ln>
            <a:noFill/>
          </a:ln>
          <a:effectLst/>
        </c:spPr>
      </c:pivotFmt>
      <c:pivotFmt>
        <c:idx val="44"/>
        <c:spPr>
          <a:solidFill>
            <a:srgbClr val="FFC000"/>
          </a:solidFill>
          <a:ln>
            <a:noFill/>
          </a:ln>
          <a:effectLst/>
        </c:spPr>
      </c:pivotFmt>
      <c:pivotFmt>
        <c:idx val="45"/>
        <c:spPr>
          <a:solidFill>
            <a:srgbClr val="00CC00"/>
          </a:solidFill>
          <a:ln>
            <a:noFill/>
          </a:ln>
          <a:effectLst/>
        </c:spPr>
      </c:pivotFmt>
      <c:pivotFmt>
        <c:idx val="46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rgbClr val="FF0000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Sheet1!$A$4:$A$12</c:f>
              <c:strCache>
                <c:ptCount val="9"/>
                <c:pt idx="0">
                  <c:v>Financial Close</c:v>
                </c:pt>
                <c:pt idx="1">
                  <c:v>Planning</c:v>
                </c:pt>
                <c:pt idx="2">
                  <c:v>Construction</c:v>
                </c:pt>
                <c:pt idx="3">
                  <c:v>QA</c:v>
                </c:pt>
                <c:pt idx="4">
                  <c:v>Handover</c:v>
                </c:pt>
                <c:pt idx="5">
                  <c:v>Compliance Handover</c:v>
                </c:pt>
                <c:pt idx="7">
                  <c:v>Commercial Close Out</c:v>
                </c:pt>
                <c:pt idx="8">
                  <c:v>DLP</c:v>
                </c:pt>
              </c:strCache>
            </c:strRef>
          </c:cat>
          <c:val>
            <c:numRef>
              <c:f>Sheet1!$B$4:$B$12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7</c:v>
                </c:pt>
                <c:pt idx="4">
                  <c:v>10</c:v>
                </c:pt>
                <c:pt idx="5">
                  <c:v>11</c:v>
                </c:pt>
                <c:pt idx="6">
                  <c:v>342</c:v>
                </c:pt>
                <c:pt idx="7">
                  <c:v>7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A2C-450F-8359-0DDE1B37D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44012111"/>
        <c:axId val="644028911"/>
      </c:barChart>
      <c:catAx>
        <c:axId val="6440121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28911"/>
        <c:crosses val="autoZero"/>
        <c:auto val="1"/>
        <c:lblAlgn val="ctr"/>
        <c:lblOffset val="100"/>
        <c:noMultiLvlLbl val="0"/>
      </c:catAx>
      <c:valAx>
        <c:axId val="64402891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1211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Gantt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'Projects Summary 2026'!$J$1</c:f>
              <c:strCache>
                <c:ptCount val="1"/>
                <c:pt idx="0">
                  <c:v>Construction 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errBars>
            <c:errBarType val="plus"/>
            <c:errValType val="cust"/>
            <c:noEndCap val="1"/>
            <c:plus>
              <c:numRef>
                <c:f>'Projects Summary 2026'!$K$2:$K$59</c:f>
                <c:numCache>
                  <c:formatCode>General</c:formatCode>
                  <c:ptCount val="58"/>
                  <c:pt idx="1">
                    <c:v>216</c:v>
                  </c:pt>
                  <c:pt idx="2">
                    <c:v>218</c:v>
                  </c:pt>
                  <c:pt idx="3">
                    <c:v>294</c:v>
                  </c:pt>
                  <c:pt idx="4">
                    <c:v>112</c:v>
                  </c:pt>
                  <c:pt idx="5">
                    <c:v>42</c:v>
                  </c:pt>
                  <c:pt idx="6">
                    <c:v>0</c:v>
                  </c:pt>
                  <c:pt idx="7">
                    <c:v>52</c:v>
                  </c:pt>
                  <c:pt idx="8">
                    <c:v>49</c:v>
                  </c:pt>
                  <c:pt idx="9">
                    <c:v>79</c:v>
                  </c:pt>
                  <c:pt idx="10">
                    <c:v>384</c:v>
                  </c:pt>
                  <c:pt idx="11">
                    <c:v>37</c:v>
                  </c:pt>
                  <c:pt idx="12">
                    <c:v>24</c:v>
                  </c:pt>
                  <c:pt idx="13">
                    <c:v>42</c:v>
                  </c:pt>
                  <c:pt idx="14">
                    <c:v>252</c:v>
                  </c:pt>
                  <c:pt idx="15">
                    <c:v>47</c:v>
                  </c:pt>
                  <c:pt idx="16">
                    <c:v>142</c:v>
                  </c:pt>
                  <c:pt idx="17">
                    <c:v>277</c:v>
                  </c:pt>
                  <c:pt idx="18">
                    <c:v>63</c:v>
                  </c:pt>
                  <c:pt idx="19">
                    <c:v>264</c:v>
                  </c:pt>
                  <c:pt idx="20">
                    <c:v>225</c:v>
                  </c:pt>
                  <c:pt idx="21">
                    <c:v>170</c:v>
                  </c:pt>
                  <c:pt idx="22">
                    <c:v>168</c:v>
                  </c:pt>
                  <c:pt idx="23">
                    <c:v>257</c:v>
                  </c:pt>
                  <c:pt idx="24">
                    <c:v>142</c:v>
                  </c:pt>
                  <c:pt idx="25">
                    <c:v>140</c:v>
                  </c:pt>
                  <c:pt idx="26">
                    <c:v>258</c:v>
                  </c:pt>
                  <c:pt idx="27">
                    <c:v>24</c:v>
                  </c:pt>
                  <c:pt idx="28">
                    <c:v>128</c:v>
                  </c:pt>
                  <c:pt idx="29">
                    <c:v>177</c:v>
                  </c:pt>
                  <c:pt idx="30">
                    <c:v>279</c:v>
                  </c:pt>
                  <c:pt idx="31">
                    <c:v>113</c:v>
                  </c:pt>
                  <c:pt idx="32">
                    <c:v>129</c:v>
                  </c:pt>
                  <c:pt idx="33">
                    <c:v>121</c:v>
                  </c:pt>
                  <c:pt idx="34">
                    <c:v>172</c:v>
                  </c:pt>
                  <c:pt idx="35">
                    <c:v>92</c:v>
                  </c:pt>
                  <c:pt idx="36">
                    <c:v>194</c:v>
                  </c:pt>
                  <c:pt idx="37">
                    <c:v>124</c:v>
                  </c:pt>
                  <c:pt idx="38">
                    <c:v>142</c:v>
                  </c:pt>
                  <c:pt idx="39">
                    <c:v>163</c:v>
                  </c:pt>
                  <c:pt idx="40">
                    <c:v>-45748</c:v>
                  </c:pt>
                  <c:pt idx="41">
                    <c:v>318</c:v>
                  </c:pt>
                  <c:pt idx="42">
                    <c:v>99</c:v>
                  </c:pt>
                  <c:pt idx="43">
                    <c:v>216</c:v>
                  </c:pt>
                  <c:pt idx="44">
                    <c:v>194</c:v>
                  </c:pt>
                  <c:pt idx="45">
                    <c:v>33</c:v>
                  </c:pt>
                  <c:pt idx="46">
                    <c:v>63</c:v>
                  </c:pt>
                  <c:pt idx="47">
                    <c:v>111</c:v>
                  </c:pt>
                  <c:pt idx="48">
                    <c:v>120</c:v>
                  </c:pt>
                  <c:pt idx="49">
                    <c:v>101</c:v>
                  </c:pt>
                  <c:pt idx="50">
                    <c:v>143</c:v>
                  </c:pt>
                  <c:pt idx="51">
                    <c:v>147</c:v>
                  </c:pt>
                  <c:pt idx="52">
                    <c:v>337</c:v>
                  </c:pt>
                  <c:pt idx="53">
                    <c:v>337</c:v>
                  </c:pt>
                  <c:pt idx="54">
                    <c:v>83</c:v>
                  </c:pt>
                  <c:pt idx="55">
                    <c:v>84</c:v>
                  </c:pt>
                  <c:pt idx="56">
                    <c:v>-46079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63500" cap="flat" cmpd="sng" algn="ctr">
                <a:solidFill>
                  <a:schemeClr val="accent6"/>
                </a:solidFill>
                <a:round/>
              </a:ln>
              <a:effectLst/>
            </c:spPr>
          </c:errBars>
          <c:cat>
            <c:strRef>
              <c:f>'Projects Summary 2026'!$A$2:$A$59</c:f>
              <c:strCache>
                <c:ptCount val="57"/>
                <c:pt idx="0">
                  <c:v>China Town Adhoc_Tracker.xlsx</c:v>
                </c:pt>
                <c:pt idx="1">
                  <c:v>Corporate Park_Tracker.xlsx</c:v>
                </c:pt>
                <c:pt idx="2">
                  <c:v>Mayo Macs_Tracker.xlsx</c:v>
                </c:pt>
                <c:pt idx="3">
                  <c:v>MEGA_PARK_P2_Tracker.xlsx</c:v>
                </c:pt>
                <c:pt idx="4">
                  <c:v>Red Rocket_Tracker.xlsx</c:v>
                </c:pt>
                <c:pt idx="5">
                  <c:v>25 Superior Road_Tracker.xlsx</c:v>
                </c:pt>
                <c:pt idx="6">
                  <c:v>Mondi_Tracker_Rev02.xlsm</c:v>
                </c:pt>
                <c:pt idx="7">
                  <c:v>PnP Bethal_Tracker.xlsx</c:v>
                </c:pt>
                <c:pt idx="8">
                  <c:v>Swellengrebel_Tracker.xlsx</c:v>
                </c:pt>
                <c:pt idx="9">
                  <c:v>De Drift_Tracker.xlsx</c:v>
                </c:pt>
                <c:pt idx="10">
                  <c:v>Meraki Ph3_Tracker.xlsx</c:v>
                </c:pt>
                <c:pt idx="11">
                  <c:v>Steelpark_Tracker.xlsx</c:v>
                </c:pt>
                <c:pt idx="12">
                  <c:v>Westway BESS_Tracker.xlsx</c:v>
                </c:pt>
                <c:pt idx="13">
                  <c:v>7th Avenue Park_Tracker.xlsx</c:v>
                </c:pt>
                <c:pt idx="14">
                  <c:v>Pimville_Tracker.xlsx</c:v>
                </c:pt>
                <c:pt idx="15">
                  <c:v>Riverside Mall_Tracker.xlsx</c:v>
                </c:pt>
                <c:pt idx="16">
                  <c:v>Seshego Circle_Tracker.xlsx</c:v>
                </c:pt>
                <c:pt idx="17">
                  <c:v>Sibasa_Tracker.xlsx</c:v>
                </c:pt>
                <c:pt idx="18">
                  <c:v>Topsteel_Tracker.xlsx</c:v>
                </c:pt>
                <c:pt idx="19">
                  <c:v>Tsakana Corner_Tracker.xlsx</c:v>
                </c:pt>
                <c:pt idx="20">
                  <c:v>Upper_East_Side_Hotel_Tracker.xlsx</c:v>
                </c:pt>
                <c:pt idx="21">
                  <c:v>BMG Fluid Tech_Tracker.xlsx</c:v>
                </c:pt>
                <c:pt idx="22">
                  <c:v>Coega Steels Ph2_Tracker.xlsx</c:v>
                </c:pt>
                <c:pt idx="23">
                  <c:v>Dobsonpoint_Tracker.xlsx</c:v>
                </c:pt>
                <c:pt idx="24">
                  <c:v>Gezina Galleries_Tracker.xlsx</c:v>
                </c:pt>
                <c:pt idx="25">
                  <c:v>Pretoria North_Tracker.xlsx</c:v>
                </c:pt>
                <c:pt idx="26">
                  <c:v>Randfontein_Tracker.xlsx</c:v>
                </c:pt>
                <c:pt idx="27">
                  <c:v>Superspar Ph2_Tracker.xlsx</c:v>
                </c:pt>
                <c:pt idx="28">
                  <c:v>1 Bolt Ave_Tracker.xlsx</c:v>
                </c:pt>
                <c:pt idx="29">
                  <c:v>Boundary Terraces_Tracker.xlsx</c:v>
                </c:pt>
                <c:pt idx="30">
                  <c:v>Gillwell_Tracker.xlsx</c:v>
                </c:pt>
                <c:pt idx="31">
                  <c:v>Mahikeng Builders Express_Tracker.xlsx</c:v>
                </c:pt>
                <c:pt idx="32">
                  <c:v>Malvern Ph2_Tracker.xlsx</c:v>
                </c:pt>
                <c:pt idx="33">
                  <c:v>Marikana Old Church_Tracker.xlsx</c:v>
                </c:pt>
                <c:pt idx="34">
                  <c:v>Marikana Shoprite_Tracker.xlsx</c:v>
                </c:pt>
                <c:pt idx="35">
                  <c:v>Milkwood_Square_Tracker.xlsx</c:v>
                </c:pt>
                <c:pt idx="36">
                  <c:v>Umzimkhulu_Tracker.xlsx</c:v>
                </c:pt>
                <c:pt idx="37">
                  <c:v>Waterside_Tracker.xlsx</c:v>
                </c:pt>
                <c:pt idx="38">
                  <c:v>Blackheath Park_Tracker.xlsx</c:v>
                </c:pt>
                <c:pt idx="39">
                  <c:v>Cascades_Tracker.xlsx</c:v>
                </c:pt>
                <c:pt idx="40">
                  <c:v>Cassia_Tracker.xlsx</c:v>
                </c:pt>
                <c:pt idx="41">
                  <c:v>SA Metal_14 Christiaan_A_Tracker.xlsx</c:v>
                </c:pt>
                <c:pt idx="42">
                  <c:v>STD GQ_Tracker.xlsx</c:v>
                </c:pt>
                <c:pt idx="43">
                  <c:v>Trident Steel GP_Tracker.xlsx</c:v>
                </c:pt>
                <c:pt idx="44">
                  <c:v>Trident Steel PE_Tracker.xlsx</c:v>
                </c:pt>
                <c:pt idx="45">
                  <c:v>Hungry Lion_Citrusdal_Tracker.xlsx</c:v>
                </c:pt>
                <c:pt idx="46">
                  <c:v>IconsSA_KZN_Tracker.xlsx</c:v>
                </c:pt>
                <c:pt idx="47">
                  <c:v>Kroonstad_Tracker.xlsx</c:v>
                </c:pt>
                <c:pt idx="48">
                  <c:v>Lynnridge Mall_Tracker_1.xlsx</c:v>
                </c:pt>
                <c:pt idx="49">
                  <c:v>Northpoint_Tracker.xlsx</c:v>
                </c:pt>
                <c:pt idx="50">
                  <c:v>Ridgeview Mall_Tracker.xlsx</c:v>
                </c:pt>
                <c:pt idx="51">
                  <c:v>SA Metal_14 Christiaan_B_Tracker.xlsx</c:v>
                </c:pt>
                <c:pt idx="52">
                  <c:v>SA Metal_20 Christiaan_Tracker.xlsx</c:v>
                </c:pt>
                <c:pt idx="53">
                  <c:v>SA Metal_22 Christiaan_Tracker.xlsx</c:v>
                </c:pt>
                <c:pt idx="54">
                  <c:v>Shoprite Mini_Bredarsdorp_Tracker.xlsx</c:v>
                </c:pt>
                <c:pt idx="55">
                  <c:v>Shoprite Mini_Citrusdal_Tracker.xlsx</c:v>
                </c:pt>
                <c:pt idx="56">
                  <c:v>FY 2026 Adhoc_Tracker.xlsx</c:v>
                </c:pt>
              </c:strCache>
            </c:strRef>
          </c:cat>
          <c:val>
            <c:numRef>
              <c:f>'Projects Summary 2026'!$J$2:$J$59</c:f>
              <c:numCache>
                <c:formatCode>m/d/yyyy</c:formatCode>
                <c:ptCount val="58"/>
                <c:pt idx="0">
                  <c:v>45825</c:v>
                </c:pt>
                <c:pt idx="1">
                  <c:v>45832</c:v>
                </c:pt>
                <c:pt idx="2">
                  <c:v>45693</c:v>
                </c:pt>
                <c:pt idx="3">
                  <c:v>45099</c:v>
                </c:pt>
                <c:pt idx="4">
                  <c:v>45884</c:v>
                </c:pt>
                <c:pt idx="5">
                  <c:v>46135</c:v>
                </c:pt>
                <c:pt idx="6">
                  <c:v>0</c:v>
                </c:pt>
                <c:pt idx="7">
                  <c:v>46104</c:v>
                </c:pt>
                <c:pt idx="8">
                  <c:v>46106</c:v>
                </c:pt>
                <c:pt idx="9">
                  <c:v>46119</c:v>
                </c:pt>
                <c:pt idx="10">
                  <c:v>45706</c:v>
                </c:pt>
                <c:pt idx="11">
                  <c:v>46077</c:v>
                </c:pt>
                <c:pt idx="12">
                  <c:v>46077</c:v>
                </c:pt>
                <c:pt idx="13">
                  <c:v>46063</c:v>
                </c:pt>
                <c:pt idx="14">
                  <c:v>45819</c:v>
                </c:pt>
                <c:pt idx="15">
                  <c:v>46057</c:v>
                </c:pt>
                <c:pt idx="16">
                  <c:v>45944</c:v>
                </c:pt>
                <c:pt idx="17">
                  <c:v>45799</c:v>
                </c:pt>
                <c:pt idx="18">
                  <c:v>46050</c:v>
                </c:pt>
                <c:pt idx="19">
                  <c:v>45819</c:v>
                </c:pt>
                <c:pt idx="20">
                  <c:v>45868</c:v>
                </c:pt>
                <c:pt idx="21">
                  <c:v>45900</c:v>
                </c:pt>
                <c:pt idx="22">
                  <c:v>45910</c:v>
                </c:pt>
                <c:pt idx="23">
                  <c:v>45819</c:v>
                </c:pt>
                <c:pt idx="24">
                  <c:v>45930</c:v>
                </c:pt>
                <c:pt idx="25">
                  <c:v>45930</c:v>
                </c:pt>
                <c:pt idx="26">
                  <c:v>45819</c:v>
                </c:pt>
                <c:pt idx="27">
                  <c:v>46049</c:v>
                </c:pt>
                <c:pt idx="28">
                  <c:v>45945</c:v>
                </c:pt>
                <c:pt idx="29">
                  <c:v>45895</c:v>
                </c:pt>
                <c:pt idx="30">
                  <c:v>45800</c:v>
                </c:pt>
                <c:pt idx="31">
                  <c:v>45960</c:v>
                </c:pt>
                <c:pt idx="32">
                  <c:v>45958</c:v>
                </c:pt>
                <c:pt idx="33">
                  <c:v>45871</c:v>
                </c:pt>
                <c:pt idx="34">
                  <c:v>45820</c:v>
                </c:pt>
                <c:pt idx="35">
                  <c:v>45903</c:v>
                </c:pt>
                <c:pt idx="36">
                  <c:v>45798</c:v>
                </c:pt>
                <c:pt idx="37">
                  <c:v>45948</c:v>
                </c:pt>
                <c:pt idx="38">
                  <c:v>45913</c:v>
                </c:pt>
                <c:pt idx="39">
                  <c:v>45504</c:v>
                </c:pt>
                <c:pt idx="40">
                  <c:v>45748</c:v>
                </c:pt>
                <c:pt idx="41">
                  <c:v>45580</c:v>
                </c:pt>
                <c:pt idx="42">
                  <c:v>45951</c:v>
                </c:pt>
                <c:pt idx="43">
                  <c:v>45699</c:v>
                </c:pt>
                <c:pt idx="44">
                  <c:v>45693</c:v>
                </c:pt>
                <c:pt idx="45">
                  <c:v>45968</c:v>
                </c:pt>
                <c:pt idx="46">
                  <c:v>45911</c:v>
                </c:pt>
                <c:pt idx="47">
                  <c:v>45811</c:v>
                </c:pt>
                <c:pt idx="48">
                  <c:v>45827</c:v>
                </c:pt>
                <c:pt idx="49">
                  <c:v>45853</c:v>
                </c:pt>
                <c:pt idx="50">
                  <c:v>45727</c:v>
                </c:pt>
                <c:pt idx="51">
                  <c:v>45561</c:v>
                </c:pt>
                <c:pt idx="52">
                  <c:v>45561</c:v>
                </c:pt>
                <c:pt idx="53">
                  <c:v>45561</c:v>
                </c:pt>
                <c:pt idx="54">
                  <c:v>45968</c:v>
                </c:pt>
                <c:pt idx="55">
                  <c:v>45968</c:v>
                </c:pt>
                <c:pt idx="56">
                  <c:v>46079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C-47DA-A75B-CDA214216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6047248"/>
        <c:axId val="296047728"/>
      </c:barChart>
      <c:catAx>
        <c:axId val="2960472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47728"/>
        <c:crosses val="autoZero"/>
        <c:auto val="1"/>
        <c:lblAlgn val="ctr"/>
        <c:lblOffset val="100"/>
        <c:noMultiLvlLbl val="0"/>
      </c:catAx>
      <c:valAx>
        <c:axId val="296047728"/>
        <c:scaling>
          <c:orientation val="minMax"/>
          <c:min val="46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047248"/>
        <c:crosses val="autoZero"/>
        <c:crossBetween val="between"/>
        <c:majorUnit val="14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Construction</a:t>
            </a:r>
            <a:r>
              <a:rPr lang="en-ZA" baseline="0"/>
              <a:t> &amp; QA  - Actual vs Forecasted Completion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'Projects Summary 2026'!$P$1</c:f>
              <c:strCache>
                <c:ptCount val="1"/>
                <c:pt idx="0">
                  <c:v>Project % Complete</c:v>
                </c:pt>
              </c:strCache>
            </c:strRef>
          </c:tx>
          <c:spPr>
            <a:solidFill>
              <a:schemeClr val="accent6"/>
            </a:solidFill>
            <a:ln w="0">
              <a:solidFill>
                <a:schemeClr val="accent1"/>
              </a:solidFill>
            </a:ln>
            <a:effectLst/>
          </c:spPr>
          <c:invertIfNegative val="0"/>
          <c:cat>
            <c:strRef>
              <c:f>'Projects Summary 2026'!$A$2:$A$59</c:f>
              <c:strCache>
                <c:ptCount val="57"/>
                <c:pt idx="0">
                  <c:v>China Town Adhoc_Tracker.xlsx</c:v>
                </c:pt>
                <c:pt idx="1">
                  <c:v>Corporate Park_Tracker.xlsx</c:v>
                </c:pt>
                <c:pt idx="2">
                  <c:v>Mayo Macs_Tracker.xlsx</c:v>
                </c:pt>
                <c:pt idx="3">
                  <c:v>MEGA_PARK_P2_Tracker.xlsx</c:v>
                </c:pt>
                <c:pt idx="4">
                  <c:v>Red Rocket_Tracker.xlsx</c:v>
                </c:pt>
                <c:pt idx="5">
                  <c:v>25 Superior Road_Tracker.xlsx</c:v>
                </c:pt>
                <c:pt idx="6">
                  <c:v>Mondi_Tracker_Rev02.xlsm</c:v>
                </c:pt>
                <c:pt idx="7">
                  <c:v>PnP Bethal_Tracker.xlsx</c:v>
                </c:pt>
                <c:pt idx="8">
                  <c:v>Swellengrebel_Tracker.xlsx</c:v>
                </c:pt>
                <c:pt idx="9">
                  <c:v>De Drift_Tracker.xlsx</c:v>
                </c:pt>
                <c:pt idx="10">
                  <c:v>Meraki Ph3_Tracker.xlsx</c:v>
                </c:pt>
                <c:pt idx="11">
                  <c:v>Steelpark_Tracker.xlsx</c:v>
                </c:pt>
                <c:pt idx="12">
                  <c:v>Westway BESS_Tracker.xlsx</c:v>
                </c:pt>
                <c:pt idx="13">
                  <c:v>7th Avenue Park_Tracker.xlsx</c:v>
                </c:pt>
                <c:pt idx="14">
                  <c:v>Pimville_Tracker.xlsx</c:v>
                </c:pt>
                <c:pt idx="15">
                  <c:v>Riverside Mall_Tracker.xlsx</c:v>
                </c:pt>
                <c:pt idx="16">
                  <c:v>Seshego Circle_Tracker.xlsx</c:v>
                </c:pt>
                <c:pt idx="17">
                  <c:v>Sibasa_Tracker.xlsx</c:v>
                </c:pt>
                <c:pt idx="18">
                  <c:v>Topsteel_Tracker.xlsx</c:v>
                </c:pt>
                <c:pt idx="19">
                  <c:v>Tsakana Corner_Tracker.xlsx</c:v>
                </c:pt>
                <c:pt idx="20">
                  <c:v>Upper_East_Side_Hotel_Tracker.xlsx</c:v>
                </c:pt>
                <c:pt idx="21">
                  <c:v>BMG Fluid Tech_Tracker.xlsx</c:v>
                </c:pt>
                <c:pt idx="22">
                  <c:v>Coega Steels Ph2_Tracker.xlsx</c:v>
                </c:pt>
                <c:pt idx="23">
                  <c:v>Dobsonpoint_Tracker.xlsx</c:v>
                </c:pt>
                <c:pt idx="24">
                  <c:v>Gezina Galleries_Tracker.xlsx</c:v>
                </c:pt>
                <c:pt idx="25">
                  <c:v>Pretoria North_Tracker.xlsx</c:v>
                </c:pt>
                <c:pt idx="26">
                  <c:v>Randfontein_Tracker.xlsx</c:v>
                </c:pt>
                <c:pt idx="27">
                  <c:v>Superspar Ph2_Tracker.xlsx</c:v>
                </c:pt>
                <c:pt idx="28">
                  <c:v>1 Bolt Ave_Tracker.xlsx</c:v>
                </c:pt>
                <c:pt idx="29">
                  <c:v>Boundary Terraces_Tracker.xlsx</c:v>
                </c:pt>
                <c:pt idx="30">
                  <c:v>Gillwell_Tracker.xlsx</c:v>
                </c:pt>
                <c:pt idx="31">
                  <c:v>Mahikeng Builders Express_Tracker.xlsx</c:v>
                </c:pt>
                <c:pt idx="32">
                  <c:v>Malvern Ph2_Tracker.xlsx</c:v>
                </c:pt>
                <c:pt idx="33">
                  <c:v>Marikana Old Church_Tracker.xlsx</c:v>
                </c:pt>
                <c:pt idx="34">
                  <c:v>Marikana Shoprite_Tracker.xlsx</c:v>
                </c:pt>
                <c:pt idx="35">
                  <c:v>Milkwood_Square_Tracker.xlsx</c:v>
                </c:pt>
                <c:pt idx="36">
                  <c:v>Umzimkhulu_Tracker.xlsx</c:v>
                </c:pt>
                <c:pt idx="37">
                  <c:v>Waterside_Tracker.xlsx</c:v>
                </c:pt>
                <c:pt idx="38">
                  <c:v>Blackheath Park_Tracker.xlsx</c:v>
                </c:pt>
                <c:pt idx="39">
                  <c:v>Cascades_Tracker.xlsx</c:v>
                </c:pt>
                <c:pt idx="40">
                  <c:v>Cassia_Tracker.xlsx</c:v>
                </c:pt>
                <c:pt idx="41">
                  <c:v>SA Metal_14 Christiaan_A_Tracker.xlsx</c:v>
                </c:pt>
                <c:pt idx="42">
                  <c:v>STD GQ_Tracker.xlsx</c:v>
                </c:pt>
                <c:pt idx="43">
                  <c:v>Trident Steel GP_Tracker.xlsx</c:v>
                </c:pt>
                <c:pt idx="44">
                  <c:v>Trident Steel PE_Tracker.xlsx</c:v>
                </c:pt>
                <c:pt idx="45">
                  <c:v>Hungry Lion_Citrusdal_Tracker.xlsx</c:v>
                </c:pt>
                <c:pt idx="46">
                  <c:v>IconsSA_KZN_Tracker.xlsx</c:v>
                </c:pt>
                <c:pt idx="47">
                  <c:v>Kroonstad_Tracker.xlsx</c:v>
                </c:pt>
                <c:pt idx="48">
                  <c:v>Lynnridge Mall_Tracker_1.xlsx</c:v>
                </c:pt>
                <c:pt idx="49">
                  <c:v>Northpoint_Tracker.xlsx</c:v>
                </c:pt>
                <c:pt idx="50">
                  <c:v>Ridgeview Mall_Tracker.xlsx</c:v>
                </c:pt>
                <c:pt idx="51">
                  <c:v>SA Metal_14 Christiaan_B_Tracker.xlsx</c:v>
                </c:pt>
                <c:pt idx="52">
                  <c:v>SA Metal_20 Christiaan_Tracker.xlsx</c:v>
                </c:pt>
                <c:pt idx="53">
                  <c:v>SA Metal_22 Christiaan_Tracker.xlsx</c:v>
                </c:pt>
                <c:pt idx="54">
                  <c:v>Shoprite Mini_Bredarsdorp_Tracker.xlsx</c:v>
                </c:pt>
                <c:pt idx="55">
                  <c:v>Shoprite Mini_Citrusdal_Tracker.xlsx</c:v>
                </c:pt>
                <c:pt idx="56">
                  <c:v>FY 2026 Adhoc_Tracker.xlsx</c:v>
                </c:pt>
              </c:strCache>
            </c:strRef>
          </c:cat>
          <c:val>
            <c:numRef>
              <c:f>'Projects Summary 2026'!$P$2:$P$59</c:f>
              <c:numCache>
                <c:formatCode>0%</c:formatCode>
                <c:ptCount val="58"/>
                <c:pt idx="0">
                  <c:v>0.92307692307692313</c:v>
                </c:pt>
                <c:pt idx="1">
                  <c:v>0.94166666666666654</c:v>
                </c:pt>
                <c:pt idx="2">
                  <c:v>1</c:v>
                </c:pt>
                <c:pt idx="3">
                  <c:v>1</c:v>
                </c:pt>
                <c:pt idx="4">
                  <c:v>0.97592690677966099</c:v>
                </c:pt>
                <c:pt idx="5">
                  <c:v>3.0776515151515152E-2</c:v>
                </c:pt>
                <c:pt idx="6">
                  <c:v>46173.5625</c:v>
                </c:pt>
                <c:pt idx="7">
                  <c:v>2.8508771929824563E-2</c:v>
                </c:pt>
                <c:pt idx="8">
                  <c:v>2.9871323529411766E-2</c:v>
                </c:pt>
                <c:pt idx="9">
                  <c:v>4.1125541125541128E-2</c:v>
                </c:pt>
                <c:pt idx="10">
                  <c:v>0.9</c:v>
                </c:pt>
                <c:pt idx="11">
                  <c:v>0.11941666666666664</c:v>
                </c:pt>
                <c:pt idx="12">
                  <c:v>8.6206896551724144E-2</c:v>
                </c:pt>
                <c:pt idx="13">
                  <c:v>0.41457011980267794</c:v>
                </c:pt>
                <c:pt idx="14">
                  <c:v>0.64363909363909377</c:v>
                </c:pt>
                <c:pt idx="15">
                  <c:v>0.46472153972153968</c:v>
                </c:pt>
                <c:pt idx="16">
                  <c:v>0</c:v>
                </c:pt>
                <c:pt idx="17">
                  <c:v>0.68520408163265312</c:v>
                </c:pt>
                <c:pt idx="19">
                  <c:v>0.68601069485924848</c:v>
                </c:pt>
                <c:pt idx="20">
                  <c:v>0.63655547991831174</c:v>
                </c:pt>
                <c:pt idx="21">
                  <c:v>0.88334510869565219</c:v>
                </c:pt>
                <c:pt idx="22">
                  <c:v>0.92310231023102307</c:v>
                </c:pt>
                <c:pt idx="23">
                  <c:v>0.85059523809523818</c:v>
                </c:pt>
                <c:pt idx="24">
                  <c:v>0.87252415458937194</c:v>
                </c:pt>
                <c:pt idx="25">
                  <c:v>0.90620714285714277</c:v>
                </c:pt>
                <c:pt idx="26">
                  <c:v>0.71260504201680674</c:v>
                </c:pt>
                <c:pt idx="27">
                  <c:v>0.7582683982683982</c:v>
                </c:pt>
                <c:pt idx="28">
                  <c:v>0.931758910460736</c:v>
                </c:pt>
                <c:pt idx="29">
                  <c:v>0.94344608879492609</c:v>
                </c:pt>
                <c:pt idx="30">
                  <c:v>0.97142857142857142</c:v>
                </c:pt>
                <c:pt idx="31">
                  <c:v>0.88150516150516156</c:v>
                </c:pt>
                <c:pt idx="32">
                  <c:v>0.92815716978396401</c:v>
                </c:pt>
                <c:pt idx="33">
                  <c:v>0.97142857142857142</c:v>
                </c:pt>
                <c:pt idx="34">
                  <c:v>0.97142857142857142</c:v>
                </c:pt>
                <c:pt idx="35">
                  <c:v>0.96666666666666656</c:v>
                </c:pt>
                <c:pt idx="36">
                  <c:v>0.93877551020408179</c:v>
                </c:pt>
                <c:pt idx="37">
                  <c:v>0.93001200480192081</c:v>
                </c:pt>
                <c:pt idx="38">
                  <c:v>0.93461791831357055</c:v>
                </c:pt>
                <c:pt idx="39">
                  <c:v>0.9951171875</c:v>
                </c:pt>
                <c:pt idx="40">
                  <c:v>1</c:v>
                </c:pt>
                <c:pt idx="41">
                  <c:v>1</c:v>
                </c:pt>
                <c:pt idx="42">
                  <c:v>0.98396501457725949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0.97142857142857142</c:v>
                </c:pt>
                <c:pt idx="47">
                  <c:v>0.97142857142857142</c:v>
                </c:pt>
                <c:pt idx="48">
                  <c:v>0.97222222222222221</c:v>
                </c:pt>
                <c:pt idx="49">
                  <c:v>0.97142857142857142</c:v>
                </c:pt>
                <c:pt idx="50">
                  <c:v>0.97142857142857142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0.99789915966386555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17-4D9F-A5DA-B7FFA359E8B9}"/>
            </c:ext>
          </c:extLst>
        </c:ser>
        <c:ser>
          <c:idx val="1"/>
          <c:order val="1"/>
          <c:tx>
            <c:strRef>
              <c:f>'Projects Summary 2026'!$Q$1</c:f>
              <c:strCache>
                <c:ptCount val="1"/>
                <c:pt idx="0">
                  <c:v>Expected % Completed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'Projects Summary 2026'!$A$2:$A$59</c:f>
              <c:strCache>
                <c:ptCount val="57"/>
                <c:pt idx="0">
                  <c:v>China Town Adhoc_Tracker.xlsx</c:v>
                </c:pt>
                <c:pt idx="1">
                  <c:v>Corporate Park_Tracker.xlsx</c:v>
                </c:pt>
                <c:pt idx="2">
                  <c:v>Mayo Macs_Tracker.xlsx</c:v>
                </c:pt>
                <c:pt idx="3">
                  <c:v>MEGA_PARK_P2_Tracker.xlsx</c:v>
                </c:pt>
                <c:pt idx="4">
                  <c:v>Red Rocket_Tracker.xlsx</c:v>
                </c:pt>
                <c:pt idx="5">
                  <c:v>25 Superior Road_Tracker.xlsx</c:v>
                </c:pt>
                <c:pt idx="6">
                  <c:v>Mondi_Tracker_Rev02.xlsm</c:v>
                </c:pt>
                <c:pt idx="7">
                  <c:v>PnP Bethal_Tracker.xlsx</c:v>
                </c:pt>
                <c:pt idx="8">
                  <c:v>Swellengrebel_Tracker.xlsx</c:v>
                </c:pt>
                <c:pt idx="9">
                  <c:v>De Drift_Tracker.xlsx</c:v>
                </c:pt>
                <c:pt idx="10">
                  <c:v>Meraki Ph3_Tracker.xlsx</c:v>
                </c:pt>
                <c:pt idx="11">
                  <c:v>Steelpark_Tracker.xlsx</c:v>
                </c:pt>
                <c:pt idx="12">
                  <c:v>Westway BESS_Tracker.xlsx</c:v>
                </c:pt>
                <c:pt idx="13">
                  <c:v>7th Avenue Park_Tracker.xlsx</c:v>
                </c:pt>
                <c:pt idx="14">
                  <c:v>Pimville_Tracker.xlsx</c:v>
                </c:pt>
                <c:pt idx="15">
                  <c:v>Riverside Mall_Tracker.xlsx</c:v>
                </c:pt>
                <c:pt idx="16">
                  <c:v>Seshego Circle_Tracker.xlsx</c:v>
                </c:pt>
                <c:pt idx="17">
                  <c:v>Sibasa_Tracker.xlsx</c:v>
                </c:pt>
                <c:pt idx="18">
                  <c:v>Topsteel_Tracker.xlsx</c:v>
                </c:pt>
                <c:pt idx="19">
                  <c:v>Tsakana Corner_Tracker.xlsx</c:v>
                </c:pt>
                <c:pt idx="20">
                  <c:v>Upper_East_Side_Hotel_Tracker.xlsx</c:v>
                </c:pt>
                <c:pt idx="21">
                  <c:v>BMG Fluid Tech_Tracker.xlsx</c:v>
                </c:pt>
                <c:pt idx="22">
                  <c:v>Coega Steels Ph2_Tracker.xlsx</c:v>
                </c:pt>
                <c:pt idx="23">
                  <c:v>Dobsonpoint_Tracker.xlsx</c:v>
                </c:pt>
                <c:pt idx="24">
                  <c:v>Gezina Galleries_Tracker.xlsx</c:v>
                </c:pt>
                <c:pt idx="25">
                  <c:v>Pretoria North_Tracker.xlsx</c:v>
                </c:pt>
                <c:pt idx="26">
                  <c:v>Randfontein_Tracker.xlsx</c:v>
                </c:pt>
                <c:pt idx="27">
                  <c:v>Superspar Ph2_Tracker.xlsx</c:v>
                </c:pt>
                <c:pt idx="28">
                  <c:v>1 Bolt Ave_Tracker.xlsx</c:v>
                </c:pt>
                <c:pt idx="29">
                  <c:v>Boundary Terraces_Tracker.xlsx</c:v>
                </c:pt>
                <c:pt idx="30">
                  <c:v>Gillwell_Tracker.xlsx</c:v>
                </c:pt>
                <c:pt idx="31">
                  <c:v>Mahikeng Builders Express_Tracker.xlsx</c:v>
                </c:pt>
                <c:pt idx="32">
                  <c:v>Malvern Ph2_Tracker.xlsx</c:v>
                </c:pt>
                <c:pt idx="33">
                  <c:v>Marikana Old Church_Tracker.xlsx</c:v>
                </c:pt>
                <c:pt idx="34">
                  <c:v>Marikana Shoprite_Tracker.xlsx</c:v>
                </c:pt>
                <c:pt idx="35">
                  <c:v>Milkwood_Square_Tracker.xlsx</c:v>
                </c:pt>
                <c:pt idx="36">
                  <c:v>Umzimkhulu_Tracker.xlsx</c:v>
                </c:pt>
                <c:pt idx="37">
                  <c:v>Waterside_Tracker.xlsx</c:v>
                </c:pt>
                <c:pt idx="38">
                  <c:v>Blackheath Park_Tracker.xlsx</c:v>
                </c:pt>
                <c:pt idx="39">
                  <c:v>Cascades_Tracker.xlsx</c:v>
                </c:pt>
                <c:pt idx="40">
                  <c:v>Cassia_Tracker.xlsx</c:v>
                </c:pt>
                <c:pt idx="41">
                  <c:v>SA Metal_14 Christiaan_A_Tracker.xlsx</c:v>
                </c:pt>
                <c:pt idx="42">
                  <c:v>STD GQ_Tracker.xlsx</c:v>
                </c:pt>
                <c:pt idx="43">
                  <c:v>Trident Steel GP_Tracker.xlsx</c:v>
                </c:pt>
                <c:pt idx="44">
                  <c:v>Trident Steel PE_Tracker.xlsx</c:v>
                </c:pt>
                <c:pt idx="45">
                  <c:v>Hungry Lion_Citrusdal_Tracker.xlsx</c:v>
                </c:pt>
                <c:pt idx="46">
                  <c:v>IconsSA_KZN_Tracker.xlsx</c:v>
                </c:pt>
                <c:pt idx="47">
                  <c:v>Kroonstad_Tracker.xlsx</c:v>
                </c:pt>
                <c:pt idx="48">
                  <c:v>Lynnridge Mall_Tracker_1.xlsx</c:v>
                </c:pt>
                <c:pt idx="49">
                  <c:v>Northpoint_Tracker.xlsx</c:v>
                </c:pt>
                <c:pt idx="50">
                  <c:v>Ridgeview Mall_Tracker.xlsx</c:v>
                </c:pt>
                <c:pt idx="51">
                  <c:v>SA Metal_14 Christiaan_B_Tracker.xlsx</c:v>
                </c:pt>
                <c:pt idx="52">
                  <c:v>SA Metal_20 Christiaan_Tracker.xlsx</c:v>
                </c:pt>
                <c:pt idx="53">
                  <c:v>SA Metal_22 Christiaan_Tracker.xlsx</c:v>
                </c:pt>
                <c:pt idx="54">
                  <c:v>Shoprite Mini_Bredarsdorp_Tracker.xlsx</c:v>
                </c:pt>
                <c:pt idx="55">
                  <c:v>Shoprite Mini_Citrusdal_Tracker.xlsx</c:v>
                </c:pt>
                <c:pt idx="56">
                  <c:v>FY 2026 Adhoc_Tracker.xlsx</c:v>
                </c:pt>
              </c:strCache>
            </c:strRef>
          </c:cat>
          <c:val>
            <c:numRef>
              <c:f>'Projects Summary 2026'!$Q$2:$Q$59</c:f>
              <c:numCache>
                <c:formatCode>0%</c:formatCode>
                <c:ptCount val="58"/>
                <c:pt idx="0">
                  <c:v>0.94505494505494514</c:v>
                </c:pt>
                <c:pt idx="1">
                  <c:v>0.97142857142857142</c:v>
                </c:pt>
                <c:pt idx="2">
                  <c:v>1</c:v>
                </c:pt>
                <c:pt idx="3">
                  <c:v>0</c:v>
                </c:pt>
                <c:pt idx="5">
                  <c:v>3.0776515151515152E-2</c:v>
                </c:pt>
                <c:pt idx="6">
                  <c:v>0</c:v>
                </c:pt>
                <c:pt idx="7">
                  <c:v>2.8508771929824563E-2</c:v>
                </c:pt>
                <c:pt idx="8">
                  <c:v>4.2993495475113122E-2</c:v>
                </c:pt>
                <c:pt idx="9">
                  <c:v>4.0854978354978352E-2</c:v>
                </c:pt>
                <c:pt idx="10">
                  <c:v>0.9</c:v>
                </c:pt>
                <c:pt idx="11">
                  <c:v>0.1241961268378319</c:v>
                </c:pt>
                <c:pt idx="12">
                  <c:v>9.6059113300492605E-2</c:v>
                </c:pt>
                <c:pt idx="13">
                  <c:v>0.49076143870118183</c:v>
                </c:pt>
                <c:pt idx="14">
                  <c:v>0.66320786073626226</c:v>
                </c:pt>
                <c:pt idx="15">
                  <c:v>0.49542655133760949</c:v>
                </c:pt>
                <c:pt idx="16">
                  <c:v>0.64515442968179404</c:v>
                </c:pt>
                <c:pt idx="17">
                  <c:v>0.77142857142857146</c:v>
                </c:pt>
                <c:pt idx="18">
                  <c:v>0.45597572542093462</c:v>
                </c:pt>
                <c:pt idx="19">
                  <c:v>0.69204862841406523</c:v>
                </c:pt>
                <c:pt idx="20">
                  <c:v>0.64343098221314499</c:v>
                </c:pt>
                <c:pt idx="21">
                  <c:v>0.91973346362211905</c:v>
                </c:pt>
                <c:pt idx="22">
                  <c:v>0.95890303316045877</c:v>
                </c:pt>
                <c:pt idx="23">
                  <c:v>0.87616656817887184</c:v>
                </c:pt>
                <c:pt idx="24">
                  <c:v>0.92684995872651699</c:v>
                </c:pt>
                <c:pt idx="25">
                  <c:v>0.93630695559277477</c:v>
                </c:pt>
                <c:pt idx="26">
                  <c:v>0.745937445169499</c:v>
                </c:pt>
                <c:pt idx="27">
                  <c:v>0.88686600342682542</c:v>
                </c:pt>
                <c:pt idx="28">
                  <c:v>0.93035483807915353</c:v>
                </c:pt>
                <c:pt idx="29">
                  <c:v>0.94573194494830592</c:v>
                </c:pt>
                <c:pt idx="30">
                  <c:v>1</c:v>
                </c:pt>
                <c:pt idx="31">
                  <c:v>0.92141594571425045</c:v>
                </c:pt>
                <c:pt idx="32">
                  <c:v>0.91968091212243852</c:v>
                </c:pt>
                <c:pt idx="33">
                  <c:v>1</c:v>
                </c:pt>
                <c:pt idx="34">
                  <c:v>0.97142857142857142</c:v>
                </c:pt>
                <c:pt idx="35">
                  <c:v>1</c:v>
                </c:pt>
                <c:pt idx="36">
                  <c:v>0.97142857142857142</c:v>
                </c:pt>
                <c:pt idx="37">
                  <c:v>0.92618908473738359</c:v>
                </c:pt>
                <c:pt idx="38">
                  <c:v>0.96843434343434331</c:v>
                </c:pt>
                <c:pt idx="39">
                  <c:v>41.625</c:v>
                </c:pt>
                <c:pt idx="40">
                  <c:v>1</c:v>
                </c:pt>
                <c:pt idx="41">
                  <c:v>1</c:v>
                </c:pt>
                <c:pt idx="42">
                  <c:v>0.99659808548225204</c:v>
                </c:pt>
                <c:pt idx="43">
                  <c:v>1</c:v>
                </c:pt>
                <c:pt idx="44">
                  <c:v>1</c:v>
                </c:pt>
                <c:pt idx="45">
                  <c:v>0.99999802380992842</c:v>
                </c:pt>
                <c:pt idx="46">
                  <c:v>0.97142857142857142</c:v>
                </c:pt>
                <c:pt idx="47">
                  <c:v>0.97142857142857142</c:v>
                </c:pt>
                <c:pt idx="48">
                  <c:v>0.97222222222222221</c:v>
                </c:pt>
                <c:pt idx="49">
                  <c:v>1</c:v>
                </c:pt>
                <c:pt idx="50">
                  <c:v>0.97142857142857142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0.99999262786474907</c:v>
                </c:pt>
                <c:pt idx="55">
                  <c:v>1</c:v>
                </c:pt>
                <c:pt idx="5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17-4D9F-A5DA-B7FFA359E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4465503"/>
        <c:axId val="1874465983"/>
      </c:barChart>
      <c:catAx>
        <c:axId val="18744655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465983"/>
        <c:crosses val="autoZero"/>
        <c:auto val="1"/>
        <c:lblAlgn val="ctr"/>
        <c:lblOffset val="100"/>
        <c:noMultiLvlLbl val="0"/>
      </c:catAx>
      <c:valAx>
        <c:axId val="187446598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446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Phase</a:t>
            </a:r>
            <a:r>
              <a:rPr lang="en-US" baseline="0"/>
              <a:t> Breakdown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'Report Template'!$F$5</c:f>
              <c:strCache>
                <c:ptCount val="1"/>
                <c:pt idx="0">
                  <c:v>#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D34-4A00-A31C-948C29237E7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D22-4826-96DA-7CDA92F5581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D34-4A00-A31C-948C29237E7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D34-4A00-A31C-948C29237E7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D34-4A00-A31C-948C29237E7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D34-4A00-A31C-948C29237E7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D34-4A00-A31C-948C29237E7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D22-4826-96DA-7CDA92F558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'Report Template'!$E$6:$E$13</c:f>
              <c:strCache>
                <c:ptCount val="8"/>
                <c:pt idx="0">
                  <c:v>DLP</c:v>
                </c:pt>
                <c:pt idx="1">
                  <c:v>Financial Close</c:v>
                </c:pt>
                <c:pt idx="2">
                  <c:v>Planning</c:v>
                </c:pt>
                <c:pt idx="3">
                  <c:v>Construction</c:v>
                </c:pt>
                <c:pt idx="4">
                  <c:v>QA</c:v>
                </c:pt>
                <c:pt idx="5">
                  <c:v>Handover</c:v>
                </c:pt>
                <c:pt idx="6">
                  <c:v>Commercial Close Out</c:v>
                </c:pt>
                <c:pt idx="7">
                  <c:v>Hold</c:v>
                </c:pt>
              </c:strCache>
            </c:strRef>
          </c:cat>
          <c:val>
            <c:numRef>
              <c:f>'Report Template'!$F$6:$F$13</c:f>
              <c:numCache>
                <c:formatCode>0</c:formatCode>
                <c:ptCount val="8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7</c:v>
                </c:pt>
                <c:pt idx="5">
                  <c:v>10</c:v>
                </c:pt>
                <c:pt idx="6">
                  <c:v>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D34-4A00-A31C-948C29237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ocumenttasks/documenttask1.xml><?xml version="1.0" encoding="utf-8"?>
<Tasks xmlns="http://schemas.microsoft.com/office/tasks/2019/documenttasks">
  <Task id="{643CFED8-E0D3-43E6-A587-56983BDF9D46}">
    <Anchor>
      <Comment id="{1BF05448-2926-4ABD-B68D-C1EC55378656}"/>
    </Anchor>
    <History>
      <Event time="2026-02-16T09:29:49.45" id="{018938B2-55D9-4368-A9BA-E55A77C6834E}">
        <Attribution userId="S::peet@emergentenergy.co.za::29540351-e817-46dc-8f07-960526f357c0" userName="Peet Verreynne" userProvider="AD"/>
        <Anchor>
          <Comment id="{1BF05448-2926-4ABD-B68D-C1EC55378656}"/>
        </Anchor>
        <Create/>
      </Event>
      <Event time="2026-02-16T09:29:49.45" id="{C49EFD56-6908-4D36-A1DE-0C30CC8084F1}">
        <Attribution userId="S::peet@emergentenergy.co.za::29540351-e817-46dc-8f07-960526f357c0" userName="Peet Verreynne" userProvider="AD"/>
        <Anchor>
          <Comment id="{1BF05448-2926-4ABD-B68D-C1EC55378656}"/>
        </Anchor>
        <Assign userId="S::roedolph@emergentenergy.co.za::9a21ce2b-45c7-4248-95e2-e26943ee2072" userName="Roedolph Venter" userProvider="AD"/>
      </Event>
      <Event time="2026-02-16T09:29:49.45" id="{69606FE0-8664-4BF6-813B-63F9FEF6726C}">
        <Attribution userId="S::peet@emergentenergy.co.za::29540351-e817-46dc-8f07-960526f357c0" userName="Peet Verreynne" userProvider="AD"/>
        <Anchor>
          <Comment id="{1BF05448-2926-4ABD-B68D-C1EC55378656}"/>
        </Anchor>
        <SetTitle title="@Roedolph Venter Something is not lekker here. Check the percentages."/>
      </Event>
    </History>
  </Task>
</Task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14431</xdr:colOff>
      <xdr:row>57</xdr:row>
      <xdr:rowOff>28863</xdr:rowOff>
    </xdr:from>
    <xdr:to>
      <xdr:col>14</xdr:col>
      <xdr:colOff>1763856</xdr:colOff>
      <xdr:row>98</xdr:row>
      <xdr:rowOff>184438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95E2AC-61F5-452C-9C3C-9E8463F35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</xdr:colOff>
      <xdr:row>100</xdr:row>
      <xdr:rowOff>163656</xdr:rowOff>
    </xdr:from>
    <xdr:to>
      <xdr:col>15</xdr:col>
      <xdr:colOff>254867</xdr:colOff>
      <xdr:row>138</xdr:row>
      <xdr:rowOff>155863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1F15AAC-A480-4AC8-95A8-39D74ADC8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140</xdr:row>
      <xdr:rowOff>0</xdr:rowOff>
    </xdr:from>
    <xdr:to>
      <xdr:col>15</xdr:col>
      <xdr:colOff>242455</xdr:colOff>
      <xdr:row>178</xdr:row>
      <xdr:rowOff>103909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AEFE186-43A5-407D-9355-0970B8DCBC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11206</xdr:colOff>
      <xdr:row>27</xdr:row>
      <xdr:rowOff>1</xdr:rowOff>
    </xdr:from>
    <xdr:to>
      <xdr:col>6</xdr:col>
      <xdr:colOff>1441340</xdr:colOff>
      <xdr:row>56</xdr:row>
      <xdr:rowOff>9306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6F0C43D8-A152-41C0-94D6-C5F521A8F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1271240</xdr:colOff>
      <xdr:row>0</xdr:row>
      <xdr:rowOff>108102</xdr:rowOff>
    </xdr:from>
    <xdr:to>
      <xdr:col>16</xdr:col>
      <xdr:colOff>570719</xdr:colOff>
      <xdr:row>55</xdr:row>
      <xdr:rowOff>139563</xdr:rowOff>
    </xdr:to>
    <xdr:graphicFrame macro="">
      <xdr:nvGraphicFramePr>
        <xdr:cNvPr id="4" name="Chart 9">
          <a:extLst>
            <a:ext uri="{FF2B5EF4-FFF2-40B4-BE49-F238E27FC236}">
              <a16:creationId xmlns:a16="http://schemas.microsoft.com/office/drawing/2014/main" id="{0CB5CAB5-1A6D-4AAA-812A-DEB61EE43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34</xdr:col>
      <xdr:colOff>13607</xdr:colOff>
      <xdr:row>45</xdr:row>
      <xdr:rowOff>13608</xdr:rowOff>
    </xdr:to>
    <xdr:graphicFrame macro="">
      <xdr:nvGraphicFramePr>
        <xdr:cNvPr id="129" name="Chart 3">
          <a:extLst>
            <a:ext uri="{FF2B5EF4-FFF2-40B4-BE49-F238E27FC236}">
              <a16:creationId xmlns:a16="http://schemas.microsoft.com/office/drawing/2014/main" id="{64477AAA-997A-4878-9B05-9CA899FD9E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195608</xdr:rowOff>
    </xdr:from>
    <xdr:to>
      <xdr:col>3</xdr:col>
      <xdr:colOff>361259</xdr:colOff>
      <xdr:row>59</xdr:row>
      <xdr:rowOff>178767</xdr:rowOff>
    </xdr:to>
    <xdr:graphicFrame macro="">
      <xdr:nvGraphicFramePr>
        <xdr:cNvPr id="47" name="Chart 2">
          <a:extLst>
            <a:ext uri="{FF2B5EF4-FFF2-40B4-BE49-F238E27FC236}">
              <a16:creationId xmlns:a16="http://schemas.microsoft.com/office/drawing/2014/main" id="{2294682E-576F-4928-8A11-C677F6192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476250</xdr:colOff>
      <xdr:row>43</xdr:row>
      <xdr:rowOff>40919</xdr:rowOff>
    </xdr:from>
    <xdr:to>
      <xdr:col>8</xdr:col>
      <xdr:colOff>932083</xdr:colOff>
      <xdr:row>59</xdr:row>
      <xdr:rowOff>111313</xdr:rowOff>
    </xdr:to>
    <xdr:pic>
      <xdr:nvPicPr>
        <xdr:cNvPr id="75" name="Picture 6">
          <a:extLst>
            <a:ext uri="{FF2B5EF4-FFF2-40B4-BE49-F238E27FC236}">
              <a16:creationId xmlns:a16="http://schemas.microsoft.com/office/drawing/2014/main" id="{4270818B-D60A-CB38-5CD0-9E8A99910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29250" y="8232419"/>
          <a:ext cx="6655861" cy="30547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61</xdr:row>
      <xdr:rowOff>19971</xdr:rowOff>
    </xdr:from>
    <xdr:to>
      <xdr:col>10</xdr:col>
      <xdr:colOff>713628</xdr:colOff>
      <xdr:row>82</xdr:row>
      <xdr:rowOff>154432</xdr:rowOff>
    </xdr:to>
    <xdr:pic>
      <xdr:nvPicPr>
        <xdr:cNvPr id="78" name="Picture 7">
          <a:extLst>
            <a:ext uri="{FF2B5EF4-FFF2-40B4-BE49-F238E27FC236}">
              <a16:creationId xmlns:a16="http://schemas.microsoft.com/office/drawing/2014/main" id="{8B93D3BE-877D-520E-2A83-16848AB28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1488071"/>
          <a:ext cx="14163675" cy="403858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</xdr:row>
      <xdr:rowOff>1</xdr:rowOff>
    </xdr:from>
    <xdr:to>
      <xdr:col>10</xdr:col>
      <xdr:colOff>666003</xdr:colOff>
      <xdr:row>106</xdr:row>
      <xdr:rowOff>170483</xdr:rowOff>
    </xdr:to>
    <xdr:pic>
      <xdr:nvPicPr>
        <xdr:cNvPr id="77" name="Picture 9">
          <a:extLst>
            <a:ext uri="{FF2B5EF4-FFF2-40B4-BE49-F238E27FC236}">
              <a16:creationId xmlns:a16="http://schemas.microsoft.com/office/drawing/2014/main" id="{4A390194-7601-9FA7-C8BC-B8B8EA543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5580180"/>
          <a:ext cx="14083393" cy="39848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mergy-my.sharepoint.com/personal/johannes_emergentenergy_co_za/Documents/COO%20Playbook/Active%20work/Budget%202026_Final.xlsx" TargetMode="External"/><Relationship Id="rId1" Type="http://schemas.openxmlformats.org/officeDocument/2006/relationships/externalLinkPath" Target="https://emergy-my.sharepoint.com/personal/johannes_emergentenergy_co_za/Documents/COO%20Playbook/Active%20work/Budget%202026_Fi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General Instructions"/>
      <sheetName val="Notes &amp; Assumptions"/>
      <sheetName val="Summary"/>
      <sheetName val="3 -5 YR Forecast"/>
      <sheetName val="Balance Sheet"/>
      <sheetName val="CF"/>
      <sheetName val="Tax"/>
      <sheetName val="BS Workings"/>
      <sheetName val="Cash Flow"/>
      <sheetName val="Employment Stats"/>
      <sheetName val="Income Statement"/>
      <sheetName val="IS Workings"/>
      <sheetName val="KPA"/>
      <sheetName val="TB"/>
      <sheetName val="Income (2)"/>
      <sheetName val="Cost Of Sales"/>
      <sheetName val="Income"/>
      <sheetName val="Cost Of Sales "/>
      <sheetName val="Expenses"/>
      <sheetName val="Capex"/>
      <sheetName val="Revenue Categories"/>
      <sheetName val="Recons"/>
      <sheetName val="Grid Tied PV"/>
      <sheetName val="Hybrid Sytems"/>
      <sheetName val="GenSets and Other"/>
      <sheetName val="Remuneration (2)"/>
      <sheetName val="Sheet1"/>
      <sheetName val="Remuneration"/>
      <sheetName val="Sales commissions"/>
      <sheetName val="Opt 1 - Bonus"/>
      <sheetName val="Opt 2 - Bonus model"/>
      <sheetName val="CF tim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11">
          <cell r="I11">
            <v>9348308.3714413121</v>
          </cell>
          <cell r="J11">
            <v>18892558.245878641</v>
          </cell>
          <cell r="K11">
            <v>23185462.073265687</v>
          </cell>
          <cell r="L11">
            <v>14313016.097916178</v>
          </cell>
          <cell r="M11">
            <v>14328580.468464572</v>
          </cell>
          <cell r="N11">
            <v>23948744.223015491</v>
          </cell>
          <cell r="O11">
            <v>23811191.682755522</v>
          </cell>
          <cell r="P11">
            <v>26808799.265710775</v>
          </cell>
          <cell r="Q11">
            <v>36331899.474182613</v>
          </cell>
          <cell r="R11">
            <v>48187541.072572127</v>
          </cell>
          <cell r="S11">
            <v>45191393.462710261</v>
          </cell>
          <cell r="T11">
            <v>85332843.64525193</v>
          </cell>
        </row>
        <row r="17">
          <cell r="I17">
            <v>-8083466.991006257</v>
          </cell>
          <cell r="J17">
            <v>-16346971.766611634</v>
          </cell>
          <cell r="K17">
            <v>-20063809.836184785</v>
          </cell>
          <cell r="L17">
            <v>-12381959.439018428</v>
          </cell>
          <cell r="M17">
            <v>-12395435.223081922</v>
          </cell>
          <cell r="N17">
            <v>-20724666.977664825</v>
          </cell>
          <cell r="O17">
            <v>-20599956.603475731</v>
          </cell>
          <cell r="P17">
            <v>-23137378.14182568</v>
          </cell>
          <cell r="Q17">
            <v>-31403537.82008272</v>
          </cell>
          <cell r="R17">
            <v>-41710854.070031598</v>
          </cell>
          <cell r="S17">
            <v>-39116760.201133199</v>
          </cell>
          <cell r="T17">
            <v>-73983831.010536849</v>
          </cell>
        </row>
        <row r="63">
          <cell r="I63">
            <v>-2639593.6523380596</v>
          </cell>
          <cell r="J63">
            <v>-2352538.5911339303</v>
          </cell>
          <cell r="K63">
            <v>-2362409.1952136583</v>
          </cell>
          <cell r="L63">
            <v>-2414948.5376891834</v>
          </cell>
          <cell r="M63">
            <v>-2408169.3245937149</v>
          </cell>
          <cell r="N63">
            <v>-2413188.810941752</v>
          </cell>
          <cell r="O63">
            <v>-2688887.2503939471</v>
          </cell>
          <cell r="P63">
            <v>-2733133.8313726392</v>
          </cell>
          <cell r="Q63">
            <v>-2786635.6689393413</v>
          </cell>
          <cell r="R63">
            <v>-2781449.2072931863</v>
          </cell>
          <cell r="S63">
            <v>-2790552.4359552218</v>
          </cell>
          <cell r="T63">
            <v>-4496957.602436536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Compliance" id="{069E4240-BA27-41E3-93A6-3FAA88D0AFE5}"/>
  <namedSheetView name="Procurement" id="{CE8D7A5F-299D-4DF1-8D64-A3F9491CDC23}"/>
  <namedSheetView name="Roedolph" id="{6EA2F147-DFB0-41E6-8627-EC74D2AA4096}"/>
  <namedSheetView name="View1" id="{CE83C7E9-3DB1-47EA-B248-3859037F730D}"/>
  <namedSheetView name="View2" id="{8521B60C-5D3A-45B6-AB7F-D14205F02D92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Roedolph Venter" id="{074DBEBD-7EE1-498C-A649-A367CEE7DAA4}" userId="roedolph@emergentenergy.co.za" providerId="PeoplePicker"/>
  <person displayName="Peet Verreynne" id="{EAAEAF1C-A042-4AC0-AC38-51FA5A116B53}" userId="S::peet@emergentenergy.co.za::29540351-e817-46dc-8f07-960526f357c0" providerId="AD"/>
  <person displayName="Mizelda Isaacs" id="{9199E945-2305-4A75-946F-1608DEDB8325}" userId="S::mizelda@emergentenergy.co.za::3a5c2ad2-993e-4fe1-a333-48e19c6adda8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" refreshedDate="46078.549874074073" createdVersion="8" refreshedVersion="8" minRefreshableVersion="3" recordCount="398" xr:uid="{374E0F12-040A-4ADF-BB43-1A596C3EB389}">
  <cacheSource type="worksheet">
    <worksheetSource name="tblProjects"/>
  </cacheSource>
  <cacheFields count="25">
    <cacheField name="Project Name" numFmtId="0">
      <sharedItems/>
    </cacheField>
    <cacheField name="Size" numFmtId="0">
      <sharedItems containsMixedTypes="1" containsNumber="1" minValue="0" maxValue="7080"/>
    </cacheField>
    <cacheField name="PD" numFmtId="0">
      <sharedItems containsMixedTypes="1" containsNumber="1" containsInteger="1" minValue="0" maxValue="0"/>
    </cacheField>
    <cacheField name="PM" numFmtId="0">
      <sharedItems containsMixedTypes="1" containsNumber="1" containsInteger="1" minValue="0" maxValue="0"/>
    </cacheField>
    <cacheField name="Cost Proposal Signed" numFmtId="0">
      <sharedItems containsNonDate="0" containsString="0" containsBlank="1"/>
    </cacheField>
    <cacheField name="Funding Signed" numFmtId="0">
      <sharedItems containsNonDate="0" containsString="0" containsBlank="1"/>
    </cacheField>
    <cacheField name="EPC Contract Signed" numFmtId="0">
      <sharedItems containsNonDate="0" containsString="0" containsBlank="1"/>
    </cacheField>
    <cacheField name="Phase" numFmtId="0">
      <sharedItems containsBlank="1" count="11">
        <s v="DLP"/>
        <s v="Financial Close"/>
        <s v="Planning"/>
        <s v="Construction"/>
        <s v="QA"/>
        <s v="Handover"/>
        <s v="Commercial Close Out"/>
        <s v="Compliance Handover"/>
        <s v=""/>
        <s v="Hold" u="1"/>
        <m u="1"/>
      </sharedItems>
    </cacheField>
    <cacheField name="PD Handover date" numFmtId="14">
      <sharedItems containsDate="1" containsBlank="1" containsMixedTypes="1" minDate="2024-06-25T00:00:00" maxDate="2026-01-24T00:00:00"/>
    </cacheField>
    <cacheField name="Construction Start date" numFmtId="14">
      <sharedItems containsNonDate="0" containsDate="1" containsString="0" containsBlank="1" minDate="1899-12-30T00:00:00" maxDate="2026-04-24T00:00:00"/>
    </cacheField>
    <cacheField name="Duration" numFmtId="1">
      <sharedItems containsString="0" containsBlank="1" containsNumber="1" containsInteger="1" minValue="-46079" maxValue="384"/>
    </cacheField>
    <cacheField name="kW/Week" numFmtId="1">
      <sharedItems containsBlank="1" containsMixedTypes="1" containsNumber="1" minValue="-7.6506076768383321E-3" maxValue="319.74193548387098"/>
    </cacheField>
    <cacheField name="Commissioning Date" numFmtId="14">
      <sharedItems containsNonDate="0" containsDate="1" containsString="0" containsBlank="1" minDate="1899-12-30T00:00:00" maxDate="2026-09-15T00:00:00"/>
    </cacheField>
    <cacheField name="O&amp;M Handover Date" numFmtId="14">
      <sharedItems containsNonDate="0" containsDate="1" containsString="0" containsBlank="1" minDate="1899-12-30T00:00:00" maxDate="2026-07-02T00:00:00"/>
    </cacheField>
    <cacheField name="Client Handover Date" numFmtId="14">
      <sharedItems containsNonDate="0" containsDate="1" containsString="0" containsBlank="1" minDate="1899-12-30T00:00:00" maxDate="2026-06-26T00:00:00"/>
    </cacheField>
    <cacheField name="Project % Complete" numFmtId="9">
      <sharedItems containsString="0" containsBlank="1" containsNumber="1" minValue="0" maxValue="46173.5625"/>
    </cacheField>
    <cacheField name="Expected % Completed" numFmtId="9">
      <sharedItems containsString="0" containsBlank="1" containsNumber="1" minValue="0" maxValue="41.625"/>
    </cacheField>
    <cacheField name="Delta vs Expected" numFmtId="9">
      <sharedItems containsString="0" containsBlank="1" containsNumber="1" minValue="-40.6298828125" maxValue="46173.5625"/>
    </cacheField>
    <cacheField name="Actual Revenue" numFmtId="44">
      <sharedItems containsString="0" containsBlank="1" containsNumber="1" minValue="0" maxValue="144482290.75276899"/>
    </cacheField>
    <cacheField name="Actual Expenses" numFmtId="44">
      <sharedItems containsString="0" containsBlank="1" containsNumber="1" minValue="0" maxValue="144818350.36637786"/>
    </cacheField>
    <cacheField name="GP %" numFmtId="9">
      <sharedItems containsBlank="1" containsMixedTypes="1" containsNumber="1" minValue="-1.4655311229767376E-2" maxValue="0.98032989606111587"/>
    </cacheField>
    <cacheField name="Revenue Outstanding" numFmtId="44">
      <sharedItems containsString="0" containsBlank="1" containsNumber="1" minValue="0" maxValue="312300.51"/>
    </cacheField>
    <cacheField name="Expenses Due " numFmtId="44">
      <sharedItems containsString="0" containsBlank="1" containsNumber="1" minValue="0" maxValue="5828466.3840000005"/>
    </cacheField>
    <cacheField name="Current VO Total" numFmtId="44">
      <sharedItems containsNonDate="0" containsString="0" containsBlank="1"/>
    </cacheField>
    <cacheField name="COMMENTS" numFmtId="44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s v="China Town Adhoc_Tracker.xlsx"/>
    <s v="N/A"/>
    <s v="Natasha Watkins-Baker"/>
    <s v="Justin Franke"/>
    <m/>
    <m/>
    <m/>
    <x v="0"/>
    <s v=""/>
    <d v="2025-06-17T00:00:00"/>
    <m/>
    <m/>
    <d v="1899-12-30T00:00:00"/>
    <d v="1899-12-30T00:00:00"/>
    <d v="1899-12-30T00:00:00"/>
    <n v="0.92307692307692313"/>
    <n v="0.94505494505494514"/>
    <n v="-2.1978021978022011E-2"/>
    <n v="377145.79000000004"/>
    <n v="311634.11000000004"/>
    <n v="0.17370386131050275"/>
    <n v="0"/>
    <n v="0"/>
    <m/>
    <m/>
  </r>
  <r>
    <s v="Corporate Park_Tracker.xlsx"/>
    <n v="257"/>
    <s v="Natasha Watkins-Baker"/>
    <s v="Eon Van Rensberg"/>
    <m/>
    <m/>
    <m/>
    <x v="0"/>
    <d v="2025-04-23T00:00:00"/>
    <d v="2025-06-24T00:00:00"/>
    <n v="216"/>
    <n v="21.164705882352941"/>
    <d v="2025-09-17T00:00:00"/>
    <d v="2025-10-29T00:00:00"/>
    <d v="2026-01-26T00:00:00"/>
    <n v="0.94166666666666654"/>
    <n v="0.97142857142857142"/>
    <n v="-2.9761904761904878E-2"/>
    <n v="5311812.6013260996"/>
    <n v="2220751.0867582881"/>
    <n v="0.5819221698062399"/>
    <n v="0"/>
    <n v="0"/>
    <m/>
    <m/>
  </r>
  <r>
    <s v="Mayo Macs_Tracker.xlsx"/>
    <n v="400"/>
    <s v=""/>
    <s v="JT"/>
    <m/>
    <m/>
    <m/>
    <x v="0"/>
    <d v="2024-11-18T00:00:00"/>
    <d v="2025-02-05T00:00:00"/>
    <n v="218"/>
    <n v="25"/>
    <d v="2025-05-28T00:00:00"/>
    <d v="2025-08-21T00:00:00"/>
    <d v="2025-09-11T00:00:00"/>
    <n v="1"/>
    <n v="1"/>
    <n v="0"/>
    <n v="11729547.5310365"/>
    <n v="2745512.29"/>
    <n v="0.76593195238474909"/>
    <n v="0"/>
    <n v="0"/>
    <m/>
    <m/>
  </r>
  <r>
    <s v="MEGA_PARK_P2_Tracker.xlsx"/>
    <n v="1749.93"/>
    <s v=""/>
    <s v="Roedolph/Simon"/>
    <m/>
    <m/>
    <m/>
    <x v="0"/>
    <s v=""/>
    <d v="2023-06-22T00:00:00"/>
    <n v="294"/>
    <n v="53.028181818181821"/>
    <d v="2024-02-08T00:00:00"/>
    <d v="1899-12-30T00:00:00"/>
    <d v="2024-04-11T00:00:00"/>
    <n v="1"/>
    <n v="0"/>
    <n v="1"/>
    <n v="0"/>
    <n v="19242708.370437387"/>
    <e v="#VALUE!"/>
    <n v="0"/>
    <n v="0"/>
    <m/>
    <m/>
  </r>
  <r>
    <s v="Red Rocket_Tracker.xlsx"/>
    <n v="682"/>
    <s v="Peet Verenney"/>
    <s v="Justin Franke"/>
    <m/>
    <m/>
    <m/>
    <x v="0"/>
    <d v="2025-06-30T00:00:00"/>
    <d v="2025-08-15T00:00:00"/>
    <n v="112"/>
    <n v="45.903846153846153"/>
    <d v="2025-11-27T00:00:00"/>
    <d v="2025-12-02T00:00:00"/>
    <d v="2025-12-05T00:00:00"/>
    <n v="0.97592690677966099"/>
    <m/>
    <n v="0.97592690677966099"/>
    <n v="24785188.084876433"/>
    <n v="8234669.3139130455"/>
    <n v="0.66775844969529508"/>
    <n v="0"/>
    <n v="0"/>
    <m/>
    <m/>
  </r>
  <r>
    <s v="25 Superior Road_Tracker.xlsx"/>
    <n v="120"/>
    <s v="Megan Moore"/>
    <s v="JT Moorosi"/>
    <m/>
    <m/>
    <m/>
    <x v="1"/>
    <d v="2026-01-19T00:00:00"/>
    <d v="2026-04-23T00:00:00"/>
    <n v="42"/>
    <n v="24.705882352941174"/>
    <d v="2026-05-27T00:00:00"/>
    <d v="2026-06-10T00:00:00"/>
    <d v="2026-06-04T00:00:00"/>
    <n v="3.0776515151515152E-2"/>
    <n v="3.0776515151515152E-2"/>
    <n v="0"/>
    <n v="2899774.6540018995"/>
    <n v="2564437.273537342"/>
    <n v="0.11564256553583141"/>
    <n v="0"/>
    <n v="0"/>
    <m/>
    <m/>
  </r>
  <r>
    <s v="Mondi_Tracker_Rev02.xlsm"/>
    <n v="0"/>
    <s v=""/>
    <n v="0"/>
    <m/>
    <m/>
    <m/>
    <x v="1"/>
    <s v=""/>
    <d v="1899-12-30T00:00:00"/>
    <n v="0"/>
    <n v="0"/>
    <d v="2026-09-14T00:00:00"/>
    <d v="1899-12-30T00:00:00"/>
    <d v="1899-12-30T00:00:00"/>
    <n v="46173.5625"/>
    <n v="0"/>
    <n v="46173.5625"/>
    <n v="144482290.75276899"/>
    <n v="144818350.36637786"/>
    <n v="-2.3259571249734101E-3"/>
    <n v="0"/>
    <n v="5828466.3840000005"/>
    <m/>
    <s v="Need to complete Comms issue _x000a_SSEG export received"/>
  </r>
  <r>
    <s v="PnP Bethal_Tracker.xlsx"/>
    <n v="420"/>
    <s v="Megan Moore"/>
    <s v="Eon Van Rensburg"/>
    <m/>
    <m/>
    <m/>
    <x v="1"/>
    <d v="2026-01-21T00:00:00"/>
    <d v="2026-03-23T00:00:00"/>
    <n v="52"/>
    <n v="60"/>
    <d v="2026-05-11T00:00:00"/>
    <d v="2026-05-20T00:00:00"/>
    <d v="2026-05-14T00:00:00"/>
    <n v="2.8508771929824563E-2"/>
    <n v="2.8508771929824563E-2"/>
    <n v="0"/>
    <n v="5149508.5714090457"/>
    <n v="3300331.7862454918"/>
    <n v="0.35909771962134418"/>
    <n v="0"/>
    <n v="0"/>
    <m/>
    <m/>
  </r>
  <r>
    <s v="Swellengrebel_Tracker.xlsx"/>
    <n v="350"/>
    <s v="Cole Bisset"/>
    <s v="Justin Franke"/>
    <m/>
    <m/>
    <m/>
    <x v="1"/>
    <d v="2026-01-19T00:00:00"/>
    <d v="2026-03-25T00:00:00"/>
    <n v="49"/>
    <n v="59.756097560975611"/>
    <d v="2026-05-05T00:00:00"/>
    <d v="2026-05-19T00:00:00"/>
    <d v="2026-05-13T00:00:00"/>
    <n v="2.9871323529411766E-2"/>
    <n v="4.2993495475113122E-2"/>
    <n v="-1.3122171945701356E-2"/>
    <n v="2718200.0524241952"/>
    <n v="2108613.3106137384"/>
    <n v="0.22426117653364175"/>
    <n v="0"/>
    <n v="0"/>
    <m/>
    <m/>
  </r>
  <r>
    <s v="De Drift_Tracker.xlsx"/>
    <n v="800"/>
    <s v="Peet Verreynne"/>
    <s v="Justin Franke"/>
    <m/>
    <m/>
    <m/>
    <x v="2"/>
    <d v="2026-01-23T00:00:00"/>
    <d v="2026-04-07T00:00:00"/>
    <n v="79"/>
    <n v="78.873239436619713"/>
    <d v="2026-06-17T00:00:00"/>
    <d v="2026-07-01T00:00:00"/>
    <d v="2026-06-25T00:00:00"/>
    <n v="4.1125541125541128E-2"/>
    <n v="4.0854978354978352E-2"/>
    <n v="2.7056277056277528E-4"/>
    <n v="5965612.4948904281"/>
    <n v="4346374.609519463"/>
    <n v="0.27142860632631582"/>
    <n v="0"/>
    <n v="0"/>
    <m/>
    <m/>
  </r>
  <r>
    <s v="Meraki Ph3_Tracker.xlsx"/>
    <n v="90"/>
    <s v="Kirsten Marwick"/>
    <s v="Lloyd Brown"/>
    <m/>
    <m/>
    <m/>
    <x v="2"/>
    <d v="2025-01-28T00:00:00"/>
    <d v="2025-02-18T00:00:00"/>
    <n v="384"/>
    <n v="22.5"/>
    <d v="2025-03-18T00:00:00"/>
    <d v="2026-03-16T00:00:00"/>
    <d v="2026-03-09T00:00:00"/>
    <n v="0.9"/>
    <n v="0.9"/>
    <n v="0"/>
    <n v="2115658.1684711403"/>
    <n v="1152547.3290529447"/>
    <n v="0.45522989194146535"/>
    <n v="0"/>
    <n v="0"/>
    <m/>
    <m/>
  </r>
  <r>
    <s v="Steelpark_Tracker.xlsx"/>
    <n v="130"/>
    <s v="Natasha Watkins-Baker"/>
    <s v="Justin Franke"/>
    <m/>
    <m/>
    <m/>
    <x v="2"/>
    <d v="2025-11-26T00:00:00"/>
    <d v="2026-02-24T00:00:00"/>
    <n v="37"/>
    <n v="26.764705882352942"/>
    <d v="2026-03-30T00:00:00"/>
    <d v="2026-04-10T00:00:00"/>
    <d v="2026-04-02T00:00:00"/>
    <n v="0.11941666666666664"/>
    <n v="0.1241961268378319"/>
    <n v="-4.7794601711652618E-3"/>
    <n v="1399380.6092331572"/>
    <n v="915376.6809654145"/>
    <n v="0.34587011215838603"/>
    <n v="0"/>
    <n v="67791.59"/>
    <m/>
    <m/>
  </r>
  <r>
    <s v="Westway BESS_Tracker.xlsx"/>
    <s v=""/>
    <s v="Gordon Upton"/>
    <s v="Lloyd Brown"/>
    <m/>
    <m/>
    <m/>
    <x v="2"/>
    <d v="2026-01-19T00:00:00"/>
    <d v="2026-02-24T00:00:00"/>
    <n v="24"/>
    <e v="#VALUE!"/>
    <d v="2026-03-13T00:00:00"/>
    <d v="2026-03-26T00:00:00"/>
    <d v="2026-03-20T00:00:00"/>
    <n v="8.6206896551724144E-2"/>
    <n v="9.6059113300492605E-2"/>
    <n v="-9.8522167487684609E-3"/>
    <n v="823858.48704435676"/>
    <n v="609376.24824999983"/>
    <n v="0.26033868943175575"/>
    <n v="0"/>
    <n v="0"/>
    <m/>
    <m/>
  </r>
  <r>
    <s v="7th Avenue Park_Tracker.xlsx"/>
    <n v="178"/>
    <s v="Cole Bisset"/>
    <s v="Justin Franke"/>
    <m/>
    <m/>
    <m/>
    <x v="3"/>
    <d v="2025-11-26T00:00:00"/>
    <d v="2026-02-10T00:00:00"/>
    <n v="42"/>
    <n v="36.647058823529413"/>
    <d v="2026-03-16T00:00:00"/>
    <d v="2026-03-30T00:00:00"/>
    <d v="2026-03-24T00:00:00"/>
    <n v="0.41457011980267794"/>
    <n v="0.49076143870118183"/>
    <n v="-7.619131889850389E-2"/>
    <n v="1879275.3951961151"/>
    <n v="1441177.0324399511"/>
    <n v="0.23312089536001479"/>
    <n v="0"/>
    <n v="0"/>
    <m/>
    <m/>
  </r>
  <r>
    <s v="Pimville_Tracker.xlsx"/>
    <n v="362"/>
    <s v="Natasha Watkins-Baker"/>
    <s v="JT Moorosi"/>
    <m/>
    <m/>
    <m/>
    <x v="3"/>
    <d v="2025-05-14T00:00:00"/>
    <d v="2025-06-11T00:00:00"/>
    <n v="252"/>
    <n v="10.055555555555555"/>
    <d v="2026-02-18T00:00:00"/>
    <d v="2026-02-20T00:00:00"/>
    <d v="2026-02-18T00:00:00"/>
    <n v="0.64363909363909377"/>
    <n v="0.66320786073626226"/>
    <n v="-1.9568767097168482E-2"/>
    <n v="6800212.0000000009"/>
    <n v="2937563.9327490297"/>
    <n v="0.56801877165755577"/>
    <n v="0"/>
    <n v="0"/>
    <m/>
    <m/>
  </r>
  <r>
    <s v="Riverside Mall_Tracker.xlsx"/>
    <n v="184"/>
    <s v="Cole Bisset"/>
    <s v="Justin Franke"/>
    <m/>
    <m/>
    <m/>
    <x v="3"/>
    <d v="2025-11-13T00:00:00"/>
    <d v="2026-02-04T00:00:00"/>
    <n v="47"/>
    <n v="34.810810810810807"/>
    <d v="2026-03-13T00:00:00"/>
    <d v="2026-03-27T00:00:00"/>
    <d v="2026-03-23T00:00:00"/>
    <n v="0.46472153972153968"/>
    <n v="0.49542655133760949"/>
    <n v="-3.0705011616069811E-2"/>
    <n v="1862957.150983484"/>
    <n v="1293490.9243872939"/>
    <n v="0.30567864982592863"/>
    <n v="0"/>
    <n v="0"/>
    <m/>
    <m/>
  </r>
  <r>
    <s v="Seshego Circle_Tracker.xlsx"/>
    <n v="1360"/>
    <s v="Dayne Sage"/>
    <s v="Eon Van Rensburg"/>
    <m/>
    <m/>
    <m/>
    <x v="3"/>
    <d v="2025-07-14T00:00:00"/>
    <d v="2025-10-14T00:00:00"/>
    <n v="142"/>
    <n v="74.375"/>
    <d v="2026-02-19T00:00:00"/>
    <d v="2026-03-11T00:00:00"/>
    <d v="2026-03-05T00:00:00"/>
    <n v="0"/>
    <n v="0.64515442968179404"/>
    <n v="-0.64515442968179404"/>
    <n v="10428344.35"/>
    <n v="7470904.1923272377"/>
    <n v="0.2835963273185127"/>
    <n v="0"/>
    <n v="135150.51500000001"/>
    <m/>
    <m/>
  </r>
  <r>
    <s v="Sibasa_Tracker.xlsx"/>
    <n v="467"/>
    <s v="Natasha Watkins-Baker"/>
    <s v="Eon Van Rensburg"/>
    <m/>
    <m/>
    <m/>
    <x v="3"/>
    <d v="2025-05-14T00:00:00"/>
    <d v="2025-05-22T00:00:00"/>
    <n v="277"/>
    <n v="12.335849056603774"/>
    <d v="2026-02-11T00:00:00"/>
    <d v="2026-02-20T00:00:00"/>
    <d v="2026-02-23T00:00:00"/>
    <n v="0.68520408163265312"/>
    <n v="0.77142857142857146"/>
    <n v="-8.6224489795918347E-2"/>
    <n v="9325300"/>
    <n v="4172127.7475000015"/>
    <n v="0.5526012302553267"/>
    <n v="0"/>
    <n v="0"/>
    <m/>
    <m/>
  </r>
  <r>
    <s v="Topsteel_Tracker.xlsx"/>
    <n v="273"/>
    <s v="Cole Bisset"/>
    <s v="Justin Franke"/>
    <m/>
    <m/>
    <m/>
    <x v="3"/>
    <d v="2026-01-15T00:00:00"/>
    <d v="2026-01-28T00:00:00"/>
    <n v="63"/>
    <n v="34.74545454545455"/>
    <d v="2026-03-24T00:00:00"/>
    <d v="2026-04-09T00:00:00"/>
    <d v="2026-04-01T00:00:00"/>
    <m/>
    <n v="0.45597572542093462"/>
    <n v="-0.45597572542093462"/>
    <n v="2345835.8965035323"/>
    <n v="1673413.8387062941"/>
    <n v="0.28664496898503566"/>
    <n v="0"/>
    <n v="0"/>
    <m/>
    <m/>
  </r>
  <r>
    <s v="Tsakana Corner_Tracker.xlsx"/>
    <n v="308"/>
    <s v="Natasha Watkins-Baker"/>
    <s v="JT Moorosi"/>
    <m/>
    <m/>
    <m/>
    <x v="3"/>
    <d v="2025-05-14T00:00:00"/>
    <d v="2025-06-11T00:00:00"/>
    <n v="264"/>
    <n v="8.5896414342629477"/>
    <d v="2026-02-17T00:00:00"/>
    <d v="2026-02-27T00:00:00"/>
    <d v="2026-03-02T00:00:00"/>
    <n v="0.68601069485924848"/>
    <n v="0.69204862841406523"/>
    <n v="-6.0379335548167434E-3"/>
    <n v="5393090"/>
    <n v="2523865.0225"/>
    <n v="0.53201874574687236"/>
    <n v="0"/>
    <n v="0"/>
    <m/>
    <m/>
  </r>
  <r>
    <s v="Upper_East_Side_Hotel_Tracker.xlsx"/>
    <n v="454"/>
    <s v="Peet Verreynne"/>
    <s v="Justin Franke"/>
    <m/>
    <m/>
    <m/>
    <x v="3"/>
    <d v="2025-04-10T00:00:00"/>
    <d v="2025-07-30T00:00:00"/>
    <n v="225"/>
    <n v="15.133333333333333"/>
    <d v="2026-02-25T00:00:00"/>
    <d v="2026-03-11T00:00:00"/>
    <d v="2026-03-12T00:00:00"/>
    <n v="0.63655547991831174"/>
    <n v="0.64343098221314499"/>
    <n v="-6.8755022948332467E-3"/>
    <n v="17267333.151304349"/>
    <n v="8076024.8234999999"/>
    <n v="0.53229460781614968"/>
    <n v="0"/>
    <n v="0"/>
    <m/>
    <m/>
  </r>
  <r>
    <s v="BMG Fluid Tech_Tracker.xlsx"/>
    <n v="144"/>
    <s v="Cole Bisset"/>
    <s v="JT Moorosi"/>
    <m/>
    <m/>
    <m/>
    <x v="4"/>
    <d v="2025-05-09T00:00:00"/>
    <d v="2025-08-31T00:00:00"/>
    <n v="170"/>
    <n v="7"/>
    <d v="2026-01-22T00:00:00"/>
    <d v="2026-02-23T00:00:00"/>
    <d v="2026-02-17T00:00:00"/>
    <n v="0.88334510869565219"/>
    <n v="0.91973346362211905"/>
    <n v="-3.6388354926466859E-2"/>
    <n v="7968138.4956813995"/>
    <n v="3276882.0255980082"/>
    <n v="0.58875187380665828"/>
    <n v="0"/>
    <n v="0"/>
    <m/>
    <m/>
  </r>
  <r>
    <s v="Coega Steels Ph2_Tracker.xlsx"/>
    <n v="7080"/>
    <s v="Gordon Upton"/>
    <s v="Lloyd Brown"/>
    <m/>
    <m/>
    <m/>
    <x v="4"/>
    <s v=""/>
    <d v="2025-09-10T00:00:00"/>
    <n v="168"/>
    <n v="319.74193548387098"/>
    <d v="2026-02-12T00:00:00"/>
    <d v="2026-02-24T00:00:00"/>
    <d v="2026-02-25T00:00:00"/>
    <n v="0.92310231023102307"/>
    <n v="0.95890303316045877"/>
    <n v="-3.5800722929435702E-2"/>
    <n v="59995000"/>
    <n v="48754595.846446089"/>
    <n v="0.18735568219941512"/>
    <n v="0"/>
    <n v="2400"/>
    <m/>
    <m/>
  </r>
  <r>
    <s v="Dobsonpoint_Tracker.xlsx"/>
    <n v="422"/>
    <s v="Natasha Watkins-Baker"/>
    <s v="JT Moorosi"/>
    <m/>
    <m/>
    <m/>
    <x v="4"/>
    <d v="2025-04-23T00:00:00"/>
    <d v="2025-06-11T00:00:00"/>
    <n v="257"/>
    <n v="16.78409090909091"/>
    <d v="2025-12-04T00:00:00"/>
    <d v="2026-02-24T00:00:00"/>
    <d v="2026-02-23T00:00:00"/>
    <n v="0.85059523809523818"/>
    <n v="0.87616656817887184"/>
    <n v="-2.5571330083633659E-2"/>
    <n v="7788415.3661806006"/>
    <n v="3017163.4060386294"/>
    <n v="0.61260882166865849"/>
    <n v="0"/>
    <n v="0"/>
    <m/>
    <m/>
  </r>
  <r>
    <s v="Gezina Galleries_Tracker.xlsx"/>
    <n v="954"/>
    <s v="Natasha Watkins Baker"/>
    <s v="Eon Van Rensburg"/>
    <m/>
    <m/>
    <m/>
    <x v="4"/>
    <d v="2025-05-14T00:00:00"/>
    <d v="2025-09-30T00:00:00"/>
    <n v="142"/>
    <n v="91.479452054794521"/>
    <d v="2025-12-12T00:00:00"/>
    <d v="2026-02-13T00:00:00"/>
    <d v="2026-02-19T00:00:00"/>
    <n v="0.87252415458937194"/>
    <n v="0.92684995872651699"/>
    <n v="-5.4325804137145051E-2"/>
    <n v="17385697.220000003"/>
    <n v="7085651.4276250005"/>
    <n v="0.59244364272754779"/>
    <n v="0"/>
    <n v="0"/>
    <m/>
    <m/>
  </r>
  <r>
    <s v="Pretoria North_Tracker.xlsx"/>
    <n v="509"/>
    <s v="Natasha Watkins-Baker"/>
    <s v="Eon Van Rensburg"/>
    <m/>
    <m/>
    <m/>
    <x v="4"/>
    <d v="2025-05-14T00:00:00"/>
    <d v="2025-09-30T00:00:00"/>
    <n v="140"/>
    <m/>
    <d v="2025-12-08T00:00:00"/>
    <d v="2026-02-12T00:00:00"/>
    <d v="2026-02-17T00:00:00"/>
    <n v="0.90620714285714277"/>
    <n v="0.93630695559277477"/>
    <n v="-3.0099812735632003E-2"/>
    <n v="9522946.0000000019"/>
    <n v="3936602.6525000003"/>
    <n v="0.5866192402540138"/>
    <n v="0"/>
    <n v="0"/>
    <m/>
    <m/>
  </r>
  <r>
    <s v="Randfontein_Tracker.xlsx"/>
    <n v="370"/>
    <s v="Natasha Watkins-Baker"/>
    <s v="JT Moorosi"/>
    <m/>
    <m/>
    <m/>
    <x v="4"/>
    <d v="2025-05-14T00:00:00"/>
    <d v="2025-06-11T00:00:00"/>
    <n v="258"/>
    <n v="10.614754098360656"/>
    <d v="2026-02-10T00:00:00"/>
    <d v="2026-02-26T00:00:00"/>
    <d v="2026-02-24T00:00:00"/>
    <n v="0.71260504201680674"/>
    <n v="0.745937445169499"/>
    <n v="-3.3332403152692258E-2"/>
    <n v="6710878"/>
    <n v="3215443.8433799963"/>
    <n v="0.52086093006310108"/>
    <n v="0"/>
    <n v="162723.04915034503"/>
    <m/>
    <m/>
  </r>
  <r>
    <s v="Superspar Ph2_Tracker.xlsx"/>
    <n v="157"/>
    <s v="Gordon Upton"/>
    <s v="Lloyd Brown"/>
    <m/>
    <m/>
    <m/>
    <x v="4"/>
    <d v="2025-11-26T00:00:00"/>
    <d v="2026-01-27T00:00:00"/>
    <n v="24"/>
    <n v="109.89999999999999"/>
    <d v="2026-02-06T00:00:00"/>
    <d v="2026-02-26T00:00:00"/>
    <d v="2026-02-20T00:00:00"/>
    <n v="0.7582683982683982"/>
    <n v="0.88686600342682542"/>
    <n v="-0.12859760515842722"/>
    <n v="1364882.3818340108"/>
    <n v="948906.39999999991"/>
    <n v="0.30477057024874066"/>
    <n v="0"/>
    <n v="16474.5"/>
    <m/>
    <m/>
  </r>
  <r>
    <s v="1 Bolt Ave_Tracker.xlsx"/>
    <n v="366"/>
    <s v="Peet Verreynne"/>
    <s v="Peet Verreynne"/>
    <m/>
    <m/>
    <m/>
    <x v="5"/>
    <d v="2025-09-10T00:00:00"/>
    <d v="2025-10-15T00:00:00"/>
    <n v="128"/>
    <n v="25.62"/>
    <d v="2026-01-23T00:00:00"/>
    <d v="2026-02-24T00:00:00"/>
    <d v="2026-02-20T00:00:00"/>
    <n v="0.931758910460736"/>
    <n v="0.93035483807915353"/>
    <n v="1.4040723815824663E-3"/>
    <n v="3377404.75"/>
    <n v="2218071.6518750004"/>
    <n v="0.34326152295634671"/>
    <n v="0"/>
    <n v="0"/>
    <m/>
    <m/>
  </r>
  <r>
    <s v="Boundary Terraces_Tracker.xlsx"/>
    <n v="166"/>
    <s v="Natasha Watkins-Baker"/>
    <s v="Justin Franke"/>
    <m/>
    <m/>
    <m/>
    <x v="5"/>
    <d v="2025-08-05T00:00:00"/>
    <d v="2025-08-26T00:00:00"/>
    <n v="177"/>
    <n v="11.857142857142858"/>
    <d v="2025-12-02T00:00:00"/>
    <d v="2026-02-25T00:00:00"/>
    <d v="2026-02-19T00:00:00"/>
    <n v="0.94344608879492609"/>
    <n v="0.94573194494830592"/>
    <n v="-2.2858561533798394E-3"/>
    <n v="1791940.7400000002"/>
    <n v="1818202.1892499998"/>
    <n v="-1.4655311229767376E-2"/>
    <n v="0"/>
    <n v="0"/>
    <m/>
    <m/>
  </r>
  <r>
    <s v="Gillwell_Tracker.xlsx"/>
    <n v="1043"/>
    <s v="Natasha Watkins-Baker"/>
    <s v="Lloyd Brown"/>
    <m/>
    <m/>
    <m/>
    <x v="5"/>
    <d v="2025-05-14T00:00:00"/>
    <d v="2025-05-23T00:00:00"/>
    <n v="279"/>
    <n v="53.291970802919707"/>
    <d v="2025-10-07T00:00:00"/>
    <d v="2025-11-07T00:00:00"/>
    <d v="2026-02-26T00:00:00"/>
    <n v="0.97142857142857142"/>
    <n v="1"/>
    <n v="-2.8571428571428581E-2"/>
    <n v="19133377.851580784"/>
    <n v="7712531.4215723807"/>
    <n v="0.59690696115452613"/>
    <n v="0"/>
    <n v="0"/>
    <m/>
    <m/>
  </r>
  <r>
    <s v="Mahikeng Builders Express_Tracker.xlsx"/>
    <n v="250"/>
    <s v="Kirsten Marwick"/>
    <s v="Eon Van Rensburg"/>
    <m/>
    <m/>
    <m/>
    <x v="5"/>
    <d v="2025-10-10T00:00:00"/>
    <d v="2025-10-30T00:00:00"/>
    <n v="113"/>
    <n v="16.826923076923077"/>
    <d v="2026-02-11T00:00:00"/>
    <d v="2026-02-24T00:00:00"/>
    <d v="2026-02-20T00:00:00"/>
    <n v="0.88150516150516156"/>
    <n v="0.92141594571425045"/>
    <n v="-3.991078420908889E-2"/>
    <n v="2820054.9194958336"/>
    <n v="2684846.6775000002"/>
    <n v="4.7945251371205866E-2"/>
    <n v="312300.51"/>
    <n v="11573"/>
    <m/>
    <m/>
  </r>
  <r>
    <s v="Malvern Ph2_Tracker.xlsx"/>
    <n v="147"/>
    <s v="Cole Bisset"/>
    <s v="JT Moorosi"/>
    <m/>
    <m/>
    <m/>
    <x v="5"/>
    <d v="2025-09-11T00:00:00"/>
    <d v="2025-10-28T00:00:00"/>
    <n v="129"/>
    <n v="28.583333333333332"/>
    <d v="2025-12-03T00:00:00"/>
    <d v="2026-03-03T00:00:00"/>
    <d v="2026-03-06T00:00:00"/>
    <n v="0.92815716978396401"/>
    <n v="0.91968091212243852"/>
    <n v="8.4762576615254881E-3"/>
    <n v="1366576.1500000001"/>
    <n v="926046.77187500044"/>
    <n v="0.32235991980761525"/>
    <n v="0"/>
    <n v="0"/>
    <m/>
    <m/>
  </r>
  <r>
    <s v="Marikana Old Church_Tracker.xlsx"/>
    <n v="175"/>
    <s v="Natasha Watkins-Baker"/>
    <s v="Lloyd Brown"/>
    <m/>
    <m/>
    <m/>
    <x v="5"/>
    <d v="2025-04-23T00:00:00"/>
    <d v="2025-08-02T00:00:00"/>
    <n v="121"/>
    <n v="16.118421052631579"/>
    <d v="2025-10-17T00:00:00"/>
    <d v="2025-10-30T00:00:00"/>
    <d v="2025-12-01T00:00:00"/>
    <n v="0.97142857142857142"/>
    <n v="1"/>
    <n v="-2.8571428571428581E-2"/>
    <n v="4074212"/>
    <n v="1612924.8450000002"/>
    <n v="0.60411366787000764"/>
    <n v="0"/>
    <n v="0"/>
    <m/>
    <m/>
  </r>
  <r>
    <s v="Marikana Shoprite_Tracker.xlsx"/>
    <n v="825"/>
    <s v="Natasha Watkins-Baker"/>
    <s v="Lloyd Brown"/>
    <m/>
    <m/>
    <m/>
    <x v="5"/>
    <d v="2025-05-14T00:00:00"/>
    <d v="2025-06-12T00:00:00"/>
    <n v="172"/>
    <n v="49.78448275862069"/>
    <d v="2025-10-06T00:00:00"/>
    <d v="2025-11-05T00:00:00"/>
    <d v="2025-12-01T00:00:00"/>
    <n v="0.97142857142857142"/>
    <n v="0.97142857142857142"/>
    <n v="0"/>
    <n v="17812750"/>
    <n v="6616469.6949999984"/>
    <n v="0.62855428302760674"/>
    <n v="0"/>
    <n v="0"/>
    <m/>
    <m/>
  </r>
  <r>
    <s v="Milkwood_Square_Tracker.xlsx"/>
    <n v="375"/>
    <s v="Peet Verenney"/>
    <s v="Lloyd Brown"/>
    <m/>
    <m/>
    <m/>
    <x v="5"/>
    <d v="2025-04-10T00:00:00"/>
    <d v="2025-09-03T00:00:00"/>
    <n v="92"/>
    <n v="54.6875"/>
    <d v="2025-10-21T00:00:00"/>
    <d v="2025-12-01T00:00:00"/>
    <d v="2025-12-04T00:00:00"/>
    <n v="0.96666666666666656"/>
    <n v="1"/>
    <n v="-3.3333333333333437E-2"/>
    <n v="3137319.4266193202"/>
    <n v="2274921.4775000005"/>
    <n v="0.27488369268430324"/>
    <n v="0"/>
    <n v="0"/>
    <m/>
    <m/>
  </r>
  <r>
    <s v="Umzimkhulu_Tracker.xlsx"/>
    <n v="838"/>
    <s v="Natasha Watkins-Baker"/>
    <s v="Lloyd Brown"/>
    <m/>
    <m/>
    <m/>
    <x v="5"/>
    <d v="2025-05-14T00:00:00"/>
    <d v="2025-05-21T00:00:00"/>
    <n v="194"/>
    <n v="39.904761904761905"/>
    <d v="2025-10-15T00:00:00"/>
    <d v="2025-12-01T00:00:00"/>
    <d v="2025-12-01T00:00:00"/>
    <n v="0.93877551020408179"/>
    <n v="0.97142857142857142"/>
    <n v="-3.2653061224489632E-2"/>
    <n v="16311467.000000004"/>
    <n v="6303040.3518749056"/>
    <n v="0.61358225156113155"/>
    <n v="0"/>
    <n v="0"/>
    <m/>
    <m/>
  </r>
  <r>
    <s v="Waterside_Tracker.xlsx"/>
    <n v="55"/>
    <s v="Natasha Watkins-Baker"/>
    <s v="Amanda Gadla"/>
    <m/>
    <m/>
    <m/>
    <x v="5"/>
    <d v="2025-08-05T00:00:00"/>
    <d v="2025-10-18T00:00:00"/>
    <n v="124"/>
    <n v="8.3695652173913047"/>
    <d v="2025-12-03T00:00:00"/>
    <d v="2026-02-17T00:00:00"/>
    <d v="2026-02-19T00:00:00"/>
    <n v="0.93001200480192081"/>
    <n v="0.92618908473738359"/>
    <n v="3.8229200645372163E-3"/>
    <n v="1656734.491162892"/>
    <n v="627507.45056976809"/>
    <n v="0.62123837348897759"/>
    <n v="41418.362279072302"/>
    <n v="0"/>
    <m/>
    <m/>
  </r>
  <r>
    <s v="Blackheath Park_Tracker.xlsx"/>
    <n v="800"/>
    <s v="Peet Verreynne"/>
    <s v="Justin Franke"/>
    <m/>
    <m/>
    <m/>
    <x v="6"/>
    <d v="2025-06-24T00:00:00"/>
    <d v="2025-09-13T00:00:00"/>
    <n v="142"/>
    <n v="70.886075949367097"/>
    <d v="2025-12-01T00:00:00"/>
    <d v="2026-02-06T00:00:00"/>
    <d v="2026-02-02T00:00:00"/>
    <n v="0.93461791831357055"/>
    <n v="0.96843434343434331"/>
    <n v="-3.3816425120772764E-2"/>
    <n v="6355349.9168330692"/>
    <n v="4803382.0739604142"/>
    <n v="0.24419864573656946"/>
    <n v="0"/>
    <n v="0"/>
    <m/>
    <m/>
  </r>
  <r>
    <s v="Cascades_Tracker.xlsx"/>
    <n v="1510"/>
    <s v="Dayne Sage"/>
    <s v="Lloyd Brown"/>
    <m/>
    <m/>
    <m/>
    <x v="6"/>
    <d v="2024-06-25T00:00:00"/>
    <d v="2024-07-31T00:00:00"/>
    <n v="163"/>
    <n v="95.22522522522523"/>
    <d v="2024-11-19T00:00:00"/>
    <d v="2024-11-22T00:00:00"/>
    <d v="2025-01-10T00:00:00"/>
    <n v="0.9951171875"/>
    <n v="41.625"/>
    <n v="-40.6298828125"/>
    <n v="9734366"/>
    <n v="7000321.7899999991"/>
    <n v="0.28086515444354576"/>
    <n v="0"/>
    <n v="0"/>
    <m/>
    <m/>
  </r>
  <r>
    <s v="Cassia_Tracker.xlsx"/>
    <n v="50"/>
    <s v="Dayne Sage"/>
    <s v="Amanda Gadla"/>
    <m/>
    <m/>
    <m/>
    <x v="6"/>
    <s v=""/>
    <d v="2025-04-01T00:00:00"/>
    <n v="-45748"/>
    <n v="-7.6506076768383321E-3"/>
    <d v="1899-12-30T00:00:00"/>
    <d v="1899-12-30T00:00:00"/>
    <d v="1899-12-30T00:00:00"/>
    <n v="1"/>
    <n v="1"/>
    <n v="0"/>
    <n v="261790.45000000007"/>
    <n v="183007.37"/>
    <n v="0.30093947277297572"/>
    <n v="0"/>
    <n v="0"/>
    <m/>
    <m/>
  </r>
  <r>
    <s v="SA Metal_14 Christiaan_A_Tracker.xlsx"/>
    <n v="595"/>
    <s v=""/>
    <s v=""/>
    <m/>
    <m/>
    <m/>
    <x v="6"/>
    <d v="2024-08-15T00:00:00"/>
    <d v="2024-10-15T00:00:00"/>
    <n v="318"/>
    <n v="34.708333333333329"/>
    <d v="2025-02-12T00:00:00"/>
    <d v="2025-04-30T00:00:00"/>
    <d v="2025-08-29T00:00:00"/>
    <n v="1"/>
    <n v="1"/>
    <n v="0"/>
    <n v="5613503.01123886"/>
    <n v="110418.18769230769"/>
    <n v="0.98032989606111587"/>
    <n v="0"/>
    <n v="0"/>
    <m/>
    <m/>
  </r>
  <r>
    <s v="STD GQ_Tracker.xlsx"/>
    <n v="460"/>
    <s v="Gordon Upton"/>
    <s v="Lloyd Brown"/>
    <m/>
    <m/>
    <m/>
    <x v="6"/>
    <d v="2025-09-10T00:00:00"/>
    <d v="2025-10-21T00:00:00"/>
    <n v="99"/>
    <n v="34.623655913978496"/>
    <d v="2026-01-22T00:00:00"/>
    <d v="2026-02-04T00:00:00"/>
    <d v="2026-01-28T00:00:00"/>
    <n v="0.98396501457725949"/>
    <n v="0.99659808548225204"/>
    <n v="-1.2633070904992549E-2"/>
    <n v="2000586.7899999998"/>
    <n v="1377826.1763984049"/>
    <n v="0.31128897617163365"/>
    <n v="0"/>
    <n v="0"/>
    <m/>
    <m/>
  </r>
  <r>
    <s v="Trident Steel GP_Tracker.xlsx"/>
    <n v="1875"/>
    <s v="Natasha Watkins-Baker"/>
    <s v="JT Moorosi"/>
    <m/>
    <m/>
    <m/>
    <x v="6"/>
    <s v=""/>
    <d v="2025-02-11T00:00:00"/>
    <n v="216"/>
    <n v="88.087248322147659"/>
    <d v="2025-07-10T00:00:00"/>
    <d v="2025-09-25T00:00:00"/>
    <d v="2025-09-15T00:00:00"/>
    <n v="1"/>
    <n v="1"/>
    <n v="0"/>
    <n v="16024328.9396773"/>
    <n v="14799893.871745965"/>
    <n v="7.6411004326025322E-2"/>
    <n v="0"/>
    <n v="0"/>
    <m/>
    <m/>
  </r>
  <r>
    <s v="Trident Steel PE_Tracker.xlsx"/>
    <n v="440"/>
    <s v="Natasha"/>
    <s v="Lloyd Brown"/>
    <m/>
    <m/>
    <m/>
    <x v="6"/>
    <d v="2024-10-30T00:00:00"/>
    <d v="2025-02-05T00:00:00"/>
    <n v="194"/>
    <n v="106.20689655172414"/>
    <d v="2025-03-06T00:00:00"/>
    <d v="2025-03-13T00:00:00"/>
    <d v="2025-08-18T00:00:00"/>
    <n v="1"/>
    <n v="1"/>
    <n v="0"/>
    <n v="3878819.44001059"/>
    <n v="217067.04000000004"/>
    <n v="0.94403785910709792"/>
    <n v="0"/>
    <n v="0"/>
    <m/>
    <m/>
  </r>
  <r>
    <s v="Hungry Lion_Citrusdal_Tracker.xlsx"/>
    <n v="130"/>
    <s v="Peet Verreynne"/>
    <s v="Peet Verreynne"/>
    <m/>
    <m/>
    <m/>
    <x v="7"/>
    <d v="2025-10-02T00:00:00"/>
    <d v="2025-11-07T00:00:00"/>
    <n v="33"/>
    <n v="36.4"/>
    <d v="2025-12-02T00:00:00"/>
    <d v="2025-12-17T00:00:00"/>
    <d v="2025-12-10T00:00:00"/>
    <n v="1"/>
    <n v="0.99999802380992842"/>
    <n v="1.9761900715842273E-6"/>
    <n v="1292329.358008248"/>
    <n v="889884.7555000002"/>
    <n v="0.31141024539479611"/>
    <n v="0"/>
    <n v="0"/>
    <m/>
    <m/>
  </r>
  <r>
    <s v="IconsSA_KZN_Tracker.xlsx"/>
    <n v="71"/>
    <s v="Peet Verreynne"/>
    <s v="Eon Van Rensburg"/>
    <m/>
    <m/>
    <m/>
    <x v="7"/>
    <d v="2025-08-05T00:00:00"/>
    <d v="2025-09-11T00:00:00"/>
    <n v="63"/>
    <n v="15.060606060606059"/>
    <d v="2025-10-14T00:00:00"/>
    <d v="2025-12-01T00:00:00"/>
    <d v="2025-11-13T00:00:00"/>
    <n v="0.97142857142857142"/>
    <n v="0.97142857142857142"/>
    <n v="0"/>
    <n v="1027136"/>
    <n v="770507.2699999999"/>
    <n v="0.24984883209234232"/>
    <n v="0"/>
    <n v="0"/>
    <m/>
    <m/>
  </r>
  <r>
    <s v="Kroonstad_Tracker.xlsx"/>
    <n v="391"/>
    <s v="Natasha Watkins-Baker"/>
    <s v="JT Moorosi"/>
    <m/>
    <m/>
    <m/>
    <x v="7"/>
    <d v="2025-05-14T00:00:00"/>
    <d v="2025-06-03T00:00:00"/>
    <n v="111"/>
    <n v="30.411111111111108"/>
    <d v="2025-09-01T00:00:00"/>
    <d v="2025-09-26T00:00:00"/>
    <d v="2025-09-22T00:00:00"/>
    <n v="0.97142857142857142"/>
    <n v="0.97142857142857142"/>
    <n v="0"/>
    <n v="3786732"/>
    <n v="2789768.8875000002"/>
    <n v="0.2632779696318619"/>
    <n v="0"/>
    <n v="0"/>
    <m/>
    <m/>
  </r>
  <r>
    <s v="Lynnridge Mall_Tracker_1.xlsx"/>
    <n v="700"/>
    <s v="Peet Verenney"/>
    <s v="Eon Van Rensburg"/>
    <m/>
    <m/>
    <m/>
    <x v="7"/>
    <d v="2025-01-29T00:00:00"/>
    <d v="2025-06-19T00:00:00"/>
    <n v="120"/>
    <n v="55.056179775280896"/>
    <d v="2025-09-16T00:00:00"/>
    <d v="2025-10-23T00:00:00"/>
    <d v="2025-10-17T00:00:00"/>
    <n v="0.97222222222222221"/>
    <n v="0.97222222222222221"/>
    <n v="0"/>
    <n v="5818787.21011623"/>
    <n v="4056639.240126451"/>
    <n v="0.30283767155571584"/>
    <n v="0"/>
    <n v="0"/>
    <m/>
    <m/>
  </r>
  <r>
    <s v="Northpoint_Tracker.xlsx"/>
    <n v="260"/>
    <s v="Natasha Watkins-Baker"/>
    <s v="Justin Franke"/>
    <m/>
    <m/>
    <m/>
    <x v="7"/>
    <d v="2025-06-24T00:00:00"/>
    <d v="2025-07-15T00:00:00"/>
    <n v="101"/>
    <n v="28.888888888888893"/>
    <d v="2025-09-16T00:00:00"/>
    <d v="2025-10-30T00:00:00"/>
    <d v="2025-10-24T00:00:00"/>
    <n v="0.97142857142857142"/>
    <n v="1"/>
    <n v="-2.8571428571428581E-2"/>
    <n v="5133192.61216514"/>
    <n v="1543091.0238260319"/>
    <n v="0.69938961180434478"/>
    <n v="0"/>
    <n v="0"/>
    <m/>
    <m/>
  </r>
  <r>
    <s v="Ridgeview Mall_Tracker.xlsx"/>
    <n v="600"/>
    <s v="Peet Verenney"/>
    <s v="JT Moorosi"/>
    <m/>
    <m/>
    <m/>
    <x v="7"/>
    <d v="2025-01-29T00:00:00"/>
    <d v="2025-03-11T00:00:00"/>
    <n v="143"/>
    <n v="31.81818181818182"/>
    <d v="2025-07-21T00:00:00"/>
    <d v="2025-07-30T00:00:00"/>
    <d v="2025-08-01T00:00:00"/>
    <n v="0.97142857142857142"/>
    <n v="0.97142857142857142"/>
    <n v="0"/>
    <n v="5852178.2600290393"/>
    <n v="4046134.0475003626"/>
    <n v="0.30861059459930307"/>
    <n v="0"/>
    <n v="0"/>
    <m/>
    <m/>
  </r>
  <r>
    <s v="SA Metal_14 Christiaan_B_Tracker.xlsx"/>
    <n v="157"/>
    <s v=""/>
    <s v=""/>
    <m/>
    <m/>
    <m/>
    <x v="7"/>
    <d v="2024-08-15T00:00:00"/>
    <d v="2024-09-26T00:00:00"/>
    <n v="147"/>
    <n v="15.927536231884057"/>
    <d v="2024-12-04T00:00:00"/>
    <d v="2025-04-30T00:00:00"/>
    <d v="2025-02-20T00:00:00"/>
    <n v="1"/>
    <n v="1"/>
    <n v="0"/>
    <n v="1729080.5537909898"/>
    <n v="222317.35"/>
    <n v="0.87142452703399409"/>
    <n v="0"/>
    <n v="0"/>
    <m/>
    <m/>
  </r>
  <r>
    <s v="SA Metal_20 Christiaan_Tracker.xlsx"/>
    <n v="148"/>
    <s v=""/>
    <s v=""/>
    <m/>
    <m/>
    <m/>
    <x v="7"/>
    <d v="2024-08-15T00:00:00"/>
    <d v="2024-09-26T00:00:00"/>
    <n v="337"/>
    <n v="16.1875"/>
    <d v="2024-11-29T00:00:00"/>
    <d v="2025-04-30T00:00:00"/>
    <d v="2025-08-29T00:00:00"/>
    <n v="1"/>
    <n v="1"/>
    <n v="0"/>
    <n v="1776820.4492688498"/>
    <n v="225414.95"/>
    <n v="0.87313577458388836"/>
    <n v="0"/>
    <n v="0"/>
    <m/>
    <m/>
  </r>
  <r>
    <s v="SA Metal_22 Christiaan_Tracker.xlsx"/>
    <n v="250"/>
    <s v=""/>
    <s v=""/>
    <m/>
    <m/>
    <m/>
    <x v="7"/>
    <d v="2024-08-15T00:00:00"/>
    <d v="2024-09-26T00:00:00"/>
    <n v="337"/>
    <n v="35.714285714285715"/>
    <d v="2024-11-14T00:00:00"/>
    <d v="2025-04-30T00:00:00"/>
    <d v="2025-08-29T00:00:00"/>
    <n v="1"/>
    <n v="1"/>
    <n v="0"/>
    <n v="2505210.4733878602"/>
    <n v="211671.15000000002"/>
    <n v="0.91550763808130187"/>
    <n v="0"/>
    <n v="0"/>
    <m/>
    <m/>
  </r>
  <r>
    <s v="Shoprite Mini_Bredarsdorp_Tracker.xlsx"/>
    <n v="250"/>
    <s v="Peet Verreynne"/>
    <s v="Peet Verreynne"/>
    <m/>
    <m/>
    <m/>
    <x v="7"/>
    <d v="2025-10-02T00:00:00"/>
    <d v="2025-11-07T00:00:00"/>
    <n v="83"/>
    <n v="64.81481481481481"/>
    <d v="2025-12-04T00:00:00"/>
    <d v="2026-01-26T00:00:00"/>
    <d v="2026-01-29T00:00:00"/>
    <n v="1"/>
    <n v="0.99999262786474907"/>
    <n v="7.3721352509270588E-6"/>
    <n v="2077436.28"/>
    <n v="1501186.9010000003"/>
    <n v="0.27738486352033853"/>
    <n v="0"/>
    <n v="0"/>
    <m/>
    <m/>
  </r>
  <r>
    <s v="Shoprite Mini_Citrusdal_Tracker.xlsx"/>
    <n v="250"/>
    <s v="Peet Verreynne"/>
    <s v="Peet Verreynne"/>
    <m/>
    <m/>
    <m/>
    <x v="7"/>
    <d v="2025-09-10T00:00:00"/>
    <d v="2025-11-07T00:00:00"/>
    <n v="84"/>
    <n v="50"/>
    <d v="2025-12-12T00:00:00"/>
    <d v="2026-01-26T00:00:00"/>
    <d v="2026-01-30T00:00:00"/>
    <n v="0.99789915966386555"/>
    <n v="1"/>
    <n v="-2.1008403361344463E-3"/>
    <n v="2004738.5754315904"/>
    <n v="1378410.1240000005"/>
    <n v="0.31242400336250864"/>
    <n v="0"/>
    <n v="0"/>
    <m/>
    <m/>
  </r>
  <r>
    <s v="FY 2026 Adhoc_Tracker.xlsx"/>
    <n v="0"/>
    <n v="0"/>
    <n v="0"/>
    <m/>
    <m/>
    <m/>
    <x v="8"/>
    <s v=""/>
    <d v="2026-02-26T00:00:00"/>
    <n v="-46079"/>
    <n v="0"/>
    <d v="1899-12-30T00:00:00"/>
    <d v="1899-12-30T00:00:00"/>
    <d v="1899-12-30T00:00:00"/>
    <n v="0"/>
    <n v="0"/>
    <n v="0"/>
    <n v="12510"/>
    <n v="5000"/>
    <n v="0.6003197442046363"/>
    <n v="0"/>
    <n v="2500"/>
    <m/>
    <m/>
  </r>
  <r>
    <s v=""/>
    <s v=""/>
    <s v=""/>
    <s v=""/>
    <m/>
    <m/>
    <m/>
    <x v="8"/>
    <m/>
    <m/>
    <m/>
    <m/>
    <m/>
    <m/>
    <m/>
    <m/>
    <m/>
    <m/>
    <n v="0"/>
    <n v="0"/>
    <e v="#VALUE!"/>
    <n v="0"/>
    <n v="0"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  <r>
    <s v=""/>
    <s v=""/>
    <s v=""/>
    <s v=""/>
    <m/>
    <m/>
    <m/>
    <x v="8"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0C846-7C0C-417C-944F-4B649695FADF}" name="PivotTable17" cacheId="3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 chartFormat="11">
  <location ref="A3:B12" firstHeaderRow="1" firstDataRow="1" firstDataCol="1"/>
  <pivotFields count="25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12">
        <item x="1"/>
        <item x="2"/>
        <item x="3"/>
        <item x="4"/>
        <item x="5"/>
        <item x="7"/>
        <item m="1" x="9"/>
        <item x="8"/>
        <item m="1" x="10"/>
        <item x="6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7"/>
  </rowFields>
  <rowItems count="9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0"/>
    </i>
  </rowItems>
  <colItems count="1">
    <i/>
  </colItems>
  <dataFields count="1">
    <dataField name="Count of Project Name" fld="0" subtotal="count" baseField="0" baseItem="0"/>
  </dataFields>
  <chartFormats count="1">
    <chartFormat chart="6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B00-000000000000}" autoFormatId="16" applyNumberFormats="0" applyBorderFormats="0" applyFontFormats="0" applyPatternFormats="0" applyAlignmentFormats="0" applyWidthHeightFormats="0">
  <queryTableRefresh nextId="8">
    <queryTableFields count="3">
      <queryTableField id="1" name="ProjectName" tableColumnId="1"/>
      <queryTableField id="6" name="Info" tableColumnId="6"/>
      <queryTableField id="3" name="InfoValu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00000000-0016-0000-0C00-000001000000}" autoFormatId="16" applyNumberFormats="0" applyBorderFormats="0" applyFontFormats="0" applyPatternFormats="0" applyAlignmentFormats="0" applyWidthHeightFormats="0">
  <queryTableRefresh nextId="26">
    <queryTableFields count="8">
      <queryTableField id="12" name="ProjectName" tableColumnId="1"/>
      <queryTableField id="20" name="TaskNumber" tableColumnId="2"/>
      <queryTableField id="3" name="TaskDescription" tableColumnId="3"/>
      <queryTableField id="7" name="ActualStartDate" tableColumnId="7"/>
      <queryTableField id="21" name="ActualDurationDays" tableColumnId="4"/>
      <queryTableField id="9" name="ActualEndDate" tableColumnId="9"/>
      <queryTableField id="22" name="Actual%Complete" tableColumnId="5"/>
      <queryTableField id="23" name="Expected%Complete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00000000-0016-0000-0D00-000002000000}" autoFormatId="16" applyNumberFormats="0" applyBorderFormats="0" applyFontFormats="0" applyPatternFormats="0" applyAlignmentFormats="0" applyWidthHeightFormats="0">
  <queryTableRefresh nextId="46">
    <queryTableFields count="14">
      <queryTableField id="11" name="ProjectName" tableColumnId="1"/>
      <queryTableField id="42" name="TrackerRow" tableColumnId="13"/>
      <queryTableField id="43" name="TrackerLocator" tableColumnId="14"/>
      <queryTableField id="12" name="ExpenseCategory" tableColumnId="2"/>
      <queryTableField id="13" name="ExpenseLineItem" tableColumnId="3"/>
      <queryTableField id="28" name="ExpenseQTY" tableColumnId="4"/>
      <queryTableField id="29" name="ExpenseRateUnit" tableColumnId="5"/>
      <queryTableField id="30" name="ExpenseActualTotal" tableColumnId="6"/>
      <queryTableField id="31" name="ExpensePONumber" tableColumnId="7"/>
      <queryTableField id="32" name="ExpenseInvoiceNumber" tableColumnId="8"/>
      <queryTableField id="33" name="ExpenseInvoicedDate" tableColumnId="9"/>
      <queryTableField id="18" name="RevenueAmount" tableColumnId="11"/>
      <queryTableField id="40" name="ExpensePaymentDate" tableColumnId="10"/>
      <queryTableField id="19" name="COSAmount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E00-000003000000}" autoFormatId="16" applyNumberFormats="0" applyBorderFormats="0" applyFontFormats="0" applyPatternFormats="0" applyAlignmentFormats="0" applyWidthHeightFormats="0">
  <queryTableRefresh nextId="45">
    <queryTableFields count="9">
      <queryTableField id="23" name="ProjectName" tableColumnId="1"/>
      <queryTableField id="35" name="MilestoneDesciption" tableColumnId="2"/>
      <queryTableField id="25" name="Milestone%" tableColumnId="3"/>
      <queryTableField id="36" name="MilstoneAmount" tableColumnId="4"/>
      <queryTableField id="37" name="MilestoneInvoiceNumber" tableColumnId="5"/>
      <queryTableField id="38" name="MilestoneInvoiceRaisedDate" tableColumnId="6"/>
      <queryTableField id="39" name="PaymentRecievedDate" tableColumnId="7"/>
      <queryTableField id="43" name="MilestoneRequirement" tableColumnId="8"/>
      <queryTableField id="44" name="MilestoneCompleted" tableColumnId="9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0292844-8E72-4762-A15C-CD439CC09373}" name="tblProjects" displayName="tblProjects" ref="A1:Y399" totalsRowShown="0" headerRowDxfId="139" dataDxfId="137" headerRowBorderDxfId="138" headerRowCellStyle="Currency" dataCellStyle="Currency">
  <autoFilter ref="A1:Y399" xr:uid="{D0292844-8E72-4762-A15C-CD439CC09373}"/>
  <sortState xmlns:xlrd2="http://schemas.microsoft.com/office/spreadsheetml/2017/richdata2" ref="A2:Y399">
    <sortCondition ref="M1:M399"/>
  </sortState>
  <tableColumns count="25">
    <tableColumn id="1" xr3:uid="{9D53E8DC-CD0E-4AFB-94E0-820CEA9022F2}" name="Project Name" dataDxfId="136">
      <calculatedColumnFormula array="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IFERROR(INDEX(_xlpm.sorted,ROWS(A$2:A2)),"")
)</calculatedColumnFormula>
    </tableColumn>
    <tableColumn id="19" xr3:uid="{BDDB65C2-F8FE-48B6-8D9D-AF77780CEA51}" name="Size" dataDxfId="135">
      <calculatedColumnFormula array="1">_xlfn.LET(_xlpm.p,$A2,_xlfn.IFNA(
  INDEX(tblProjectInfo[InfoValue],
        MATCH(1,(tblProjectInfo[ProjectName]=_xlpm.p)*
                 (UPPER(TRIM(tblProjectInfo[Info]))="PROJECT SIZE (KWP)"),0)
), ""))</calculatedColumnFormula>
    </tableColumn>
    <tableColumn id="21" xr3:uid="{45B50FD7-FBB0-430E-88A9-3C0DA7D9E53C}" name="PD" dataDxfId="134">
      <calculatedColumnFormula array="1">_xlfn.LET(_xlpm.p,$A2,_xlfn.IFNA(
  INDEX(tblProjectInfo[InfoValue],
        MATCH(1,(tblProjectInfo[ProjectName]=_xlpm.p)*
                 (UPPER(TRIM(tblProjectInfo[Info]))="PROJECT DEVELOPER"),0)
), ""))</calculatedColumnFormula>
    </tableColumn>
    <tableColumn id="20" xr3:uid="{7622777A-C2FD-4B77-AA65-B2029C040D72}" name="PM" dataDxfId="133">
      <calculatedColumnFormula array="1">_xlfn.LET(_xlpm.p,$A2,_xlfn.IFNA(
  INDEX(tblProjectInfo[InfoValue],
        MATCH(1,(tblProjectInfo[ProjectName]=_xlpm.p)*
                 (UPPER(TRIM(tblProjectInfo[Info]))="PROJECT MANAGERS"),0)
), ""))</calculatedColumnFormula>
    </tableColumn>
    <tableColumn id="18" xr3:uid="{E4F2F378-2FE1-4D8D-B283-5919BD8CFC69}" name="Cost Proposal Signed" dataDxfId="132"/>
    <tableColumn id="16" xr3:uid="{20906A5F-FDA3-4BDC-9A37-81AFF51CFCD5}" name="Funding Signed" dataDxfId="131"/>
    <tableColumn id="17" xr3:uid="{9EA4D4CC-24C8-4459-8B89-55B82376E066}" name="EPC Contract Signed" dataDxfId="130"/>
    <tableColumn id="9" xr3:uid="{6EA7B0BC-933B-4A35-9526-234EF0044D31}" name="Phase" dataDxfId="129">
      <calculatedColumnFormula array="1">_xlfn.LET(_xlpm.p,$A2,_xlfn.IFNA(
  INDEX(tblProjectInfo[InfoValue],
        MATCH(1,(tblProjectInfo[ProjectName]=_xlpm.p)*
                 ISNUMBER(SEARCH("PHASE",UPPER(tblProjectInfo[Info]))),0)
), ""))</calculatedColumnFormula>
    </tableColumn>
    <tableColumn id="2" xr3:uid="{9E5F2D40-28B6-40CC-905B-34AADDA54D63}" name="PD Handover date" dataDxfId="128">
      <calculatedColumnFormula>_xlfn.LET(_xlpm.p,tblProjects[[#This Row],[Project Name]], _xlpm.d,_xlfn.MAXIFS(tblProjectPlan[ActualStartDate],#REF!,_xlpm.p,tblProjectPlan[TaskDescription],"*Project*Initiation*"), IF(_xlpm.d=0,"",_xlpm.d))</calculatedColumnFormula>
    </tableColumn>
    <tableColumn id="3" xr3:uid="{75189CEC-97A2-4576-8077-D9085CEA1603}" name="Construction Start date" dataDxfId="127">
      <calculatedColumnFormula>IFERROR(
  _xlfn.MAXIFS(
    tblProjectPlan[ActualEndDate],
    tblProjectPlan[ProjectName], tblProjects[[#This Row],[Project Name]],
    tblProjectPlan[TaskDescription], "*site establishment*"
  ),
  ""
)</calculatedColumnFormula>
    </tableColumn>
    <tableColumn id="23" xr3:uid="{C3D9FDFD-4262-4E56-AA50-94BE79EC3AED}" name="Duration" dataDxfId="126">
      <calculatedColumnFormula>_xlfn.DAYS(tblProjects[[#This Row],[Commissioning Date]],tblProjects[[#This Row],[Construction Start date]])</calculatedColumnFormula>
    </tableColumn>
    <tableColumn id="22" xr3:uid="{EDBBD30A-DD30-49E9-92DC-D7CFD806086C}" name="kW/Week" dataDxfId="125" dataCellStyle="Comma">
      <calculatedColumnFormula>tblProjects[[#This Row],[Size]]/tblProjects[[#This Row],[Duration]]</calculatedColumnFormula>
    </tableColumn>
    <tableColumn id="4" xr3:uid="{184AB181-AF58-4658-889A-D4F69B18C768}" name="Commissioning Date" dataDxfId="124">
      <calculatedColumnFormula>IFERROR(
  _xlfn.MAXIFS(
    tblProjectPlan[ActualEndDate],
    tblProjectPlan[ProjectName], tblProjects[[#This Row],[Project Name]],
    tblProjectPlan[TaskDescription], "*Commissioning*"
  ),
  ""
)</calculatedColumnFormula>
    </tableColumn>
    <tableColumn id="24" xr3:uid="{1D14F6CD-4B46-4833-9B35-F35F771A235D}" name="O&amp;M Handover Date" dataDxfId="123">
      <calculatedColumnFormula>IFERROR(
  _xlfn.MAXIFS(
    tblProjectPlan[ActualEndDate],
    tblProjectPlan[ProjectName], tblProjects[[#This Row],[Project Name]],
    tblProjectPlan[TaskDescription], "*Handover to Matriarch*"
  ),
  ""
)</calculatedColumnFormula>
    </tableColumn>
    <tableColumn id="5" xr3:uid="{351FD29B-EF2C-4336-97F6-8F5F8E3257DE}" name="Client Handover Date" dataDxfId="122">
      <calculatedColumnFormula>_xlfn.LET(_xlpm.p,tblProjects[[#This Row],[Project Name]], _xlpm.d,_xlfn.MAXIFS(tblProjectPlan[ActualEndDate],#REF!,_xlpm.p,tblProjectPlan[TaskDescription],"*Project*Closure*"), IF(_xlpm.d=0,"",_xlpm.d))</calculatedColumnFormula>
    </tableColumn>
    <tableColumn id="6" xr3:uid="{15F44768-16B6-4C0E-9D39-A2F47F917362}" name="Project % Complete" dataDxfId="121">
      <calculatedColumnFormula>IFERROR(AVERAGEIF(tblProjectPlan[ProjectName],tblProjects[[#This Row],[Project Name]],tblProjectPlan[Actual%Complete]),0)</calculatedColumnFormula>
    </tableColumn>
    <tableColumn id="7" xr3:uid="{B3B2495D-52E5-4FDA-8E59-B38A1EB463AC}" name="Expected % Completed" dataDxfId="120">
      <calculatedColumnFormula>IFERROR(AVERAGEIF(tblProjectPlan[ProjectName],tblProjects[[#This Row],[Project Name]],tblProjectPlan[Expected%Complete]),0)</calculatedColumnFormula>
    </tableColumn>
    <tableColumn id="8" xr3:uid="{CD23ECC1-8362-4446-862C-A8B14F78ABB0}" name="Delta vs Expected" dataDxfId="119">
      <calculatedColumnFormula>tblProjects[[#This Row],[Project % Complete]]-tblProjects[[#This Row],[Expected % Completed]]</calculatedColumnFormula>
    </tableColumn>
    <tableColumn id="11" xr3:uid="{EC586485-8150-4B13-9E31-EE138796E532}" name="Actual Revenue" dataDxfId="118" dataCellStyle="Currency">
      <calculatedColumnFormula>_xlfn.LET(_xlpm.p,tblProjects[[#This Row],[Project Name]], SUMIFS(tblProgramInflows[MilstoneAmount], tblProgramInflows[ProjectName], _xlpm.p))</calculatedColumnFormula>
    </tableColumn>
    <tableColumn id="12" xr3:uid="{1C43BCAC-E987-4F98-857F-D67FD0751996}" name="Actual Expenses" dataDxfId="117" dataCellStyle="Currency">
      <calculatedColumnFormula>_xlfn.LET(_xlpm.p,tblProjects[[#This Row],[Project Name]], SUMIFS(tblProgramExpense[ExpenseActualTotal], tblProgramExpense[ProjectName], _xlpm.p))</calculatedColumnFormula>
    </tableColumn>
    <tableColumn id="13" xr3:uid="{62519319-0C63-49C8-92E8-E63C47C52ED9}" name="GP %" dataDxfId="116">
      <calculatedColumnFormula>1-IF(tblProjects[[#This Row],[Actual Revenue]]=0,"",tblProjects[[#This Row],[Actual Expenses]]/tblProjects[[#This Row],[Actual Revenue]])</calculatedColumnFormula>
    </tableColumn>
    <tableColumn id="14" xr3:uid="{3EADFB83-EE5E-4838-8828-17B8C0A8CC97}" name="Revenue Outstanding" dataDxfId="115" dataCellStyle="Currency">
      <calculatedColumnFormula>_xlfn.LET(_xlpm.p,tblProjects[[#This Row],[Project Name]], SUMIFS(#REF!,#REF!, _xlpm.p,#REF!, "&lt;="&amp;TODAY(),#REF!, "="))</calculatedColumnFormula>
    </tableColumn>
    <tableColumn id="15" xr3:uid="{476F9AFD-78A4-4A48-AE99-EEBFBCEB11CC}" name="Expenses Due " dataDxfId="114" dataCellStyle="Currency">
      <calculatedColumnFormula>_xlfn.LET(_xlpm.p,tblProjects[[#This Row],[Project Name]], SUMIFS(tblProgramExpense[ExpenseActualTotal], tblProgramExpense[ProjectName],_xlpm.p,tblProgramExpense[ExpensePaymentDate], "&lt;="&amp;TODAY(),tblProgramExpense[ExpenseInvoiceNumber], "="))</calculatedColumnFormula>
    </tableColumn>
    <tableColumn id="10" xr3:uid="{107A09E5-62CE-4312-A4BF-7D94949E4C1B}" name="Current VO Total" dataDxfId="113" dataCellStyle="Currency"/>
    <tableColumn id="25" xr3:uid="{D247A833-0AE1-45ED-931F-30EA37BABE58}" name="COMMENTS" dataDxfId="112" dataCellStyle="Currency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A4BF642-D090-4E3B-BFE3-8ADEFC6B9A58}" name="Table16" displayName="Table16" ref="A1:L101" totalsRowShown="0" headerRowDxfId="111" dataDxfId="109" headerRowBorderDxfId="110" tableBorderDxfId="108" totalsRowBorderDxfId="107">
  <autoFilter ref="A1:L101" xr:uid="{FA4BF642-D090-4E3B-BFE3-8ADEFC6B9A58}">
    <filterColumn colId="8">
      <filters blank="1">
        <filter val="Active"/>
      </filters>
    </filterColumn>
  </autoFilter>
  <sortState xmlns:xlrd2="http://schemas.microsoft.com/office/spreadsheetml/2017/richdata2" ref="A22:L101">
    <sortCondition ref="H1:H101"/>
  </sortState>
  <tableColumns count="12">
    <tableColumn id="1" xr3:uid="{54386985-B12B-4591-B217-831EEBFEAC17}" name="ID" dataDxfId="106"/>
    <tableColumn id="2" xr3:uid="{78F52122-93A3-41CC-853B-1DE97754FE19}" name="Department" dataDxfId="105"/>
    <tableColumn id="3" xr3:uid="{4DCA6C09-53F2-47D5-8B52-7EEDDF4BBAD2}" name="Action/Description" dataDxfId="104"/>
    <tableColumn id="4" xr3:uid="{30D20081-28C8-448C-A377-31C50BA36A49}" name="RAG Status" dataDxfId="103"/>
    <tableColumn id="5" xr3:uid="{894BE25B-588F-4398-9087-562E6219CA1D}" name="Owner" dataDxfId="102"/>
    <tableColumn id="6" xr3:uid="{03711D72-CEE1-4A41-B2DC-FA831CF1BFCA}" name="Support" dataDxfId="101"/>
    <tableColumn id="7" xr3:uid="{74AE44F0-4BB1-4BEC-8391-F58FE1C2E7B4}" name="Date Raised" dataDxfId="100"/>
    <tableColumn id="8" xr3:uid="{5F180CCF-2BB9-4EFF-9988-E0B48B3AF19D}" name="Due Date" dataDxfId="99"/>
    <tableColumn id="9" xr3:uid="{C4EEE49D-EF6C-4126-888F-3E02BDD8EEEE}" name="Status" dataDxfId="98"/>
    <tableColumn id="10" xr3:uid="{783347C3-491F-4913-B590-7CB48E69FD70}" name="Date Completed" dataDxfId="97"/>
    <tableColumn id="11" xr3:uid="{B99BF854-D7D1-4512-9C6F-FB8377D53867}" name="Outcome/Comments " dataDxfId="96"/>
    <tableColumn id="12" xr3:uid="{4CE88BFE-0D2F-4AB2-9AC3-1DD77A2C182A}" name="Supporting Info" dataDxfId="95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A353A7-110F-42EA-89B5-41ADF414CE14}" name="tblProcurement2026" displayName="tblProcurement2026" ref="A1:S400">
  <autoFilter ref="A1:S400" xr:uid="{D1A353A7-110F-42EA-89B5-41ADF414CE14}"/>
  <tableColumns count="19">
    <tableColumn id="1" xr3:uid="{4BBB4CEB-EDCD-4669-91BD-70F4AD36BA3D}" name="Project Name" dataDxfId="94">
      <calculatedColumnFormula array="1">_xlfn.LET(_xlpm.src,TRIM(#REF!), _xlpm.u,_xlfn._xlws.SORT(_xlfn.UNIQUE(_xlfn._xlws.FILTER(_xlpm.src,_xlpm.src&lt;&gt;""))), IFERROR(INDEX(_xlpm.u,ROWS(A$2:A2)),""))</calculatedColumnFormula>
    </tableColumn>
    <tableColumn id="2" xr3:uid="{DFF81FD0-2B8F-414A-AC24-7D117627BE6B}" name="Committed (All Expenses)" dataDxfId="93">
      <calculatedColumnFormula>_xlfn.LET(_xlpm.p,tblProcurement2026[[#This Row],[Project Name]], SUMIFS(#REF!,#REF!, _xlpm.p))</calculatedColumnFormula>
    </tableColumn>
    <tableColumn id="3" xr3:uid="{36A24314-0F22-45F0-8054-23C3BEB5645D}" name="Paid/Realised" dataDxfId="92">
      <calculatedColumnFormula>_xlfn.LET(_xlpm.p,tblProcurement2026[[#This Row],[Project Name]], SUMIFS(#REF!,#REF!, _xlpm.p,#REF!, "&lt;="&amp;TODAY(),#REF!, "&lt;&gt;"))</calculatedColumnFormula>
    </tableColumn>
    <tableColumn id="4" xr3:uid="{163DBA60-92DC-4BAC-88AE-EFA9C9A0F1DA}" name="Accrued Outstanding (Uninvoiced; past)" dataDxfId="91">
      <calculatedColumnFormula>_xlfn.LET(_xlpm.p,tblProcurement2026[[#This Row],[Project Name]], SUMIFS(#REF!,#REF!, _xlpm.p,#REF!, "&lt;="&amp;TODAY(),#REF!, "="))</calculatedColumnFormula>
    </tableColumn>
    <tableColumn id="5" xr3:uid="{982B087E-96BC-4317-A658-DB6742BAC431}" name="Upcoming – Invoiced" dataDxfId="90">
      <calculatedColumnFormula>_xlfn.LET(_xlpm.p,tblProcurement2026[[#This Row],[Project Name]], SUMIFS(#REF!,#REF!, _xlpm.p,#REF!, "&gt;"&amp;TODAY(),#REF!, "&lt;&gt;"))</calculatedColumnFormula>
    </tableColumn>
    <tableColumn id="6" xr3:uid="{D8A9F8A6-3568-46F7-85BC-A27448FA2532}" name="Upcoming – Uninvoiced" dataDxfId="89">
      <calculatedColumnFormula>_xlfn.LET(_xlpm.p,tblProcurement2026[[#This Row],[Project Name]], SUMIFS(#REF!,#REF!, _xlpm.p,#REF!, "&gt;"&amp;TODAY(),#REF!, "="))</calculatedColumnFormula>
    </tableColumn>
    <tableColumn id="7" xr3:uid="{2A896A7E-72B2-4D88-8BF0-281526B60D75}" name="% Paid vs Committed" dataDxfId="88">
      <calculatedColumnFormula>IF(tblProcurement2026[[#This Row],[Committed (All Expenses)]]=0,"",tblProcurement2026[[#This Row],[Paid/Realised]]/tblProcurement2026[[#This Row],[Committed (All Expenses)]])</calculatedColumnFormula>
    </tableColumn>
    <tableColumn id="8" xr3:uid="{439859E5-93B7-4A0F-916E-A9AE06100F82}" name="Days to Next Payable" dataDxfId="87">
      <calculatedColumnFormula array="1">_xlfn.LET(_xlpm.p,tblProcurement2026[[#This Row],[Project Name]], _xlpm.nxt,MIN( IF((#REF!=_xlpm.p)*(#REF!&gt;TODAY()),#REF!)), IF(_xlpm.nxt=0,"",_xlpm.nxt-TODAY()))</calculatedColumnFormula>
    </tableColumn>
    <tableColumn id="9" xr3:uid="{87CA2ECA-4BC1-4CF1-8144-FD279B3C14D2}" name="Panels Vendor(s)"/>
    <tableColumn id="10" xr3:uid="{07958E12-4C21-4CC9-9E18-61EC26147B9B}" name="Panels Committed"/>
    <tableColumn id="14" xr3:uid="{8F93D473-9A44-48A4-9EB9-697B86DCC691}" name="Panels Next Delivery"/>
    <tableColumn id="15" xr3:uid="{0E99DD81-9E1A-430D-8473-D77A4C8078C7}" name="Inverters Vendor(s)"/>
    <tableColumn id="16" xr3:uid="{95A906E0-9921-4C1C-875A-72CAACF1FDA3}" name="Inverters Committed"/>
    <tableColumn id="20" xr3:uid="{30FC3EE3-AA27-4625-9ED3-566F8BE840AD}" name="Inverters Next Delivery"/>
    <tableColumn id="21" xr3:uid="{4FA554A2-5B57-4D2B-85F6-1E63FEDD7A4D}" name="Installer"/>
    <tableColumn id="22" xr3:uid="{02AE82BC-5E8C-422C-B433-A61739F59B52}" name="Installer Start Target"/>
    <tableColumn id="23" xr3:uid="{E3781361-D13A-40FD-8DFD-7FFA937C97AD}" name="Installer Contract Value"/>
    <tableColumn id="25" xr3:uid="{08345F03-E638-4A23-97FB-CAB8EFFA35FB}" name="Installer Outstanding (past; uninvoiced)"/>
    <tableColumn id="26" xr3:uid="{5422E32C-028B-40A3-9A57-7B6D8FE7BC01}" name="Note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7EF4B17-7F26-42B7-B63A-2726B4FFCECF}" name="tblCompliance2026" displayName="tblCompliance2026" ref="A1:AJ400">
  <autoFilter ref="A1:AJ400" xr:uid="{37EF4B17-7F26-42B7-B63A-2726B4FFCECF}"/>
  <tableColumns count="36">
    <tableColumn id="1" xr3:uid="{260AB497-F3BD-41AA-8400-750B6036DE16}" name="Project Name" dataDxfId="86">
      <calculatedColumnFormula array="1">_xlfn.LET(_xlpm.src,TRIM(#REF!), _xlpm.u,_xlfn._xlws.SORT(_xlfn.UNIQUE(_xlfn._xlws.FILTER(_xlpm.src,_xlpm.src&lt;&gt;""))), IFERROR(INDEX(_xlpm.u,ROWS(A$2:A2)),""))</calculatedColumnFormula>
    </tableColumn>
    <tableColumn id="12" xr3:uid="{C2AD0D51-0660-4EB1-A12C-D3DFED9A5E3B}" name="Comm Plan Start" dataDxfId="85"/>
    <tableColumn id="13" xr3:uid="{298B645F-6DC2-48F4-BE4A-F4BBD5AFD836}" name="Comm Actual Start" dataDxfId="84"/>
    <tableColumn id="14" xr3:uid="{C3AC9A23-9C25-4696-96D4-A88E7C867780}" name="Comm Actual End" dataDxfId="83"/>
    <tableColumn id="15" xr3:uid="{BB4A2F09-CE85-4DBF-80AD-C373AFAF17C7}" name="Comm Status"/>
    <tableColumn id="16" xr3:uid="{D2890FC9-5187-401E-BD29-3A16E3E46A6E}" name="Comm Days in Stage" dataDxfId="82"/>
    <tableColumn id="46" xr3:uid="{22A08AA0-F474-48CA-ABAF-55B9DC033A09}" name="Commissioning Report Link" dataDxfId="81"/>
    <tableColumn id="38" xr3:uid="{4DE6D6F1-B8DB-4D66-8F85-91B34B4749F1}" name="Red-Team Trigger" dataDxfId="80"/>
    <tableColumn id="39" xr3:uid="{E4F36FE3-0A70-4DD5-AA3D-BB54433F8A9F}" name="Red Owner" dataDxfId="79"/>
    <tableColumn id="40" xr3:uid="{07D976FB-B75E-49F8-AB95-AA6B3689C536}" name="Red Next Action" dataDxfId="78"/>
    <tableColumn id="41" xr3:uid="{960DC9D8-EF2F-4374-8D76-6A16F121223D}" name="Red Due" dataDxfId="77"/>
    <tableColumn id="6" xr3:uid="{224D2F0D-9405-4FC7-8465-7969DF7D8ABB}" name="QA Actual Start" dataDxfId="76">
      <calculatedColumnFormula>_xlfn.LET(_xlpm.p,tblCompliance2026[[#This Row],[Project Name]], _xlfn.MAXIFS(tblProjectPlan[ActualStartDate],#REF!, _xlpm.p, tblProjectPlan[TaskDescription],"*QA*Inspection*"))</calculatedColumnFormula>
    </tableColumn>
    <tableColumn id="7" xr3:uid="{D81E309F-D560-4ED5-9BFB-7F479C6C508D}" name="QA Actual End" dataDxfId="75">
      <calculatedColumnFormula>_xlfn.LET(_xlpm.p,tblCompliance2026[[#This Row],[Project Name]], _xlfn.MAXIFS(tblProjectPlan[ActualEndDate],#REF!,    _xlpm.p, tblProjectPlan[TaskDescription],"*QA*Inspection*"))</calculatedColumnFormula>
    </tableColumn>
    <tableColumn id="8" xr3:uid="{82269A6D-3E73-420E-95A8-1B1B4360D60C}" name="QA Status"/>
    <tableColumn id="9" xr3:uid="{370E8B84-9753-436B-9212-B112D1DEF5EB}" name="QA Days in Stage"/>
    <tableColumn id="10" xr3:uid="{C0A95ED6-EEE1-4689-9980-974404571DAC}" name="Punchlist Open"/>
    <tableColumn id="11" xr3:uid="{63843C32-5193-4551-A0E9-71FF6991FF13}" name="QA RAG"/>
    <tableColumn id="19" xr3:uid="{226B1FD1-5FC7-4631-8B35-F9138185D41A}" name="First Aid Cases"/>
    <tableColumn id="20" xr3:uid="{7C446E66-306F-4781-9498-8A5A69AA2164}" name="Near Misses"/>
    <tableColumn id="21" xr3:uid="{F178BF7B-DF05-4F84-816B-B14911A73747}" name="Last Incident Date"/>
    <tableColumn id="22" xr3:uid="{4407EF2A-DAE7-48AE-8935-FB317DB724C5}" name="Days Since Last Incident"/>
    <tableColumn id="25" xr3:uid="{78157A8F-D2FF-4EF6-86B6-930B477ADCF4}" name="HSE RAG"/>
    <tableColumn id="26" xr3:uid="{B5600D8A-6DED-4337-91F6-F9E3CDC2000E}" name="Last Client Update"/>
    <tableColumn id="27" xr3:uid="{986E1BB4-A1A6-4421-A01C-99E6781F1F96}" name="Days Since Client Update"/>
    <tableColumn id="28" xr3:uid="{9EB3A653-368E-49D8-9490-772CF9D6D309}" name="Client Update Status"/>
    <tableColumn id="29" xr3:uid="{76B9E114-0E5A-4B9B-8645-6BC4419F2406}" name="SSEG Submitted"/>
    <tableColumn id="30" xr3:uid="{4B7936BD-9E5C-472A-8A77-8DBB3EC470F5}" name="SSEG Approved"/>
    <tableColumn id="31" xr3:uid="{E4039452-6202-4A25-8FF1-3ED056B7ADF4}" name="Days Since SSEG Submit"/>
    <tableColumn id="32" xr3:uid="{998F0625-C8A6-4F19-BF9E-AF68F3240A2E}" name="SSEG Status"/>
    <tableColumn id="33" xr3:uid="{93DFB292-21A5-4ADF-A616-E0AEBD2B3DF8}" name="NERSA Required?"/>
    <tableColumn id="34" xr3:uid="{7FC53DB3-2B0B-4429-9C46-3AB1DD809D1C}" name="NERSA Submitted"/>
    <tableColumn id="35" xr3:uid="{7A47CBA6-7CEC-43DA-BB3F-83EC6E480A98}" name="NERSA Approved"/>
    <tableColumn id="36" xr3:uid="{FA845F1E-E1E4-4F9D-93BF-BC9AEDC7B7C9}" name="Days Since NERSA Submit"/>
    <tableColumn id="37" xr3:uid="{FC27DA4C-EAD5-4007-A297-BE7AB36530CE}" name="NERSA Status"/>
    <tableColumn id="42" xr3:uid="{1E45D8A4-9DB3-4F5B-9806-381718947DE7}" name="SSEG Municipality"/>
    <tableColumn id="43" xr3:uid="{AF6A0E81-CE2B-4354-A231-90632A621C9A}" name="SSEG Ref #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8FACA7B-24DD-4954-922E-B46EAC18651F}" name="tblProjectInfo" displayName="tblProjectInfo" ref="A1:C286" tableType="queryTable" totalsRowShown="0">
  <autoFilter ref="A1:C286" xr:uid="{38FACA7B-24DD-4954-922E-B46EAC18651F}"/>
  <tableColumns count="3">
    <tableColumn id="1" xr3:uid="{61040F09-1D3E-497B-A167-AF991E78CEE0}" uniqueName="1" name="ProjectName" queryTableFieldId="1" dataDxfId="74"/>
    <tableColumn id="6" xr3:uid="{D3145A9D-DABE-4395-B4CE-94E094CA80AB}" uniqueName="6" name="Info" queryTableFieldId="6" dataDxfId="73"/>
    <tableColumn id="3" xr3:uid="{3BCAAFEB-2E54-4878-8397-2362461D4DD1}" uniqueName="3" name="InfoValue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26F39DC-3C1B-4F66-B818-9A46F45BB571}" name="tblProjectPlan" displayName="tblProjectPlan" ref="A1:H2176" tableType="queryTable" totalsRowShown="0">
  <autoFilter ref="A1:H2176" xr:uid="{D26F39DC-3C1B-4F66-B818-9A46F45BB571}">
    <filterColumn colId="0">
      <filters>
        <filter val="25 Superior Road_Tracker.xlsx"/>
      </filters>
    </filterColumn>
  </autoFilter>
  <tableColumns count="8">
    <tableColumn id="1" xr3:uid="{2B2A6B48-F983-4B26-99A4-7062256A4C4A}" uniqueName="1" name="ProjectName" queryTableFieldId="12" dataDxfId="72"/>
    <tableColumn id="2" xr3:uid="{07DAE77C-8068-4561-BA0E-5A7C4E9D989F}" uniqueName="2" name="TaskNumber" queryTableFieldId="20"/>
    <tableColumn id="3" xr3:uid="{494153DB-28A6-400A-9E84-E8BCD7B6A051}" uniqueName="3" name="TaskDescription" queryTableFieldId="3" dataDxfId="71"/>
    <tableColumn id="7" xr3:uid="{B75ACF37-EB06-424F-83A6-0B8925A567A4}" uniqueName="7" name="ActualStartDate" queryTableFieldId="7" dataDxfId="8"/>
    <tableColumn id="4" xr3:uid="{A9800D95-62B7-41B5-9F0A-1952BDEE241C}" uniqueName="4" name="ActualDurationDays" queryTableFieldId="21"/>
    <tableColumn id="9" xr3:uid="{45A570A7-C1CB-4F21-A3E9-D327911D837B}" uniqueName="9" name="ActualEndDate" queryTableFieldId="9" dataDxfId="7"/>
    <tableColumn id="5" xr3:uid="{E6F52B82-6FCE-480B-9A1C-33B9147BC26E}" uniqueName="5" name="Actual%Complete" queryTableFieldId="22" dataDxfId="70"/>
    <tableColumn id="6" xr3:uid="{8DAE0DC4-3F95-436D-B2DF-037D0E102A3C}" uniqueName="6" name="Expected%Complete" queryTableFieldId="23" dataDxfId="6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426F7E7-1D49-49D0-BE49-32CA73EFF240}" name="tblProgramExpense" displayName="tblProgramExpense" ref="A1:N4326" tableType="queryTable" totalsRowShown="0">
  <autoFilter ref="A1:N4326" xr:uid="{5426F7E7-1D49-49D0-BE49-32CA73EFF240}">
    <filterColumn colId="0">
      <filters>
        <filter val="Sibasa_Tracker.xlsx"/>
      </filters>
    </filterColumn>
    <filterColumn colId="9">
      <filters blank="1"/>
    </filterColumn>
  </autoFilter>
  <tableColumns count="14">
    <tableColumn id="1" xr3:uid="{41E9E082-5348-48B1-8EB3-A911A59CBAE4}" uniqueName="1" name="ProjectName" queryTableFieldId="11" dataDxfId="68"/>
    <tableColumn id="13" xr3:uid="{8BAD3B70-5D09-4266-AEC6-12258D63E22B}" uniqueName="13" name="TrackerRow" queryTableFieldId="42" dataDxfId="6" dataCellStyle="Currency"/>
    <tableColumn id="14" xr3:uid="{D950B986-9CF3-4029-A4E4-F055AE159E4B}" uniqueName="14" name="TrackerLocator" queryTableFieldId="43" dataDxfId="5" dataCellStyle="Currency"/>
    <tableColumn id="2" xr3:uid="{B0752B53-6EF6-44C8-B82A-4FCEA3FD948B}" uniqueName="2" name="ExpenseCategory" queryTableFieldId="12" dataDxfId="67"/>
    <tableColumn id="3" xr3:uid="{E2035B3A-3AE5-4FB0-893E-B61C9B28B91B}" uniqueName="3" name="ExpenseLineItem" queryTableFieldId="13" dataDxfId="66"/>
    <tableColumn id="4" xr3:uid="{801B77EB-46DA-4069-8A46-43640E394309}" uniqueName="4" name="ExpenseQTY" queryTableFieldId="28"/>
    <tableColumn id="5" xr3:uid="{17F1D4A1-AB3D-4EB3-B5AB-D159CDF9F6D4}" uniqueName="5" name="ExpenseRateUnit" queryTableFieldId="29"/>
    <tableColumn id="6" xr3:uid="{1AD25DDA-3187-48DA-ADC0-ADD12AE56645}" uniqueName="6" name="ExpenseActualTotal" queryTableFieldId="30" dataDxfId="4" dataCellStyle="Currency"/>
    <tableColumn id="7" xr3:uid="{E8CFDD06-39E8-481E-93E6-C805B3DE59D5}" uniqueName="7" name="ExpensePONumber" queryTableFieldId="31" dataDxfId="65"/>
    <tableColumn id="8" xr3:uid="{5D5CCBC3-47B2-49B5-B8C7-37A57D5701F3}" uniqueName="8" name="ExpenseInvoiceNumber" queryTableFieldId="32" dataDxfId="64"/>
    <tableColumn id="9" xr3:uid="{DD288BF3-0495-4EDB-95C6-D3220F10779E}" uniqueName="9" name="ExpenseInvoicedDate" queryTableFieldId="33" dataDxfId="3"/>
    <tableColumn id="11" xr3:uid="{4710EE07-A489-4B56-9C0E-F96105E81CE6}" uniqueName="11" name="RevenueAmount" queryTableFieldId="18" dataDxfId="2" dataCellStyle="Currency"/>
    <tableColumn id="10" xr3:uid="{4AE66D06-41BD-4928-A4ED-3869A130F4A7}" uniqueName="10" name="ExpensePaymentDate" queryTableFieldId="40" dataDxfId="1" dataCellStyle="Currency"/>
    <tableColumn id="12" xr3:uid="{402FFDDC-252E-4EBC-AB88-1C915971B13F}" uniqueName="12" name="COSAmount" queryTableFieldId="19" dataDxfId="0" dataCellStyle="Currency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7FEAF9-54FF-4147-B1E7-45D7D6391036}" name="tblProgramInflows" displayName="tblProgramInflows" ref="A1:I391" tableType="queryTable" totalsRowShown="0">
  <autoFilter ref="A1:I391" xr:uid="{277FEAF9-54FF-4147-B1E7-45D7D6391036}"/>
  <tableColumns count="9">
    <tableColumn id="1" xr3:uid="{4B3B6779-EC56-404C-A3E5-0781C28C4AB5}" uniqueName="1" name="ProjectName" queryTableFieldId="23" dataDxfId="63"/>
    <tableColumn id="2" xr3:uid="{80747C20-AFF9-42FE-87BF-07A67F9AB02F}" uniqueName="2" name="MilestoneDesciption" queryTableFieldId="35" dataDxfId="62"/>
    <tableColumn id="3" xr3:uid="{8794A0C9-C46E-45C2-8BA8-10730E6E2CEC}" uniqueName="3" name="Milestone%" queryTableFieldId="25" dataDxfId="14" dataCellStyle="Percent"/>
    <tableColumn id="4" xr3:uid="{43BE2D28-EA64-480D-9F44-7B00191677C7}" uniqueName="4" name="MilstoneAmount" queryTableFieldId="36" dataDxfId="13" dataCellStyle="Currency"/>
    <tableColumn id="5" xr3:uid="{E88D7E6B-9DF9-4917-986A-8D51A30148F1}" uniqueName="5" name="MilestoneInvoiceNumber" queryTableFieldId="37" dataDxfId="61"/>
    <tableColumn id="6" xr3:uid="{9D02D168-F1FE-4139-95E4-0D7F6BE6026E}" uniqueName="6" name="MilestoneInvoiceRaisedDate" queryTableFieldId="38" dataDxfId="12" dataCellStyle="Percent"/>
    <tableColumn id="7" xr3:uid="{DE7517E9-75CB-42C3-A315-CCCE2C9C64AE}" uniqueName="7" name="PaymentRecievedDate" queryTableFieldId="39" dataDxfId="11" dataCellStyle="Percent"/>
    <tableColumn id="8" xr3:uid="{F7A86814-B172-49F8-A7E7-B51D92C73E80}" uniqueName="8" name="MilestoneRequirement" queryTableFieldId="43" dataDxfId="10" dataCellStyle="Percent"/>
    <tableColumn id="9" xr3:uid="{1BF86342-4363-4378-B41A-22436DF5CADA}" uniqueName="9" name="MilestoneCompleted" queryTableFieldId="44" dataDxfId="9" dataCellStyle="Percent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C24C5B-F680-4ED1-8B36-ECCAB6103017}" name="Table1" displayName="Table1" ref="B1:B2" totalsRowShown="0">
  <autoFilter ref="B1:B2" xr:uid="{CAC24C5B-F680-4ED1-8B36-ECCAB6103017}"/>
  <tableColumns count="1">
    <tableColumn id="1" xr3:uid="{170068CD-D63D-4AA9-B5A2-E4F9257CC7EA}" name="Restricted Lis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EE2E92-4DD6-430F-8A4C-FD2029973AEF}" name="tblPhase" displayName="tblPhase" ref="C1:C11" totalsRowShown="0">
  <autoFilter ref="C1:C11" xr:uid="{A0EE2E92-4DD6-430F-8A4C-FD2029973AEF}"/>
  <tableColumns count="1">
    <tableColumn id="1" xr3:uid="{48702B9B-D8DC-437D-8200-171458182B5E}" name="Statuses for projec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89B40B6-C4C7-4035-B890-17C449F7AAE6}" name="tblSuppliersPanels" displayName="tblSuppliersPanels" ref="D1:D14" totalsRowShown="0">
  <autoFilter ref="D1:D14" xr:uid="{989B40B6-C4C7-4035-B890-17C449F7AAE6}"/>
  <tableColumns count="1">
    <tableColumn id="1" xr3:uid="{AB5172BB-B165-4671-96AA-D4C1F77A37E5}" name="Panel Supplier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36726EC-8581-40D4-AAB3-5893B907747A}" name="tblSuppliersInverters" displayName="tblSuppliersInverters" ref="E1:E7" totalsRowShown="0">
  <autoFilter ref="E1:E7" xr:uid="{736726EC-8581-40D4-AAB3-5893B907747A}"/>
  <tableColumns count="1">
    <tableColumn id="1" xr3:uid="{6E94DEB4-F618-4816-BB23-A89348996F3D}" name="Inverter Supplier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CFA1987-F400-4BC5-A3BF-C5B4DF46D250}" name="tblBrandsInverters" displayName="tblBrandsInverters" ref="F1:F8" totalsRowShown="0">
  <autoFilter ref="F1:F8" xr:uid="{BCFA1987-F400-4BC5-A3BF-C5B4DF46D250}"/>
  <tableColumns count="1">
    <tableColumn id="1" xr3:uid="{BE48A7F9-AD69-4F0B-AB13-EED09D2BE165}" name="Inverter Brand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F4280BD-6BBA-42D8-BCF4-BB2BEB62733C}" name="tblCompliance" displayName="tblCompliance" ref="G1:G4" totalsRowShown="0">
  <autoFilter ref="G1:G4" xr:uid="{EF4280BD-6BBA-42D8-BCF4-BB2BEB62733C}"/>
  <tableColumns count="1">
    <tableColumn id="1" xr3:uid="{24D6C075-A707-4A5F-87A3-18F75C01447C}" name="Complianc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7B27819-B11E-476F-B148-5D71C6548E35}" name="tblProvnices" displayName="tblProvnices" ref="H1:J11" totalsRowShown="0">
  <autoFilter ref="H1:J11" xr:uid="{A7B27819-B11E-476F-B148-5D71C6548E35}"/>
  <tableColumns count="3">
    <tableColumn id="1" xr3:uid="{B335A214-61FB-4D0A-BD1B-962E1EB31598}" name="Provinces"/>
    <tableColumn id="2" xr3:uid="{AC6A84ED-8D70-42A2-896D-E8C1864CFFD5}" name="RAG Status"/>
    <tableColumn id="3" xr3:uid="{E63FBB58-9B62-4150-A4D2-336B62CF7066}" name="Depar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8" dT="2026-02-16T09:29:49.45" personId="{EAAEAF1C-A042-4AC0-AC38-51FA5A116B53}" id="{1BF05448-2926-4ABD-B68D-C1EC55378656}">
    <text>@Roedolph Venter Something is not lekker here. Check the percentages.</text>
    <mentions>
      <mention mentionpersonId="{074DBEBD-7EE1-498C-A649-A367CEE7DAA4}" mentionId="{C58D1958-E32B-47D3-BDDE-55A24ADCB905}" startIndex="0" length="16"/>
    </mentions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67" dT="2024-11-07T10:50:28.95" personId="{9199E945-2305-4A75-946F-1608DEDB8325}" id="{B5166CB1-142F-4C57-907F-78B8A303081C}">
    <text>Matriach defects, PM etc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1" dT="2026-01-15T09:42:57.14" personId="{EAAEAF1C-A042-4AC0-AC38-51FA5A116B53}" id="{BDAE436B-1151-4D8B-AD33-C7160EF8E3FC}">
    <text>Outstanding work for Meraki :
- System tripped over the first week of the holiday have been arranging for team to head out to give remote support and find the issue with support from ATESS.
- 1 x Optimizer needs to be replaced from phase 1 of the SolarEdge system.
- UPS needs to be tested as it switches off after some time causing portal to go offline. 
Arranging with Thula Moya to help get a team out to check these out for us.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9/04/relationships/documenttask" Target="../documenttasks/documenttask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228E3-876B-49FB-9A96-F3A042407C8C}">
  <sheetPr codeName="Sheet1"/>
  <dimension ref="A1:BD47"/>
  <sheetViews>
    <sheetView zoomScaleNormal="100" workbookViewId="0">
      <pane xSplit="1" topLeftCell="B1" activePane="topRight" state="frozen"/>
      <selection pane="topRight" activeCell="D6" sqref="D6"/>
    </sheetView>
  </sheetViews>
  <sheetFormatPr defaultColWidth="12.54296875" defaultRowHeight="14.5"/>
  <cols>
    <col min="1" max="1" width="19.7265625" customWidth="1"/>
    <col min="2" max="2" width="35.26953125" customWidth="1"/>
    <col min="3" max="3" width="29.81640625" customWidth="1"/>
    <col min="4" max="4" width="27.453125" bestFit="1" customWidth="1"/>
    <col min="5" max="5" width="38.453125" bestFit="1" customWidth="1"/>
    <col min="6" max="6" width="42" customWidth="1"/>
    <col min="7" max="7" width="39" customWidth="1"/>
    <col min="8" max="8" width="27" bestFit="1" customWidth="1"/>
    <col min="9" max="9" width="27.453125" bestFit="1" customWidth="1"/>
    <col min="10" max="10" width="28.54296875" bestFit="1" customWidth="1"/>
    <col min="11" max="11" width="14.08984375" bestFit="1" customWidth="1"/>
    <col min="12" max="12" width="19.54296875" bestFit="1" customWidth="1"/>
    <col min="13" max="13" width="15.90625" bestFit="1" customWidth="1"/>
    <col min="14" max="14" width="24.453125" bestFit="1" customWidth="1"/>
    <col min="15" max="15" width="26.36328125" bestFit="1" customWidth="1"/>
    <col min="16" max="16" width="39.453125" bestFit="1" customWidth="1"/>
    <col min="17" max="17" width="34.54296875" bestFit="1" customWidth="1"/>
    <col min="18" max="18" width="27.453125" bestFit="1" customWidth="1"/>
    <col min="19" max="19" width="23.08984375" bestFit="1" customWidth="1"/>
  </cols>
  <sheetData>
    <row r="1" spans="1:56">
      <c r="A1" s="8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7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</row>
    <row r="2" spans="1:56" s="178" customFormat="1">
      <c r="A2" s="86"/>
      <c r="B2" s="124" t="s">
        <v>0</v>
      </c>
      <c r="C2" s="124" t="s">
        <v>1</v>
      </c>
      <c r="D2" s="247" t="s">
        <v>2</v>
      </c>
      <c r="E2" s="124" t="s">
        <v>3</v>
      </c>
      <c r="F2" s="124"/>
      <c r="G2"/>
      <c r="R2" s="275"/>
      <c r="S2" s="275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7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</row>
    <row r="3" spans="1:56">
      <c r="A3" s="126"/>
      <c r="B3" s="175" cm="1">
        <f t="array" ref="B3">COUNT(_xlfn._xlws.FILTER(tblProjects[Project % Complete],tblProjects[Project % Complete]&lt;1))</f>
        <v>44</v>
      </c>
      <c r="C3" s="174" cm="1">
        <f t="array" ref="C3">_xlfn.LET(_xlpm.pc,tblProjects[Project % Complete], _xlpm.ex,tblProjects[Expected % Completed],
_xlpm.m,ISNUMBER(_xlpm.pc)*ISNUMBER(_xlpm.ex),
IFERROR(SUMPRODUCT(--(_xlpm.pc&gt;=_xlpm.ex),--_xlpm.m)/SUMPRODUCT(--_xlpm.m),0))</f>
        <v>0.45454545454545453</v>
      </c>
      <c r="D3" s="248" cm="1">
        <f t="array" ref="D3">_xlfn.LET(
  _xlpm.H,tblProjects[#Headers],
  _xlpm.C,MATCH("Delta vs Expected",_xlpm.H,0),
  _xlpm.V,_xlfn.DROP(INDEX(tblProjects[#All],,_xlpm.C),1),
  _xlpm.N,IF(ISNUMBER(_xlpm.V),_xlpm.V,
       IFERROR(
         VALUE(
           SUBSTITUTE(
             SUBSTITUTE(
               SUBSTITUTE(TRIM(_xlpm.V),CHAR(160),""),
               "−","-"
             ),
             "%",""
           )
         )/100,
         ""
       )
     ),
  SUMPRODUCT(--(_xlpm.N&lt;&gt;""),--(_xlpm.N&lt;=-0.1))
)</f>
        <v>4</v>
      </c>
      <c r="E3" s="174" cm="1">
        <f t="array" ref="E3">_xlfn.LET(_xlpm.n,COUNTA(tblProjects[Project Name]),
_xlpm.ok,SUMPRODUCT(--(tblProjects[Cost Proposal Signed]&lt;&gt;"")*(tblProjects[EPC Contract Signed]&lt;&gt;"")*(tblProjects[Funding Signed]&lt;&gt;"")),
IFERROR(_xlpm.ok/_xlpm.n,0))</f>
        <v>0</v>
      </c>
      <c r="F3" s="174"/>
      <c r="G3" s="178"/>
      <c r="H3" s="4"/>
      <c r="I3" s="4"/>
      <c r="J3" s="4"/>
      <c r="K3" s="4"/>
      <c r="L3" s="4"/>
      <c r="M3" s="4"/>
      <c r="N3" s="4"/>
      <c r="O3" s="4"/>
      <c r="P3" s="4"/>
      <c r="Q3" s="4"/>
      <c r="R3" s="1"/>
      <c r="S3" s="1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5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</row>
    <row r="4" spans="1:56">
      <c r="A4" s="126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5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</row>
    <row r="5" spans="1:56">
      <c r="A5" s="126"/>
      <c r="B5" s="247" t="s">
        <v>4</v>
      </c>
      <c r="C5" s="124" t="s">
        <v>5</v>
      </c>
      <c r="D5" s="124" t="s">
        <v>6</v>
      </c>
      <c r="E5" s="124" t="s">
        <v>7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5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</row>
    <row r="6" spans="1:56">
      <c r="A6" s="126"/>
      <c r="B6" s="249">
        <f ca="1">COUNTIFS(tblProjects[Construction Start date],"&gt;="&amp;TODAY(),tblProjects[Construction Start date],"&lt;="&amp;TODAY()+10)</f>
        <v>1</v>
      </c>
      <c r="C6" s="176">
        <f ca="1">COUNTIFS(tblProjects[Commissioning Date],"&gt;="&amp;TODAY(),tblProjects[Commissioning Date],"&lt;="&amp;TODAY()+10)</f>
        <v>1</v>
      </c>
      <c r="D6" s="176">
        <f ca="1">COUNTIFS(tblProjects[O&amp;M Handover Date],"&gt;="&amp;TODAY(),tblProjects[O&amp;M Handover Date],"&lt;="&amp;TODAY()+10)</f>
        <v>5</v>
      </c>
      <c r="E6" s="176">
        <f ca="1">COUNTIFS(tblProjects[Client Handover Date],"&gt;="&amp;TODAY(),tblProjects[Client Handover Date],"&lt;="&amp;TODAY()+10)</f>
        <v>5</v>
      </c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5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</row>
    <row r="7" spans="1:56">
      <c r="A7" s="126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5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</row>
    <row r="8" spans="1:56" s="4" customFormat="1" ht="16">
      <c r="A8" s="88"/>
      <c r="B8" s="124" t="s">
        <v>8</v>
      </c>
      <c r="C8" s="124" t="s">
        <v>9</v>
      </c>
      <c r="D8" s="124" t="s">
        <v>10</v>
      </c>
      <c r="E8" s="124" t="s">
        <v>11</v>
      </c>
      <c r="F8" s="179" t="s">
        <v>12</v>
      </c>
      <c r="G8" s="179" t="s">
        <v>13</v>
      </c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 s="89"/>
      <c r="V8" s="89"/>
      <c r="W8" s="89"/>
      <c r="X8" s="89"/>
      <c r="Y8" s="89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90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</row>
    <row r="9" spans="1:56">
      <c r="A9" s="8"/>
      <c r="B9" s="87">
        <f ca="1">SUM(tblProjects[Revenue Outstanding])</f>
        <v>353718.8722790723</v>
      </c>
      <c r="C9" s="340">
        <f ca="1">SUM(tblProjects[[Expenses Due ]])</f>
        <v>6227079.038150345</v>
      </c>
      <c r="D9" s="87">
        <f ca="1">_xlfn.LET(
  _xlpm.w,TODAY()-WEEKDAY(TODAY(),2)+1,
  _xlpm.hdr,'Cashflow 2026'!$C$1:$BB$1,
  _xlpm.labels,'Cashflow 2026'!$B$1:$B$10,
  _xlpm.grid,'Cashflow 2026'!$C$1:$BB$10,
  _xlpm.r,MATCH("Project inflows",_xlpm.labels,0),
  _xlpm.c,MATCH(_xlpm.w,_xlpm.hdr,0),
  IFERROR(INDEX(_xlpm.grid,_xlpm.r,_xlpm.c),0)
)</f>
        <v>33435812.468674973</v>
      </c>
      <c r="E9" s="87" cm="1">
        <f t="array" aca="1" ref="E9" ca="1">_xlfn.LET(
  _xlpm.w,TODAY()-WEEKDAY(TODAY(),2)+1,
  _xlpm.hdr,'Cashflow 2026'!$C$1:$BB$1,
  _xlpm.labels,'Cashflow 2026'!$B$1:$B$50,
  _xlpm.grid,'Cashflow 2026'!$C$1:$BB$50,
  _xlpm.r,MATCH("Project Outflows",_xlpm.labels,0),
  _xlpm.c,MATCH(_xlpm.w,INT(_xlpm.hdr),0),
  IFERROR(INDEX(_xlpm.grid,_xlpm.r,_xlpm.c),0)
)</f>
        <v>6859973.1459375387</v>
      </c>
      <c r="F9" s="87" cm="1">
        <f t="array" aca="1" ref="F9" ca="1">_xlfn.LET(
  _xlpm.ms,EOMONTH(TODAY(),-1)+1,
  _xlpm.hdr,'REV Tracker 26'!$B$1:$Z$1,
  _xlpm.labels,'REV Tracker 26'!$A$1:$A$20,
  _xlpm.grid,'REV Tracker 26'!$B$1:$Z$20,
  _xlpm.r,MATCH("Outstanding REV",_xlpm.labels,0),
  _xlpm.c,MATCH(_xlpm.ms,INT(_xlpm.hdr),0),
  IFERROR(INDEX(_xlpm.grid,_xlpm.r,_xlpm.c),0)
)</f>
        <v>7490853.5014002025</v>
      </c>
      <c r="G9" s="87" cm="1">
        <f t="array" aca="1" ref="G9" ca="1">_xlfn.LET(
  _xlpm.ms,EOMONTH(TODAY(),-1)+1,
  _xlpm.hdr,'COS Tracker 26'!$B$1:$Z$1,
  _xlpm.labels,'COS Tracker 26'!$A$1:$A$20,
  _xlpm.grid,'COS Tracker 26'!$B$1:$Z$20,
  _xlpm.r,MATCH("Outstanding COS",_xlpm.labels,0),
  _xlpm.c,MATCH(_xlpm.ms,INT(_xlpm.hdr),0),
  IFERROR(INDEX(_xlpm.grid,_xlpm.r,_xlpm.c),0)
)</f>
        <v>6814597.8110838197</v>
      </c>
      <c r="H9" s="127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127"/>
      <c r="T9" s="127"/>
      <c r="U9" s="128"/>
      <c r="V9" s="127"/>
      <c r="W9" s="129"/>
      <c r="Z9" s="129"/>
      <c r="AD9" s="129"/>
      <c r="AE9" s="130"/>
      <c r="AI9" s="129"/>
      <c r="AM9" s="129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</row>
    <row r="10" spans="1:56">
      <c r="A10" s="127"/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7"/>
      <c r="Q10" s="127"/>
      <c r="R10" s="127"/>
      <c r="S10" s="127"/>
      <c r="T10" s="127"/>
      <c r="U10" s="128"/>
      <c r="V10" s="127"/>
      <c r="W10" s="129"/>
      <c r="Z10" s="129"/>
      <c r="AD10" s="129"/>
      <c r="AE10" s="130"/>
      <c r="AI10" s="129"/>
      <c r="AM10" s="129"/>
      <c r="AN10" s="131"/>
      <c r="AO10" s="131"/>
      <c r="AQ10" s="129"/>
      <c r="AV10" s="129"/>
      <c r="AZ10" s="129"/>
      <c r="BD10" s="129"/>
    </row>
    <row r="11" spans="1:56">
      <c r="A11" s="126"/>
      <c r="B11" s="91"/>
      <c r="C11" s="132"/>
      <c r="D11" s="132"/>
      <c r="E11" s="132"/>
      <c r="F11" s="132"/>
      <c r="G11" s="132"/>
      <c r="H11" s="132"/>
      <c r="I11" s="132"/>
      <c r="J11" s="132"/>
      <c r="AP11" s="131"/>
      <c r="AQ11" s="131"/>
      <c r="AR11" s="131"/>
      <c r="AS11" s="131"/>
      <c r="AT11" s="131"/>
      <c r="AU11" s="131"/>
      <c r="AV11" s="131"/>
      <c r="AW11" s="131"/>
      <c r="AX11" s="131"/>
      <c r="AY11" s="131"/>
      <c r="AZ11" s="131"/>
      <c r="BA11" s="131"/>
      <c r="BB11" s="131"/>
      <c r="BC11" s="131"/>
      <c r="BD11" s="131"/>
    </row>
    <row r="12" spans="1:56" ht="16">
      <c r="B12" s="133" t="s">
        <v>0</v>
      </c>
      <c r="C12" s="133" t="s">
        <v>14</v>
      </c>
      <c r="D12" s="133" t="s">
        <v>15</v>
      </c>
      <c r="E12" s="133" t="s">
        <v>16</v>
      </c>
      <c r="F12" s="133"/>
      <c r="G12" s="133"/>
      <c r="H12" s="133"/>
      <c r="I12" s="91"/>
      <c r="J12" s="133"/>
      <c r="K12" s="133"/>
      <c r="L12" s="92"/>
    </row>
    <row r="13" spans="1:56">
      <c r="A13" cm="1">
        <f t="array" ref="A13:A22">_xlfn.LET(_xlpm.pm,tblProjects[PM], _xlfn._xlws.SORT(_xlfn.UNIQUE(_xlfn._xlws.FILTER(_xlpm.pm,_xlpm.pm&lt;&gt;""))))</f>
        <v>0</v>
      </c>
      <c r="B13" s="132">
        <f ca="1">COUNTIFS(tblProjects[PM],$A13, tblProjects[Client Handover Date],"&gt;="&amp;TODAY())</f>
        <v>0</v>
      </c>
      <c r="C13" s="132">
        <f ca="1">COUNTIFS(tblProjects[PM],$A13,
          tblProjects[Commissioning Date],"&gt;="&amp;EOMONTH(TODAY(),-1)+1,
          tblProjects[Commissioning Date],"&lt;="&amp;EOMONTH(TODAY(),0))</f>
        <v>0</v>
      </c>
      <c r="D13" s="182">
        <f ca="1">COUNTIFS(tblProjects[PM],$A13,
          tblProjects[Client Handover Date],"&gt;="&amp;EOMONTH(TODAY(),-1)+1,
          tblProjects[Client Handover Date],"&lt;="&amp;EOMONTH(TODAY(),0))</f>
        <v>0</v>
      </c>
      <c r="E13" s="182" t="str" cm="1">
        <f t="array" ref="E13">_xlfn.LET(_xlpm.pm,$A13,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/>
      </c>
      <c r="F13" s="134"/>
      <c r="G13" s="93"/>
      <c r="H13" s="132"/>
      <c r="I13" s="93"/>
      <c r="J13" s="94"/>
      <c r="K13" s="4"/>
      <c r="L13" s="4"/>
    </row>
    <row r="14" spans="1:56">
      <c r="A14" t="str">
        <v>Amanda Gadla</v>
      </c>
      <c r="B14" s="132">
        <f ca="1">COUNTIFS(tblProjects[PM],$A14, tblProjects[Client Handover Date],"&gt;="&amp;TODAY())</f>
        <v>0</v>
      </c>
      <c r="C14" s="132">
        <f ca="1">COUNTIFS(tblProjects[PM],$A14,
          tblProjects[Commissioning Date],"&gt;="&amp;EOMONTH(TODAY(),-1)+1,
          tblProjects[Commissioning Date],"&lt;="&amp;EOMONTH(TODAY(),0))</f>
        <v>0</v>
      </c>
      <c r="D14" s="182">
        <f ca="1">COUNTIFS(tblProjects[PM],$A14,
          tblProjects[Client Handover Date],"&gt;="&amp;EOMONTH(TODAY(),-1)+1,
          tblProjects[Client Handover Date],"&lt;="&amp;EOMONTH(TODAY(),0))</f>
        <v>1</v>
      </c>
      <c r="E14" s="182" cm="1">
        <f t="array" ref="E14">_xlfn.LET(_xlpm.pm,$A14,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74</v>
      </c>
      <c r="F14" s="134"/>
      <c r="G14" s="93"/>
      <c r="H14" s="132"/>
      <c r="I14" s="93"/>
      <c r="J14" s="94"/>
      <c r="K14" s="4"/>
      <c r="L14" s="4"/>
      <c r="O14" s="126"/>
      <c r="P14" s="126"/>
      <c r="Q14" s="126"/>
    </row>
    <row r="15" spans="1:56">
      <c r="A15" t="str">
        <v>Eon Van Rensberg</v>
      </c>
      <c r="B15" s="132">
        <f ca="1">COUNTIFS(tblProjects[PM],$A15, tblProjects[Client Handover Date],"&gt;="&amp;TODAY())</f>
        <v>0</v>
      </c>
      <c r="C15" s="132">
        <f ca="1">COUNTIFS(tblProjects[PM],$A15,
          tblProjects[Commissioning Date],"&gt;="&amp;EOMONTH(TODAY(),-1)+1,
          tblProjects[Commissioning Date],"&lt;="&amp;EOMONTH(TODAY(),0))</f>
        <v>0</v>
      </c>
      <c r="D15" s="182">
        <f ca="1">COUNTIFS(tblProjects[PM],$A15,
          tblProjects[Client Handover Date],"&gt;="&amp;EOMONTH(TODAY(),-1)+1,
          tblProjects[Client Handover Date],"&lt;="&amp;EOMONTH(TODAY(),0))</f>
        <v>0</v>
      </c>
      <c r="E15" s="182" cm="1">
        <f t="array" ref="E15">_xlfn.LET(_xlpm.pm,$A15,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62</v>
      </c>
      <c r="F15" s="134"/>
      <c r="G15" s="93"/>
      <c r="H15" s="132"/>
      <c r="I15" s="93"/>
      <c r="J15" s="94"/>
      <c r="K15" s="4"/>
      <c r="L15" s="4"/>
      <c r="O15" s="126"/>
      <c r="P15" s="126"/>
      <c r="Q15" s="126"/>
    </row>
    <row r="16" spans="1:56">
      <c r="A16" t="str">
        <v>Eon Van Rensburg</v>
      </c>
      <c r="B16" s="132">
        <f ca="1">COUNTIFS(tblProjects[PM],$A16, tblProjects[Client Handover Date],"&gt;="&amp;TODAY())</f>
        <v>2</v>
      </c>
      <c r="C16" s="132">
        <f ca="1">COUNTIFS(tblProjects[PM],$A16,
          tblProjects[Commissioning Date],"&gt;="&amp;EOMONTH(TODAY(),-1)+1,
          tblProjects[Commissioning Date],"&lt;="&amp;EOMONTH(TODAY(),0))</f>
        <v>3</v>
      </c>
      <c r="D16" s="182">
        <f ca="1">COUNTIFS(tblProjects[PM],$A16,
          tblProjects[Client Handover Date],"&gt;="&amp;EOMONTH(TODAY(),-1)+1,
          tblProjects[Client Handover Date],"&lt;="&amp;EOMONTH(TODAY(),0))</f>
        <v>4</v>
      </c>
      <c r="E16" s="182" cm="1">
        <f t="array" ref="E16">_xlfn.LET(_xlpm.pm,$A16,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79.625</v>
      </c>
      <c r="F16" s="134"/>
      <c r="G16" s="93"/>
      <c r="H16" s="132"/>
      <c r="I16" s="93"/>
      <c r="J16" s="94"/>
      <c r="K16" s="4"/>
      <c r="L16" s="4"/>
      <c r="O16" s="126"/>
      <c r="P16" s="126"/>
      <c r="Q16" s="126"/>
    </row>
    <row r="17" spans="1:17">
      <c r="A17" t="str">
        <v>JT</v>
      </c>
      <c r="B17" s="132">
        <f ca="1">COUNTIFS(tblProjects[PM],$A17, tblProjects[Client Handover Date],"&gt;="&amp;TODAY())</f>
        <v>0</v>
      </c>
      <c r="C17" s="132">
        <f ca="1">COUNTIFS(tblProjects[PM],$A17,
          tblProjects[Commissioning Date],"&gt;="&amp;EOMONTH(TODAY(),-1)+1,
          tblProjects[Commissioning Date],"&lt;="&amp;EOMONTH(TODAY(),0))</f>
        <v>0</v>
      </c>
      <c r="D17" s="182">
        <f ca="1">COUNTIFS(tblProjects[PM],$A17,
          tblProjects[Client Handover Date],"&gt;="&amp;EOMONTH(TODAY(),-1)+1,
          tblProjects[Client Handover Date],"&lt;="&amp;EOMONTH(TODAY(),0))</f>
        <v>0</v>
      </c>
      <c r="E17" s="182" cm="1">
        <f t="array" ref="E17">_xlfn.LET(_xlpm.pm,$A17,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79</v>
      </c>
      <c r="F17" s="134"/>
      <c r="G17" s="93"/>
      <c r="H17" s="132"/>
      <c r="I17" s="93"/>
      <c r="J17" s="94"/>
      <c r="K17" s="4"/>
      <c r="L17" s="4"/>
      <c r="O17" s="126"/>
      <c r="P17" s="126"/>
      <c r="Q17" s="126"/>
    </row>
    <row r="18" spans="1:17">
      <c r="A18" t="str">
        <v>JT Moorosi</v>
      </c>
      <c r="B18" s="132">
        <f ca="1">COUNTIFS(tblProjects[PM],$A18, tblProjects[Client Handover Date],"&gt;="&amp;TODAY())</f>
        <v>3</v>
      </c>
      <c r="C18" s="132">
        <f ca="1">COUNTIFS(tblProjects[PM],$A18,
          tblProjects[Commissioning Date],"&gt;="&amp;EOMONTH(TODAY(),-1)+1,
          tblProjects[Commissioning Date],"&lt;="&amp;EOMONTH(TODAY(),0))</f>
        <v>3</v>
      </c>
      <c r="D18" s="182">
        <f ca="1">COUNTIFS(tblProjects[PM],$A18,
          tblProjects[Client Handover Date],"&gt;="&amp;EOMONTH(TODAY(),-1)+1,
          tblProjects[Client Handover Date],"&lt;="&amp;EOMONTH(TODAY(),0))</f>
        <v>4</v>
      </c>
      <c r="E18" s="182" cm="1">
        <f t="array" ref="E18">_xlfn.LET(_xlpm.pm,$A18,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49.888888888888886</v>
      </c>
      <c r="F18" s="135"/>
      <c r="G18" s="93"/>
      <c r="H18" s="132"/>
      <c r="I18" s="93"/>
      <c r="J18" s="94"/>
      <c r="K18" s="4"/>
      <c r="L18" s="4"/>
      <c r="O18" s="126"/>
      <c r="P18" s="126"/>
      <c r="Q18" s="126"/>
    </row>
    <row r="19" spans="1:17">
      <c r="A19" t="str">
        <v>Justin Franke</v>
      </c>
      <c r="B19" s="132">
        <f ca="1">COUNTIFS(tblProjects[PM],$A19, tblProjects[Client Handover Date],"&gt;="&amp;TODAY())</f>
        <v>7</v>
      </c>
      <c r="C19" s="132">
        <f ca="1">COUNTIFS(tblProjects[PM],$A19,
          tblProjects[Commissioning Date],"&gt;="&amp;EOMONTH(TODAY(),-1)+1,
          tblProjects[Commissioning Date],"&lt;="&amp;EOMONTH(TODAY(),0))</f>
        <v>1</v>
      </c>
      <c r="D19" s="182">
        <f ca="1">COUNTIFS(tblProjects[PM],$A19,
          tblProjects[Client Handover Date],"&gt;="&amp;EOMONTH(TODAY(),-1)+1,
          tblProjects[Client Handover Date],"&lt;="&amp;EOMONTH(TODAY(),0))</f>
        <v>2</v>
      </c>
      <c r="E19" s="182" cm="1">
        <f t="array" ref="E19">_xlfn.LET(_xlpm.pm,$A19,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61.909090909090907</v>
      </c>
      <c r="F19" s="134"/>
      <c r="G19" s="93"/>
      <c r="H19" s="132"/>
      <c r="I19" s="93"/>
      <c r="J19" s="94"/>
      <c r="K19" s="4"/>
      <c r="L19" s="4"/>
      <c r="O19" s="126"/>
      <c r="P19" s="126"/>
      <c r="Q19" s="126"/>
    </row>
    <row r="20" spans="1:17" ht="16">
      <c r="A20" t="str">
        <v>Lloyd Brown</v>
      </c>
      <c r="B20" s="132">
        <f ca="1">COUNTIFS(tblProjects[PM],$A20, tblProjects[Client Handover Date],"&gt;="&amp;TODAY())</f>
        <v>4</v>
      </c>
      <c r="C20" s="132">
        <f ca="1">COUNTIFS(tblProjects[PM],$A20,
          tblProjects[Commissioning Date],"&gt;="&amp;EOMONTH(TODAY(),-1)+1,
          tblProjects[Commissioning Date],"&lt;="&amp;EOMONTH(TODAY(),0))</f>
        <v>2</v>
      </c>
      <c r="D20" s="182">
        <f ca="1">COUNTIFS(tblProjects[PM],$A20,
          tblProjects[Client Handover Date],"&gt;="&amp;EOMONTH(TODAY(),-1)+1,
          tblProjects[Client Handover Date],"&lt;="&amp;EOMONTH(TODAY(),0))</f>
        <v>3</v>
      </c>
      <c r="E20" s="182" cm="1">
        <f t="array" ref="E20">_xlfn.LET(_xlpm.pm,$A20,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53.272727272727273</v>
      </c>
      <c r="F20" s="136"/>
      <c r="G20" s="91"/>
      <c r="H20" s="91"/>
      <c r="I20" s="91"/>
      <c r="J20" s="137"/>
      <c r="K20" s="137"/>
      <c r="L20" s="137"/>
      <c r="O20" s="126"/>
      <c r="P20" s="126"/>
      <c r="Q20" s="126"/>
    </row>
    <row r="21" spans="1:17">
      <c r="A21" t="str">
        <v>Peet Verreynne</v>
      </c>
      <c r="B21" s="132">
        <f ca="1">COUNTIFS(tblProjects[PM],$A21, tblProjects[Client Handover Date],"&gt;="&amp;TODAY())</f>
        <v>0</v>
      </c>
      <c r="C21" s="132">
        <f ca="1">COUNTIFS(tblProjects[PM],$A21,
          tblProjects[Commissioning Date],"&gt;="&amp;EOMONTH(TODAY(),-1)+1,
          tblProjects[Commissioning Date],"&lt;="&amp;EOMONTH(TODAY(),0))</f>
        <v>0</v>
      </c>
      <c r="D21" s="182">
        <f ca="1">COUNTIFS(tblProjects[PM],$A21,
          tblProjects[Client Handover Date],"&gt;="&amp;EOMONTH(TODAY(),-1)+1,
          tblProjects[Client Handover Date],"&lt;="&amp;EOMONTH(TODAY(),0))</f>
        <v>1</v>
      </c>
      <c r="E21" s="182" cm="1">
        <f t="array" ref="E21">_xlfn.LET(_xlpm.pm,$A21,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>41.25</v>
      </c>
      <c r="G21" s="95"/>
      <c r="H21" s="95"/>
      <c r="I21" s="95"/>
    </row>
    <row r="22" spans="1:17">
      <c r="A22" t="str">
        <v>Roedolph/Simon</v>
      </c>
      <c r="B22" s="132">
        <f ca="1">COUNTIFS(tblProjects[PM],$A22, tblProjects[Client Handover Date],"&gt;="&amp;TODAY())</f>
        <v>0</v>
      </c>
      <c r="C22" s="132">
        <f ca="1">COUNTIFS(tblProjects[PM],$A22,
          tblProjects[Commissioning Date],"&gt;="&amp;EOMONTH(TODAY(),-1)+1,
          tblProjects[Commissioning Date],"&lt;="&amp;EOMONTH(TODAY(),0))</f>
        <v>0</v>
      </c>
      <c r="D22" s="182">
        <f ca="1">COUNTIFS(tblProjects[PM],$A22,
          tblProjects[Client Handover Date],"&gt;="&amp;EOMONTH(TODAY(),-1)+1,
          tblProjects[Client Handover Date],"&lt;="&amp;EOMONTH(TODAY(),0))</f>
        <v>0</v>
      </c>
      <c r="E22" s="182" t="str" cm="1">
        <f t="array" ref="E22">_xlfn.LET(_xlpm.pm,$A22,
     _xlpm.d,_xlfn._xlws.FILTER(tblProjects[Construction Start date]-tblProjects[PD Handover date],
              (tblProjects[PM]=_xlpm.pm)*
              (tblProjects[Construction Start date]&lt;&gt;"")*
              (tblProjects[PD Handover date]&lt;&gt;"")),
     IFERROR(AVERAGE(_xlpm.d),""))</f>
        <v/>
      </c>
      <c r="F22" s="85"/>
      <c r="G22" s="85"/>
      <c r="H22" s="85"/>
      <c r="I22" s="85"/>
      <c r="J22" s="85"/>
      <c r="K22" s="96"/>
    </row>
    <row r="23" spans="1:17">
      <c r="B23" s="132"/>
      <c r="C23" s="97"/>
      <c r="D23" s="97"/>
      <c r="E23" s="97"/>
      <c r="F23" s="97"/>
      <c r="G23" s="138"/>
      <c r="H23" s="139"/>
      <c r="I23" s="140"/>
      <c r="J23" s="98"/>
      <c r="K23" s="4"/>
    </row>
    <row r="24" spans="1:17">
      <c r="B24" s="132"/>
      <c r="C24" s="97"/>
      <c r="D24" s="97"/>
      <c r="E24" s="97"/>
      <c r="F24" s="97"/>
      <c r="G24" s="138"/>
      <c r="H24" s="139"/>
      <c r="I24" s="140"/>
      <c r="J24" s="98"/>
      <c r="K24" s="4"/>
    </row>
    <row r="25" spans="1:17">
      <c r="A25" s="126"/>
      <c r="B25" s="132"/>
      <c r="C25" s="97"/>
      <c r="D25" s="97"/>
      <c r="E25" s="97"/>
      <c r="F25" s="97"/>
      <c r="G25" s="138"/>
      <c r="H25" s="139"/>
      <c r="I25" s="140"/>
      <c r="J25" s="98"/>
      <c r="K25" s="4"/>
    </row>
    <row r="26" spans="1:17">
      <c r="A26" s="126"/>
      <c r="B26" s="132"/>
      <c r="C26" s="97"/>
      <c r="D26" s="97"/>
      <c r="E26" s="97"/>
      <c r="F26" s="97"/>
      <c r="G26" s="138"/>
      <c r="H26" s="139"/>
      <c r="I26" s="140"/>
      <c r="J26" s="98"/>
      <c r="K26" s="4"/>
    </row>
    <row r="27" spans="1:17">
      <c r="A27" s="126"/>
      <c r="B27" s="132"/>
      <c r="C27" s="97"/>
      <c r="D27" s="97"/>
      <c r="E27" s="97"/>
      <c r="F27" s="97"/>
      <c r="G27" s="138"/>
      <c r="H27" s="139"/>
      <c r="I27" s="140"/>
      <c r="J27" s="98"/>
      <c r="K27" s="4"/>
    </row>
    <row r="29" spans="1:17"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</row>
    <row r="30" spans="1:17">
      <c r="A30" s="126"/>
      <c r="H30" s="98"/>
      <c r="I30" s="97"/>
      <c r="J30" s="141"/>
      <c r="K30" s="98"/>
      <c r="L30" s="4"/>
      <c r="N30" s="142"/>
    </row>
    <row r="31" spans="1:17">
      <c r="A31" s="126"/>
      <c r="H31" s="98"/>
      <c r="I31" s="97"/>
      <c r="J31" s="141"/>
      <c r="K31" s="98"/>
      <c r="L31" s="4"/>
    </row>
    <row r="32" spans="1:17">
      <c r="A32" s="126"/>
      <c r="H32" s="98"/>
      <c r="I32" s="97"/>
      <c r="J32" s="141"/>
      <c r="K32" s="98"/>
      <c r="L32" s="4"/>
    </row>
    <row r="33" spans="1:12">
      <c r="A33" s="126"/>
      <c r="H33" s="98"/>
      <c r="I33" s="97"/>
      <c r="J33" s="141"/>
      <c r="K33" s="98"/>
      <c r="L33" s="4"/>
    </row>
    <row r="34" spans="1:12">
      <c r="A34" s="126"/>
      <c r="H34" s="98"/>
      <c r="I34" s="97"/>
      <c r="J34" s="141"/>
      <c r="L34" s="4"/>
    </row>
    <row r="35" spans="1:12">
      <c r="A35" s="126"/>
      <c r="H35" s="98"/>
      <c r="I35" s="97"/>
      <c r="J35" s="141"/>
      <c r="L35" s="4"/>
    </row>
    <row r="36" spans="1:12">
      <c r="A36" s="126"/>
      <c r="H36" s="98"/>
      <c r="I36" s="97"/>
      <c r="J36" s="141"/>
      <c r="K36" s="98"/>
      <c r="L36" s="4"/>
    </row>
    <row r="37" spans="1:12">
      <c r="A37" s="126"/>
      <c r="H37" s="98"/>
      <c r="I37" s="97"/>
      <c r="J37" s="141"/>
      <c r="L37" s="4"/>
    </row>
    <row r="38" spans="1:12">
      <c r="A38" s="126"/>
      <c r="H38" s="98"/>
      <c r="I38" s="97"/>
      <c r="J38" s="141"/>
      <c r="L38" s="4"/>
    </row>
    <row r="39" spans="1:12">
      <c r="A39" s="126"/>
      <c r="H39" s="98"/>
      <c r="I39" s="97"/>
      <c r="J39" s="141"/>
      <c r="L39" s="4"/>
    </row>
    <row r="40" spans="1:12">
      <c r="A40" s="126"/>
      <c r="H40" s="98"/>
      <c r="I40" s="97"/>
      <c r="J40" s="141"/>
      <c r="L40" s="4"/>
    </row>
    <row r="41" spans="1:12">
      <c r="A41" s="126"/>
      <c r="H41" s="98"/>
      <c r="I41" s="97"/>
      <c r="J41" s="141"/>
      <c r="L41" s="4"/>
    </row>
    <row r="42" spans="1:12">
      <c r="A42" s="126"/>
      <c r="H42" s="98"/>
      <c r="I42" s="97"/>
      <c r="J42" s="141"/>
      <c r="K42" s="98"/>
      <c r="L42" s="4"/>
    </row>
    <row r="43" spans="1:12">
      <c r="A43" s="126"/>
      <c r="H43" s="98"/>
      <c r="I43" s="97"/>
      <c r="J43" s="141"/>
      <c r="K43" s="98"/>
      <c r="L43" s="4"/>
    </row>
    <row r="44" spans="1:12">
      <c r="A44" s="126"/>
      <c r="H44" s="98"/>
      <c r="I44" s="97"/>
      <c r="J44" s="141"/>
      <c r="K44" s="98"/>
      <c r="L44" s="4"/>
    </row>
    <row r="45" spans="1:12">
      <c r="A45" s="126"/>
      <c r="H45" s="98"/>
      <c r="I45" s="97"/>
      <c r="J45" s="141"/>
      <c r="K45" s="98"/>
      <c r="L45" s="4"/>
    </row>
    <row r="46" spans="1:12">
      <c r="A46" s="126"/>
      <c r="H46" s="98"/>
      <c r="I46" s="97"/>
      <c r="J46" s="141"/>
      <c r="K46" s="98"/>
      <c r="L46" s="4"/>
    </row>
    <row r="47" spans="1:12" ht="16">
      <c r="B47" s="143"/>
      <c r="C47" s="143"/>
      <c r="D47" s="143"/>
      <c r="E47" s="143"/>
      <c r="F47" s="143"/>
      <c r="G47" s="143"/>
      <c r="I47" s="99"/>
    </row>
  </sheetData>
  <conditionalFormatting sqref="G20:G21 H21:I21 I20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I23:I27">
    <cfRule type="iconSet" priority="2825">
      <iconSet iconSet="3Arrows">
        <cfvo type="percent" val="0"/>
        <cfvo type="percent" val="33"/>
        <cfvo type="percent" val="67"/>
      </iconSet>
    </cfRule>
  </conditionalFormatting>
  <conditionalFormatting sqref="G13:G19">
    <cfRule type="iconSet" priority="2827">
      <iconSet iconSet="3Symbols">
        <cfvo type="percent" val="0"/>
        <cfvo type="percent" val="33"/>
        <cfvo type="percent" val="67"/>
      </iconSet>
    </cfRule>
  </conditionalFormatting>
  <conditionalFormatting sqref="I13:I19">
    <cfRule type="iconSet" priority="2831">
      <iconSet iconSet="3Arrows">
        <cfvo type="percent" val="0"/>
        <cfvo type="percent" val="0"/>
        <cfvo type="percent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6" id="{D07FEBF1-7A14-41B7-B984-E3CAE5DF524B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H23:H27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61FEC-9445-4CC7-8622-B9B5244E39AE}">
  <sheetPr codeName="Sheet9"/>
  <dimension ref="A1:AD111"/>
  <sheetViews>
    <sheetView topLeftCell="A5" zoomScaleNormal="100" zoomScaleSheetLayoutView="115" workbookViewId="0">
      <selection activeCell="M28" sqref="M28"/>
    </sheetView>
  </sheetViews>
  <sheetFormatPr defaultRowHeight="14.5"/>
  <cols>
    <col min="1" max="1" width="26" customWidth="1"/>
    <col min="2" max="2" width="29.453125" customWidth="1"/>
    <col min="3" max="3" width="17.1796875" bestFit="1" customWidth="1"/>
    <col min="4" max="4" width="17.1796875" customWidth="1"/>
    <col min="5" max="5" width="18" customWidth="1"/>
    <col min="6" max="6" width="19.54296875" customWidth="1"/>
    <col min="7" max="7" width="18" customWidth="1"/>
    <col min="8" max="8" width="16" customWidth="1"/>
    <col min="9" max="9" width="14.81640625" customWidth="1"/>
    <col min="10" max="10" width="18" customWidth="1"/>
    <col min="11" max="11" width="10.7265625" customWidth="1"/>
  </cols>
  <sheetData>
    <row r="1" spans="1:30" ht="28.5">
      <c r="A1" s="360" t="s">
        <v>17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</row>
    <row r="2" spans="1:30" ht="15" thickBot="1">
      <c r="A2" s="268" t="s">
        <v>18</v>
      </c>
      <c r="B2" s="350">
        <f ca="1">NOW()</f>
        <v>46078.550347569442</v>
      </c>
      <c r="E2" s="268" t="s">
        <v>19</v>
      </c>
      <c r="F2" s="263" t="s">
        <v>20</v>
      </c>
    </row>
    <row r="3" spans="1:30" ht="15" thickTop="1">
      <c r="C3" s="346" t="s">
        <v>21</v>
      </c>
      <c r="D3" s="346" t="s">
        <v>22</v>
      </c>
      <c r="N3" s="391" t="s">
        <v>23</v>
      </c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3"/>
    </row>
    <row r="4" spans="1:30" ht="16" thickBot="1">
      <c r="A4" s="364" t="s">
        <v>24</v>
      </c>
      <c r="B4" s="364"/>
      <c r="C4" s="364"/>
      <c r="D4" s="364"/>
      <c r="E4" s="364"/>
      <c r="F4" s="364"/>
      <c r="G4" s="364"/>
      <c r="H4" s="364"/>
      <c r="I4" s="364"/>
      <c r="J4" s="364"/>
      <c r="K4" s="364"/>
      <c r="N4" s="394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  <c r="Z4" s="395"/>
      <c r="AA4" s="395"/>
      <c r="AB4" s="395"/>
      <c r="AC4" s="395"/>
      <c r="AD4" s="396"/>
    </row>
    <row r="5" spans="1:30" ht="14.65" customHeight="1">
      <c r="A5" s="361" t="s">
        <v>25</v>
      </c>
      <c r="B5" s="361"/>
      <c r="C5" s="264">
        <v>58</v>
      </c>
      <c r="D5" s="264" cm="1">
        <f t="array" ref="D5">_xlfn.LET(_xlpm.n,tblProjects[Project Name],ROWS(_xlfn._xlws.FILTER(_xlpm.n,_xlpm.n&lt;&gt;"")))</f>
        <v>57</v>
      </c>
      <c r="E5" s="269" t="s">
        <v>26</v>
      </c>
      <c r="F5" s="269" t="s">
        <v>27</v>
      </c>
      <c r="G5" s="348" t="s">
        <v>28</v>
      </c>
      <c r="H5" s="366" t="s">
        <v>29</v>
      </c>
      <c r="I5" s="367"/>
      <c r="J5" s="367"/>
      <c r="K5" s="368"/>
      <c r="N5" s="394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  <c r="Z5" s="395"/>
      <c r="AA5" s="395"/>
      <c r="AB5" s="395"/>
      <c r="AC5" s="395"/>
      <c r="AD5" s="396"/>
    </row>
    <row r="6" spans="1:30">
      <c r="A6" s="361" t="s">
        <v>30</v>
      </c>
      <c r="B6" s="361"/>
      <c r="C6" s="270">
        <v>31.913930000000001</v>
      </c>
      <c r="D6" s="270" cm="1">
        <f t="array" ref="D6">_xlfn.LET(_xlpm.sz,tblProjects[Size],_xlpm.n,tblProjects[Project Name],IFERROR(SUM(_xlfn._xlws.FILTER(_xlpm.sz,_xlpm.n&lt;&gt;""))/1000,0))</f>
        <v>31.397929999999999</v>
      </c>
      <c r="E6" s="272" t="s">
        <v>31</v>
      </c>
      <c r="F6" s="265">
        <f>COUNTIFS(tblProjects[Phase],E6,tblProjects[Project Name],"&lt;&gt;")</f>
        <v>5</v>
      </c>
      <c r="G6" s="349">
        <f>SUMIFS(tblProjects[Size],tblProjects[Phase],E6,tblProjects[Project Name],"&lt;&gt;")</f>
        <v>3088.9300000000003</v>
      </c>
      <c r="H6" s="369"/>
      <c r="I6" s="370"/>
      <c r="J6" s="370"/>
      <c r="K6" s="371"/>
      <c r="N6" s="394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  <c r="Z6" s="395"/>
      <c r="AA6" s="395"/>
      <c r="AB6" s="395"/>
      <c r="AC6" s="395"/>
      <c r="AD6" s="396"/>
    </row>
    <row r="7" spans="1:30">
      <c r="A7" s="362" t="s">
        <v>32</v>
      </c>
      <c r="B7" s="362"/>
      <c r="C7" s="343">
        <v>0.43859649122807015</v>
      </c>
      <c r="D7" s="343">
        <f>'Program Dashboard'!C3</f>
        <v>0.45454545454545453</v>
      </c>
      <c r="E7" s="272" t="s">
        <v>33</v>
      </c>
      <c r="F7" s="265">
        <f>COUNTIFS(tblProjects[Phase],E7,tblProjects[Project Name],"&lt;&gt;")</f>
        <v>4</v>
      </c>
      <c r="G7" s="349">
        <f>SUMIFS(tblProjects[Size],tblProjects[Phase],E7,tblProjects[Project Name],"&lt;&gt;")</f>
        <v>890</v>
      </c>
      <c r="H7" s="369"/>
      <c r="I7" s="370"/>
      <c r="J7" s="370"/>
      <c r="K7" s="371"/>
      <c r="N7" s="394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  <c r="Z7" s="395"/>
      <c r="AA7" s="395"/>
      <c r="AB7" s="395"/>
      <c r="AC7" s="395"/>
      <c r="AD7" s="396"/>
    </row>
    <row r="8" spans="1:30">
      <c r="A8" s="362" t="s">
        <v>34</v>
      </c>
      <c r="B8" s="362"/>
      <c r="C8" s="344">
        <v>32</v>
      </c>
      <c r="D8" s="344" cm="1">
        <f t="array" ref="D8">_xlfn.LET(_xlpm.n,tblProjects[Project Name],_xlpm.d,tblProjects[Delta vs Expected],_xlpm.m,_xlpm.n&lt;&gt;"",IFERROR(SUM(--(_xlfn._xlws.FILTER(_xlpm.d,_xlpm.m)&lt;0)),0))</f>
        <v>31</v>
      </c>
      <c r="E8" s="272" t="s">
        <v>35</v>
      </c>
      <c r="F8" s="265">
        <f>COUNTIFS(tblProjects[Phase],E8,tblProjects[Project Name],"&lt;&gt;")</f>
        <v>4</v>
      </c>
      <c r="G8" s="349">
        <f>SUMIFS(tblProjects[Size],tblProjects[Phase],E8,tblProjects[Project Name],"&lt;&gt;")</f>
        <v>1020</v>
      </c>
      <c r="H8" s="369"/>
      <c r="I8" s="370"/>
      <c r="J8" s="370"/>
      <c r="K8" s="371"/>
      <c r="N8" s="394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  <c r="Z8" s="395"/>
      <c r="AA8" s="395"/>
      <c r="AB8" s="395"/>
      <c r="AC8" s="395"/>
      <c r="AD8" s="396"/>
    </row>
    <row r="9" spans="1:30">
      <c r="A9" s="361" t="s">
        <v>36</v>
      </c>
      <c r="B9" s="361"/>
      <c r="C9" s="266">
        <v>0</v>
      </c>
      <c r="D9" s="266">
        <f>'Program Dashboard'!E3</f>
        <v>0</v>
      </c>
      <c r="E9" s="272" t="s">
        <v>37</v>
      </c>
      <c r="F9" s="265">
        <f>COUNTIFS(tblProjects[Phase],E9,tblProjects[Project Name],"&lt;&gt;")</f>
        <v>8</v>
      </c>
      <c r="G9" s="349">
        <f>SUMIFS(tblProjects[Size],tblProjects[Phase],E9,tblProjects[Project Name],"&lt;&gt;")</f>
        <v>3586</v>
      </c>
      <c r="H9" s="369"/>
      <c r="I9" s="370"/>
      <c r="J9" s="370"/>
      <c r="K9" s="371"/>
      <c r="N9" s="394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  <c r="Z9" s="395"/>
      <c r="AA9" s="395"/>
      <c r="AB9" s="395"/>
      <c r="AC9" s="395"/>
      <c r="AD9" s="396"/>
    </row>
    <row r="10" spans="1:30">
      <c r="A10" s="361" t="s">
        <v>38</v>
      </c>
      <c r="B10" s="361"/>
      <c r="C10" s="264">
        <v>5</v>
      </c>
      <c r="D10" s="264">
        <f>COUNTIFS(tblProjects[Phase],"Hold",tblProjects[Project Name],"&lt;&gt;")</f>
        <v>0</v>
      </c>
      <c r="E10" s="272" t="s">
        <v>39</v>
      </c>
      <c r="F10" s="265">
        <f>COUNTIFS(tblProjects[Phase],E10,tblProjects[Project Name],"&lt;&gt;")</f>
        <v>7</v>
      </c>
      <c r="G10" s="349">
        <f>SUMIFS(tblProjects[Size],tblProjects[Phase],E10,tblProjects[Project Name],"&lt;&gt;")</f>
        <v>9636</v>
      </c>
      <c r="H10" s="369"/>
      <c r="I10" s="370"/>
      <c r="J10" s="370"/>
      <c r="K10" s="371"/>
      <c r="N10" s="394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  <c r="Z10" s="395"/>
      <c r="AA10" s="395"/>
      <c r="AB10" s="395"/>
      <c r="AC10" s="395"/>
      <c r="AD10" s="396"/>
    </row>
    <row r="11" spans="1:30">
      <c r="A11" s="361" t="s">
        <v>40</v>
      </c>
      <c r="B11" s="361"/>
      <c r="C11" s="264">
        <v>0</v>
      </c>
      <c r="D11" s="264">
        <f>COUNTIFS(tblProjects[Phase],"Closed",tblProjects[Project Name],"&lt;&gt;")</f>
        <v>0</v>
      </c>
      <c r="E11" s="272" t="s">
        <v>41</v>
      </c>
      <c r="F11" s="265">
        <f>COUNTIFS(tblProjects[Phase],E11,tblProjects[Project Name],"&lt;&gt;")</f>
        <v>10</v>
      </c>
      <c r="G11" s="349">
        <f>SUMIFS(tblProjects[Size],tblProjects[Phase],E11,tblProjects[Project Name],"&lt;&gt;")</f>
        <v>4240</v>
      </c>
      <c r="H11" s="369"/>
      <c r="I11" s="370"/>
      <c r="J11" s="370"/>
      <c r="K11" s="371"/>
      <c r="N11" s="394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  <c r="Z11" s="395"/>
      <c r="AA11" s="395"/>
      <c r="AB11" s="395"/>
      <c r="AC11" s="395"/>
      <c r="AD11" s="396"/>
    </row>
    <row r="12" spans="1:30">
      <c r="A12" s="400"/>
      <c r="B12" s="400"/>
      <c r="E12" s="272" t="s">
        <v>42</v>
      </c>
      <c r="F12" s="265">
        <f>COUNTIFS(tblProjects[Phase],E12,tblProjects[Project Name],"&lt;&gt;")</f>
        <v>7</v>
      </c>
      <c r="G12" s="349">
        <f>SUMIFS(tblProjects[Size],tblProjects[Phase],E12,tblProjects[Project Name],"&lt;&gt;")</f>
        <v>5730</v>
      </c>
      <c r="H12" s="369"/>
      <c r="I12" s="370"/>
      <c r="J12" s="370"/>
      <c r="K12" s="371"/>
      <c r="N12" s="394"/>
      <c r="O12" s="395"/>
      <c r="P12" s="395"/>
      <c r="Q12" s="395"/>
      <c r="R12" s="395"/>
      <c r="S12" s="395"/>
      <c r="T12" s="395"/>
      <c r="U12" s="395"/>
      <c r="V12" s="395"/>
      <c r="W12" s="395"/>
      <c r="X12" s="395"/>
      <c r="Y12" s="395"/>
      <c r="Z12" s="395"/>
      <c r="AA12" s="395"/>
      <c r="AB12" s="395"/>
      <c r="AC12" s="395"/>
      <c r="AD12" s="396"/>
    </row>
    <row r="13" spans="1:30">
      <c r="E13" s="272" t="s">
        <v>43</v>
      </c>
      <c r="F13" s="265">
        <f>COUNTIFS(tblProjects[Phase],E13,tblProjects[Project Name],"&lt;&gt;")</f>
        <v>0</v>
      </c>
      <c r="G13" s="349">
        <f>SUMIFS(tblProjects[Size],tblProjects[Phase],E13,tblProjects[Project Name],"&lt;&gt;")</f>
        <v>0</v>
      </c>
      <c r="H13" s="369"/>
      <c r="I13" s="370"/>
      <c r="J13" s="370"/>
      <c r="K13" s="371"/>
      <c r="N13" s="394"/>
      <c r="O13" s="395"/>
      <c r="P13" s="395"/>
      <c r="Q13" s="395"/>
      <c r="R13" s="395"/>
      <c r="S13" s="395"/>
      <c r="T13" s="395"/>
      <c r="U13" s="395"/>
      <c r="V13" s="395"/>
      <c r="W13" s="395"/>
      <c r="X13" s="395"/>
      <c r="Y13" s="395"/>
      <c r="Z13" s="395"/>
      <c r="AA13" s="395"/>
      <c r="AB13" s="395"/>
      <c r="AC13" s="395"/>
      <c r="AD13" s="396"/>
    </row>
    <row r="14" spans="1:30">
      <c r="H14" s="369"/>
      <c r="I14" s="370"/>
      <c r="J14" s="370"/>
      <c r="K14" s="371"/>
      <c r="N14" s="394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  <c r="Z14" s="395"/>
      <c r="AA14" s="395"/>
      <c r="AB14" s="395"/>
      <c r="AC14" s="395"/>
      <c r="AD14" s="396"/>
    </row>
    <row r="15" spans="1:30" ht="15" thickBot="1">
      <c r="H15" s="372"/>
      <c r="I15" s="373"/>
      <c r="J15" s="373"/>
      <c r="K15" s="374"/>
      <c r="N15" s="394"/>
      <c r="O15" s="395"/>
      <c r="P15" s="395"/>
      <c r="Q15" s="395"/>
      <c r="R15" s="395"/>
      <c r="S15" s="395"/>
      <c r="T15" s="395"/>
      <c r="U15" s="395"/>
      <c r="V15" s="395"/>
      <c r="W15" s="395"/>
      <c r="X15" s="395"/>
      <c r="Y15" s="395"/>
      <c r="Z15" s="395"/>
      <c r="AA15" s="395"/>
      <c r="AB15" s="395"/>
      <c r="AC15" s="395"/>
      <c r="AD15" s="396"/>
    </row>
    <row r="16" spans="1:30" ht="16" thickBot="1">
      <c r="A16" s="364" t="s">
        <v>44</v>
      </c>
      <c r="B16" s="364"/>
      <c r="C16" s="364"/>
      <c r="D16" s="364"/>
      <c r="E16" s="364"/>
      <c r="F16" s="364"/>
      <c r="G16" s="364"/>
      <c r="H16" s="364"/>
      <c r="I16" s="364"/>
      <c r="J16" s="364"/>
      <c r="K16" s="364"/>
      <c r="N16" s="394"/>
      <c r="O16" s="395"/>
      <c r="P16" s="395"/>
      <c r="Q16" s="395"/>
      <c r="R16" s="395"/>
      <c r="S16" s="395"/>
      <c r="T16" s="395"/>
      <c r="U16" s="395"/>
      <c r="V16" s="395"/>
      <c r="W16" s="395"/>
      <c r="X16" s="395"/>
      <c r="Y16" s="395"/>
      <c r="Z16" s="395"/>
      <c r="AA16" s="395"/>
      <c r="AB16" s="395"/>
      <c r="AC16" s="395"/>
      <c r="AD16" s="396"/>
    </row>
    <row r="17" spans="1:30" ht="14.65" customHeight="1">
      <c r="A17" s="361" t="s">
        <v>45</v>
      </c>
      <c r="B17" s="361"/>
      <c r="C17" s="341">
        <v>9</v>
      </c>
      <c r="D17" s="341">
        <f>COUNTIFS(tblProjects[Phase],"Construction",tblProjects[Project Name],"&lt;&gt;")</f>
        <v>8</v>
      </c>
      <c r="E17" s="375" t="s">
        <v>46</v>
      </c>
      <c r="F17" s="376"/>
      <c r="G17" s="376"/>
      <c r="H17" s="376"/>
      <c r="I17" s="376"/>
      <c r="J17" s="376"/>
      <c r="K17" s="376"/>
      <c r="N17" s="394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  <c r="Z17" s="395"/>
      <c r="AA17" s="395"/>
      <c r="AB17" s="395"/>
      <c r="AC17" s="395"/>
      <c r="AD17" s="396"/>
    </row>
    <row r="18" spans="1:30">
      <c r="A18" s="361" t="s">
        <v>47</v>
      </c>
      <c r="B18" s="361"/>
      <c r="C18" s="342">
        <v>23254.93</v>
      </c>
      <c r="D18" s="342">
        <f>_xlfn.LET(_xlpm.sz,tblProjects[Size],_xlpm.ph,tblProjects[Phase],_xlpm.n,tblProjects[Project Name],(SUMIFS(_xlpm.sz,_xlpm.ph,"Construction",_xlpm.n,"&lt;&gt;")+SUMIFS(_xlpm.sz,_xlpm.ph,"QA",_xlpm.n,"&lt;&gt;")+SUMIFS(_xlpm.sz,_xlpm.ph,"Handover",_xlpm.n,"&lt;&gt;")))</f>
        <v>17462</v>
      </c>
      <c r="E18" s="377"/>
      <c r="F18" s="378"/>
      <c r="G18" s="378"/>
      <c r="H18" s="378"/>
      <c r="I18" s="378"/>
      <c r="J18" s="378"/>
      <c r="K18" s="378"/>
      <c r="N18" s="394"/>
      <c r="O18" s="395"/>
      <c r="P18" s="395"/>
      <c r="Q18" s="395"/>
      <c r="R18" s="395"/>
      <c r="S18" s="395"/>
      <c r="T18" s="395"/>
      <c r="U18" s="395"/>
      <c r="V18" s="395"/>
      <c r="W18" s="395"/>
      <c r="X18" s="395"/>
      <c r="Y18" s="395"/>
      <c r="Z18" s="395"/>
      <c r="AA18" s="395"/>
      <c r="AB18" s="395"/>
      <c r="AC18" s="395"/>
      <c r="AD18" s="396"/>
    </row>
    <row r="19" spans="1:30">
      <c r="A19" s="276" t="s">
        <v>48</v>
      </c>
      <c r="C19" s="353">
        <v>0.68014063255073443</v>
      </c>
      <c r="D19" s="353">
        <f>AVERAGE('Projects Summary 2026'!P9:P23)</f>
        <v>0.40136966557659609</v>
      </c>
      <c r="E19" s="377"/>
      <c r="F19" s="378"/>
      <c r="G19" s="378"/>
      <c r="H19" s="378"/>
      <c r="I19" s="378"/>
      <c r="J19" s="378"/>
      <c r="K19" s="378"/>
      <c r="N19" s="394"/>
      <c r="O19" s="395"/>
      <c r="P19" s="395"/>
      <c r="Q19" s="395"/>
      <c r="R19" s="395"/>
      <c r="S19" s="395"/>
      <c r="T19" s="395"/>
      <c r="U19" s="395"/>
      <c r="V19" s="395"/>
      <c r="W19" s="395"/>
      <c r="X19" s="395"/>
      <c r="Y19" s="395"/>
      <c r="Z19" s="395"/>
      <c r="AA19" s="395"/>
      <c r="AB19" s="395"/>
      <c r="AC19" s="395"/>
      <c r="AD19" s="396"/>
    </row>
    <row r="20" spans="1:30">
      <c r="A20" s="362" t="s">
        <v>49</v>
      </c>
      <c r="B20" s="380"/>
      <c r="C20" s="354">
        <v>-0.01</v>
      </c>
      <c r="D20" s="354">
        <v>-0.01</v>
      </c>
      <c r="E20" s="377"/>
      <c r="F20" s="378"/>
      <c r="G20" s="378"/>
      <c r="H20" s="378"/>
      <c r="I20" s="378"/>
      <c r="J20" s="378"/>
      <c r="K20" s="378"/>
      <c r="N20" s="394"/>
      <c r="O20" s="395"/>
      <c r="P20" s="395"/>
      <c r="Q20" s="395"/>
      <c r="R20" s="395"/>
      <c r="S20" s="395"/>
      <c r="T20" s="395"/>
      <c r="U20" s="395"/>
      <c r="V20" s="395"/>
      <c r="W20" s="395"/>
      <c r="X20" s="395"/>
      <c r="Y20" s="395"/>
      <c r="Z20" s="395"/>
      <c r="AA20" s="395"/>
      <c r="AB20" s="395"/>
      <c r="AC20" s="395"/>
      <c r="AD20" s="396"/>
    </row>
    <row r="21" spans="1:30">
      <c r="A21" s="361" t="s">
        <v>50</v>
      </c>
      <c r="B21" s="363"/>
      <c r="C21" s="341" t="s">
        <v>51</v>
      </c>
      <c r="D21" s="341" t="s">
        <v>51</v>
      </c>
      <c r="E21" s="377"/>
      <c r="F21" s="378"/>
      <c r="G21" s="378"/>
      <c r="H21" s="378"/>
      <c r="I21" s="378"/>
      <c r="J21" s="378"/>
      <c r="K21" s="378"/>
      <c r="N21" s="394"/>
      <c r="O21" s="395"/>
      <c r="P21" s="395"/>
      <c r="Q21" s="395"/>
      <c r="R21" s="395"/>
      <c r="S21" s="395"/>
      <c r="T21" s="395"/>
      <c r="U21" s="395"/>
      <c r="V21" s="395"/>
      <c r="W21" s="395"/>
      <c r="X21" s="395"/>
      <c r="Y21" s="395"/>
      <c r="Z21" s="395"/>
      <c r="AA21" s="395"/>
      <c r="AB21" s="395"/>
      <c r="AC21" s="395"/>
      <c r="AD21" s="396"/>
    </row>
    <row r="22" spans="1:30">
      <c r="E22" s="377"/>
      <c r="F22" s="378"/>
      <c r="G22" s="378"/>
      <c r="H22" s="378"/>
      <c r="I22" s="378"/>
      <c r="J22" s="378"/>
      <c r="K22" s="378"/>
      <c r="N22" s="394"/>
      <c r="O22" s="395"/>
      <c r="P22" s="395"/>
      <c r="Q22" s="395"/>
      <c r="R22" s="395"/>
      <c r="S22" s="395"/>
      <c r="T22" s="395"/>
      <c r="U22" s="395"/>
      <c r="V22" s="395"/>
      <c r="W22" s="395"/>
      <c r="X22" s="395"/>
      <c r="Y22" s="395"/>
      <c r="Z22" s="395"/>
      <c r="AA22" s="395"/>
      <c r="AB22" s="395"/>
      <c r="AC22" s="395"/>
      <c r="AD22" s="396"/>
    </row>
    <row r="23" spans="1:30">
      <c r="A23" s="345" t="s">
        <v>52</v>
      </c>
      <c r="B23" s="345"/>
      <c r="C23" s="264">
        <v>1</v>
      </c>
      <c r="D23" s="264">
        <f ca="1">'Program Dashboard'!B6</f>
        <v>1</v>
      </c>
      <c r="E23" s="377"/>
      <c r="F23" s="378"/>
      <c r="G23" s="378"/>
      <c r="H23" s="378"/>
      <c r="I23" s="378"/>
      <c r="J23" s="378"/>
      <c r="K23" s="378"/>
      <c r="N23" s="394"/>
      <c r="O23" s="395"/>
      <c r="P23" s="395"/>
      <c r="Q23" s="395"/>
      <c r="R23" s="395"/>
      <c r="S23" s="395"/>
      <c r="T23" s="395"/>
      <c r="U23" s="395"/>
      <c r="V23" s="395"/>
      <c r="W23" s="395"/>
      <c r="X23" s="395"/>
      <c r="Y23" s="395"/>
      <c r="Z23" s="395"/>
      <c r="AA23" s="395"/>
      <c r="AB23" s="395"/>
      <c r="AC23" s="395"/>
      <c r="AD23" s="396"/>
    </row>
    <row r="24" spans="1:30">
      <c r="A24" s="345" t="s">
        <v>53</v>
      </c>
      <c r="B24" s="345"/>
      <c r="C24" s="264">
        <v>4</v>
      </c>
      <c r="D24" s="264">
        <f ca="1">'Program Dashboard'!C6</f>
        <v>1</v>
      </c>
      <c r="E24" s="377"/>
      <c r="F24" s="378"/>
      <c r="G24" s="378"/>
      <c r="H24" s="378"/>
      <c r="I24" s="378"/>
      <c r="J24" s="378"/>
      <c r="K24" s="378"/>
      <c r="N24" s="394"/>
      <c r="O24" s="395"/>
      <c r="P24" s="395"/>
      <c r="Q24" s="395"/>
      <c r="R24" s="395"/>
      <c r="S24" s="395"/>
      <c r="T24" s="395"/>
      <c r="U24" s="395"/>
      <c r="V24" s="395"/>
      <c r="W24" s="395"/>
      <c r="X24" s="395"/>
      <c r="Y24" s="395"/>
      <c r="Z24" s="395"/>
      <c r="AA24" s="395"/>
      <c r="AB24" s="395"/>
      <c r="AC24" s="395"/>
      <c r="AD24" s="396"/>
    </row>
    <row r="25" spans="1:30" ht="15" thickBot="1">
      <c r="A25" s="345" t="s">
        <v>54</v>
      </c>
      <c r="B25" s="345"/>
      <c r="C25" s="264">
        <v>8</v>
      </c>
      <c r="D25" s="264">
        <f ca="1">'Program Dashboard'!D6</f>
        <v>5</v>
      </c>
      <c r="E25" s="377"/>
      <c r="F25" s="378"/>
      <c r="G25" s="378"/>
      <c r="H25" s="378"/>
      <c r="I25" s="378"/>
      <c r="J25" s="378"/>
      <c r="K25" s="378"/>
      <c r="N25" s="397"/>
      <c r="O25" s="398"/>
      <c r="P25" s="398"/>
      <c r="Q25" s="398"/>
      <c r="R25" s="398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399"/>
    </row>
    <row r="26" spans="1:30" ht="15" thickTop="1">
      <c r="A26" s="345" t="s">
        <v>55</v>
      </c>
      <c r="B26" s="345"/>
      <c r="C26" s="264">
        <v>6</v>
      </c>
      <c r="D26" s="264">
        <f ca="1">'Program Dashboard'!E6</f>
        <v>5</v>
      </c>
      <c r="E26" s="377"/>
      <c r="F26" s="378"/>
      <c r="G26" s="378"/>
      <c r="H26" s="378"/>
      <c r="I26" s="378"/>
      <c r="J26" s="378"/>
      <c r="K26" s="378"/>
    </row>
    <row r="27" spans="1:30">
      <c r="E27" s="377"/>
      <c r="F27" s="378"/>
      <c r="G27" s="378"/>
      <c r="H27" s="378"/>
      <c r="I27" s="378"/>
      <c r="J27" s="378"/>
      <c r="K27" s="378"/>
    </row>
    <row r="28" spans="1:30">
      <c r="A28" s="379" t="s">
        <v>56</v>
      </c>
      <c r="B28" s="273" t="str" cm="1">
        <f t="array" ref="B28:B32">_xlfn.LET(_xlpm.n,tblProjects[Project Name],_xlpm.d,tblProjects[Delta vs Expected],_xlpm.m,(_xlpm.n&lt;&gt;"")*(_xlpm.d&lt;&gt;""),_xlpm.sn,_xlfn.SORTBY(_xlfn._xlws.FILTER(_xlpm.n,_xlpm.m),_xlfn._xlws.FILTER(_xlpm.d,_xlpm.m),1),IFERROR(INDEX(_xlpm.sn,_xlfn.SEQUENCE(5)),""))</f>
        <v>Cascades_Tracker.xlsx</v>
      </c>
      <c r="C28" s="274"/>
      <c r="D28" s="274" cm="1">
        <f t="array" ref="D28:D32">_xlfn.LET(_xlpm.n,tblProjects[Project Name],_xlpm.d,tblProjects[Delta vs Expected],_xlpm.m,(_xlpm.n&lt;&gt;"")*(_xlpm.d&lt;&gt;""),_xlpm.sd,_xlfn.SORTBY(_xlfn._xlws.FILTER(_xlpm.d,_xlpm.m),_xlfn._xlws.FILTER(_xlpm.d,_xlpm.m),1),IFERROR(INDEX(_xlpm.sd,_xlfn.SEQUENCE(5)),""))</f>
        <v>-40.6298828125</v>
      </c>
      <c r="E28" s="377"/>
      <c r="F28" s="378"/>
      <c r="G28" s="378"/>
      <c r="H28" s="378"/>
      <c r="I28" s="378"/>
      <c r="J28" s="378"/>
      <c r="K28" s="378"/>
    </row>
    <row r="29" spans="1:30">
      <c r="A29" s="379"/>
      <c r="B29" s="273" t="str">
        <v>Seshego Circle_Tracker.xlsx</v>
      </c>
      <c r="C29" s="274"/>
      <c r="D29" s="274">
        <v>-0.64515442968179404</v>
      </c>
      <c r="E29" s="377"/>
      <c r="F29" s="378"/>
      <c r="G29" s="378"/>
      <c r="H29" s="378"/>
      <c r="I29" s="378"/>
      <c r="J29" s="378"/>
      <c r="K29" s="378"/>
    </row>
    <row r="30" spans="1:30">
      <c r="A30" s="379"/>
      <c r="B30" s="273" t="str">
        <v>Topsteel_Tracker.xlsx</v>
      </c>
      <c r="C30" s="274"/>
      <c r="D30" s="274">
        <v>-0.45597572542093462</v>
      </c>
      <c r="E30" s="377"/>
      <c r="F30" s="378"/>
      <c r="G30" s="378"/>
      <c r="H30" s="378"/>
      <c r="I30" s="378"/>
      <c r="J30" s="378"/>
      <c r="K30" s="378"/>
    </row>
    <row r="31" spans="1:30">
      <c r="A31" s="379"/>
      <c r="B31" s="273" t="str">
        <v>Superspar Ph2_Tracker.xlsx</v>
      </c>
      <c r="C31" s="274"/>
      <c r="D31" s="274">
        <v>-0.12859760515842722</v>
      </c>
      <c r="E31" s="377"/>
      <c r="F31" s="378"/>
      <c r="G31" s="378"/>
      <c r="H31" s="378"/>
      <c r="I31" s="378"/>
      <c r="J31" s="378"/>
      <c r="K31" s="378"/>
    </row>
    <row r="32" spans="1:30">
      <c r="A32" s="379"/>
      <c r="B32" s="273" t="str">
        <v>Sibasa_Tracker.xlsx</v>
      </c>
      <c r="C32" s="274"/>
      <c r="D32" s="274">
        <v>-8.6224489795918347E-2</v>
      </c>
      <c r="E32" s="377"/>
      <c r="F32" s="378"/>
      <c r="G32" s="378"/>
      <c r="H32" s="378"/>
      <c r="I32" s="378"/>
      <c r="J32" s="378"/>
      <c r="K32" s="378"/>
    </row>
    <row r="33" spans="1:11">
      <c r="E33" s="271"/>
      <c r="F33" s="271"/>
      <c r="G33" s="271"/>
      <c r="H33" s="271"/>
      <c r="I33" s="271"/>
      <c r="J33" s="271"/>
      <c r="K33" s="271"/>
    </row>
    <row r="35" spans="1:11" ht="16" thickBot="1">
      <c r="A35" s="364" t="s">
        <v>57</v>
      </c>
      <c r="B35" s="364"/>
      <c r="C35" s="364"/>
      <c r="D35" s="364"/>
      <c r="E35" s="364"/>
      <c r="F35" s="364"/>
      <c r="G35" s="364"/>
      <c r="H35" s="364"/>
      <c r="I35" s="364"/>
      <c r="J35" s="364"/>
      <c r="K35" s="364"/>
    </row>
    <row r="36" spans="1:11" ht="14.65" customHeight="1">
      <c r="A36" s="361" t="s">
        <v>58</v>
      </c>
      <c r="B36" s="363"/>
      <c r="C36" s="355">
        <v>55411345.103190966</v>
      </c>
      <c r="D36" s="355">
        <f>'REV Tracker 26'!G11</f>
        <v>57208076.861456797</v>
      </c>
      <c r="E36" s="382" t="s">
        <v>59</v>
      </c>
      <c r="F36" s="383"/>
      <c r="G36" s="383"/>
      <c r="H36" s="383"/>
      <c r="I36" s="383"/>
      <c r="J36" s="383"/>
      <c r="K36" s="384"/>
    </row>
    <row r="37" spans="1:11">
      <c r="A37" s="361" t="s">
        <v>60</v>
      </c>
      <c r="B37" s="363"/>
      <c r="C37" s="355">
        <v>4115479.3354021055</v>
      </c>
      <c r="D37" s="355">
        <f>'Cashflow 2026'!Y5+'Cashflow 2026'!Y4</f>
        <v>3979682.3837354393</v>
      </c>
      <c r="E37" s="385"/>
      <c r="F37" s="386"/>
      <c r="G37" s="386"/>
      <c r="H37" s="386"/>
      <c r="I37" s="386"/>
      <c r="J37" s="386"/>
      <c r="K37" s="387"/>
    </row>
    <row r="38" spans="1:11">
      <c r="A38" s="361" t="s">
        <v>61</v>
      </c>
      <c r="B38" s="361"/>
      <c r="C38" s="355">
        <v>1768687.3232760029</v>
      </c>
      <c r="D38" s="355">
        <f>'Cashflow 2026'!Y3</f>
        <v>1117774.2905900902</v>
      </c>
      <c r="E38" s="385"/>
      <c r="F38" s="386"/>
      <c r="G38" s="386"/>
      <c r="H38" s="386"/>
      <c r="I38" s="386"/>
      <c r="J38" s="386"/>
      <c r="K38" s="387"/>
    </row>
    <row r="39" spans="1:11">
      <c r="A39" s="362" t="s">
        <v>62</v>
      </c>
      <c r="B39" s="380"/>
      <c r="C39" s="356"/>
      <c r="D39" s="356"/>
      <c r="E39" s="385"/>
      <c r="F39" s="386"/>
      <c r="G39" s="386"/>
      <c r="H39" s="386"/>
      <c r="I39" s="386"/>
      <c r="J39" s="386"/>
      <c r="K39" s="387"/>
    </row>
    <row r="40" spans="1:11">
      <c r="A40" s="381" t="s">
        <v>63</v>
      </c>
      <c r="B40" s="363"/>
      <c r="C40" s="355">
        <v>16732706.539054822</v>
      </c>
      <c r="D40" s="355">
        <f>'REV Tracker 26'!G4</f>
        <v>7490853.5014002025</v>
      </c>
      <c r="E40" s="385"/>
      <c r="F40" s="386"/>
      <c r="G40" s="386"/>
      <c r="H40" s="386"/>
      <c r="I40" s="386"/>
      <c r="J40" s="386"/>
      <c r="K40" s="387"/>
    </row>
    <row r="41" spans="1:11">
      <c r="A41" s="381" t="s">
        <v>64</v>
      </c>
      <c r="B41" s="363"/>
      <c r="C41" s="355">
        <v>18222663.082375769</v>
      </c>
      <c r="D41" s="355">
        <f>'COS Tracker 26'!G4</f>
        <v>6814597.8110838197</v>
      </c>
      <c r="E41" s="385"/>
      <c r="F41" s="386"/>
      <c r="G41" s="386"/>
      <c r="H41" s="386"/>
      <c r="I41" s="386"/>
      <c r="J41" s="386"/>
      <c r="K41" s="387"/>
    </row>
    <row r="42" spans="1:11" ht="15" thickBot="1">
      <c r="A42" s="381" t="s">
        <v>65</v>
      </c>
      <c r="B42" s="363"/>
      <c r="C42" s="355" t="s">
        <v>66</v>
      </c>
      <c r="D42" s="355" t="s">
        <v>66</v>
      </c>
      <c r="E42" s="388"/>
      <c r="F42" s="389"/>
      <c r="G42" s="389"/>
      <c r="H42" s="389"/>
      <c r="I42" s="389"/>
      <c r="J42" s="389"/>
      <c r="K42" s="390"/>
    </row>
    <row r="43" spans="1:11" ht="15.5">
      <c r="A43" s="262"/>
      <c r="C43" s="267"/>
      <c r="E43" s="347"/>
      <c r="F43" s="347"/>
      <c r="G43" s="347"/>
      <c r="H43" s="347"/>
      <c r="I43" s="347"/>
      <c r="J43" s="347"/>
      <c r="K43" s="347"/>
    </row>
    <row r="44" spans="1:11" ht="15.5">
      <c r="A44" s="262"/>
      <c r="C44" s="267"/>
      <c r="E44" s="347"/>
      <c r="F44" s="347"/>
      <c r="G44" s="347"/>
      <c r="H44" s="347"/>
      <c r="I44" s="347"/>
      <c r="J44" s="347"/>
      <c r="K44" s="347"/>
    </row>
    <row r="109" spans="1:11">
      <c r="A109" s="365"/>
      <c r="B109" s="365"/>
      <c r="C109" s="365"/>
      <c r="D109" s="365"/>
      <c r="E109" s="365"/>
      <c r="F109" s="365"/>
      <c r="G109" s="365"/>
      <c r="H109" s="365"/>
      <c r="I109" s="365"/>
      <c r="J109" s="365"/>
      <c r="K109" s="365"/>
    </row>
    <row r="110" spans="1:11">
      <c r="A110" s="365"/>
      <c r="B110" s="365"/>
      <c r="C110" s="365"/>
      <c r="D110" s="365"/>
      <c r="E110" s="365"/>
      <c r="F110" s="365"/>
      <c r="G110" s="365"/>
      <c r="H110" s="365"/>
      <c r="I110" s="365"/>
      <c r="J110" s="365"/>
      <c r="K110" s="365"/>
    </row>
    <row r="111" spans="1:11">
      <c r="A111" s="365"/>
      <c r="B111" s="365"/>
      <c r="C111" s="365"/>
      <c r="D111" s="365"/>
      <c r="E111" s="365"/>
      <c r="F111" s="365"/>
      <c r="G111" s="365"/>
      <c r="H111" s="365"/>
      <c r="I111" s="365"/>
      <c r="J111" s="365"/>
      <c r="K111" s="365"/>
    </row>
  </sheetData>
  <mergeCells count="29">
    <mergeCell ref="N3:AD25"/>
    <mergeCell ref="A20:B20"/>
    <mergeCell ref="A40:B40"/>
    <mergeCell ref="A38:B38"/>
    <mergeCell ref="A16:K16"/>
    <mergeCell ref="A10:B10"/>
    <mergeCell ref="A12:B12"/>
    <mergeCell ref="A109:K111"/>
    <mergeCell ref="A11:B11"/>
    <mergeCell ref="H5:K15"/>
    <mergeCell ref="E17:K32"/>
    <mergeCell ref="A28:A32"/>
    <mergeCell ref="A5:B5"/>
    <mergeCell ref="A39:B39"/>
    <mergeCell ref="A18:B18"/>
    <mergeCell ref="A42:B42"/>
    <mergeCell ref="A17:B17"/>
    <mergeCell ref="A41:B41"/>
    <mergeCell ref="A7:B7"/>
    <mergeCell ref="E36:K42"/>
    <mergeCell ref="A1:K1"/>
    <mergeCell ref="A9:B9"/>
    <mergeCell ref="A8:B8"/>
    <mergeCell ref="A37:B37"/>
    <mergeCell ref="A6:B6"/>
    <mergeCell ref="A4:K4"/>
    <mergeCell ref="A35:K35"/>
    <mergeCell ref="A36:B36"/>
    <mergeCell ref="A21:B21"/>
  </mergeCells>
  <pageMargins left="0.7" right="0.7" top="0.75" bottom="0.75" header="0.3" footer="0.3"/>
  <pageSetup paperSize="9" scale="43" orientation="portrait" r:id="rId1"/>
  <rowBreaks count="1" manualBreakCount="1">
    <brk id="111" max="10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F224D-93C6-4497-A801-B2E882D2D01F}">
  <sheetPr codeName="Sheet12"/>
  <dimension ref="A3:B12"/>
  <sheetViews>
    <sheetView workbookViewId="0"/>
  </sheetViews>
  <sheetFormatPr defaultRowHeight="14.5"/>
  <cols>
    <col min="1" max="1" width="19.36328125" bestFit="1" customWidth="1"/>
    <col min="2" max="2" width="20.08984375" bestFit="1" customWidth="1"/>
    <col min="3" max="3" width="20.453125" bestFit="1" customWidth="1"/>
    <col min="4" max="7" width="8.90625" bestFit="1" customWidth="1"/>
  </cols>
  <sheetData>
    <row r="3" spans="1:2">
      <c r="A3" s="216" t="s">
        <v>26</v>
      </c>
      <c r="B3" t="s">
        <v>67</v>
      </c>
    </row>
    <row r="4" spans="1:2">
      <c r="A4" t="s">
        <v>33</v>
      </c>
      <c r="B4">
        <v>4</v>
      </c>
    </row>
    <row r="5" spans="1:2">
      <c r="A5" t="s">
        <v>35</v>
      </c>
      <c r="B5">
        <v>4</v>
      </c>
    </row>
    <row r="6" spans="1:2">
      <c r="A6" t="s">
        <v>37</v>
      </c>
      <c r="B6">
        <v>8</v>
      </c>
    </row>
    <row r="7" spans="1:2">
      <c r="A7" t="s">
        <v>39</v>
      </c>
      <c r="B7">
        <v>7</v>
      </c>
    </row>
    <row r="8" spans="1:2">
      <c r="A8" t="s">
        <v>41</v>
      </c>
      <c r="B8">
        <v>10</v>
      </c>
    </row>
    <row r="9" spans="1:2">
      <c r="A9" t="s">
        <v>68</v>
      </c>
      <c r="B9">
        <v>11</v>
      </c>
    </row>
    <row r="10" spans="1:2">
      <c r="B10">
        <v>342</v>
      </c>
    </row>
    <row r="11" spans="1:2">
      <c r="A11" t="s">
        <v>42</v>
      </c>
      <c r="B11">
        <v>7</v>
      </c>
    </row>
    <row r="12" spans="1:2">
      <c r="A12" t="s">
        <v>31</v>
      </c>
      <c r="B12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74160-CE7D-4D59-B54D-8188164D7CDB}">
  <sheetPr codeName="Sheet13"/>
  <dimension ref="A1:GD489"/>
  <sheetViews>
    <sheetView zoomScale="123"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1" sqref="I1"/>
    </sheetView>
  </sheetViews>
  <sheetFormatPr defaultColWidth="10.36328125" defaultRowHeight="14.5"/>
  <cols>
    <col min="1" max="1" width="34.1796875" style="102" customWidth="1"/>
    <col min="2" max="2" width="8.453125" style="102" bestFit="1" customWidth="1"/>
    <col min="3" max="3" width="20.81640625" style="145" hidden="1" customWidth="1"/>
    <col min="4" max="4" width="18.1796875" style="102" bestFit="1" customWidth="1"/>
    <col min="5" max="5" width="23.08984375" style="102" hidden="1" customWidth="1"/>
    <col min="6" max="6" width="18.54296875" style="102" hidden="1" customWidth="1"/>
    <col min="7" max="7" width="22.453125" style="163" hidden="1" customWidth="1"/>
    <col min="8" max="8" width="20.453125" style="109" bestFit="1" customWidth="1"/>
    <col min="9" max="9" width="20.81640625" style="109" bestFit="1" customWidth="1"/>
    <col min="10" max="10" width="25" style="168" bestFit="1" customWidth="1"/>
    <col min="11" max="11" width="12.6328125" style="181" bestFit="1" customWidth="1"/>
    <col min="12" max="12" width="15.6328125" style="109" bestFit="1" customWidth="1"/>
    <col min="13" max="13" width="22.90625" style="109" bestFit="1" customWidth="1"/>
    <col min="14" max="14" width="23.08984375" style="146" bestFit="1" customWidth="1"/>
    <col min="15" max="15" width="30.08984375" style="102" customWidth="1"/>
    <col min="16" max="16" width="23.54296875" style="111" customWidth="1"/>
    <col min="17" max="17" width="22.6328125" style="145" customWidth="1"/>
    <col min="18" max="18" width="26.7265625" bestFit="1" customWidth="1"/>
    <col min="19" max="19" width="26" style="106" bestFit="1" customWidth="1"/>
    <col min="20" max="20" width="27.453125" style="106" bestFit="1" customWidth="1"/>
    <col min="21" max="21" width="13.54296875" style="111" bestFit="1" customWidth="1"/>
    <col min="22" max="22" width="32.54296875" style="106" bestFit="1" customWidth="1"/>
    <col min="23" max="23" width="25.1796875" style="108" bestFit="1" customWidth="1"/>
    <col min="24" max="24" width="17.7265625" style="108" customWidth="1"/>
    <col min="25" max="25" width="49.7265625" style="103" bestFit="1" customWidth="1"/>
    <col min="26" max="26" width="10.36328125" style="104"/>
    <col min="27" max="28" width="10.36328125" style="103"/>
    <col min="29" max="34" width="10.36328125" style="105"/>
    <col min="35" max="35" width="10.36328125" style="110"/>
    <col min="36" max="16384" width="10.36328125" style="102"/>
  </cols>
  <sheetData>
    <row r="1" spans="1:186" s="154" customFormat="1" ht="15" thickBot="1">
      <c r="A1" s="153" t="s">
        <v>69</v>
      </c>
      <c r="B1" s="155" t="s">
        <v>70</v>
      </c>
      <c r="C1" s="155" t="s">
        <v>71</v>
      </c>
      <c r="D1" s="156" t="s">
        <v>72</v>
      </c>
      <c r="E1" s="155" t="s">
        <v>73</v>
      </c>
      <c r="F1" s="155" t="s">
        <v>74</v>
      </c>
      <c r="G1" s="183" t="s">
        <v>75</v>
      </c>
      <c r="H1" s="161" t="s">
        <v>26</v>
      </c>
      <c r="I1" s="157" t="s">
        <v>76</v>
      </c>
      <c r="J1" s="157" t="s">
        <v>77</v>
      </c>
      <c r="K1" s="167" t="s">
        <v>78</v>
      </c>
      <c r="L1" s="180" t="s">
        <v>79</v>
      </c>
      <c r="M1" s="157" t="s">
        <v>80</v>
      </c>
      <c r="N1" s="157" t="s">
        <v>81</v>
      </c>
      <c r="O1" s="158" t="s">
        <v>82</v>
      </c>
      <c r="P1" s="164" t="s">
        <v>83</v>
      </c>
      <c r="Q1" s="165" t="s">
        <v>84</v>
      </c>
      <c r="R1" s="166" t="s">
        <v>85</v>
      </c>
      <c r="S1" s="159" t="s">
        <v>86</v>
      </c>
      <c r="T1" s="159" t="s">
        <v>87</v>
      </c>
      <c r="U1" s="160" t="s">
        <v>88</v>
      </c>
      <c r="V1" s="159" t="s">
        <v>8</v>
      </c>
      <c r="W1" s="159" t="s">
        <v>89</v>
      </c>
      <c r="X1" s="159" t="s">
        <v>90</v>
      </c>
      <c r="Y1" s="277" t="s">
        <v>91</v>
      </c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  <c r="BL1" s="153"/>
      <c r="BM1" s="153"/>
      <c r="BN1" s="153"/>
      <c r="BO1" s="153"/>
      <c r="BP1" s="153"/>
      <c r="BQ1" s="153"/>
      <c r="BR1" s="153"/>
      <c r="BS1" s="153"/>
      <c r="BT1" s="153"/>
      <c r="BU1" s="153"/>
      <c r="BV1" s="153"/>
      <c r="BW1" s="153"/>
      <c r="BX1" s="153"/>
      <c r="BY1" s="153"/>
      <c r="BZ1" s="153"/>
      <c r="CA1" s="153"/>
      <c r="CB1" s="153"/>
      <c r="CC1" s="153"/>
      <c r="CD1" s="153"/>
      <c r="CE1" s="153"/>
      <c r="CF1" s="153"/>
      <c r="CG1" s="153"/>
      <c r="CH1" s="153"/>
      <c r="CI1" s="153"/>
      <c r="CJ1" s="153"/>
      <c r="CK1" s="153"/>
      <c r="CL1" s="153"/>
      <c r="CM1" s="153"/>
      <c r="CN1" s="153"/>
      <c r="CO1" s="153"/>
      <c r="CP1" s="153"/>
      <c r="CQ1" s="153"/>
      <c r="CR1" s="153"/>
      <c r="CS1" s="153"/>
      <c r="CT1" s="153"/>
      <c r="CU1" s="153"/>
      <c r="CV1" s="153"/>
      <c r="CW1" s="153"/>
      <c r="CX1" s="153"/>
      <c r="CY1" s="153"/>
      <c r="CZ1" s="153"/>
      <c r="DA1" s="153"/>
      <c r="DB1" s="153"/>
      <c r="DC1" s="153"/>
      <c r="DD1" s="153"/>
      <c r="DE1" s="153"/>
      <c r="DF1" s="153"/>
      <c r="DG1" s="153"/>
      <c r="DH1" s="153"/>
      <c r="DI1" s="153"/>
      <c r="DJ1" s="153"/>
      <c r="DK1" s="153"/>
      <c r="DL1" s="153"/>
      <c r="DM1" s="153"/>
      <c r="DN1" s="153"/>
      <c r="DO1" s="153"/>
      <c r="DP1" s="153"/>
      <c r="DQ1" s="153"/>
      <c r="DR1" s="153"/>
      <c r="DS1" s="153"/>
      <c r="DT1" s="153"/>
      <c r="DU1" s="153"/>
      <c r="DV1" s="153"/>
      <c r="DW1" s="153"/>
      <c r="DX1" s="153"/>
      <c r="DY1" s="153"/>
      <c r="DZ1" s="153"/>
      <c r="EA1" s="153"/>
      <c r="EB1" s="153"/>
      <c r="EC1" s="153"/>
      <c r="ED1" s="153"/>
      <c r="EE1" s="153"/>
      <c r="EF1" s="153"/>
      <c r="EG1" s="153"/>
      <c r="EH1" s="153"/>
      <c r="EI1" s="153"/>
      <c r="EJ1" s="153"/>
      <c r="EK1" s="153"/>
      <c r="EL1" s="153"/>
      <c r="EM1" s="153"/>
      <c r="EN1" s="153"/>
      <c r="EO1" s="153"/>
      <c r="EP1" s="153"/>
      <c r="EQ1" s="153"/>
      <c r="ER1" s="153"/>
      <c r="ES1" s="153"/>
      <c r="ET1" s="153"/>
      <c r="EU1" s="153"/>
      <c r="EV1" s="153"/>
      <c r="EW1" s="153"/>
      <c r="EX1" s="153"/>
      <c r="EY1" s="153"/>
      <c r="EZ1" s="153"/>
      <c r="FA1" s="153"/>
      <c r="FB1" s="153"/>
      <c r="FC1" s="153"/>
      <c r="FD1" s="153"/>
      <c r="FE1" s="153"/>
      <c r="FF1" s="153"/>
      <c r="FG1" s="153"/>
      <c r="FH1" s="153"/>
      <c r="FI1" s="153"/>
      <c r="FJ1" s="153"/>
      <c r="FK1" s="153"/>
      <c r="FL1" s="153"/>
      <c r="FM1" s="153"/>
      <c r="FN1" s="153"/>
      <c r="FO1" s="153"/>
      <c r="FP1" s="153"/>
      <c r="FQ1" s="153"/>
      <c r="FR1" s="153"/>
      <c r="FS1" s="153"/>
      <c r="FT1" s="153"/>
      <c r="FU1" s="153"/>
      <c r="FV1" s="153"/>
      <c r="FW1" s="153"/>
      <c r="FX1" s="153"/>
      <c r="FY1" s="153"/>
      <c r="FZ1" s="153"/>
      <c r="GA1" s="153"/>
      <c r="GB1" s="153"/>
      <c r="GC1" s="153"/>
      <c r="GD1" s="153"/>
    </row>
    <row r="2" spans="1:186">
      <c r="A2" t="str" cm="1">
        <f t="array" ref="A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IFERROR(INDEX(_xlpm.sorted,ROWS(A$2:A2)),"")
)</f>
        <v>China Town Adhoc_Tracker.xlsx</v>
      </c>
      <c r="B2" s="147" t="str" cm="1">
        <f t="array" ref="B2">_xlfn.LET(_xlpm.p,$A2,_xlfn.IFNA(
  INDEX(tblProjectInfo[InfoValue],
        MATCH(1,(tblProjectInfo[ProjectName]=_xlpm.p)*
                 (UPPER(TRIM(tblProjectInfo[Info]))="PROJECT SIZE (KWP)"),0)
), ""))</f>
        <v>N/A</v>
      </c>
      <c r="C2" s="147" t="str" cm="1">
        <f t="array" ref="C2">_xlfn.LET(_xlpm.p,$A2,_xlfn.IFNA(
  INDEX(tblProjectInfo[InfoValue],
        MATCH(1,(tblProjectInfo[ProjectName]=_xlpm.p)*
                 (UPPER(TRIM(tblProjectInfo[Info]))="PROJECT DEVELOPER"),0)
), ""))</f>
        <v>Natasha Watkins-Baker</v>
      </c>
      <c r="D2" s="148" t="str" cm="1">
        <f t="array" ref="D2">_xlfn.LET(_xlpm.p,$A2,_xlfn.IFNA(
  INDEX(tblProjectInfo[InfoValue],
        MATCH(1,(tblProjectInfo[ProjectName]=_xlpm.p)*
                 (UPPER(TRIM(tblProjectInfo[Info]))="PROJECT MANAGERS"),0)
), ""))</f>
        <v>Justin Franke</v>
      </c>
      <c r="E2" s="147"/>
      <c r="F2" s="147"/>
      <c r="G2" s="147"/>
      <c r="H2" s="162" t="str" cm="1">
        <f t="array" ref="H2">_xlfn.LET(_xlpm.p,$A2,_xlfn.IFNA(
  INDEX(tblProjectInfo[InfoValue],
        MATCH(1,(tblProjectInfo[ProjectName]=_xlpm.p)*
                 ISNUMBER(SEARCH("PHASE",UPPER(tblProjectInfo[Info]))),0)
), ""))</f>
        <v>DLP</v>
      </c>
      <c r="I2" s="149" t="str" cm="1">
        <f t="array" ref="I2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2" s="149">
        <f>IFERROR(
  _xlfn.MAXIFS(
    tblProjectPlan[ActualEndDate],
    tblProjectPlan[ProjectName], tblProjects[[#This Row],[Project Name]],
    tblProjectPlan[TaskDescription], "*site establishment*"
  ),
  ""
)</f>
        <v>45825</v>
      </c>
      <c r="K2" s="169"/>
      <c r="L2" s="169"/>
      <c r="M2" s="149">
        <f>IFERROR(
  _xlfn.MAXIFS(
    tblProjectPlan[ActualEndDate],
    tblProjectPlan[ProjectName], tblProjects[[#This Row],[Project Name]],
    tblProjectPlan[TaskDescription], "*Commissioning*"
  ),
  ""
)</f>
        <v>0</v>
      </c>
      <c r="N2" s="149">
        <f>IFERROR(
  _xlfn.MAXIFS(
    tblProjectPlan[ActualEndDate],
    tblProjectPlan[ProjectName], tblProjects[[#This Row],[Project Name]],
    tblProjectPlan[TaskDescription], "*Handover to Matriarch*"
  ),
  ""
)</f>
        <v>0</v>
      </c>
      <c r="O2" s="149">
        <f>IFERROR(
  _xlfn.MAXIFS(
    tblProjectPlan[ActualEndDate],
    tblProjectPlan[ProjectName], tblProjects[[#This Row],[Project Name]],
    tblProjectPlan[TaskDescription], "*handover to client*"
  ),
  ""
)</f>
        <v>0</v>
      </c>
      <c r="P2" s="150">
        <f>IFERROR(AVERAGEIF(tblProjectPlan[ProjectName],tblProjects[[#This Row],[Project Name]],tblProjectPlan[Actual%Complete]),0)</f>
        <v>0.92307692307692313</v>
      </c>
      <c r="Q2" s="150">
        <f>IFERROR(AVERAGEIF(tblProjectPlan[ProjectName],tblProjects[[#This Row],[Project Name]],tblProjectPlan[Expected%Complete]),0)</f>
        <v>0.94505494505494514</v>
      </c>
      <c r="R2" s="151">
        <f>tblProjects[[#This Row],[Project % Complete]]-tblProjects[[#This Row],[Expected % Completed]]</f>
        <v>-2.1978021978022011E-2</v>
      </c>
      <c r="S2" s="152">
        <f>_xlfn.LET(_xlpm.p,tblProjects[[#This Row],[Project Name]], SUMIFS(tblProgramInflows[MilstoneAmount], tblProgramInflows[ProjectName], _xlpm.p))</f>
        <v>377145.79000000004</v>
      </c>
      <c r="T2" s="152">
        <f>_xlfn.LET(_xlpm.p,tblProjects[[#This Row],[Project Name]], SUMIFS(tblProgramExpense[ExpenseActualTotal], tblProgramExpense[ProjectName], _xlpm.p))</f>
        <v>311634.11000000004</v>
      </c>
      <c r="U2" s="150">
        <f>1-IF(tblProjects[[#This Row],[Actual Revenue]]=0,"",tblProjects[[#This Row],[Actual Expenses]]/tblProjects[[#This Row],[Actual Revenue]])</f>
        <v>0.17370386131050275</v>
      </c>
      <c r="V2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" s="246"/>
      <c r="Y2" s="246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</row>
    <row r="3" spans="1:186">
      <c r="A3" t="str" cm="1">
        <f t="array" ref="A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IFERROR(INDEX(_xlpm.sorted,ROWS(A$2:A3)),"")
)</f>
        <v>Corporate Park_Tracker.xlsx</v>
      </c>
      <c r="B3" s="147" cm="1">
        <f t="array" ref="B3">_xlfn.LET(_xlpm.p,$A3,_xlfn.IFNA(
  INDEX(tblProjectInfo[InfoValue],
        MATCH(1,(tblProjectInfo[ProjectName]=_xlpm.p)*
                 (UPPER(TRIM(tblProjectInfo[Info]))="PROJECT SIZE (KWP)"),0)
), ""))</f>
        <v>257</v>
      </c>
      <c r="C3" s="147" t="str" cm="1">
        <f t="array" ref="C3">_xlfn.LET(_xlpm.p,$A3,_xlfn.IFNA(
  INDEX(tblProjectInfo[InfoValue],
        MATCH(1,(tblProjectInfo[ProjectName]=_xlpm.p)*
                 (UPPER(TRIM(tblProjectInfo[Info]))="PROJECT DEVELOPER"),0)
), ""))</f>
        <v>Natasha Watkins-Baker</v>
      </c>
      <c r="D3" s="148" t="str" cm="1">
        <f t="array" ref="D3">_xlfn.LET(_xlpm.p,$A3,_xlfn.IFNA(
  INDEX(tblProjectInfo[InfoValue],
        MATCH(1,(tblProjectInfo[ProjectName]=_xlpm.p)*
                 (UPPER(TRIM(tblProjectInfo[Info]))="PROJECT MANAGERS"),0)
), ""))</f>
        <v>Eon Van Rensberg</v>
      </c>
      <c r="E3" s="147"/>
      <c r="F3" s="147"/>
      <c r="G3" s="147"/>
      <c r="H3" s="162" t="str" cm="1">
        <f t="array" ref="H3">_xlfn.LET(_xlpm.p,$A3,_xlfn.IFNA(
  INDEX(tblProjectInfo[InfoValue],
        MATCH(1,(tblProjectInfo[ProjectName]=_xlpm.p)*
                 ISNUMBER(SEARCH("PHASE",UPPER(tblProjectInfo[Info]))),0)
), ""))</f>
        <v>DLP</v>
      </c>
      <c r="I3" s="149" cm="1">
        <f t="array" ref="I3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45770</v>
      </c>
      <c r="J3" s="149">
        <f>IFERROR(
  _xlfn.MAXIFS(
    tblProjectPlan[ActualEndDate],
    tblProjectPlan[ProjectName], tblProjects[[#This Row],[Project Name]],
    tblProjectPlan[TaskDescription], "*site establishment*"
  ),
  ""
)</f>
        <v>45832</v>
      </c>
      <c r="K3" s="169">
        <f>_xlfn.DAYS(tblProjects[[#This Row],[Client Handover Date]],tblProjects[[#This Row],[Construction Start date]])</f>
        <v>216</v>
      </c>
      <c r="L3" s="169">
        <f>tblProjects[[#This Row],[Size]]/(_xlfn.DAYS(tblProjects[[#This Row],[Commissioning Date]],tblProjects[[#This Row],[Construction Start date]]))*7</f>
        <v>21.164705882352941</v>
      </c>
      <c r="M3" s="149">
        <f>IFERROR(
  _xlfn.MAXIFS(
    tblProjectPlan[ActualEndDate],
    tblProjectPlan[ProjectName], tblProjects[[#This Row],[Project Name]],
    tblProjectPlan[TaskDescription], "*Commissioning*"
  ),
  ""
)</f>
        <v>45917</v>
      </c>
      <c r="N3" s="149">
        <f>IFERROR(
  _xlfn.MAXIFS(
    tblProjectPlan[ActualEndDate],
    tblProjectPlan[ProjectName], tblProjects[[#This Row],[Project Name]],
    tblProjectPlan[TaskDescription], "*Handover to Matriarch*"
  ),
  ""
)</f>
        <v>45959</v>
      </c>
      <c r="O3" s="149">
        <f>IFERROR(
  _xlfn.MAXIFS(
    tblProjectPlan[ActualEndDate],
    tblProjectPlan[ProjectName], tblProjects[[#This Row],[Project Name]],
    tblProjectPlan[TaskDescription], "*handover to client*"
  ),
  ""
)</f>
        <v>46048</v>
      </c>
      <c r="P3" s="150">
        <f>IFERROR(AVERAGEIF(tblProjectPlan[ProjectName],tblProjects[[#This Row],[Project Name]],tblProjectPlan[Actual%Complete]),0)</f>
        <v>0.94166666666666654</v>
      </c>
      <c r="Q3" s="150">
        <f>IFERROR(AVERAGEIF(tblProjectPlan[ProjectName],tblProjects[[#This Row],[Project Name]],tblProjectPlan[Expected%Complete]),0)</f>
        <v>0.97142857142857142</v>
      </c>
      <c r="R3" s="151">
        <f>tblProjects[[#This Row],[Project % Complete]]-tblProjects[[#This Row],[Expected % Completed]]</f>
        <v>-2.9761904761904878E-2</v>
      </c>
      <c r="S3" s="152">
        <f>_xlfn.LET(_xlpm.p,tblProjects[[#This Row],[Project Name]], SUMIFS(tblProgramInflows[MilstoneAmount], tblProgramInflows[ProjectName], _xlpm.p))</f>
        <v>5311812.6013260996</v>
      </c>
      <c r="T3" s="152">
        <f>_xlfn.LET(_xlpm.p,tblProjects[[#This Row],[Project Name]], SUMIFS(tblProgramExpense[ExpenseActualTotal], tblProgramExpense[ProjectName], _xlpm.p))</f>
        <v>2220751.0867582881</v>
      </c>
      <c r="U3" s="150">
        <f>1-IF(tblProjects[[#This Row],[Actual Revenue]]=0,"",tblProjects[[#This Row],[Actual Expenses]]/tblProjects[[#This Row],[Actual Revenue]])</f>
        <v>0.5819221698062399</v>
      </c>
      <c r="V3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" s="246"/>
      <c r="Y3" s="246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</row>
    <row r="4" spans="1:186">
      <c r="A4" t="str" cm="1">
        <f t="array" ref="A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IFERROR(INDEX(_xlpm.sorted,ROWS(A$2:A4)),"")
)</f>
        <v>Mayo Macs_Tracker.xlsx</v>
      </c>
      <c r="B4" s="147" cm="1">
        <f t="array" ref="B4">_xlfn.LET(_xlpm.p,$A4,_xlfn.IFNA(
  INDEX(tblProjectInfo[InfoValue],
        MATCH(1,(tblProjectInfo[ProjectName]=_xlpm.p)*
                 (UPPER(TRIM(tblProjectInfo[Info]))="PROJECT SIZE (KWP)"),0)
), ""))</f>
        <v>400</v>
      </c>
      <c r="C4" s="147" t="str" cm="1">
        <f t="array" ref="C4">_xlfn.LET(_xlpm.p,$A4,_xlfn.IFNA(
  INDEX(tblProjectInfo[InfoValue],
        MATCH(1,(tblProjectInfo[ProjectName]=_xlpm.p)*
                 (UPPER(TRIM(tblProjectInfo[Info]))="PROJECT DEVELOPER"),0)
), ""))</f>
        <v/>
      </c>
      <c r="D4" s="148" t="str" cm="1">
        <f t="array" ref="D4">_xlfn.LET(_xlpm.p,$A4,_xlfn.IFNA(
  INDEX(tblProjectInfo[InfoValue],
        MATCH(1,(tblProjectInfo[ProjectName]=_xlpm.p)*
                 (UPPER(TRIM(tblProjectInfo[Info]))="PROJECT MANAGERS"),0)
), ""))</f>
        <v>JT</v>
      </c>
      <c r="E4" s="147"/>
      <c r="F4" s="147"/>
      <c r="G4" s="147"/>
      <c r="H4" s="162" t="str" cm="1">
        <f t="array" ref="H4">_xlfn.LET(_xlpm.p,$A4,_xlfn.IFNA(
  INDEX(tblProjectInfo[InfoValue],
        MATCH(1,(tblProjectInfo[ProjectName]=_xlpm.p)*
                 ISNUMBER(SEARCH("PHASE",UPPER(tblProjectInfo[Info]))),0)
), ""))</f>
        <v>DLP</v>
      </c>
      <c r="I4" s="149" cm="1">
        <f t="array" ref="I4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45614</v>
      </c>
      <c r="J4" s="149">
        <f>IFERROR(
  _xlfn.MAXIFS(
    tblProjectPlan[ActualEndDate],
    tblProjectPlan[ProjectName], tblProjects[[#This Row],[Project Name]],
    tblProjectPlan[TaskDescription], "*site establishment*"
  ),
  ""
)</f>
        <v>45693</v>
      </c>
      <c r="K4" s="169">
        <f>_xlfn.DAYS(tblProjects[[#This Row],[Client Handover Date]],tblProjects[[#This Row],[Construction Start date]])</f>
        <v>218</v>
      </c>
      <c r="L4" s="169">
        <f>tblProjects[[#This Row],[Size]]/(_xlfn.DAYS(tblProjects[[#This Row],[Commissioning Date]],tblProjects[[#This Row],[Construction Start date]]))*7</f>
        <v>25</v>
      </c>
      <c r="M4" s="149">
        <f>IFERROR(
  _xlfn.MAXIFS(
    tblProjectPlan[ActualEndDate],
    tblProjectPlan[ProjectName], tblProjects[[#This Row],[Project Name]],
    tblProjectPlan[TaskDescription], "*Commissioning*"
  ),
  ""
)</f>
        <v>45805</v>
      </c>
      <c r="N4" s="149">
        <f>IFERROR(
  _xlfn.MAXIFS(
    tblProjectPlan[ActualEndDate],
    tblProjectPlan[ProjectName], tblProjects[[#This Row],[Project Name]],
    tblProjectPlan[TaskDescription], "*Handover to Matriarch*"
  ),
  ""
)</f>
        <v>45890</v>
      </c>
      <c r="O4" s="149">
        <f>IFERROR(
  _xlfn.MAXIFS(
    tblProjectPlan[ActualEndDate],
    tblProjectPlan[ProjectName], tblProjects[[#This Row],[Project Name]],
    tblProjectPlan[TaskDescription], "*handover to client*"
  ),
  ""
)</f>
        <v>45911</v>
      </c>
      <c r="P4" s="150">
        <f>IFERROR(AVERAGEIF(tblProjectPlan[ProjectName],tblProjects[[#This Row],[Project Name]],tblProjectPlan[Actual%Complete]),0)</f>
        <v>1</v>
      </c>
      <c r="Q4" s="150">
        <f>IFERROR(AVERAGEIF(tblProjectPlan[ProjectName],tblProjects[[#This Row],[Project Name]],tblProjectPlan[Expected%Complete]),0)</f>
        <v>1</v>
      </c>
      <c r="R4" s="151">
        <f>tblProjects[[#This Row],[Project % Complete]]-tblProjects[[#This Row],[Expected % Completed]]</f>
        <v>0</v>
      </c>
      <c r="S4" s="152">
        <f>_xlfn.LET(_xlpm.p,tblProjects[[#This Row],[Project Name]], SUMIFS(tblProgramInflows[MilstoneAmount], tblProgramInflows[ProjectName], _xlpm.p))</f>
        <v>11729547.5310365</v>
      </c>
      <c r="T4" s="152">
        <f>_xlfn.LET(_xlpm.p,tblProjects[[#This Row],[Project Name]], SUMIFS(tblProgramExpense[ExpenseActualTotal], tblProgramExpense[ProjectName], _xlpm.p))</f>
        <v>2745512.29</v>
      </c>
      <c r="U4" s="150">
        <f>1-IF(tblProjects[[#This Row],[Actual Revenue]]=0,"",tblProjects[[#This Row],[Actual Expenses]]/tblProjects[[#This Row],[Actual Revenue]])</f>
        <v>0.76593195238474909</v>
      </c>
      <c r="V4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" s="246"/>
      <c r="Y4" s="246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</row>
    <row r="5" spans="1:186">
      <c r="A5" t="str" cm="1">
        <f t="array" ref="A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IFERROR(INDEX(_xlpm.sorted,ROWS(A$2:A5)),"")
)</f>
        <v>MEGA_PARK_P2_Tracker.xlsx</v>
      </c>
      <c r="B5" s="147" cm="1">
        <f t="array" ref="B5">_xlfn.LET(_xlpm.p,$A5,_xlfn.IFNA(
  INDEX(tblProjectInfo[InfoValue],
        MATCH(1,(tblProjectInfo[ProjectName]=_xlpm.p)*
                 (UPPER(TRIM(tblProjectInfo[Info]))="PROJECT SIZE (KWP)"),0)
), ""))</f>
        <v>1749.93</v>
      </c>
      <c r="C5" s="147" t="str" cm="1">
        <f t="array" ref="C5">_xlfn.LET(_xlpm.p,$A5,_xlfn.IFNA(
  INDEX(tblProjectInfo[InfoValue],
        MATCH(1,(tblProjectInfo[ProjectName]=_xlpm.p)*
                 (UPPER(TRIM(tblProjectInfo[Info]))="PROJECT DEVELOPER"),0)
), ""))</f>
        <v/>
      </c>
      <c r="D5" s="148" t="str" cm="1">
        <f t="array" ref="D5">_xlfn.LET(_xlpm.p,$A5,_xlfn.IFNA(
  INDEX(tblProjectInfo[InfoValue],
        MATCH(1,(tblProjectInfo[ProjectName]=_xlpm.p)*
                 (UPPER(TRIM(tblProjectInfo[Info]))="PROJECT MANAGERS"),0)
), ""))</f>
        <v>Roedolph/Simon</v>
      </c>
      <c r="E5" s="147"/>
      <c r="F5" s="147"/>
      <c r="G5" s="147"/>
      <c r="H5" s="162" t="str" cm="1">
        <f t="array" ref="H5">_xlfn.LET(_xlpm.p,$A5,_xlfn.IFNA(
  INDEX(tblProjectInfo[InfoValue],
        MATCH(1,(tblProjectInfo[ProjectName]=_xlpm.p)*
                 ISNUMBER(SEARCH("PHASE",UPPER(tblProjectInfo[Info]))),0)
), ""))</f>
        <v>DLP</v>
      </c>
      <c r="I5" s="149" t="str" cm="1">
        <f t="array" ref="I5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5" s="149">
        <f>IFERROR(
  _xlfn.MAXIFS(
    tblProjectPlan[ActualEndDate],
    tblProjectPlan[ProjectName], tblProjects[[#This Row],[Project Name]],
    tblProjectPlan[TaskDescription], "*site establishment*"
  ),
  ""
)</f>
        <v>45099</v>
      </c>
      <c r="K5" s="169">
        <f>_xlfn.DAYS(tblProjects[[#This Row],[Client Handover Date]],tblProjects[[#This Row],[Construction Start date]])</f>
        <v>294</v>
      </c>
      <c r="L5" s="169">
        <f>tblProjects[[#This Row],[Size]]/(_xlfn.DAYS(tblProjects[[#This Row],[Commissioning Date]],tblProjects[[#This Row],[Construction Start date]]))*7</f>
        <v>53.028181818181821</v>
      </c>
      <c r="M5" s="149">
        <f>IFERROR(
  _xlfn.MAXIFS(
    tblProjectPlan[ActualEndDate],
    tblProjectPlan[ProjectName], tblProjects[[#This Row],[Project Name]],
    tblProjectPlan[TaskDescription], "*Commissioning*"
  ),
  ""
)</f>
        <v>45330</v>
      </c>
      <c r="N5" s="149">
        <f>IFERROR(
  _xlfn.MAXIFS(
    tblProjectPlan[ActualEndDate],
    tblProjectPlan[ProjectName], tblProjects[[#This Row],[Project Name]],
    tblProjectPlan[TaskDescription], "*Handover to Matriarch*"
  ),
  ""
)</f>
        <v>0</v>
      </c>
      <c r="O5" s="149">
        <f>IFERROR(
  _xlfn.MAXIFS(
    tblProjectPlan[ActualEndDate],
    tblProjectPlan[ProjectName], tblProjects[[#This Row],[Project Name]],
    tblProjectPlan[TaskDescription], "*handover to client*"
  ),
  ""
)</f>
        <v>45393</v>
      </c>
      <c r="P5" s="150">
        <f>IFERROR(AVERAGEIF(tblProjectPlan[ProjectName],tblProjects[[#This Row],[Project Name]],tblProjectPlan[Actual%Complete]),0)</f>
        <v>1</v>
      </c>
      <c r="Q5" s="150">
        <f>IFERROR(AVERAGEIF(tblProjectPlan[ProjectName],tblProjects[[#This Row],[Project Name]],tblProjectPlan[Expected%Complete]),0)</f>
        <v>0</v>
      </c>
      <c r="R5" s="151">
        <f>tblProjects[[#This Row],[Project % Complete]]-tblProjects[[#This Row],[Expected % Completed]]</f>
        <v>1</v>
      </c>
      <c r="S5" s="152">
        <f>_xlfn.LET(_xlpm.p,tblProjects[[#This Row],[Project Name]], SUMIFS(tblProgramInflows[MilstoneAmount], tblProgramInflows[ProjectName], _xlpm.p))</f>
        <v>0</v>
      </c>
      <c r="T5" s="152">
        <f>_xlfn.LET(_xlpm.p,tblProjects[[#This Row],[Project Name]], SUMIFS(tblProgramExpense[ExpenseActualTotal], tblProgramExpense[ProjectName], _xlpm.p))</f>
        <v>19242708.370437387</v>
      </c>
      <c r="U5" s="150" t="e">
        <f>1-IF(tblProjects[[#This Row],[Actual Revenue]]=0,"",tblProjects[[#This Row],[Actual Expenses]]/tblProjects[[#This Row],[Actual Revenue]])</f>
        <v>#VALUE!</v>
      </c>
      <c r="V5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" s="246"/>
      <c r="Y5" s="246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</row>
    <row r="6" spans="1:186">
      <c r="A6" t="str" cm="1">
        <f t="array" ref="A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IFERROR(INDEX(_xlpm.sorted,ROWS(A$2:A6)),"")
)</f>
        <v>Red Rocket_Tracker.xlsx</v>
      </c>
      <c r="B6" s="147" cm="1">
        <f t="array" ref="B6">_xlfn.LET(_xlpm.p,$A6,_xlfn.IFNA(
  INDEX(tblProjectInfo[InfoValue],
        MATCH(1,(tblProjectInfo[ProjectName]=_xlpm.p)*
                 (UPPER(TRIM(tblProjectInfo[Info]))="PROJECT SIZE (KWP)"),0)
), ""))</f>
        <v>682</v>
      </c>
      <c r="C6" s="147" t="str" cm="1">
        <f t="array" ref="C6">_xlfn.LET(_xlpm.p,$A6,_xlfn.IFNA(
  INDEX(tblProjectInfo[InfoValue],
        MATCH(1,(tblProjectInfo[ProjectName]=_xlpm.p)*
                 (UPPER(TRIM(tblProjectInfo[Info]))="PROJECT DEVELOPER"),0)
), ""))</f>
        <v>Peet Verenney</v>
      </c>
      <c r="D6" s="148" t="str" cm="1">
        <f t="array" ref="D6">_xlfn.LET(_xlpm.p,$A6,_xlfn.IFNA(
  INDEX(tblProjectInfo[InfoValue],
        MATCH(1,(tblProjectInfo[ProjectName]=_xlpm.p)*
                 (UPPER(TRIM(tblProjectInfo[Info]))="PROJECT MANAGERS"),0)
), ""))</f>
        <v>Justin Franke</v>
      </c>
      <c r="E6" s="147"/>
      <c r="F6" s="147"/>
      <c r="G6" s="147"/>
      <c r="H6" s="162" t="str" cm="1">
        <f t="array" ref="H6">_xlfn.LET(_xlpm.p,$A6,_xlfn.IFNA(
  INDEX(tblProjectInfo[InfoValue],
        MATCH(1,(tblProjectInfo[ProjectName]=_xlpm.p)*
                 ISNUMBER(SEARCH("PHASE",UPPER(tblProjectInfo[Info]))),0)
), ""))</f>
        <v>DLP</v>
      </c>
      <c r="I6" s="149" cm="1">
        <f t="array" ref="I6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45838</v>
      </c>
      <c r="J6" s="149">
        <f>IFERROR(
  _xlfn.MAXIFS(
    tblProjectPlan[ActualEndDate],
    tblProjectPlan[ProjectName], tblProjects[[#This Row],[Project Name]],
    tblProjectPlan[TaskDescription], "*site establishment*"
  ),
  ""
)</f>
        <v>45884</v>
      </c>
      <c r="K6" s="169">
        <f>_xlfn.DAYS(tblProjects[[#This Row],[Client Handover Date]],tblProjects[[#This Row],[Construction Start date]])</f>
        <v>112</v>
      </c>
      <c r="L6" s="169">
        <f>tblProjects[[#This Row],[Size]]/(_xlfn.DAYS(tblProjects[[#This Row],[Commissioning Date]],tblProjects[[#This Row],[Construction Start date]]))*7</f>
        <v>45.903846153846153</v>
      </c>
      <c r="M6" s="149">
        <f>IFERROR(
  _xlfn.MAXIFS(
    tblProjectPlan[ActualEndDate],
    tblProjectPlan[ProjectName], tblProjects[[#This Row],[Project Name]],
    tblProjectPlan[TaskDescription], "*Commissioning*"
  ),
  ""
)</f>
        <v>45988</v>
      </c>
      <c r="N6" s="149">
        <f>IFERROR(
  _xlfn.MAXIFS(
    tblProjectPlan[ActualEndDate],
    tblProjectPlan[ProjectName], tblProjects[[#This Row],[Project Name]],
    tblProjectPlan[TaskDescription], "*Handover to Matriarch*"
  ),
  ""
)</f>
        <v>45993</v>
      </c>
      <c r="O6" s="149">
        <f>IFERROR(
  _xlfn.MAXIFS(
    tblProjectPlan[ActualEndDate],
    tblProjectPlan[ProjectName], tblProjects[[#This Row],[Project Name]],
    tblProjectPlan[TaskDescription], "*handover to client*"
  ),
  ""
)</f>
        <v>45996</v>
      </c>
      <c r="P6" s="150">
        <f>IFERROR(AVERAGEIF(tblProjectPlan[ProjectName],tblProjects[[#This Row],[Project Name]],tblProjectPlan[Actual%Complete]),0)</f>
        <v>0.97592690677966099</v>
      </c>
      <c r="Q6" s="150"/>
      <c r="R6" s="151">
        <f>tblProjects[[#This Row],[Project % Complete]]-tblProjects[[#This Row],[Expected % Completed]]</f>
        <v>0.97592690677966099</v>
      </c>
      <c r="S6" s="152">
        <f>_xlfn.LET(_xlpm.p,tblProjects[[#This Row],[Project Name]], SUMIFS(tblProgramInflows[MilstoneAmount], tblProgramInflows[ProjectName], _xlpm.p))</f>
        <v>24785188.084876433</v>
      </c>
      <c r="T6" s="152">
        <f>_xlfn.LET(_xlpm.p,tblProjects[[#This Row],[Project Name]], SUMIFS(tblProgramExpense[ExpenseActualTotal], tblProgramExpense[ProjectName], _xlpm.p))</f>
        <v>8234669.3139130455</v>
      </c>
      <c r="U6" s="150">
        <f>1-IF(tblProjects[[#This Row],[Actual Revenue]]=0,"",tblProjects[[#This Row],[Actual Expenses]]/tblProjects[[#This Row],[Actual Revenue]])</f>
        <v>0.66775844969529508</v>
      </c>
      <c r="V6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6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6" s="246"/>
      <c r="Y6" s="24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</row>
    <row r="7" spans="1:186">
      <c r="A7" t="str" cm="1">
        <f t="array" ref="A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IFERROR(INDEX(_xlpm.sorted,ROWS(A$2:A7)),"")
)</f>
        <v>25 Superior Road_Tracker.xlsx</v>
      </c>
      <c r="B7" s="147" cm="1">
        <f t="array" ref="B7">_xlfn.LET(_xlpm.p,$A7,_xlfn.IFNA(
  INDEX(tblProjectInfo[InfoValue],
        MATCH(1,(tblProjectInfo[ProjectName]=_xlpm.p)*
                 (UPPER(TRIM(tblProjectInfo[Info]))="PROJECT SIZE (KWP)"),0)
), ""))</f>
        <v>120</v>
      </c>
      <c r="C7" s="147" t="str" cm="1">
        <f t="array" ref="C7">_xlfn.LET(_xlpm.p,$A7,_xlfn.IFNA(
  INDEX(tblProjectInfo[InfoValue],
        MATCH(1,(tblProjectInfo[ProjectName]=_xlpm.p)*
                 (UPPER(TRIM(tblProjectInfo[Info]))="PROJECT DEVELOPER"),0)
), ""))</f>
        <v>Megan Moore</v>
      </c>
      <c r="D7" s="148" t="str" cm="1">
        <f t="array" ref="D7">_xlfn.LET(_xlpm.p,$A7,_xlfn.IFNA(
  INDEX(tblProjectInfo[InfoValue],
        MATCH(1,(tblProjectInfo[ProjectName]=_xlpm.p)*
                 (UPPER(TRIM(tblProjectInfo[Info]))="PROJECT MANAGERS"),0)
), ""))</f>
        <v>JT Moorosi</v>
      </c>
      <c r="E7" s="147"/>
      <c r="F7" s="147"/>
      <c r="G7" s="147"/>
      <c r="H7" s="162" t="str" cm="1">
        <f t="array" ref="H7">_xlfn.LET(_xlpm.p,$A7,_xlfn.IFNA(
  INDEX(tblProjectInfo[InfoValue],
        MATCH(1,(tblProjectInfo[ProjectName]=_xlpm.p)*
                 ISNUMBER(SEARCH("PHASE",UPPER(tblProjectInfo[Info]))),0)
), ""))</f>
        <v>Financial Close</v>
      </c>
      <c r="I7" s="149" cm="1">
        <f t="array" ref="I7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46041</v>
      </c>
      <c r="J7" s="149">
        <f>IFERROR(
  _xlfn.MAXIFS(
    tblProjectPlan[ActualEndDate],
    tblProjectPlan[ProjectName], tblProjects[[#This Row],[Project Name]],
    tblProjectPlan[TaskDescription], "*site establishment*"
  ),
  ""
)</f>
        <v>46135</v>
      </c>
      <c r="K7" s="169">
        <f>_xlfn.DAYS(tblProjects[[#This Row],[Client Handover Date]],tblProjects[[#This Row],[Construction Start date]])</f>
        <v>42</v>
      </c>
      <c r="L7" s="169">
        <f>tblProjects[[#This Row],[Size]]/(_xlfn.DAYS(tblProjects[[#This Row],[Commissioning Date]],tblProjects[[#This Row],[Construction Start date]]))*7</f>
        <v>24.705882352941174</v>
      </c>
      <c r="M7" s="149">
        <f>IFERROR(
  _xlfn.MAXIFS(
    tblProjectPlan[ActualEndDate],
    tblProjectPlan[ProjectName], tblProjects[[#This Row],[Project Name]],
    tblProjectPlan[TaskDescription], "*Commissioning*"
  ),
  ""
)</f>
        <v>46169</v>
      </c>
      <c r="N7" s="149">
        <f>IFERROR(
  _xlfn.MAXIFS(
    tblProjectPlan[ActualEndDate],
    tblProjectPlan[ProjectName], tblProjects[[#This Row],[Project Name]],
    tblProjectPlan[TaskDescription], "*Handover to Matriarch*"
  ),
  ""
)</f>
        <v>46183</v>
      </c>
      <c r="O7" s="149">
        <f>IFERROR(
  _xlfn.MAXIFS(
    tblProjectPlan[ActualEndDate],
    tblProjectPlan[ProjectName], tblProjects[[#This Row],[Project Name]],
    tblProjectPlan[TaskDescription], "*handover to client*"
  ),
  ""
)</f>
        <v>46177</v>
      </c>
      <c r="P7" s="150">
        <f>IFERROR(AVERAGEIF(tblProjectPlan[ProjectName],tblProjects[[#This Row],[Project Name]],tblProjectPlan[Actual%Complete]),0)</f>
        <v>3.0776515151515152E-2</v>
      </c>
      <c r="Q7" s="150">
        <f>IFERROR(AVERAGEIF(tblProjectPlan[ProjectName],tblProjects[[#This Row],[Project Name]],tblProjectPlan[Expected%Complete]),0)</f>
        <v>3.0776515151515152E-2</v>
      </c>
      <c r="R7" s="151">
        <f>tblProjects[[#This Row],[Project % Complete]]-tblProjects[[#This Row],[Expected % Completed]]</f>
        <v>0</v>
      </c>
      <c r="S7" s="152">
        <f>_xlfn.LET(_xlpm.p,tblProjects[[#This Row],[Project Name]], SUMIFS(tblProgramInflows[MilstoneAmount], tblProgramInflows[ProjectName], _xlpm.p))</f>
        <v>2899774.6540018995</v>
      </c>
      <c r="T7" s="152">
        <f>_xlfn.LET(_xlpm.p,tblProjects[[#This Row],[Project Name]], SUMIFS(tblProgramExpense[ExpenseActualTotal], tblProgramExpense[ProjectName], _xlpm.p))</f>
        <v>2564437.273537342</v>
      </c>
      <c r="U7" s="150">
        <f>1-IF(tblProjects[[#This Row],[Actual Revenue]]=0,"",tblProjects[[#This Row],[Actual Expenses]]/tblProjects[[#This Row],[Actual Revenue]])</f>
        <v>0.11564256553583141</v>
      </c>
      <c r="V7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7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7" s="246"/>
      <c r="Y7" s="246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</row>
    <row r="8" spans="1:186">
      <c r="A8" t="str" cm="1">
        <f t="array" ref="A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IFERROR(INDEX(_xlpm.sorted,ROWS(A$2:A8)),"")
)</f>
        <v>Mondi_Tracker_Rev02.xlsm</v>
      </c>
      <c r="B8" s="147" cm="1">
        <f t="array" ref="B8">_xlfn.LET(_xlpm.p,$A8,_xlfn.IFNA(
  INDEX(tblProjectInfo[InfoValue],
        MATCH(1,(tblProjectInfo[ProjectName]=_xlpm.p)*
                 (UPPER(TRIM(tblProjectInfo[Info]))="PROJECT SIZE (KWP)"),0)
), ""))</f>
        <v>0</v>
      </c>
      <c r="C8" s="147" t="str" cm="1">
        <f t="array" ref="C8">_xlfn.LET(_xlpm.p,$A8,_xlfn.IFNA(
  INDEX(tblProjectInfo[InfoValue],
        MATCH(1,(tblProjectInfo[ProjectName]=_xlpm.p)*
                 (UPPER(TRIM(tblProjectInfo[Info]))="PROJECT DEVELOPER"),0)
), ""))</f>
        <v/>
      </c>
      <c r="D8" s="148" cm="1">
        <f t="array" ref="D8">_xlfn.LET(_xlpm.p,$A8,_xlfn.IFNA(
  INDEX(tblProjectInfo[InfoValue],
        MATCH(1,(tblProjectInfo[ProjectName]=_xlpm.p)*
                 (UPPER(TRIM(tblProjectInfo[Info]))="PROJECT MANAGERS"),0)
), ""))</f>
        <v>0</v>
      </c>
      <c r="E8" s="147"/>
      <c r="F8" s="147"/>
      <c r="G8" s="147"/>
      <c r="H8" s="162" t="str" cm="1">
        <f t="array" ref="H8">_xlfn.LET(_xlpm.p,$A8,_xlfn.IFNA(
  INDEX(tblProjectInfo[InfoValue],
        MATCH(1,(tblProjectInfo[ProjectName]=_xlpm.p)*
                 ISNUMBER(SEARCH("PHASE",UPPER(tblProjectInfo[Info]))),0)
), ""))</f>
        <v>Financial Close</v>
      </c>
      <c r="I8" s="149" t="str" cm="1">
        <f t="array" ref="I8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8" s="149">
        <f>IFERROR(
  _xlfn.MAXIFS(
    tblProjectPlan[ActualEndDate],
    tblProjectPlan[ProjectName], tblProjects[[#This Row],[Project Name]],
    tblProjectPlan[TaskDescription], "*site establishment*"
  ),
  ""
)</f>
        <v>0</v>
      </c>
      <c r="K8" s="169">
        <f>_xlfn.DAYS(tblProjects[[#This Row],[Client Handover Date]],tblProjects[[#This Row],[Construction Start date]])</f>
        <v>0</v>
      </c>
      <c r="L8" s="169">
        <f>tblProjects[[#This Row],[Size]]/(_xlfn.DAYS(tblProjects[[#This Row],[Commissioning Date]],tblProjects[[#This Row],[Construction Start date]]))*7</f>
        <v>0</v>
      </c>
      <c r="M8" s="149">
        <f>IFERROR(
  _xlfn.MAXIFS(
    tblProjectPlan[ActualEndDate],
    tblProjectPlan[ProjectName], tblProjects[[#This Row],[Project Name]],
    tblProjectPlan[TaskDescription], "*Commissioning*"
  ),
  ""
)</f>
        <v>46279</v>
      </c>
      <c r="N8" s="149">
        <f>IFERROR(
  _xlfn.MAXIFS(
    tblProjectPlan[ActualEndDate],
    tblProjectPlan[ProjectName], tblProjects[[#This Row],[Project Name]],
    tblProjectPlan[TaskDescription], "*Handover to Matriarch*"
  ),
  ""
)</f>
        <v>0</v>
      </c>
      <c r="O8" s="149">
        <f>IFERROR(
  _xlfn.MAXIFS(
    tblProjectPlan[ActualEndDate],
    tblProjectPlan[ProjectName], tblProjects[[#This Row],[Project Name]],
    tblProjectPlan[TaskDescription], "*handover to client*"
  ),
  ""
)</f>
        <v>0</v>
      </c>
      <c r="P8" s="150">
        <f>IFERROR(AVERAGEIF(tblProjectPlan[ProjectName],tblProjects[[#This Row],[Project Name]],tblProjectPlan[Actual%Complete]),0)</f>
        <v>46173.5625</v>
      </c>
      <c r="Q8" s="150">
        <f>IFERROR(AVERAGEIF(tblProjectPlan[ProjectName],tblProjects[[#This Row],[Project Name]],tblProjectPlan[Expected%Complete]),0)</f>
        <v>0</v>
      </c>
      <c r="R8" s="151">
        <f>tblProjects[[#This Row],[Project % Complete]]-tblProjects[[#This Row],[Expected % Completed]]</f>
        <v>46173.5625</v>
      </c>
      <c r="S8" s="152">
        <f>_xlfn.LET(_xlpm.p,tblProjects[[#This Row],[Project Name]], SUMIFS(tblProgramInflows[MilstoneAmount], tblProgramInflows[ProjectName], _xlpm.p))</f>
        <v>144482290.75276899</v>
      </c>
      <c r="T8" s="152">
        <f>_xlfn.LET(_xlpm.p,tblProjects[[#This Row],[Project Name]], SUMIFS(tblProgramExpense[ExpenseActualTotal], tblProgramExpense[ProjectName], _xlpm.p))</f>
        <v>144818350.36637786</v>
      </c>
      <c r="U8" s="150">
        <f>1-IF(tblProjects[[#This Row],[Actual Revenue]]=0,"",tblProjects[[#This Row],[Actual Expenses]]/tblProjects[[#This Row],[Actual Revenue]])</f>
        <v>-2.3259571249734101E-3</v>
      </c>
      <c r="V8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8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5828466.3840000005</v>
      </c>
      <c r="X8" s="246"/>
      <c r="Y8" s="278" t="s">
        <v>92</v>
      </c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</row>
    <row r="9" spans="1:186">
      <c r="A9" t="str" cm="1">
        <f t="array" ref="A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IFERROR(INDEX(_xlpm.sorted,ROWS(A$2:A9)),"")
)</f>
        <v>PnP Bethal_Tracker.xlsx</v>
      </c>
      <c r="B9" s="147" cm="1">
        <f t="array" ref="B9">_xlfn.LET(_xlpm.p,$A9,_xlfn.IFNA(
  INDEX(tblProjectInfo[InfoValue],
        MATCH(1,(tblProjectInfo[ProjectName]=_xlpm.p)*
                 (UPPER(TRIM(tblProjectInfo[Info]))="PROJECT SIZE (KWP)"),0)
), ""))</f>
        <v>420</v>
      </c>
      <c r="C9" s="147" t="str" cm="1">
        <f t="array" ref="C9">_xlfn.LET(_xlpm.p,$A9,_xlfn.IFNA(
  INDEX(tblProjectInfo[InfoValue],
        MATCH(1,(tblProjectInfo[ProjectName]=_xlpm.p)*
                 (UPPER(TRIM(tblProjectInfo[Info]))="PROJECT DEVELOPER"),0)
), ""))</f>
        <v>Megan Moore</v>
      </c>
      <c r="D9" s="148" t="str" cm="1">
        <f t="array" ref="D9">_xlfn.LET(_xlpm.p,$A9,_xlfn.IFNA(
  INDEX(tblProjectInfo[InfoValue],
        MATCH(1,(tblProjectInfo[ProjectName]=_xlpm.p)*
                 (UPPER(TRIM(tblProjectInfo[Info]))="PROJECT MANAGERS"),0)
), ""))</f>
        <v>Eon Van Rensburg</v>
      </c>
      <c r="E9" s="147"/>
      <c r="F9" s="147"/>
      <c r="G9" s="147"/>
      <c r="H9" s="162" t="str" cm="1">
        <f t="array" ref="H9">_xlfn.LET(_xlpm.p,$A9,_xlfn.IFNA(
  INDEX(tblProjectInfo[InfoValue],
        MATCH(1,(tblProjectInfo[ProjectName]=_xlpm.p)*
                 ISNUMBER(SEARCH("PHASE",UPPER(tblProjectInfo[Info]))),0)
), ""))</f>
        <v>Financial Close</v>
      </c>
      <c r="I9" s="149" cm="1">
        <f t="array" ref="I9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46043</v>
      </c>
      <c r="J9" s="149">
        <f>IFERROR(
  _xlfn.MAXIFS(
    tblProjectPlan[ActualEndDate],
    tblProjectPlan[ProjectName], tblProjects[[#This Row],[Project Name]],
    tblProjectPlan[TaskDescription], "*site establishment*"
  ),
  ""
)</f>
        <v>46104</v>
      </c>
      <c r="K9" s="169">
        <f>_xlfn.DAYS(tblProjects[[#This Row],[Client Handover Date]],tblProjects[[#This Row],[Construction Start date]])</f>
        <v>52</v>
      </c>
      <c r="L9" s="169">
        <f>tblProjects[[#This Row],[Size]]/(_xlfn.DAYS(tblProjects[[#This Row],[Commissioning Date]],tblProjects[[#This Row],[Construction Start date]]))*7</f>
        <v>60</v>
      </c>
      <c r="M9" s="149">
        <f>IFERROR(
  _xlfn.MAXIFS(
    tblProjectPlan[ActualEndDate],
    tblProjectPlan[ProjectName], tblProjects[[#This Row],[Project Name]],
    tblProjectPlan[TaskDescription], "*Commissioning*"
  ),
  ""
)</f>
        <v>46153</v>
      </c>
      <c r="N9" s="149">
        <f>IFERROR(
  _xlfn.MAXIFS(
    tblProjectPlan[ActualEndDate],
    tblProjectPlan[ProjectName], tblProjects[[#This Row],[Project Name]],
    tblProjectPlan[TaskDescription], "*Handover to Matriarch*"
  ),
  ""
)</f>
        <v>46162</v>
      </c>
      <c r="O9" s="149">
        <f>IFERROR(
  _xlfn.MAXIFS(
    tblProjectPlan[ActualEndDate],
    tblProjectPlan[ProjectName], tblProjects[[#This Row],[Project Name]],
    tblProjectPlan[TaskDescription], "*handover to client*"
  ),
  ""
)</f>
        <v>46156</v>
      </c>
      <c r="P9" s="150">
        <f>IFERROR(AVERAGEIF(tblProjectPlan[ProjectName],tblProjects[[#This Row],[Project Name]],tblProjectPlan[Actual%Complete]),0)</f>
        <v>2.8508771929824563E-2</v>
      </c>
      <c r="Q9" s="150">
        <f>IFERROR(AVERAGEIF(tblProjectPlan[ProjectName],tblProjects[[#This Row],[Project Name]],tblProjectPlan[Expected%Complete]),0)</f>
        <v>2.8508771929824563E-2</v>
      </c>
      <c r="R9" s="151">
        <f>tblProjects[[#This Row],[Project % Complete]]-tblProjects[[#This Row],[Expected % Completed]]</f>
        <v>0</v>
      </c>
      <c r="S9" s="152">
        <f>_xlfn.LET(_xlpm.p,tblProjects[[#This Row],[Project Name]], SUMIFS(tblProgramInflows[MilstoneAmount], tblProgramInflows[ProjectName], _xlpm.p))</f>
        <v>5149508.5714090457</v>
      </c>
      <c r="T9" s="152">
        <f>_xlfn.LET(_xlpm.p,tblProjects[[#This Row],[Project Name]], SUMIFS(tblProgramExpense[ExpenseActualTotal], tblProgramExpense[ProjectName], _xlpm.p))</f>
        <v>3300331.7862454918</v>
      </c>
      <c r="U9" s="150">
        <f>1-IF(tblProjects[[#This Row],[Actual Revenue]]=0,"",tblProjects[[#This Row],[Actual Expenses]]/tblProjects[[#This Row],[Actual Revenue]])</f>
        <v>0.35909771962134418</v>
      </c>
      <c r="V9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9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9" s="246"/>
      <c r="Y9" s="246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</row>
    <row r="10" spans="1:186" s="147" customFormat="1">
      <c r="A10" t="str" cm="1">
        <f t="array" ref="A1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IFERROR(INDEX(_xlpm.sorted,ROWS(A$2:A10)),"")
)</f>
        <v>Swellengrebel_Tracker.xlsx</v>
      </c>
      <c r="B10" s="147" cm="1">
        <f t="array" ref="B10">_xlfn.LET(_xlpm.p,$A10,_xlfn.IFNA(
  INDEX(tblProjectInfo[InfoValue],
        MATCH(1,(tblProjectInfo[ProjectName]=_xlpm.p)*
                 (UPPER(TRIM(tblProjectInfo[Info]))="PROJECT SIZE (KWP)"),0)
), ""))</f>
        <v>350</v>
      </c>
      <c r="C10" s="147" t="str" cm="1">
        <f t="array" ref="C10">_xlfn.LET(_xlpm.p,$A10,_xlfn.IFNA(
  INDEX(tblProjectInfo[InfoValue],
        MATCH(1,(tblProjectInfo[ProjectName]=_xlpm.p)*
                 (UPPER(TRIM(tblProjectInfo[Info]))="PROJECT DEVELOPER"),0)
), ""))</f>
        <v>Cole Bisset</v>
      </c>
      <c r="D10" s="148" t="str" cm="1">
        <f t="array" ref="D10">_xlfn.LET(_xlpm.p,$A10,_xlfn.IFNA(
  INDEX(tblProjectInfo[InfoValue],
        MATCH(1,(tblProjectInfo[ProjectName]=_xlpm.p)*
                 (UPPER(TRIM(tblProjectInfo[Info]))="PROJECT MANAGERS"),0)
), ""))</f>
        <v>Justin Franke</v>
      </c>
      <c r="H10" s="162" t="str" cm="1">
        <f t="array" ref="H10">_xlfn.LET(_xlpm.p,$A10,_xlfn.IFNA(
  INDEX(tblProjectInfo[InfoValue],
        MATCH(1,(tblProjectInfo[ProjectName]=_xlpm.p)*
                 ISNUMBER(SEARCH("PHASE",UPPER(tblProjectInfo[Info]))),0)
), ""))</f>
        <v>Financial Close</v>
      </c>
      <c r="I10" s="149" cm="1">
        <f t="array" ref="I10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46041</v>
      </c>
      <c r="J10" s="149">
        <f>IFERROR(
  _xlfn.MAXIFS(
    tblProjectPlan[ActualEndDate],
    tblProjectPlan[ProjectName], tblProjects[[#This Row],[Project Name]],
    tblProjectPlan[TaskDescription], "*site establishment*"
  ),
  ""
)</f>
        <v>46106</v>
      </c>
      <c r="K10" s="169">
        <f>_xlfn.DAYS(tblProjects[[#This Row],[Client Handover Date]],tblProjects[[#This Row],[Construction Start date]])</f>
        <v>49</v>
      </c>
      <c r="L10" s="169">
        <f>tblProjects[[#This Row],[Size]]/(_xlfn.DAYS(tblProjects[[#This Row],[Commissioning Date]],tblProjects[[#This Row],[Construction Start date]]))*7</f>
        <v>59.756097560975611</v>
      </c>
      <c r="M10" s="149">
        <f>IFERROR(
  _xlfn.MAXIFS(
    tblProjectPlan[ActualEndDate],
    tblProjectPlan[ProjectName], tblProjects[[#This Row],[Project Name]],
    tblProjectPlan[TaskDescription], "*Commissioning*"
  ),
  ""
)</f>
        <v>46147</v>
      </c>
      <c r="N10" s="149">
        <f>IFERROR(
  _xlfn.MAXIFS(
    tblProjectPlan[ActualEndDate],
    tblProjectPlan[ProjectName], tblProjects[[#This Row],[Project Name]],
    tblProjectPlan[TaskDescription], "*Handover to Matriarch*"
  ),
  ""
)</f>
        <v>46161</v>
      </c>
      <c r="O10" s="149">
        <f>IFERROR(
  _xlfn.MAXIFS(
    tblProjectPlan[ActualEndDate],
    tblProjectPlan[ProjectName], tblProjects[[#This Row],[Project Name]],
    tblProjectPlan[TaskDescription], "*handover to client*"
  ),
  ""
)</f>
        <v>46155</v>
      </c>
      <c r="P10" s="150">
        <f>IFERROR(AVERAGEIF(tblProjectPlan[ProjectName],tblProjects[[#This Row],[Project Name]],tblProjectPlan[Actual%Complete]),0)</f>
        <v>2.9871323529411766E-2</v>
      </c>
      <c r="Q10" s="150">
        <f>IFERROR(AVERAGEIF(tblProjectPlan[ProjectName],tblProjects[[#This Row],[Project Name]],tblProjectPlan[Expected%Complete]),0)</f>
        <v>4.2993495475113122E-2</v>
      </c>
      <c r="R10" s="151">
        <f>tblProjects[[#This Row],[Project % Complete]]-tblProjects[[#This Row],[Expected % Completed]]</f>
        <v>-1.3122171945701356E-2</v>
      </c>
      <c r="S10" s="152">
        <f>_xlfn.LET(_xlpm.p,tblProjects[[#This Row],[Project Name]], SUMIFS(tblProgramInflows[MilstoneAmount], tblProgramInflows[ProjectName], _xlpm.p))</f>
        <v>2718200.0524241952</v>
      </c>
      <c r="T10" s="152">
        <f>_xlfn.LET(_xlpm.p,tblProjects[[#This Row],[Project Name]], SUMIFS(tblProgramExpense[ExpenseActualTotal], tblProgramExpense[ProjectName], _xlpm.p))</f>
        <v>2108613.3106137384</v>
      </c>
      <c r="U10" s="150">
        <f>1-IF(tblProjects[[#This Row],[Actual Revenue]]=0,"",tblProjects[[#This Row],[Actual Expenses]]/tblProjects[[#This Row],[Actual Revenue]])</f>
        <v>0.22426117653364175</v>
      </c>
      <c r="V10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0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0" s="246"/>
      <c r="Y10" s="278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</row>
    <row r="11" spans="1:186" s="147" customFormat="1">
      <c r="A11" t="str" cm="1">
        <f t="array" ref="A1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IFERROR(INDEX(_xlpm.sorted,ROWS(A$2:A11)),"")
)</f>
        <v>De Drift_Tracker.xlsx</v>
      </c>
      <c r="B11" s="147" cm="1">
        <f t="array" ref="B11">_xlfn.LET(_xlpm.p,$A11,_xlfn.IFNA(
  INDEX(tblProjectInfo[InfoValue],
        MATCH(1,(tblProjectInfo[ProjectName]=_xlpm.p)*
                 (UPPER(TRIM(tblProjectInfo[Info]))="PROJECT SIZE (KWP)"),0)
), ""))</f>
        <v>800</v>
      </c>
      <c r="C11" s="147" t="str" cm="1">
        <f t="array" ref="C11">_xlfn.LET(_xlpm.p,$A11,_xlfn.IFNA(
  INDEX(tblProjectInfo[InfoValue],
        MATCH(1,(tblProjectInfo[ProjectName]=_xlpm.p)*
                 (UPPER(TRIM(tblProjectInfo[Info]))="PROJECT DEVELOPER"),0)
), ""))</f>
        <v>Peet Verreynne</v>
      </c>
      <c r="D11" s="148" t="str" cm="1">
        <f t="array" ref="D11">_xlfn.LET(_xlpm.p,$A11,_xlfn.IFNA(
  INDEX(tblProjectInfo[InfoValue],
        MATCH(1,(tblProjectInfo[ProjectName]=_xlpm.p)*
                 (UPPER(TRIM(tblProjectInfo[Info]))="PROJECT MANAGERS"),0)
), ""))</f>
        <v>Justin Franke</v>
      </c>
      <c r="H11" s="162" t="str" cm="1">
        <f t="array" ref="H11">_xlfn.LET(_xlpm.p,$A11,_xlfn.IFNA(
  INDEX(tblProjectInfo[InfoValue],
        MATCH(1,(tblProjectInfo[ProjectName]=_xlpm.p)*
                 ISNUMBER(SEARCH("PHASE",UPPER(tblProjectInfo[Info]))),0)
), ""))</f>
        <v>Planning</v>
      </c>
      <c r="I11" s="149" cm="1">
        <f t="array" ref="I11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46045</v>
      </c>
      <c r="J11" s="149">
        <f>IFERROR(
  _xlfn.MAXIFS(
    tblProjectPlan[ActualEndDate],
    tblProjectPlan[ProjectName], tblProjects[[#This Row],[Project Name]],
    tblProjectPlan[TaskDescription], "*site establishment*"
  ),
  ""
)</f>
        <v>46119</v>
      </c>
      <c r="K11" s="169">
        <f>_xlfn.DAYS(tblProjects[[#This Row],[Client Handover Date]],tblProjects[[#This Row],[Construction Start date]])</f>
        <v>79</v>
      </c>
      <c r="L11" s="169">
        <f>tblProjects[[#This Row],[Size]]/(_xlfn.DAYS(tblProjects[[#This Row],[Commissioning Date]],tblProjects[[#This Row],[Construction Start date]]))*7</f>
        <v>78.873239436619713</v>
      </c>
      <c r="M11" s="149">
        <f>IFERROR(
  _xlfn.MAXIFS(
    tblProjectPlan[ActualEndDate],
    tblProjectPlan[ProjectName], tblProjects[[#This Row],[Project Name]],
    tblProjectPlan[TaskDescription], "*Commissioning*"
  ),
  ""
)</f>
        <v>46190</v>
      </c>
      <c r="N11" s="149">
        <f>IFERROR(
  _xlfn.MAXIFS(
    tblProjectPlan[ActualEndDate],
    tblProjectPlan[ProjectName], tblProjects[[#This Row],[Project Name]],
    tblProjectPlan[TaskDescription], "*Handover to Matriarch*"
  ),
  ""
)</f>
        <v>46204</v>
      </c>
      <c r="O11" s="149">
        <f>IFERROR(
  _xlfn.MAXIFS(
    tblProjectPlan[ActualEndDate],
    tblProjectPlan[ProjectName], tblProjects[[#This Row],[Project Name]],
    tblProjectPlan[TaskDescription], "*handover to client*"
  ),
  ""
)</f>
        <v>46198</v>
      </c>
      <c r="P11" s="150">
        <f>IFERROR(AVERAGEIF(tblProjectPlan[ProjectName],tblProjects[[#This Row],[Project Name]],tblProjectPlan[Actual%Complete]),0)</f>
        <v>4.1125541125541128E-2</v>
      </c>
      <c r="Q11" s="150">
        <f>IFERROR(AVERAGEIF(tblProjectPlan[ProjectName],tblProjects[[#This Row],[Project Name]],tblProjectPlan[Expected%Complete]),0)</f>
        <v>4.0854978354978352E-2</v>
      </c>
      <c r="R11" s="151">
        <f>tblProjects[[#This Row],[Project % Complete]]-tblProjects[[#This Row],[Expected % Completed]]</f>
        <v>2.7056277056277528E-4</v>
      </c>
      <c r="S11" s="152">
        <f>_xlfn.LET(_xlpm.p,tblProjects[[#This Row],[Project Name]], SUMIFS(tblProgramInflows[MilstoneAmount], tblProgramInflows[ProjectName], _xlpm.p))</f>
        <v>5965612.4948904281</v>
      </c>
      <c r="T11" s="152">
        <f>_xlfn.LET(_xlpm.p,tblProjects[[#This Row],[Project Name]], SUMIFS(tblProgramExpense[ExpenseActualTotal], tblProgramExpense[ProjectName], _xlpm.p))</f>
        <v>4346374.609519463</v>
      </c>
      <c r="U11" s="150">
        <f>1-IF(tblProjects[[#This Row],[Actual Revenue]]=0,"",tblProjects[[#This Row],[Actual Expenses]]/tblProjects[[#This Row],[Actual Revenue]])</f>
        <v>0.27142860632631582</v>
      </c>
      <c r="V11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1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1" s="246"/>
      <c r="Y11" s="106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</row>
    <row r="12" spans="1:186">
      <c r="A12" t="str" cm="1">
        <f t="array" ref="A1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IFERROR(INDEX(_xlpm.sorted,ROWS(A$2:A12)),"")
)</f>
        <v>Meraki Ph3_Tracker.xlsx</v>
      </c>
      <c r="B12" s="147" cm="1">
        <f t="array" ref="B12">_xlfn.LET(_xlpm.p,$A12,_xlfn.IFNA(
  INDEX(tblProjectInfo[InfoValue],
        MATCH(1,(tblProjectInfo[ProjectName]=_xlpm.p)*
                 (UPPER(TRIM(tblProjectInfo[Info]))="PROJECT SIZE (KWP)"),0)
), ""))</f>
        <v>90</v>
      </c>
      <c r="C12" s="147" t="str" cm="1">
        <f t="array" ref="C12">_xlfn.LET(_xlpm.p,$A12,_xlfn.IFNA(
  INDEX(tblProjectInfo[InfoValue],
        MATCH(1,(tblProjectInfo[ProjectName]=_xlpm.p)*
                 (UPPER(TRIM(tblProjectInfo[Info]))="PROJECT DEVELOPER"),0)
), ""))</f>
        <v>Kirsten Marwick</v>
      </c>
      <c r="D12" s="148" t="str" cm="1">
        <f t="array" ref="D12">_xlfn.LET(_xlpm.p,$A12,_xlfn.IFNA(
  INDEX(tblProjectInfo[InfoValue],
        MATCH(1,(tblProjectInfo[ProjectName]=_xlpm.p)*
                 (UPPER(TRIM(tblProjectInfo[Info]))="PROJECT MANAGERS"),0)
), ""))</f>
        <v>Lloyd Brown</v>
      </c>
      <c r="E12" s="147"/>
      <c r="F12" s="147"/>
      <c r="G12" s="147"/>
      <c r="H12" s="162" t="str" cm="1">
        <f t="array" ref="H12">_xlfn.LET(_xlpm.p,$A12,_xlfn.IFNA(
  INDEX(tblProjectInfo[InfoValue],
        MATCH(1,(tblProjectInfo[ProjectName]=_xlpm.p)*
                 ISNUMBER(SEARCH("PHASE",UPPER(tblProjectInfo[Info]))),0)
), ""))</f>
        <v>Planning</v>
      </c>
      <c r="I12" s="149" cm="1">
        <f t="array" ref="I12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45685</v>
      </c>
      <c r="J12" s="149">
        <f>IFERROR(
  _xlfn.MAXIFS(
    tblProjectPlan[ActualEndDate],
    tblProjectPlan[ProjectName], tblProjects[[#This Row],[Project Name]],
    tblProjectPlan[TaskDescription], "*site establishment*"
  ),
  ""
)</f>
        <v>45706</v>
      </c>
      <c r="K12" s="169">
        <f>_xlfn.DAYS(tblProjects[[#This Row],[Client Handover Date]],tblProjects[[#This Row],[Construction Start date]])</f>
        <v>384</v>
      </c>
      <c r="L12" s="169">
        <f>tblProjects[[#This Row],[Size]]/(_xlfn.DAYS(tblProjects[[#This Row],[Commissioning Date]],tblProjects[[#This Row],[Construction Start date]]))*7</f>
        <v>22.5</v>
      </c>
      <c r="M12" s="149">
        <f>IFERROR(
  _xlfn.MAXIFS(
    tblProjectPlan[ActualEndDate],
    tblProjectPlan[ProjectName], tblProjects[[#This Row],[Project Name]],
    tblProjectPlan[TaskDescription], "*Commissioning*"
  ),
  ""
)</f>
        <v>45734</v>
      </c>
      <c r="N12" s="149">
        <f>IFERROR(
  _xlfn.MAXIFS(
    tblProjectPlan[ActualEndDate],
    tblProjectPlan[ProjectName], tblProjects[[#This Row],[Project Name]],
    tblProjectPlan[TaskDescription], "*Handover to Matriarch*"
  ),
  ""
)</f>
        <v>46097</v>
      </c>
      <c r="O12" s="149">
        <f>IFERROR(
  _xlfn.MAXIFS(
    tblProjectPlan[ActualEndDate],
    tblProjectPlan[ProjectName], tblProjects[[#This Row],[Project Name]],
    tblProjectPlan[TaskDescription], "*handover to client*"
  ),
  ""
)</f>
        <v>46090</v>
      </c>
      <c r="P12" s="150">
        <f>IFERROR(AVERAGEIF(tblProjectPlan[ProjectName],tblProjects[[#This Row],[Project Name]],tblProjectPlan[Actual%Complete]),0)</f>
        <v>0.9</v>
      </c>
      <c r="Q12" s="150">
        <f>IFERROR(AVERAGEIF(tblProjectPlan[ProjectName],tblProjects[[#This Row],[Project Name]],tblProjectPlan[Expected%Complete]),0)</f>
        <v>0.9</v>
      </c>
      <c r="R12" s="151">
        <f>tblProjects[[#This Row],[Project % Complete]]-tblProjects[[#This Row],[Expected % Completed]]</f>
        <v>0</v>
      </c>
      <c r="S12" s="152">
        <f>_xlfn.LET(_xlpm.p,tblProjects[[#This Row],[Project Name]], SUMIFS(tblProgramInflows[MilstoneAmount], tblProgramInflows[ProjectName], _xlpm.p))</f>
        <v>2115658.1684711403</v>
      </c>
      <c r="T12" s="152">
        <f>_xlfn.LET(_xlpm.p,tblProjects[[#This Row],[Project Name]], SUMIFS(tblProgramExpense[ExpenseActualTotal], tblProgramExpense[ProjectName], _xlpm.p))</f>
        <v>1152547.3290529447</v>
      </c>
      <c r="U12" s="150">
        <f>1-IF(tblProjects[[#This Row],[Actual Revenue]]=0,"",tblProjects[[#This Row],[Actual Expenses]]/tblProjects[[#This Row],[Actual Revenue]])</f>
        <v>0.45522989194146535</v>
      </c>
      <c r="V12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2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2" s="246"/>
      <c r="Y12" s="246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</row>
    <row r="13" spans="1:186" s="147" customFormat="1">
      <c r="A13" t="str" cm="1">
        <f t="array" ref="A1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IFERROR(INDEX(_xlpm.sorted,ROWS(A$2:A13)),"")
)</f>
        <v>Steelpark_Tracker.xlsx</v>
      </c>
      <c r="B13" s="147" cm="1">
        <f t="array" ref="B13">_xlfn.LET(_xlpm.p,$A13,_xlfn.IFNA(
  INDEX(tblProjectInfo[InfoValue],
        MATCH(1,(tblProjectInfo[ProjectName]=_xlpm.p)*
                 (UPPER(TRIM(tblProjectInfo[Info]))="PROJECT SIZE (KWP)"),0)
), ""))</f>
        <v>130</v>
      </c>
      <c r="C13" s="147" t="str" cm="1">
        <f t="array" ref="C13">_xlfn.LET(_xlpm.p,$A13,_xlfn.IFNA(
  INDEX(tblProjectInfo[InfoValue],
        MATCH(1,(tblProjectInfo[ProjectName]=_xlpm.p)*
                 (UPPER(TRIM(tblProjectInfo[Info]))="PROJECT DEVELOPER"),0)
), ""))</f>
        <v>Natasha Watkins-Baker</v>
      </c>
      <c r="D13" s="148" t="str" cm="1">
        <f t="array" ref="D13">_xlfn.LET(_xlpm.p,$A13,_xlfn.IFNA(
  INDEX(tblProjectInfo[InfoValue],
        MATCH(1,(tblProjectInfo[ProjectName]=_xlpm.p)*
                 (UPPER(TRIM(tblProjectInfo[Info]))="PROJECT MANAGERS"),0)
), ""))</f>
        <v>Justin Franke</v>
      </c>
      <c r="H13" s="162" t="str" cm="1">
        <f t="array" ref="H13">_xlfn.LET(_xlpm.p,$A13,_xlfn.IFNA(
  INDEX(tblProjectInfo[InfoValue],
        MATCH(1,(tblProjectInfo[ProjectName]=_xlpm.p)*
                 ISNUMBER(SEARCH("PHASE",UPPER(tblProjectInfo[Info]))),0)
), ""))</f>
        <v>Planning</v>
      </c>
      <c r="I13" s="149" cm="1">
        <f t="array" ref="I13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45987</v>
      </c>
      <c r="J13" s="149">
        <f>IFERROR(
  _xlfn.MAXIFS(
    tblProjectPlan[ActualEndDate],
    tblProjectPlan[ProjectName], tblProjects[[#This Row],[Project Name]],
    tblProjectPlan[TaskDescription], "*site establishment*"
  ),
  ""
)</f>
        <v>46077</v>
      </c>
      <c r="K13" s="169">
        <f>_xlfn.DAYS(tblProjects[[#This Row],[Client Handover Date]],tblProjects[[#This Row],[Construction Start date]])</f>
        <v>37</v>
      </c>
      <c r="L13" s="169">
        <f>tblProjects[[#This Row],[Size]]/(_xlfn.DAYS(tblProjects[[#This Row],[Commissioning Date]],tblProjects[[#This Row],[Construction Start date]]))*7</f>
        <v>26.764705882352942</v>
      </c>
      <c r="M13" s="149">
        <f>IFERROR(
  _xlfn.MAXIFS(
    tblProjectPlan[ActualEndDate],
    tblProjectPlan[ProjectName], tblProjects[[#This Row],[Project Name]],
    tblProjectPlan[TaskDescription], "*Commissioning*"
  ),
  ""
)</f>
        <v>46111</v>
      </c>
      <c r="N13" s="149">
        <f>IFERROR(
  _xlfn.MAXIFS(
    tblProjectPlan[ActualEndDate],
    tblProjectPlan[ProjectName], tblProjects[[#This Row],[Project Name]],
    tblProjectPlan[TaskDescription], "*Handover to Matriarch*"
  ),
  ""
)</f>
        <v>46122</v>
      </c>
      <c r="O13" s="149">
        <f>IFERROR(
  _xlfn.MAXIFS(
    tblProjectPlan[ActualEndDate],
    tblProjectPlan[ProjectName], tblProjects[[#This Row],[Project Name]],
    tblProjectPlan[TaskDescription], "*handover to client*"
  ),
  ""
)</f>
        <v>46114</v>
      </c>
      <c r="P13" s="150">
        <f>IFERROR(AVERAGEIF(tblProjectPlan[ProjectName],tblProjects[[#This Row],[Project Name]],tblProjectPlan[Actual%Complete]),0)</f>
        <v>0.11941666666666664</v>
      </c>
      <c r="Q13" s="150">
        <f>IFERROR(AVERAGEIF(tblProjectPlan[ProjectName],tblProjects[[#This Row],[Project Name]],tblProjectPlan[Expected%Complete]),0)</f>
        <v>0.1241961268378319</v>
      </c>
      <c r="R13" s="151">
        <f>tblProjects[[#This Row],[Project % Complete]]-tblProjects[[#This Row],[Expected % Completed]]</f>
        <v>-4.7794601711652618E-3</v>
      </c>
      <c r="S13" s="152">
        <f>_xlfn.LET(_xlpm.p,tblProjects[[#This Row],[Project Name]], SUMIFS(tblProgramInflows[MilstoneAmount], tblProgramInflows[ProjectName], _xlpm.p))</f>
        <v>1399380.6092331572</v>
      </c>
      <c r="T13" s="152">
        <f>_xlfn.LET(_xlpm.p,tblProjects[[#This Row],[Project Name]], SUMIFS(tblProgramExpense[ExpenseActualTotal], tblProgramExpense[ProjectName], _xlpm.p))</f>
        <v>915376.6809654145</v>
      </c>
      <c r="U13" s="150">
        <f>1-IF(tblProjects[[#This Row],[Actual Revenue]]=0,"",tblProjects[[#This Row],[Actual Expenses]]/tblProjects[[#This Row],[Actual Revenue]])</f>
        <v>0.34587011215838603</v>
      </c>
      <c r="V13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3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67791.59</v>
      </c>
      <c r="X13" s="246"/>
      <c r="Y13" s="246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</row>
    <row r="14" spans="1:186">
      <c r="A14" t="str" cm="1">
        <f t="array" ref="A1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IFERROR(INDEX(_xlpm.sorted,ROWS(A$2:A14)),"")
)</f>
        <v>Westway BESS_Tracker.xlsx</v>
      </c>
      <c r="B14" s="147" t="str" cm="1">
        <f t="array" ref="B14">_xlfn.LET(_xlpm.p,$A14,_xlfn.IFNA(
  INDEX(tblProjectInfo[InfoValue],
        MATCH(1,(tblProjectInfo[ProjectName]=_xlpm.p)*
                 (UPPER(TRIM(tblProjectInfo[Info]))="PROJECT SIZE (KWP)"),0)
), ""))</f>
        <v/>
      </c>
      <c r="C14" s="147" t="str" cm="1">
        <f t="array" ref="C14">_xlfn.LET(_xlpm.p,$A14,_xlfn.IFNA(
  INDEX(tblProjectInfo[InfoValue],
        MATCH(1,(tblProjectInfo[ProjectName]=_xlpm.p)*
                 (UPPER(TRIM(tblProjectInfo[Info]))="PROJECT DEVELOPER"),0)
), ""))</f>
        <v>Gordon Upton</v>
      </c>
      <c r="D14" s="148" t="str" cm="1">
        <f t="array" ref="D14">_xlfn.LET(_xlpm.p,$A14,_xlfn.IFNA(
  INDEX(tblProjectInfo[InfoValue],
        MATCH(1,(tblProjectInfo[ProjectName]=_xlpm.p)*
                 (UPPER(TRIM(tblProjectInfo[Info]))="PROJECT MANAGERS"),0)
), ""))</f>
        <v>Lloyd Brown</v>
      </c>
      <c r="E14" s="147"/>
      <c r="F14" s="147"/>
      <c r="G14" s="147"/>
      <c r="H14" s="162" t="str" cm="1">
        <f t="array" ref="H14">_xlfn.LET(_xlpm.p,$A14,_xlfn.IFNA(
  INDEX(tblProjectInfo[InfoValue],
        MATCH(1,(tblProjectInfo[ProjectName]=_xlpm.p)*
                 ISNUMBER(SEARCH("PHASE",UPPER(tblProjectInfo[Info]))),0)
), ""))</f>
        <v>Planning</v>
      </c>
      <c r="I14" s="149" cm="1">
        <f t="array" ref="I14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46041</v>
      </c>
      <c r="J14" s="149">
        <f>IFERROR(
  _xlfn.MAXIFS(
    tblProjectPlan[ActualEndDate],
    tblProjectPlan[ProjectName], tblProjects[[#This Row],[Project Name]],
    tblProjectPlan[TaskDescription], "*site establishment*"
  ),
  ""
)</f>
        <v>46077</v>
      </c>
      <c r="K14" s="169">
        <f>_xlfn.DAYS(tblProjects[[#This Row],[Client Handover Date]],tblProjects[[#This Row],[Construction Start date]])</f>
        <v>24</v>
      </c>
      <c r="L14" s="169" t="e">
        <f>tblProjects[[#This Row],[Size]]/(_xlfn.DAYS(tblProjects[[#This Row],[Commissioning Date]],tblProjects[[#This Row],[Construction Start date]]))*7</f>
        <v>#VALUE!</v>
      </c>
      <c r="M14" s="149">
        <f>IFERROR(
  _xlfn.MAXIFS(
    tblProjectPlan[ActualEndDate],
    tblProjectPlan[ProjectName], tblProjects[[#This Row],[Project Name]],
    tblProjectPlan[TaskDescription], "*Commissioning*"
  ),
  ""
)</f>
        <v>46094</v>
      </c>
      <c r="N14" s="149">
        <f>IFERROR(
  _xlfn.MAXIFS(
    tblProjectPlan[ActualEndDate],
    tblProjectPlan[ProjectName], tblProjects[[#This Row],[Project Name]],
    tblProjectPlan[TaskDescription], "*Handover to Matriarch*"
  ),
  ""
)</f>
        <v>46107</v>
      </c>
      <c r="O14" s="149">
        <f>IFERROR(
  _xlfn.MAXIFS(
    tblProjectPlan[ActualEndDate],
    tblProjectPlan[ProjectName], tblProjects[[#This Row],[Project Name]],
    tblProjectPlan[TaskDescription], "*handover to client*"
  ),
  ""
)</f>
        <v>46101</v>
      </c>
      <c r="P14" s="150">
        <f>IFERROR(AVERAGEIF(tblProjectPlan[ProjectName],tblProjects[[#This Row],[Project Name]],tblProjectPlan[Actual%Complete]),0)</f>
        <v>8.6206896551724144E-2</v>
      </c>
      <c r="Q14" s="150">
        <f>IFERROR(AVERAGEIF(tblProjectPlan[ProjectName],tblProjects[[#This Row],[Project Name]],tblProjectPlan[Expected%Complete]),0)</f>
        <v>9.6059113300492605E-2</v>
      </c>
      <c r="R14" s="151">
        <f>tblProjects[[#This Row],[Project % Complete]]-tblProjects[[#This Row],[Expected % Completed]]</f>
        <v>-9.8522167487684609E-3</v>
      </c>
      <c r="S14" s="152">
        <f>_xlfn.LET(_xlpm.p,tblProjects[[#This Row],[Project Name]], SUMIFS(tblProgramInflows[MilstoneAmount], tblProgramInflows[ProjectName], _xlpm.p))</f>
        <v>823858.48704435676</v>
      </c>
      <c r="T14" s="152">
        <f>_xlfn.LET(_xlpm.p,tblProjects[[#This Row],[Project Name]], SUMIFS(tblProgramExpense[ExpenseActualTotal], tblProgramExpense[ProjectName], _xlpm.p))</f>
        <v>609376.24824999983</v>
      </c>
      <c r="U14" s="150">
        <f>1-IF(tblProjects[[#This Row],[Actual Revenue]]=0,"",tblProjects[[#This Row],[Actual Expenses]]/tblProjects[[#This Row],[Actual Revenue]])</f>
        <v>0.26033868943175575</v>
      </c>
      <c r="V14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4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4" s="246"/>
      <c r="Y14" s="246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</row>
    <row r="15" spans="1:186">
      <c r="A15" t="str" cm="1">
        <f t="array" ref="A1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IFERROR(INDEX(_xlpm.sorted,ROWS(A$2:A15)),"")
)</f>
        <v>7th Avenue Park_Tracker.xlsx</v>
      </c>
      <c r="B15" s="147" cm="1">
        <f t="array" ref="B15">_xlfn.LET(_xlpm.p,$A15,_xlfn.IFNA(
  INDEX(tblProjectInfo[InfoValue],
        MATCH(1,(tblProjectInfo[ProjectName]=_xlpm.p)*
                 (UPPER(TRIM(tblProjectInfo[Info]))="PROJECT SIZE (KWP)"),0)
), ""))</f>
        <v>178</v>
      </c>
      <c r="C15" s="147" t="str" cm="1">
        <f t="array" ref="C15">_xlfn.LET(_xlpm.p,$A15,_xlfn.IFNA(
  INDEX(tblProjectInfo[InfoValue],
        MATCH(1,(tblProjectInfo[ProjectName]=_xlpm.p)*
                 (UPPER(TRIM(tblProjectInfo[Info]))="PROJECT DEVELOPER"),0)
), ""))</f>
        <v>Cole Bisset</v>
      </c>
      <c r="D15" s="148" t="str" cm="1">
        <f t="array" ref="D15">_xlfn.LET(_xlpm.p,$A15,_xlfn.IFNA(
  INDEX(tblProjectInfo[InfoValue],
        MATCH(1,(tblProjectInfo[ProjectName]=_xlpm.p)*
                 (UPPER(TRIM(tblProjectInfo[Info]))="PROJECT MANAGERS"),0)
), ""))</f>
        <v>Justin Franke</v>
      </c>
      <c r="E15" s="147"/>
      <c r="F15" s="147"/>
      <c r="G15" s="147"/>
      <c r="H15" s="162" t="str" cm="1">
        <f t="array" ref="H15">_xlfn.LET(_xlpm.p,$A15,_xlfn.IFNA(
  INDEX(tblProjectInfo[InfoValue],
        MATCH(1,(tblProjectInfo[ProjectName]=_xlpm.p)*
                 ISNUMBER(SEARCH("PHASE",UPPER(tblProjectInfo[Info]))),0)
), ""))</f>
        <v>Construction</v>
      </c>
      <c r="I15" s="149" cm="1">
        <f t="array" ref="I15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45987</v>
      </c>
      <c r="J15" s="149">
        <f>IFERROR(
  _xlfn.MAXIFS(
    tblProjectPlan[ActualEndDate],
    tblProjectPlan[ProjectName], tblProjects[[#This Row],[Project Name]],
    tblProjectPlan[TaskDescription], "*site establishment*"
  ),
  ""
)</f>
        <v>46063</v>
      </c>
      <c r="K15" s="169">
        <f>_xlfn.DAYS(tblProjects[[#This Row],[Client Handover Date]],tblProjects[[#This Row],[Construction Start date]])</f>
        <v>42</v>
      </c>
      <c r="L15" s="169">
        <f>tblProjects[[#This Row],[Size]]/(_xlfn.DAYS(tblProjects[[#This Row],[Commissioning Date]],tblProjects[[#This Row],[Construction Start date]]))*7</f>
        <v>36.647058823529413</v>
      </c>
      <c r="M15" s="149">
        <f>IFERROR(
  _xlfn.MAXIFS(
    tblProjectPlan[ActualEndDate],
    tblProjectPlan[ProjectName], tblProjects[[#This Row],[Project Name]],
    tblProjectPlan[TaskDescription], "*Commissioning*"
  ),
  ""
)</f>
        <v>46097</v>
      </c>
      <c r="N15" s="149">
        <f>IFERROR(
  _xlfn.MAXIFS(
    tblProjectPlan[ActualEndDate],
    tblProjectPlan[ProjectName], tblProjects[[#This Row],[Project Name]],
    tblProjectPlan[TaskDescription], "*Handover to Matriarch*"
  ),
  ""
)</f>
        <v>46111</v>
      </c>
      <c r="O15" s="149">
        <f>IFERROR(
  _xlfn.MAXIFS(
    tblProjectPlan[ActualEndDate],
    tblProjectPlan[ProjectName], tblProjects[[#This Row],[Project Name]],
    tblProjectPlan[TaskDescription], "*handover to client*"
  ),
  ""
)</f>
        <v>46105</v>
      </c>
      <c r="P15" s="150">
        <f>IFERROR(AVERAGEIF(tblProjectPlan[ProjectName],tblProjects[[#This Row],[Project Name]],tblProjectPlan[Actual%Complete]),0)</f>
        <v>0.41457011980267794</v>
      </c>
      <c r="Q15" s="150">
        <f>IFERROR(AVERAGEIF(tblProjectPlan[ProjectName],tblProjects[[#This Row],[Project Name]],tblProjectPlan[Expected%Complete]),0)</f>
        <v>0.49076143870118183</v>
      </c>
      <c r="R15" s="151">
        <f>tblProjects[[#This Row],[Project % Complete]]-tblProjects[[#This Row],[Expected % Completed]]</f>
        <v>-7.619131889850389E-2</v>
      </c>
      <c r="S15" s="152">
        <f>_xlfn.LET(_xlpm.p,tblProjects[[#This Row],[Project Name]], SUMIFS(tblProgramInflows[MilstoneAmount], tblProgramInflows[ProjectName], _xlpm.p))</f>
        <v>1879275.3951961151</v>
      </c>
      <c r="T15" s="152">
        <f>_xlfn.LET(_xlpm.p,tblProjects[[#This Row],[Project Name]], SUMIFS(tblProgramExpense[ExpenseActualTotal], tblProgramExpense[ProjectName], _xlpm.p))</f>
        <v>1441177.0324399511</v>
      </c>
      <c r="U15" s="150">
        <f>1-IF(tblProjects[[#This Row],[Actual Revenue]]=0,"",tblProjects[[#This Row],[Actual Expenses]]/tblProjects[[#This Row],[Actual Revenue]])</f>
        <v>0.23312089536001479</v>
      </c>
      <c r="V15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5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5" s="246"/>
      <c r="Y15" s="246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</row>
    <row r="16" spans="1:186">
      <c r="A16" t="str" cm="1">
        <f t="array" ref="A1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IFERROR(INDEX(_xlpm.sorted,ROWS(A$2:A16)),"")
)</f>
        <v>Pimville_Tracker.xlsx</v>
      </c>
      <c r="B16" s="147" cm="1">
        <f t="array" ref="B16">_xlfn.LET(_xlpm.p,$A16,_xlfn.IFNA(
  INDEX(tblProjectInfo[InfoValue],
        MATCH(1,(tblProjectInfo[ProjectName]=_xlpm.p)*
                 (UPPER(TRIM(tblProjectInfo[Info]))="PROJECT SIZE (KWP)"),0)
), ""))</f>
        <v>362</v>
      </c>
      <c r="C16" s="147" t="str" cm="1">
        <f t="array" ref="C16">_xlfn.LET(_xlpm.p,$A16,_xlfn.IFNA(
  INDEX(tblProjectInfo[InfoValue],
        MATCH(1,(tblProjectInfo[ProjectName]=_xlpm.p)*
                 (UPPER(TRIM(tblProjectInfo[Info]))="PROJECT DEVELOPER"),0)
), ""))</f>
        <v>Natasha Watkins-Baker</v>
      </c>
      <c r="D16" s="148" t="str" cm="1">
        <f t="array" ref="D16">_xlfn.LET(_xlpm.p,$A16,_xlfn.IFNA(
  INDEX(tblProjectInfo[InfoValue],
        MATCH(1,(tblProjectInfo[ProjectName]=_xlpm.p)*
                 (UPPER(TRIM(tblProjectInfo[Info]))="PROJECT MANAGERS"),0)
), ""))</f>
        <v>JT Moorosi</v>
      </c>
      <c r="E16" s="147"/>
      <c r="F16" s="147"/>
      <c r="G16" s="147"/>
      <c r="H16" s="162" t="str" cm="1">
        <f t="array" ref="H16">_xlfn.LET(_xlpm.p,$A16,_xlfn.IFNA(
  INDEX(tblProjectInfo[InfoValue],
        MATCH(1,(tblProjectInfo[ProjectName]=_xlpm.p)*
                 ISNUMBER(SEARCH("PHASE",UPPER(tblProjectInfo[Info]))),0)
), ""))</f>
        <v>Construction</v>
      </c>
      <c r="I16" s="149" cm="1">
        <f t="array" ref="I16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16" s="149">
        <f>IFERROR(
  _xlfn.MAXIFS(
    tblProjectPlan[ActualEndDate],
    tblProjectPlan[ProjectName], tblProjects[[#This Row],[Project Name]],
    tblProjectPlan[TaskDescription], "*site establishment*"
  ),
  ""
)</f>
        <v>45819</v>
      </c>
      <c r="K16" s="169">
        <f>_xlfn.DAYS(tblProjects[[#This Row],[Client Handover Date]],tblProjects[[#This Row],[Construction Start date]])</f>
        <v>252</v>
      </c>
      <c r="L16" s="169">
        <f>tblProjects[[#This Row],[Size]]/(_xlfn.DAYS(tblProjects[[#This Row],[Commissioning Date]],tblProjects[[#This Row],[Construction Start date]]))*7</f>
        <v>10.055555555555555</v>
      </c>
      <c r="M16" s="149">
        <f>IFERROR(
  _xlfn.MAXIFS(
    tblProjectPlan[ActualEndDate],
    tblProjectPlan[ProjectName], tblProjects[[#This Row],[Project Name]],
    tblProjectPlan[TaskDescription], "*Commissioning*"
  ),
  ""
)</f>
        <v>46071</v>
      </c>
      <c r="N16" s="149">
        <f>IFERROR(
  _xlfn.MAXIFS(
    tblProjectPlan[ActualEndDate],
    tblProjectPlan[ProjectName], tblProjects[[#This Row],[Project Name]],
    tblProjectPlan[TaskDescription], "*Handover to Matriarch*"
  ),
  ""
)</f>
        <v>46073</v>
      </c>
      <c r="O16" s="149">
        <f>IFERROR(
  _xlfn.MAXIFS(
    tblProjectPlan[ActualEndDate],
    tblProjectPlan[ProjectName], tblProjects[[#This Row],[Project Name]],
    tblProjectPlan[TaskDescription], "*handover to client*"
  ),
  ""
)</f>
        <v>46071</v>
      </c>
      <c r="P16" s="150">
        <f>IFERROR(AVERAGEIF(tblProjectPlan[ProjectName],tblProjects[[#This Row],[Project Name]],tblProjectPlan[Actual%Complete]),0)</f>
        <v>0.64363909363909377</v>
      </c>
      <c r="Q16" s="150">
        <f>IFERROR(AVERAGEIF(tblProjectPlan[ProjectName],tblProjects[[#This Row],[Project Name]],tblProjectPlan[Expected%Complete]),0)</f>
        <v>0.66320786073626226</v>
      </c>
      <c r="R16" s="151">
        <f>tblProjects[[#This Row],[Project % Complete]]-tblProjects[[#This Row],[Expected % Completed]]</f>
        <v>-1.9568767097168482E-2</v>
      </c>
      <c r="S16" s="152">
        <f>_xlfn.LET(_xlpm.p,tblProjects[[#This Row],[Project Name]], SUMIFS(tblProgramInflows[MilstoneAmount], tblProgramInflows[ProjectName], _xlpm.p))</f>
        <v>6800212.0000000009</v>
      </c>
      <c r="T16" s="152">
        <f>_xlfn.LET(_xlpm.p,tblProjects[[#This Row],[Project Name]], SUMIFS(tblProgramExpense[ExpenseActualTotal], tblProgramExpense[ProjectName], _xlpm.p))</f>
        <v>2937563.9327490297</v>
      </c>
      <c r="U16" s="150">
        <f>1-IF(tblProjects[[#This Row],[Actual Revenue]]=0,"",tblProjects[[#This Row],[Actual Expenses]]/tblProjects[[#This Row],[Actual Revenue]])</f>
        <v>0.56801877165755577</v>
      </c>
      <c r="V16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6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6" s="246"/>
      <c r="Y16" s="351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</row>
    <row r="17" spans="1:186">
      <c r="A17" t="str" cm="1">
        <f t="array" ref="A1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IFERROR(INDEX(_xlpm.sorted,ROWS(A$2:A17)),"")
)</f>
        <v>Riverside Mall_Tracker.xlsx</v>
      </c>
      <c r="B17" s="147" cm="1">
        <f t="array" ref="B17">_xlfn.LET(_xlpm.p,$A17,_xlfn.IFNA(
  INDEX(tblProjectInfo[InfoValue],
        MATCH(1,(tblProjectInfo[ProjectName]=_xlpm.p)*
                 (UPPER(TRIM(tblProjectInfo[Info]))="PROJECT SIZE (KWP)"),0)
), ""))</f>
        <v>184</v>
      </c>
      <c r="C17" s="147" t="str" cm="1">
        <f t="array" ref="C17">_xlfn.LET(_xlpm.p,$A17,_xlfn.IFNA(
  INDEX(tblProjectInfo[InfoValue],
        MATCH(1,(tblProjectInfo[ProjectName]=_xlpm.p)*
                 (UPPER(TRIM(tblProjectInfo[Info]))="PROJECT DEVELOPER"),0)
), ""))</f>
        <v>Cole Bisset</v>
      </c>
      <c r="D17" s="148" t="str" cm="1">
        <f t="array" ref="D17">_xlfn.LET(_xlpm.p,$A17,_xlfn.IFNA(
  INDEX(tblProjectInfo[InfoValue],
        MATCH(1,(tblProjectInfo[ProjectName]=_xlpm.p)*
                 (UPPER(TRIM(tblProjectInfo[Info]))="PROJECT MANAGERS"),0)
), ""))</f>
        <v>Justin Franke</v>
      </c>
      <c r="E17" s="147"/>
      <c r="F17" s="147"/>
      <c r="G17" s="147"/>
      <c r="H17" s="162" t="str" cm="1">
        <f t="array" ref="H17">_xlfn.LET(_xlpm.p,$A17,_xlfn.IFNA(
  INDEX(tblProjectInfo[InfoValue],
        MATCH(1,(tblProjectInfo[ProjectName]=_xlpm.p)*
                 ISNUMBER(SEARCH("PHASE",UPPER(tblProjectInfo[Info]))),0)
), ""))</f>
        <v>Construction</v>
      </c>
      <c r="I17" s="149" cm="1">
        <f t="array" ref="I17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45974</v>
      </c>
      <c r="J17" s="149">
        <f>IFERROR(
  _xlfn.MAXIFS(
    tblProjectPlan[ActualEndDate],
    tblProjectPlan[ProjectName], tblProjects[[#This Row],[Project Name]],
    tblProjectPlan[TaskDescription], "*site establishment*"
  ),
  ""
)</f>
        <v>46057</v>
      </c>
      <c r="K17" s="169">
        <f>_xlfn.DAYS(tblProjects[[#This Row],[Client Handover Date]],tblProjects[[#This Row],[Construction Start date]])</f>
        <v>47</v>
      </c>
      <c r="L17" s="169">
        <f>tblProjects[[#This Row],[Size]]/(_xlfn.DAYS(tblProjects[[#This Row],[Commissioning Date]],tblProjects[[#This Row],[Construction Start date]]))*7</f>
        <v>34.810810810810807</v>
      </c>
      <c r="M17" s="149">
        <f>IFERROR(
  _xlfn.MAXIFS(
    tblProjectPlan[ActualEndDate],
    tblProjectPlan[ProjectName], tblProjects[[#This Row],[Project Name]],
    tblProjectPlan[TaskDescription], "*Commissioning*"
  ),
  ""
)</f>
        <v>46094</v>
      </c>
      <c r="N17" s="149">
        <f>IFERROR(
  _xlfn.MAXIFS(
    tblProjectPlan[ActualEndDate],
    tblProjectPlan[ProjectName], tblProjects[[#This Row],[Project Name]],
    tblProjectPlan[TaskDescription], "*Handover to Matriarch*"
  ),
  ""
)</f>
        <v>46108</v>
      </c>
      <c r="O17" s="149">
        <f>IFERROR(
  _xlfn.MAXIFS(
    tblProjectPlan[ActualEndDate],
    tblProjectPlan[ProjectName], tblProjects[[#This Row],[Project Name]],
    tblProjectPlan[TaskDescription], "*handover to client*"
  ),
  ""
)</f>
        <v>46104</v>
      </c>
      <c r="P17" s="150">
        <f>IFERROR(AVERAGEIF(tblProjectPlan[ProjectName],tblProjects[[#This Row],[Project Name]],tblProjectPlan[Actual%Complete]),0)</f>
        <v>0.46472153972153968</v>
      </c>
      <c r="Q17" s="150">
        <f>IFERROR(AVERAGEIF(tblProjectPlan[ProjectName],tblProjects[[#This Row],[Project Name]],tblProjectPlan[Expected%Complete]),0)</f>
        <v>0.49542655133760949</v>
      </c>
      <c r="R17" s="151">
        <f>tblProjects[[#This Row],[Project % Complete]]-tblProjects[[#This Row],[Expected % Completed]]</f>
        <v>-3.0705011616069811E-2</v>
      </c>
      <c r="S17" s="152">
        <f>_xlfn.LET(_xlpm.p,tblProjects[[#This Row],[Project Name]], SUMIFS(tblProgramInflows[MilstoneAmount], tblProgramInflows[ProjectName], _xlpm.p))</f>
        <v>1862957.150983484</v>
      </c>
      <c r="T17" s="152">
        <f>_xlfn.LET(_xlpm.p,tblProjects[[#This Row],[Project Name]], SUMIFS(tblProgramExpense[ExpenseActualTotal], tblProgramExpense[ProjectName], _xlpm.p))</f>
        <v>1293490.9243872939</v>
      </c>
      <c r="U17" s="150">
        <f>1-IF(tblProjects[[#This Row],[Actual Revenue]]=0,"",tblProjects[[#This Row],[Actual Expenses]]/tblProjects[[#This Row],[Actual Revenue]])</f>
        <v>0.30567864982592863</v>
      </c>
      <c r="V17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7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7" s="246"/>
      <c r="Y17" s="246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</row>
    <row r="18" spans="1:186">
      <c r="A18" t="str" cm="1">
        <f t="array" ref="A1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IFERROR(INDEX(_xlpm.sorted,ROWS(A$2:A18)),"")
)</f>
        <v>Seshego Circle_Tracker.xlsx</v>
      </c>
      <c r="B18" s="147" cm="1">
        <f t="array" ref="B18">_xlfn.LET(_xlpm.p,$A18,_xlfn.IFNA(
  INDEX(tblProjectInfo[InfoValue],
        MATCH(1,(tblProjectInfo[ProjectName]=_xlpm.p)*
                 (UPPER(TRIM(tblProjectInfo[Info]))="PROJECT SIZE (KWP)"),0)
), ""))</f>
        <v>1360</v>
      </c>
      <c r="C18" s="147" t="str" cm="1">
        <f t="array" ref="C18">_xlfn.LET(_xlpm.p,$A18,_xlfn.IFNA(
  INDEX(tblProjectInfo[InfoValue],
        MATCH(1,(tblProjectInfo[ProjectName]=_xlpm.p)*
                 (UPPER(TRIM(tblProjectInfo[Info]))="PROJECT DEVELOPER"),0)
), ""))</f>
        <v>Dayne Sage</v>
      </c>
      <c r="D18" s="148" t="str" cm="1">
        <f t="array" ref="D18">_xlfn.LET(_xlpm.p,$A18,_xlfn.IFNA(
  INDEX(tblProjectInfo[InfoValue],
        MATCH(1,(tblProjectInfo[ProjectName]=_xlpm.p)*
                 (UPPER(TRIM(tblProjectInfo[Info]))="PROJECT MANAGERS"),0)
), ""))</f>
        <v>Eon Van Rensburg</v>
      </c>
      <c r="E18" s="147"/>
      <c r="F18" s="147"/>
      <c r="G18" s="147"/>
      <c r="H18" s="162" t="str" cm="1">
        <f t="array" ref="H18">_xlfn.LET(_xlpm.p,$A18,_xlfn.IFNA(
  INDEX(tblProjectInfo[InfoValue],
        MATCH(1,(tblProjectInfo[ProjectName]=_xlpm.p)*
                 ISNUMBER(SEARCH("PHASE",UPPER(tblProjectInfo[Info]))),0)
), ""))</f>
        <v>Construction</v>
      </c>
      <c r="I18" s="149" cm="1">
        <f t="array" ref="I18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45852</v>
      </c>
      <c r="J18" s="149">
        <f>IFERROR(
  _xlfn.MAXIFS(
    tblProjectPlan[ActualEndDate],
    tblProjectPlan[ProjectName], tblProjects[[#This Row],[Project Name]],
    tblProjectPlan[TaskDescription], "*site establishment*"
  ),
  ""
)</f>
        <v>45944</v>
      </c>
      <c r="K18" s="169">
        <f>_xlfn.DAYS(tblProjects[[#This Row],[Client Handover Date]],tblProjects[[#This Row],[Construction Start date]])</f>
        <v>142</v>
      </c>
      <c r="L18" s="169">
        <f>tblProjects[[#This Row],[Size]]/(_xlfn.DAYS(tblProjects[[#This Row],[Commissioning Date]],tblProjects[[#This Row],[Construction Start date]]))*7</f>
        <v>74.375</v>
      </c>
      <c r="M18" s="149">
        <f>IFERROR(
  _xlfn.MAXIFS(
    tblProjectPlan[ActualEndDate],
    tblProjectPlan[ProjectName], tblProjects[[#This Row],[Project Name]],
    tblProjectPlan[TaskDescription], "*Commissioning*"
  ),
  ""
)</f>
        <v>46072</v>
      </c>
      <c r="N18" s="149">
        <f>IFERROR(
  _xlfn.MAXIFS(
    tblProjectPlan[ActualEndDate],
    tblProjectPlan[ProjectName], tblProjects[[#This Row],[Project Name]],
    tblProjectPlan[TaskDescription], "*Handover to Matriarch*"
  ),
  ""
)</f>
        <v>46092</v>
      </c>
      <c r="O18" s="149">
        <f>IFERROR(
  _xlfn.MAXIFS(
    tblProjectPlan[ActualEndDate],
    tblProjectPlan[ProjectName], tblProjects[[#This Row],[Project Name]],
    tblProjectPlan[TaskDescription], "*handover to client*"
  ),
  ""
)</f>
        <v>46086</v>
      </c>
      <c r="P18" s="150">
        <v>0</v>
      </c>
      <c r="Q18" s="150">
        <f>IFERROR(AVERAGEIF(tblProjectPlan[ProjectName],tblProjects[[#This Row],[Project Name]],tblProjectPlan[Expected%Complete]),0)</f>
        <v>0.64515442968179404</v>
      </c>
      <c r="R18" s="151">
        <f>tblProjects[[#This Row],[Project % Complete]]-tblProjects[[#This Row],[Expected % Completed]]</f>
        <v>-0.64515442968179404</v>
      </c>
      <c r="S18" s="152">
        <f>_xlfn.LET(_xlpm.p,tblProjects[[#This Row],[Project Name]], SUMIFS(tblProgramInflows[MilstoneAmount], tblProgramInflows[ProjectName], _xlpm.p))</f>
        <v>10428344.35</v>
      </c>
      <c r="T18" s="152">
        <f>_xlfn.LET(_xlpm.p,tblProjects[[#This Row],[Project Name]], SUMIFS(tblProgramExpense[ExpenseActualTotal], tblProgramExpense[ProjectName], _xlpm.p))</f>
        <v>7470904.1923272377</v>
      </c>
      <c r="U18" s="150">
        <f>1-IF(tblProjects[[#This Row],[Actual Revenue]]=0,"",tblProjects[[#This Row],[Actual Expenses]]/tblProjects[[#This Row],[Actual Revenue]])</f>
        <v>0.2835963273185127</v>
      </c>
      <c r="V18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8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135150.51500000001</v>
      </c>
      <c r="X18" s="246"/>
      <c r="Y18" s="246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</row>
    <row r="19" spans="1:186" s="147" customFormat="1">
      <c r="A19" t="str" cm="1">
        <f t="array" ref="A1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IFERROR(INDEX(_xlpm.sorted,ROWS(A$2:A19)),"")
)</f>
        <v>Sibasa_Tracker.xlsx</v>
      </c>
      <c r="B19" s="147" cm="1">
        <f t="array" ref="B19">_xlfn.LET(_xlpm.p,$A19,_xlfn.IFNA(
  INDEX(tblProjectInfo[InfoValue],
        MATCH(1,(tblProjectInfo[ProjectName]=_xlpm.p)*
                 (UPPER(TRIM(tblProjectInfo[Info]))="PROJECT SIZE (KWP)"),0)
), ""))</f>
        <v>467</v>
      </c>
      <c r="C19" s="147" t="str" cm="1">
        <f t="array" ref="C19">_xlfn.LET(_xlpm.p,$A19,_xlfn.IFNA(
  INDEX(tblProjectInfo[InfoValue],
        MATCH(1,(tblProjectInfo[ProjectName]=_xlpm.p)*
                 (UPPER(TRIM(tblProjectInfo[Info]))="PROJECT DEVELOPER"),0)
), ""))</f>
        <v>Natasha Watkins-Baker</v>
      </c>
      <c r="D19" s="148" t="str" cm="1">
        <f t="array" ref="D19">_xlfn.LET(_xlpm.p,$A19,_xlfn.IFNA(
  INDEX(tblProjectInfo[InfoValue],
        MATCH(1,(tblProjectInfo[ProjectName]=_xlpm.p)*
                 (UPPER(TRIM(tblProjectInfo[Info]))="PROJECT MANAGERS"),0)
), ""))</f>
        <v>Eon Van Rensburg</v>
      </c>
      <c r="H19" s="162" t="str" cm="1">
        <f t="array" ref="H19">_xlfn.LET(_xlpm.p,$A19,_xlfn.IFNA(
  INDEX(tblProjectInfo[InfoValue],
        MATCH(1,(tblProjectInfo[ProjectName]=_xlpm.p)*
                 ISNUMBER(SEARCH("PHASE",UPPER(tblProjectInfo[Info]))),0)
), ""))</f>
        <v>Construction</v>
      </c>
      <c r="I19" s="149" cm="1">
        <f t="array" ref="I19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19" s="149">
        <f>IFERROR(
  _xlfn.MAXIFS(
    tblProjectPlan[ActualEndDate],
    tblProjectPlan[ProjectName], tblProjects[[#This Row],[Project Name]],
    tblProjectPlan[TaskDescription], "*site establishment*"
  ),
  ""
)</f>
        <v>45799</v>
      </c>
      <c r="K19" s="169">
        <f>_xlfn.DAYS(tblProjects[[#This Row],[Client Handover Date]],tblProjects[[#This Row],[Construction Start date]])</f>
        <v>277</v>
      </c>
      <c r="L19" s="169">
        <f>tblProjects[[#This Row],[Size]]/(_xlfn.DAYS(tblProjects[[#This Row],[Commissioning Date]],tblProjects[[#This Row],[Construction Start date]]))*7</f>
        <v>12.335849056603774</v>
      </c>
      <c r="M19" s="149">
        <f>IFERROR(
  _xlfn.MAXIFS(
    tblProjectPlan[ActualEndDate],
    tblProjectPlan[ProjectName], tblProjects[[#This Row],[Project Name]],
    tblProjectPlan[TaskDescription], "*Commissioning*"
  ),
  ""
)</f>
        <v>46064</v>
      </c>
      <c r="N19" s="149">
        <f>IFERROR(
  _xlfn.MAXIFS(
    tblProjectPlan[ActualEndDate],
    tblProjectPlan[ProjectName], tblProjects[[#This Row],[Project Name]],
    tblProjectPlan[TaskDescription], "*Handover to Matriarch*"
  ),
  ""
)</f>
        <v>46073</v>
      </c>
      <c r="O19" s="149">
        <f>IFERROR(
  _xlfn.MAXIFS(
    tblProjectPlan[ActualEndDate],
    tblProjectPlan[ProjectName], tblProjects[[#This Row],[Project Name]],
    tblProjectPlan[TaskDescription], "*handover to client*"
  ),
  ""
)</f>
        <v>46076</v>
      </c>
      <c r="P19" s="150">
        <f>IFERROR(AVERAGEIF(tblProjectPlan[ProjectName],tblProjects[[#This Row],[Project Name]],tblProjectPlan[Actual%Complete]),0)</f>
        <v>0.68520408163265312</v>
      </c>
      <c r="Q19" s="150">
        <f>IFERROR(AVERAGEIF(tblProjectPlan[ProjectName],tblProjects[[#This Row],[Project Name]],tblProjectPlan[Expected%Complete]),0)</f>
        <v>0.77142857142857146</v>
      </c>
      <c r="R19" s="151">
        <f>tblProjects[[#This Row],[Project % Complete]]-tblProjects[[#This Row],[Expected % Completed]]</f>
        <v>-8.6224489795918347E-2</v>
      </c>
      <c r="S19" s="152">
        <f>_xlfn.LET(_xlpm.p,tblProjects[[#This Row],[Project Name]], SUMIFS(tblProgramInflows[MilstoneAmount], tblProgramInflows[ProjectName], _xlpm.p))</f>
        <v>9325300</v>
      </c>
      <c r="T19" s="152">
        <f>_xlfn.LET(_xlpm.p,tblProjects[[#This Row],[Project Name]], SUMIFS(tblProgramExpense[ExpenseActualTotal], tblProgramExpense[ProjectName], _xlpm.p))</f>
        <v>4172127.7475000015</v>
      </c>
      <c r="U19" s="150">
        <f>1-IF(tblProjects[[#This Row],[Actual Revenue]]=0,"",tblProjects[[#This Row],[Actual Expenses]]/tblProjects[[#This Row],[Actual Revenue]])</f>
        <v>0.5526012302553267</v>
      </c>
      <c r="V19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19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19" s="246"/>
      <c r="Y19" s="246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</row>
    <row r="20" spans="1:186">
      <c r="A20" t="str" cm="1">
        <f t="array" ref="A2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IFERROR(INDEX(_xlpm.sorted,ROWS(A$2:A20)),"")
)</f>
        <v>Topsteel_Tracker.xlsx</v>
      </c>
      <c r="B20" s="147" cm="1">
        <f t="array" ref="B20">_xlfn.LET(_xlpm.p,$A20,_xlfn.IFNA(
  INDEX(tblProjectInfo[InfoValue],
        MATCH(1,(tblProjectInfo[ProjectName]=_xlpm.p)*
                 (UPPER(TRIM(tblProjectInfo[Info]))="PROJECT SIZE (KWP)"),0)
), ""))</f>
        <v>273</v>
      </c>
      <c r="C20" s="147" t="str" cm="1">
        <f t="array" ref="C20">_xlfn.LET(_xlpm.p,$A20,_xlfn.IFNA(
  INDEX(tblProjectInfo[InfoValue],
        MATCH(1,(tblProjectInfo[ProjectName]=_xlpm.p)*
                 (UPPER(TRIM(tblProjectInfo[Info]))="PROJECT DEVELOPER"),0)
), ""))</f>
        <v>Cole Bisset</v>
      </c>
      <c r="D20" s="148" t="str" cm="1">
        <f t="array" ref="D20">_xlfn.LET(_xlpm.p,$A20,_xlfn.IFNA(
  INDEX(tblProjectInfo[InfoValue],
        MATCH(1,(tblProjectInfo[ProjectName]=_xlpm.p)*
                 (UPPER(TRIM(tblProjectInfo[Info]))="PROJECT MANAGERS"),0)
), ""))</f>
        <v>Justin Franke</v>
      </c>
      <c r="E20" s="147"/>
      <c r="F20" s="147"/>
      <c r="G20" s="147"/>
      <c r="H20" s="162" t="str" cm="1">
        <f t="array" ref="H20">_xlfn.LET(_xlpm.p,$A20,_xlfn.IFNA(
  INDEX(tblProjectInfo[InfoValue],
        MATCH(1,(tblProjectInfo[ProjectName]=_xlpm.p)*
                 ISNUMBER(SEARCH("PHASE",UPPER(tblProjectInfo[Info]))),0)
), ""))</f>
        <v>Construction</v>
      </c>
      <c r="I20" s="149" cm="1">
        <f t="array" ref="I20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46037</v>
      </c>
      <c r="J20" s="149">
        <f>IFERROR(
  _xlfn.MAXIFS(
    tblProjectPlan[ActualEndDate],
    tblProjectPlan[ProjectName], tblProjects[[#This Row],[Project Name]],
    tblProjectPlan[TaskDescription], "*site establishment*"
  ),
  ""
)</f>
        <v>46050</v>
      </c>
      <c r="K20" s="169">
        <f>_xlfn.DAYS(tblProjects[[#This Row],[Client Handover Date]],tblProjects[[#This Row],[Construction Start date]])</f>
        <v>63</v>
      </c>
      <c r="L20" s="169">
        <f>tblProjects[[#This Row],[Size]]/(_xlfn.DAYS(tblProjects[[#This Row],[Commissioning Date]],tblProjects[[#This Row],[Construction Start date]]))*7</f>
        <v>34.74545454545455</v>
      </c>
      <c r="M20" s="149">
        <f>IFERROR(
  _xlfn.MAXIFS(
    tblProjectPlan[ActualEndDate],
    tblProjectPlan[ProjectName], tblProjects[[#This Row],[Project Name]],
    tblProjectPlan[TaskDescription], "*Commissioning*"
  ),
  ""
)</f>
        <v>46105</v>
      </c>
      <c r="N20" s="149">
        <f>IFERROR(
  _xlfn.MAXIFS(
    tblProjectPlan[ActualEndDate],
    tblProjectPlan[ProjectName], tblProjects[[#This Row],[Project Name]],
    tblProjectPlan[TaskDescription], "*Handover to Matriarch*"
  ),
  ""
)</f>
        <v>46121</v>
      </c>
      <c r="O20" s="149">
        <f>IFERROR(
  _xlfn.MAXIFS(
    tblProjectPlan[ActualEndDate],
    tblProjectPlan[ProjectName], tblProjects[[#This Row],[Project Name]],
    tblProjectPlan[TaskDescription], "*handover to client*"
  ),
  ""
)</f>
        <v>46113</v>
      </c>
      <c r="P20" s="150"/>
      <c r="Q20" s="150">
        <f>IFERROR(AVERAGEIF(tblProjectPlan[ProjectName],tblProjects[[#This Row],[Project Name]],tblProjectPlan[Expected%Complete]),0)</f>
        <v>0.45597572542093462</v>
      </c>
      <c r="R20" s="151">
        <f>tblProjects[[#This Row],[Project % Complete]]-tblProjects[[#This Row],[Expected % Completed]]</f>
        <v>-0.45597572542093462</v>
      </c>
      <c r="S20" s="152">
        <f>_xlfn.LET(_xlpm.p,tblProjects[[#This Row],[Project Name]], SUMIFS(tblProgramInflows[MilstoneAmount], tblProgramInflows[ProjectName], _xlpm.p))</f>
        <v>2345835.8965035323</v>
      </c>
      <c r="T20" s="152">
        <f>_xlfn.LET(_xlpm.p,tblProjects[[#This Row],[Project Name]], SUMIFS(tblProgramExpense[ExpenseActualTotal], tblProgramExpense[ProjectName], _xlpm.p))</f>
        <v>1673413.8387062941</v>
      </c>
      <c r="U20" s="150">
        <f>1-IF(tblProjects[[#This Row],[Actual Revenue]]=0,"",tblProjects[[#This Row],[Actual Expenses]]/tblProjects[[#This Row],[Actual Revenue]])</f>
        <v>0.28664496898503566</v>
      </c>
      <c r="V20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0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0" s="246"/>
      <c r="Y20" s="246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</row>
    <row r="21" spans="1:186">
      <c r="A21" t="str" cm="1">
        <f t="array" ref="A2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IFERROR(INDEX(_xlpm.sorted,ROWS(A$2:A21)),"")
)</f>
        <v>Tsakana Corner_Tracker.xlsx</v>
      </c>
      <c r="B21" s="147" cm="1">
        <f t="array" ref="B21">_xlfn.LET(_xlpm.p,$A21,_xlfn.IFNA(
  INDEX(tblProjectInfo[InfoValue],
        MATCH(1,(tblProjectInfo[ProjectName]=_xlpm.p)*
                 (UPPER(TRIM(tblProjectInfo[Info]))="PROJECT SIZE (KWP)"),0)
), ""))</f>
        <v>308</v>
      </c>
      <c r="C21" s="147" t="str" cm="1">
        <f t="array" ref="C21">_xlfn.LET(_xlpm.p,$A21,_xlfn.IFNA(
  INDEX(tblProjectInfo[InfoValue],
        MATCH(1,(tblProjectInfo[ProjectName]=_xlpm.p)*
                 (UPPER(TRIM(tblProjectInfo[Info]))="PROJECT DEVELOPER"),0)
), ""))</f>
        <v>Natasha Watkins-Baker</v>
      </c>
      <c r="D21" s="148" t="str" cm="1">
        <f t="array" ref="D21">_xlfn.LET(_xlpm.p,$A21,_xlfn.IFNA(
  INDEX(tblProjectInfo[InfoValue],
        MATCH(1,(tblProjectInfo[ProjectName]=_xlpm.p)*
                 (UPPER(TRIM(tblProjectInfo[Info]))="PROJECT MANAGERS"),0)
), ""))</f>
        <v>JT Moorosi</v>
      </c>
      <c r="E21" s="147"/>
      <c r="F21" s="147"/>
      <c r="G21" s="147"/>
      <c r="H21" s="162" t="str" cm="1">
        <f t="array" ref="H21">_xlfn.LET(_xlpm.p,$A21,_xlfn.IFNA(
  INDEX(tblProjectInfo[InfoValue],
        MATCH(1,(tblProjectInfo[ProjectName]=_xlpm.p)*
                 ISNUMBER(SEARCH("PHASE",UPPER(tblProjectInfo[Info]))),0)
), ""))</f>
        <v>Construction</v>
      </c>
      <c r="I21" s="149" cm="1">
        <f t="array" ref="I21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21" s="149">
        <f>IFERROR(
  _xlfn.MAXIFS(
    tblProjectPlan[ActualEndDate],
    tblProjectPlan[ProjectName], tblProjects[[#This Row],[Project Name]],
    tblProjectPlan[TaskDescription], "*site establishment*"
  ),
  ""
)</f>
        <v>45819</v>
      </c>
      <c r="K21" s="169">
        <f>_xlfn.DAYS(tblProjects[[#This Row],[Client Handover Date]],tblProjects[[#This Row],[Construction Start date]])</f>
        <v>264</v>
      </c>
      <c r="L21" s="169">
        <f>tblProjects[[#This Row],[Size]]/(_xlfn.DAYS(tblProjects[[#This Row],[Commissioning Date]],tblProjects[[#This Row],[Construction Start date]]))*7</f>
        <v>8.5896414342629477</v>
      </c>
      <c r="M21" s="149">
        <f>IFERROR(
  _xlfn.MAXIFS(
    tblProjectPlan[ActualEndDate],
    tblProjectPlan[ProjectName], tblProjects[[#This Row],[Project Name]],
    tblProjectPlan[TaskDescription], "*Commissioning*"
  ),
  ""
)</f>
        <v>46070</v>
      </c>
      <c r="N21" s="149">
        <f>IFERROR(
  _xlfn.MAXIFS(
    tblProjectPlan[ActualEndDate],
    tblProjectPlan[ProjectName], tblProjects[[#This Row],[Project Name]],
    tblProjectPlan[TaskDescription], "*Handover to Matriarch*"
  ),
  ""
)</f>
        <v>46080</v>
      </c>
      <c r="O21" s="149">
        <f>IFERROR(
  _xlfn.MAXIFS(
    tblProjectPlan[ActualEndDate],
    tblProjectPlan[ProjectName], tblProjects[[#This Row],[Project Name]],
    tblProjectPlan[TaskDescription], "*handover to client*"
  ),
  ""
)</f>
        <v>46083</v>
      </c>
      <c r="P21" s="150">
        <f>IFERROR(AVERAGEIF(tblProjectPlan[ProjectName],tblProjects[[#This Row],[Project Name]],tblProjectPlan[Actual%Complete]),0)</f>
        <v>0.68601069485924848</v>
      </c>
      <c r="Q21" s="150">
        <f>IFERROR(AVERAGEIF(tblProjectPlan[ProjectName],tblProjects[[#This Row],[Project Name]],tblProjectPlan[Expected%Complete]),0)</f>
        <v>0.69204862841406523</v>
      </c>
      <c r="R21" s="151">
        <f>tblProjects[[#This Row],[Project % Complete]]-tblProjects[[#This Row],[Expected % Completed]]</f>
        <v>-6.0379335548167434E-3</v>
      </c>
      <c r="S21" s="152">
        <f>_xlfn.LET(_xlpm.p,tblProjects[[#This Row],[Project Name]], SUMIFS(tblProgramInflows[MilstoneAmount], tblProgramInflows[ProjectName], _xlpm.p))</f>
        <v>5393090</v>
      </c>
      <c r="T21" s="152">
        <f>_xlfn.LET(_xlpm.p,tblProjects[[#This Row],[Project Name]], SUMIFS(tblProgramExpense[ExpenseActualTotal], tblProgramExpense[ProjectName], _xlpm.p))</f>
        <v>2523865.0225</v>
      </c>
      <c r="U21" s="150">
        <f>1-IF(tblProjects[[#This Row],[Actual Revenue]]=0,"",tblProjects[[#This Row],[Actual Expenses]]/tblProjects[[#This Row],[Actual Revenue]])</f>
        <v>0.53201874574687236</v>
      </c>
      <c r="V21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1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1" s="246"/>
      <c r="Y21" s="246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</row>
    <row r="22" spans="1:186">
      <c r="A22" t="str" cm="1">
        <f t="array" ref="A2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IFERROR(INDEX(_xlpm.sorted,ROWS(A$2:A22)),"")
)</f>
        <v>Upper_East_Side_Hotel_Tracker.xlsx</v>
      </c>
      <c r="B22" s="147" cm="1">
        <f t="array" ref="B22">_xlfn.LET(_xlpm.p,$A22,_xlfn.IFNA(
  INDEX(tblProjectInfo[InfoValue],
        MATCH(1,(tblProjectInfo[ProjectName]=_xlpm.p)*
                 (UPPER(TRIM(tblProjectInfo[Info]))="PROJECT SIZE (KWP)"),0)
), ""))</f>
        <v>454</v>
      </c>
      <c r="C22" s="147" t="str" cm="1">
        <f t="array" ref="C22">_xlfn.LET(_xlpm.p,$A22,_xlfn.IFNA(
  INDEX(tblProjectInfo[InfoValue],
        MATCH(1,(tblProjectInfo[ProjectName]=_xlpm.p)*
                 (UPPER(TRIM(tblProjectInfo[Info]))="PROJECT DEVELOPER"),0)
), ""))</f>
        <v>Peet Verreynne</v>
      </c>
      <c r="D22" s="148" t="str" cm="1">
        <f t="array" ref="D22">_xlfn.LET(_xlpm.p,$A22,_xlfn.IFNA(
  INDEX(tblProjectInfo[InfoValue],
        MATCH(1,(tblProjectInfo[ProjectName]=_xlpm.p)*
                 (UPPER(TRIM(tblProjectInfo[Info]))="PROJECT MANAGERS"),0)
), ""))</f>
        <v>Justin Franke</v>
      </c>
      <c r="E22" s="147"/>
      <c r="F22" s="147"/>
      <c r="G22" s="147"/>
      <c r="H22" s="162" t="str" cm="1">
        <f t="array" ref="H22">_xlfn.LET(_xlpm.p,$A22,_xlfn.IFNA(
  INDEX(tblProjectInfo[InfoValue],
        MATCH(1,(tblProjectInfo[ProjectName]=_xlpm.p)*
                 ISNUMBER(SEARCH("PHASE",UPPER(tblProjectInfo[Info]))),0)
), ""))</f>
        <v>Construction</v>
      </c>
      <c r="I22" s="149" cm="1">
        <f t="array" ref="I22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45757</v>
      </c>
      <c r="J22" s="149">
        <f>IFERROR(
  _xlfn.MAXIFS(
    tblProjectPlan[ActualEndDate],
    tblProjectPlan[ProjectName], tblProjects[[#This Row],[Project Name]],
    tblProjectPlan[TaskDescription], "*site establishment*"
  ),
  ""
)</f>
        <v>45868</v>
      </c>
      <c r="K22" s="169">
        <f>_xlfn.DAYS(tblProjects[[#This Row],[Client Handover Date]],tblProjects[[#This Row],[Construction Start date]])</f>
        <v>225</v>
      </c>
      <c r="L22" s="169">
        <f>tblProjects[[#This Row],[Size]]/(_xlfn.DAYS(tblProjects[[#This Row],[Commissioning Date]],tblProjects[[#This Row],[Construction Start date]]))*7</f>
        <v>15.133333333333333</v>
      </c>
      <c r="M22" s="149">
        <f>IFERROR(
  _xlfn.MAXIFS(
    tblProjectPlan[ActualEndDate],
    tblProjectPlan[ProjectName], tblProjects[[#This Row],[Project Name]],
    tblProjectPlan[TaskDescription], "*Commissioning*"
  ),
  ""
)</f>
        <v>46078</v>
      </c>
      <c r="N22" s="149">
        <f>IFERROR(
  _xlfn.MAXIFS(
    tblProjectPlan[ActualEndDate],
    tblProjectPlan[ProjectName], tblProjects[[#This Row],[Project Name]],
    tblProjectPlan[TaskDescription], "*Handover to Matriarch*"
  ),
  ""
)</f>
        <v>46092</v>
      </c>
      <c r="O22" s="149">
        <f>IFERROR(
  _xlfn.MAXIFS(
    tblProjectPlan[ActualEndDate],
    tblProjectPlan[ProjectName], tblProjects[[#This Row],[Project Name]],
    tblProjectPlan[TaskDescription], "*handover to client*"
  ),
  ""
)</f>
        <v>46093</v>
      </c>
      <c r="P22" s="150">
        <f>IFERROR(AVERAGEIF(tblProjectPlan[ProjectName],tblProjects[[#This Row],[Project Name]],tblProjectPlan[Actual%Complete]),0)</f>
        <v>0.63655547991831174</v>
      </c>
      <c r="Q22" s="150">
        <f>IFERROR(AVERAGEIF(tblProjectPlan[ProjectName],tblProjects[[#This Row],[Project Name]],tblProjectPlan[Expected%Complete]),0)</f>
        <v>0.64343098221314499</v>
      </c>
      <c r="R22" s="151">
        <f>tblProjects[[#This Row],[Project % Complete]]-tblProjects[[#This Row],[Expected % Completed]]</f>
        <v>-6.8755022948332467E-3</v>
      </c>
      <c r="S22" s="152">
        <f>_xlfn.LET(_xlpm.p,tblProjects[[#This Row],[Project Name]], SUMIFS(tblProgramInflows[MilstoneAmount], tblProgramInflows[ProjectName], _xlpm.p))</f>
        <v>17267333.151304349</v>
      </c>
      <c r="T22" s="152">
        <f>_xlfn.LET(_xlpm.p,tblProjects[[#This Row],[Project Name]], SUMIFS(tblProgramExpense[ExpenseActualTotal], tblProgramExpense[ProjectName], _xlpm.p))</f>
        <v>8076024.8234999999</v>
      </c>
      <c r="U22" s="150">
        <f>1-IF(tblProjects[[#This Row],[Actual Revenue]]=0,"",tblProjects[[#This Row],[Actual Expenses]]/tblProjects[[#This Row],[Actual Revenue]])</f>
        <v>0.53229460781614968</v>
      </c>
      <c r="V22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2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2" s="246"/>
      <c r="Y22" s="246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</row>
    <row r="23" spans="1:186">
      <c r="A23" t="str" cm="1">
        <f t="array" ref="A2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IFERROR(INDEX(_xlpm.sorted,ROWS(A$2:A23)),"")
)</f>
        <v>BMG Fluid Tech_Tracker.xlsx</v>
      </c>
      <c r="B23" s="147" cm="1">
        <f t="array" ref="B23">_xlfn.LET(_xlpm.p,$A23,_xlfn.IFNA(
  INDEX(tblProjectInfo[InfoValue],
        MATCH(1,(tblProjectInfo[ProjectName]=_xlpm.p)*
                 (UPPER(TRIM(tblProjectInfo[Info]))="PROJECT SIZE (KWP)"),0)
), ""))</f>
        <v>144</v>
      </c>
      <c r="C23" s="147" t="str" cm="1">
        <f t="array" ref="C23">_xlfn.LET(_xlpm.p,$A23,_xlfn.IFNA(
  INDEX(tblProjectInfo[InfoValue],
        MATCH(1,(tblProjectInfo[ProjectName]=_xlpm.p)*
                 (UPPER(TRIM(tblProjectInfo[Info]))="PROJECT DEVELOPER"),0)
), ""))</f>
        <v>Cole Bisset</v>
      </c>
      <c r="D23" s="148" t="str" cm="1">
        <f t="array" ref="D23">_xlfn.LET(_xlpm.p,$A23,_xlfn.IFNA(
  INDEX(tblProjectInfo[InfoValue],
        MATCH(1,(tblProjectInfo[ProjectName]=_xlpm.p)*
                 (UPPER(TRIM(tblProjectInfo[Info]))="PROJECT MANAGERS"),0)
), ""))</f>
        <v>JT Moorosi</v>
      </c>
      <c r="E23" s="147"/>
      <c r="F23" s="147"/>
      <c r="G23" s="147"/>
      <c r="H23" s="162" t="str" cm="1">
        <f t="array" ref="H23">_xlfn.LET(_xlpm.p,$A23,_xlfn.IFNA(
  INDEX(tblProjectInfo[InfoValue],
        MATCH(1,(tblProjectInfo[ProjectName]=_xlpm.p)*
                 ISNUMBER(SEARCH("PHASE",UPPER(tblProjectInfo[Info]))),0)
), ""))</f>
        <v>QA</v>
      </c>
      <c r="I23" s="149" cm="1">
        <f t="array" ref="I23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45786</v>
      </c>
      <c r="J23" s="149">
        <f>IFERROR(
  _xlfn.MAXIFS(
    tblProjectPlan[ActualEndDate],
    tblProjectPlan[ProjectName], tblProjects[[#This Row],[Project Name]],
    tblProjectPlan[TaskDescription], "*site establishment*"
  ),
  ""
)</f>
        <v>45900</v>
      </c>
      <c r="K23" s="169">
        <f>_xlfn.DAYS(tblProjects[[#This Row],[Client Handover Date]],tblProjects[[#This Row],[Construction Start date]])</f>
        <v>170</v>
      </c>
      <c r="L23" s="169">
        <f>tblProjects[[#This Row],[Size]]/(_xlfn.DAYS(tblProjects[[#This Row],[Commissioning Date]],tblProjects[[#This Row],[Construction Start date]]))*7</f>
        <v>7</v>
      </c>
      <c r="M23" s="149">
        <f>IFERROR(
  _xlfn.MAXIFS(
    tblProjectPlan[ActualEndDate],
    tblProjectPlan[ProjectName], tblProjects[[#This Row],[Project Name]],
    tblProjectPlan[TaskDescription], "*Commissioning*"
  ),
  ""
)</f>
        <v>46044</v>
      </c>
      <c r="N23" s="149">
        <f>IFERROR(
  _xlfn.MAXIFS(
    tblProjectPlan[ActualEndDate],
    tblProjectPlan[ProjectName], tblProjects[[#This Row],[Project Name]],
    tblProjectPlan[TaskDescription], "*Handover to Matriarch*"
  ),
  ""
)</f>
        <v>46076</v>
      </c>
      <c r="O23" s="149">
        <f>IFERROR(
  _xlfn.MAXIFS(
    tblProjectPlan[ActualEndDate],
    tblProjectPlan[ProjectName], tblProjects[[#This Row],[Project Name]],
    tblProjectPlan[TaskDescription], "*handover to client*"
  ),
  ""
)</f>
        <v>46070</v>
      </c>
      <c r="P23" s="150">
        <f>IFERROR(AVERAGEIF(tblProjectPlan[ProjectName],tblProjects[[#This Row],[Project Name]],tblProjectPlan[Actual%Complete]),0)</f>
        <v>0.88334510869565219</v>
      </c>
      <c r="Q23" s="150">
        <f>IFERROR(AVERAGEIF(tblProjectPlan[ProjectName],tblProjects[[#This Row],[Project Name]],tblProjectPlan[Expected%Complete]),0)</f>
        <v>0.91973346362211905</v>
      </c>
      <c r="R23" s="151">
        <f>tblProjects[[#This Row],[Project % Complete]]-tblProjects[[#This Row],[Expected % Completed]]</f>
        <v>-3.6388354926466859E-2</v>
      </c>
      <c r="S23" s="152">
        <f>_xlfn.LET(_xlpm.p,tblProjects[[#This Row],[Project Name]], SUMIFS(tblProgramInflows[MilstoneAmount], tblProgramInflows[ProjectName], _xlpm.p))</f>
        <v>7968138.4956813995</v>
      </c>
      <c r="T23" s="152">
        <f>_xlfn.LET(_xlpm.p,tblProjects[[#This Row],[Project Name]], SUMIFS(tblProgramExpense[ExpenseActualTotal], tblProgramExpense[ProjectName], _xlpm.p))</f>
        <v>3276882.0255980082</v>
      </c>
      <c r="U23" s="150">
        <f>1-IF(tblProjects[[#This Row],[Actual Revenue]]=0,"",tblProjects[[#This Row],[Actual Expenses]]/tblProjects[[#This Row],[Actual Revenue]])</f>
        <v>0.58875187380665828</v>
      </c>
      <c r="V23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3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3" s="246"/>
      <c r="Y23" s="246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</row>
    <row r="24" spans="1:186">
      <c r="A24" t="str" cm="1">
        <f t="array" ref="A2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IFERROR(INDEX(_xlpm.sorted,ROWS(A$2:A24)),"")
)</f>
        <v>Coega Steels Ph2_Tracker.xlsx</v>
      </c>
      <c r="B24" s="147" cm="1">
        <f t="array" ref="B24">_xlfn.LET(_xlpm.p,$A24,_xlfn.IFNA(
  INDEX(tblProjectInfo[InfoValue],
        MATCH(1,(tblProjectInfo[ProjectName]=_xlpm.p)*
                 (UPPER(TRIM(tblProjectInfo[Info]))="PROJECT SIZE (KWP)"),0)
), ""))</f>
        <v>7080</v>
      </c>
      <c r="C24" s="147" t="str" cm="1">
        <f t="array" ref="C24">_xlfn.LET(_xlpm.p,$A24,_xlfn.IFNA(
  INDEX(tblProjectInfo[InfoValue],
        MATCH(1,(tblProjectInfo[ProjectName]=_xlpm.p)*
                 (UPPER(TRIM(tblProjectInfo[Info]))="PROJECT DEVELOPER"),0)
), ""))</f>
        <v>Gordon Upton</v>
      </c>
      <c r="D24" s="148" t="str" cm="1">
        <f t="array" ref="D24">_xlfn.LET(_xlpm.p,$A24,_xlfn.IFNA(
  INDEX(tblProjectInfo[InfoValue],
        MATCH(1,(tblProjectInfo[ProjectName]=_xlpm.p)*
                 (UPPER(TRIM(tblProjectInfo[Info]))="PROJECT MANAGERS"),0)
), ""))</f>
        <v>Lloyd Brown</v>
      </c>
      <c r="E24" s="147"/>
      <c r="F24" s="147"/>
      <c r="G24" s="147"/>
      <c r="H24" s="162" t="str" cm="1">
        <f t="array" ref="H24">_xlfn.LET(_xlpm.p,$A24,_xlfn.IFNA(
  INDEX(tblProjectInfo[InfoValue],
        MATCH(1,(tblProjectInfo[ProjectName]=_xlpm.p)*
                 ISNUMBER(SEARCH("PHASE",UPPER(tblProjectInfo[Info]))),0)
), ""))</f>
        <v>QA</v>
      </c>
      <c r="I24" s="149" t="str" cm="1">
        <f t="array" ref="I24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24" s="149">
        <f>IFERROR(
  _xlfn.MAXIFS(
    tblProjectPlan[ActualEndDate],
    tblProjectPlan[ProjectName], tblProjects[[#This Row],[Project Name]],
    tblProjectPlan[TaskDescription], "*site establishment*"
  ),
  ""
)</f>
        <v>45910</v>
      </c>
      <c r="K24" s="169">
        <f>_xlfn.DAYS(tblProjects[[#This Row],[Client Handover Date]],tblProjects[[#This Row],[Construction Start date]])</f>
        <v>168</v>
      </c>
      <c r="L24" s="169">
        <f>tblProjects[[#This Row],[Size]]/(_xlfn.DAYS(tblProjects[[#This Row],[Commissioning Date]],tblProjects[[#This Row],[Construction Start date]]))*7</f>
        <v>319.74193548387098</v>
      </c>
      <c r="M24" s="149">
        <f>IFERROR(
  _xlfn.MAXIFS(
    tblProjectPlan[ActualEndDate],
    tblProjectPlan[ProjectName], tblProjects[[#This Row],[Project Name]],
    tblProjectPlan[TaskDescription], "*Commissioning*"
  ),
  ""
)</f>
        <v>46065</v>
      </c>
      <c r="N24" s="149">
        <f>IFERROR(
  _xlfn.MAXIFS(
    tblProjectPlan[ActualEndDate],
    tblProjectPlan[ProjectName], tblProjects[[#This Row],[Project Name]],
    tblProjectPlan[TaskDescription], "*Handover to Matriarch*"
  ),
  ""
)</f>
        <v>46077</v>
      </c>
      <c r="O24" s="149">
        <f>IFERROR(
  _xlfn.MAXIFS(
    tblProjectPlan[ActualEndDate],
    tblProjectPlan[ProjectName], tblProjects[[#This Row],[Project Name]],
    tblProjectPlan[TaskDescription], "*handover to client*"
  ),
  ""
)</f>
        <v>46078</v>
      </c>
      <c r="P24" s="150">
        <f>IFERROR(AVERAGEIF(tblProjectPlan[ProjectName],tblProjects[[#This Row],[Project Name]],tblProjectPlan[Actual%Complete]),0)</f>
        <v>0.92310231023102307</v>
      </c>
      <c r="Q24" s="150">
        <f>IFERROR(AVERAGEIF(tblProjectPlan[ProjectName],tblProjects[[#This Row],[Project Name]],tblProjectPlan[Expected%Complete]),0)</f>
        <v>0.95890303316045877</v>
      </c>
      <c r="R24" s="151">
        <f>tblProjects[[#This Row],[Project % Complete]]-tblProjects[[#This Row],[Expected % Completed]]</f>
        <v>-3.5800722929435702E-2</v>
      </c>
      <c r="S24" s="152">
        <f>_xlfn.LET(_xlpm.p,tblProjects[[#This Row],[Project Name]], SUMIFS(tblProgramInflows[MilstoneAmount], tblProgramInflows[ProjectName], _xlpm.p))</f>
        <v>59995000</v>
      </c>
      <c r="T24" s="152">
        <f>_xlfn.LET(_xlpm.p,tblProjects[[#This Row],[Project Name]], SUMIFS(tblProgramExpense[ExpenseActualTotal], tblProgramExpense[ProjectName], _xlpm.p))</f>
        <v>48754595.846446089</v>
      </c>
      <c r="U24" s="150">
        <f>1-IF(tblProjects[[#This Row],[Actual Revenue]]=0,"",tblProjects[[#This Row],[Actual Expenses]]/tblProjects[[#This Row],[Actual Revenue]])</f>
        <v>0.18735568219941512</v>
      </c>
      <c r="V24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4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2400</v>
      </c>
      <c r="X24" s="246"/>
      <c r="Y24" s="246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</row>
    <row r="25" spans="1:186">
      <c r="A25" t="str" cm="1">
        <f t="array" ref="A2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IFERROR(INDEX(_xlpm.sorted,ROWS(A$2:A25)),"")
)</f>
        <v>Dobsonpoint_Tracker.xlsx</v>
      </c>
      <c r="B25" s="147" cm="1">
        <f t="array" ref="B25">_xlfn.LET(_xlpm.p,$A25,_xlfn.IFNA(
  INDEX(tblProjectInfo[InfoValue],
        MATCH(1,(tblProjectInfo[ProjectName]=_xlpm.p)*
                 (UPPER(TRIM(tblProjectInfo[Info]))="PROJECT SIZE (KWP)"),0)
), ""))</f>
        <v>422</v>
      </c>
      <c r="C25" s="147" t="str" cm="1">
        <f t="array" ref="C25">_xlfn.LET(_xlpm.p,$A25,_xlfn.IFNA(
  INDEX(tblProjectInfo[InfoValue],
        MATCH(1,(tblProjectInfo[ProjectName]=_xlpm.p)*
                 (UPPER(TRIM(tblProjectInfo[Info]))="PROJECT DEVELOPER"),0)
), ""))</f>
        <v>Natasha Watkins-Baker</v>
      </c>
      <c r="D25" s="148" t="str" cm="1">
        <f t="array" ref="D25">_xlfn.LET(_xlpm.p,$A25,_xlfn.IFNA(
  INDEX(tblProjectInfo[InfoValue],
        MATCH(1,(tblProjectInfo[ProjectName]=_xlpm.p)*
                 (UPPER(TRIM(tblProjectInfo[Info]))="PROJECT MANAGERS"),0)
), ""))</f>
        <v>JT Moorosi</v>
      </c>
      <c r="E25" s="147"/>
      <c r="F25" s="147"/>
      <c r="G25" s="147"/>
      <c r="H25" s="162" t="str" cm="1">
        <f t="array" ref="H25">_xlfn.LET(_xlpm.p,$A25,_xlfn.IFNA(
  INDEX(tblProjectInfo[InfoValue],
        MATCH(1,(tblProjectInfo[ProjectName]=_xlpm.p)*
                 ISNUMBER(SEARCH("PHASE",UPPER(tblProjectInfo[Info]))),0)
), ""))</f>
        <v>QA</v>
      </c>
      <c r="I25" s="149" cm="1">
        <f t="array" ref="I25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45770</v>
      </c>
      <c r="J25" s="149">
        <f>IFERROR(
  _xlfn.MAXIFS(
    tblProjectPlan[ActualEndDate],
    tblProjectPlan[ProjectName], tblProjects[[#This Row],[Project Name]],
    tblProjectPlan[TaskDescription], "*site establishment*"
  ),
  ""
)</f>
        <v>45819</v>
      </c>
      <c r="K25" s="169">
        <f>_xlfn.DAYS(tblProjects[[#This Row],[Client Handover Date]],tblProjects[[#This Row],[Construction Start date]])</f>
        <v>257</v>
      </c>
      <c r="L25" s="169">
        <f>tblProjects[[#This Row],[Size]]/(_xlfn.DAYS(tblProjects[[#This Row],[Commissioning Date]],tblProjects[[#This Row],[Construction Start date]]))*7</f>
        <v>16.78409090909091</v>
      </c>
      <c r="M25" s="149">
        <f>IFERROR(
  _xlfn.MAXIFS(
    tblProjectPlan[ActualEndDate],
    tblProjectPlan[ProjectName], tblProjects[[#This Row],[Project Name]],
    tblProjectPlan[TaskDescription], "*Commissioning*"
  ),
  ""
)</f>
        <v>45995</v>
      </c>
      <c r="N25" s="149">
        <f>IFERROR(
  _xlfn.MAXIFS(
    tblProjectPlan[ActualEndDate],
    tblProjectPlan[ProjectName], tblProjects[[#This Row],[Project Name]],
    tblProjectPlan[TaskDescription], "*Handover to Matriarch*"
  ),
  ""
)</f>
        <v>46077</v>
      </c>
      <c r="O25" s="149">
        <f>IFERROR(
  _xlfn.MAXIFS(
    tblProjectPlan[ActualEndDate],
    tblProjectPlan[ProjectName], tblProjects[[#This Row],[Project Name]],
    tblProjectPlan[TaskDescription], "*handover to client*"
  ),
  ""
)</f>
        <v>46076</v>
      </c>
      <c r="P25" s="150">
        <f>IFERROR(AVERAGEIF(tblProjectPlan[ProjectName],tblProjects[[#This Row],[Project Name]],tblProjectPlan[Actual%Complete]),0)</f>
        <v>0.85059523809523818</v>
      </c>
      <c r="Q25" s="150">
        <f>IFERROR(AVERAGEIF(tblProjectPlan[ProjectName],tblProjects[[#This Row],[Project Name]],tblProjectPlan[Expected%Complete]),0)</f>
        <v>0.87616656817887184</v>
      </c>
      <c r="R25" s="151">
        <f>tblProjects[[#This Row],[Project % Complete]]-tblProjects[[#This Row],[Expected % Completed]]</f>
        <v>-2.5571330083633659E-2</v>
      </c>
      <c r="S25" s="152">
        <f>_xlfn.LET(_xlpm.p,tblProjects[[#This Row],[Project Name]], SUMIFS(tblProgramInflows[MilstoneAmount], tblProgramInflows[ProjectName], _xlpm.p))</f>
        <v>7788415.3661806006</v>
      </c>
      <c r="T25" s="152">
        <f>_xlfn.LET(_xlpm.p,tblProjects[[#This Row],[Project Name]], SUMIFS(tblProgramExpense[ExpenseActualTotal], tblProgramExpense[ProjectName], _xlpm.p))</f>
        <v>3017163.4060386294</v>
      </c>
      <c r="U25" s="150">
        <f>1-IF(tblProjects[[#This Row],[Actual Revenue]]=0,"",tblProjects[[#This Row],[Actual Expenses]]/tblProjects[[#This Row],[Actual Revenue]])</f>
        <v>0.61260882166865849</v>
      </c>
      <c r="V25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5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5" s="246"/>
      <c r="Y25" s="246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</row>
    <row r="26" spans="1:186">
      <c r="A26" t="str" cm="1">
        <f t="array" ref="A2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IFERROR(INDEX(_xlpm.sorted,ROWS(A$2:A26)),"")
)</f>
        <v>Gezina Galleries_Tracker.xlsx</v>
      </c>
      <c r="B26" s="147" cm="1">
        <f t="array" ref="B26">_xlfn.LET(_xlpm.p,$A26,_xlfn.IFNA(
  INDEX(tblProjectInfo[InfoValue],
        MATCH(1,(tblProjectInfo[ProjectName]=_xlpm.p)*
                 (UPPER(TRIM(tblProjectInfo[Info]))="PROJECT SIZE (KWP)"),0)
), ""))</f>
        <v>954</v>
      </c>
      <c r="C26" s="147" t="str" cm="1">
        <f t="array" ref="C26">_xlfn.LET(_xlpm.p,$A26,_xlfn.IFNA(
  INDEX(tblProjectInfo[InfoValue],
        MATCH(1,(tblProjectInfo[ProjectName]=_xlpm.p)*
                 (UPPER(TRIM(tblProjectInfo[Info]))="PROJECT DEVELOPER"),0)
), ""))</f>
        <v>Natasha Watkins Baker</v>
      </c>
      <c r="D26" s="148" t="str" cm="1">
        <f t="array" ref="D26">_xlfn.LET(_xlpm.p,$A26,_xlfn.IFNA(
  INDEX(tblProjectInfo[InfoValue],
        MATCH(1,(tblProjectInfo[ProjectName]=_xlpm.p)*
                 (UPPER(TRIM(tblProjectInfo[Info]))="PROJECT MANAGERS"),0)
), ""))</f>
        <v>Eon Van Rensburg</v>
      </c>
      <c r="E26" s="147"/>
      <c r="F26" s="147"/>
      <c r="G26" s="147"/>
      <c r="H26" s="162" t="str" cm="1">
        <f t="array" ref="H26">_xlfn.LET(_xlpm.p,$A26,_xlfn.IFNA(
  INDEX(tblProjectInfo[InfoValue],
        MATCH(1,(tblProjectInfo[ProjectName]=_xlpm.p)*
                 ISNUMBER(SEARCH("PHASE",UPPER(tblProjectInfo[Info]))),0)
), ""))</f>
        <v>QA</v>
      </c>
      <c r="I26" s="149" cm="1">
        <f t="array" ref="I26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26" s="149">
        <f>IFERROR(
  _xlfn.MAXIFS(
    tblProjectPlan[ActualEndDate],
    tblProjectPlan[ProjectName], tblProjects[[#This Row],[Project Name]],
    tblProjectPlan[TaskDescription], "*site establishment*"
  ),
  ""
)</f>
        <v>45930</v>
      </c>
      <c r="K26" s="169">
        <f>_xlfn.DAYS(tblProjects[[#This Row],[Client Handover Date]],tblProjects[[#This Row],[Construction Start date]])</f>
        <v>142</v>
      </c>
      <c r="L26" s="169">
        <f>tblProjects[[#This Row],[Size]]/(_xlfn.DAYS(tblProjects[[#This Row],[Commissioning Date]],tblProjects[[#This Row],[Construction Start date]]))*7</f>
        <v>91.479452054794521</v>
      </c>
      <c r="M26" s="149">
        <f>IFERROR(
  _xlfn.MAXIFS(
    tblProjectPlan[ActualEndDate],
    tblProjectPlan[ProjectName], tblProjects[[#This Row],[Project Name]],
    tblProjectPlan[TaskDescription], "*Commissioning*"
  ),
  ""
)</f>
        <v>46003</v>
      </c>
      <c r="N26" s="149">
        <f>IFERROR(
  _xlfn.MAXIFS(
    tblProjectPlan[ActualEndDate],
    tblProjectPlan[ProjectName], tblProjects[[#This Row],[Project Name]],
    tblProjectPlan[TaskDescription], "*Handover to Matriarch*"
  ),
  ""
)</f>
        <v>46066</v>
      </c>
      <c r="O26" s="149">
        <f>IFERROR(
  _xlfn.MAXIFS(
    tblProjectPlan[ActualEndDate],
    tblProjectPlan[ProjectName], tblProjects[[#This Row],[Project Name]],
    tblProjectPlan[TaskDescription], "*handover to client*"
  ),
  ""
)</f>
        <v>46072</v>
      </c>
      <c r="P26" s="150">
        <f>IFERROR(AVERAGEIF(tblProjectPlan[ProjectName],tblProjects[[#This Row],[Project Name]],tblProjectPlan[Actual%Complete]),0)</f>
        <v>0.87252415458937194</v>
      </c>
      <c r="Q26" s="150">
        <f>IFERROR(AVERAGEIF(tblProjectPlan[ProjectName],tblProjects[[#This Row],[Project Name]],tblProjectPlan[Expected%Complete]),0)</f>
        <v>0.92684995872651699</v>
      </c>
      <c r="R26" s="151">
        <f>tblProjects[[#This Row],[Project % Complete]]-tblProjects[[#This Row],[Expected % Completed]]</f>
        <v>-5.4325804137145051E-2</v>
      </c>
      <c r="S26" s="152">
        <f>_xlfn.LET(_xlpm.p,tblProjects[[#This Row],[Project Name]], SUMIFS(tblProgramInflows[MilstoneAmount], tblProgramInflows[ProjectName], _xlpm.p))</f>
        <v>17385697.220000003</v>
      </c>
      <c r="T26" s="152">
        <f>_xlfn.LET(_xlpm.p,tblProjects[[#This Row],[Project Name]], SUMIFS(tblProgramExpense[ExpenseActualTotal], tblProgramExpense[ProjectName], _xlpm.p))</f>
        <v>7085651.4276250005</v>
      </c>
      <c r="U26" s="150">
        <f>1-IF(tblProjects[[#This Row],[Actual Revenue]]=0,"",tblProjects[[#This Row],[Actual Expenses]]/tblProjects[[#This Row],[Actual Revenue]])</f>
        <v>0.59244364272754779</v>
      </c>
      <c r="V26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6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6" s="246"/>
      <c r="Y26" s="24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</row>
    <row r="27" spans="1:186">
      <c r="A27" t="str" cm="1">
        <f t="array" ref="A2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IFERROR(INDEX(_xlpm.sorted,ROWS(A$2:A27)),"")
)</f>
        <v>Pretoria North_Tracker.xlsx</v>
      </c>
      <c r="B27" s="147" cm="1">
        <f t="array" ref="B27">_xlfn.LET(_xlpm.p,$A27,_xlfn.IFNA(
  INDEX(tblProjectInfo[InfoValue],
        MATCH(1,(tblProjectInfo[ProjectName]=_xlpm.p)*
                 (UPPER(TRIM(tblProjectInfo[Info]))="PROJECT SIZE (KWP)"),0)
), ""))</f>
        <v>509</v>
      </c>
      <c r="C27" s="147" t="str" cm="1">
        <f t="array" ref="C27">_xlfn.LET(_xlpm.p,$A27,_xlfn.IFNA(
  INDEX(tblProjectInfo[InfoValue],
        MATCH(1,(tblProjectInfo[ProjectName]=_xlpm.p)*
                 (UPPER(TRIM(tblProjectInfo[Info]))="PROJECT DEVELOPER"),0)
), ""))</f>
        <v>Natasha Watkins-Baker</v>
      </c>
      <c r="D27" s="148" t="str" cm="1">
        <f t="array" ref="D27">_xlfn.LET(_xlpm.p,$A27,_xlfn.IFNA(
  INDEX(tblProjectInfo[InfoValue],
        MATCH(1,(tblProjectInfo[ProjectName]=_xlpm.p)*
                 (UPPER(TRIM(tblProjectInfo[Info]))="PROJECT MANAGERS"),0)
), ""))</f>
        <v>Eon Van Rensburg</v>
      </c>
      <c r="E27" s="147"/>
      <c r="F27" s="147"/>
      <c r="G27" s="147"/>
      <c r="H27" s="162" t="str" cm="1">
        <f t="array" ref="H27">_xlfn.LET(_xlpm.p,$A27,_xlfn.IFNA(
  INDEX(tblProjectInfo[InfoValue],
        MATCH(1,(tblProjectInfo[ProjectName]=_xlpm.p)*
                 ISNUMBER(SEARCH("PHASE",UPPER(tblProjectInfo[Info]))),0)
), ""))</f>
        <v>QA</v>
      </c>
      <c r="I27" s="149" cm="1">
        <f t="array" ref="I27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27" s="149">
        <f>IFERROR(
  _xlfn.MAXIFS(
    tblProjectPlan[ActualEndDate],
    tblProjectPlan[ProjectName], tblProjects[[#This Row],[Project Name]],
    tblProjectPlan[TaskDescription], "*site establishment*"
  ),
  ""
)</f>
        <v>45930</v>
      </c>
      <c r="K27" s="169">
        <f>_xlfn.DAYS(tblProjects[[#This Row],[Client Handover Date]],tblProjects[[#This Row],[Construction Start date]])</f>
        <v>140</v>
      </c>
      <c r="L27" s="169"/>
      <c r="M27" s="149">
        <f>IFERROR(
  _xlfn.MAXIFS(
    tblProjectPlan[ActualEndDate],
    tblProjectPlan[ProjectName], tblProjects[[#This Row],[Project Name]],
    tblProjectPlan[TaskDescription], "*Commissioning*"
  ),
  ""
)</f>
        <v>45999</v>
      </c>
      <c r="N27" s="149">
        <f>IFERROR(
  _xlfn.MAXIFS(
    tblProjectPlan[ActualEndDate],
    tblProjectPlan[ProjectName], tblProjects[[#This Row],[Project Name]],
    tblProjectPlan[TaskDescription], "*Handover to Matriarch*"
  ),
  ""
)</f>
        <v>46065</v>
      </c>
      <c r="O27" s="149">
        <f>IFERROR(
  _xlfn.MAXIFS(
    tblProjectPlan[ActualEndDate],
    tblProjectPlan[ProjectName], tblProjects[[#This Row],[Project Name]],
    tblProjectPlan[TaskDescription], "*handover to client*"
  ),
  ""
)</f>
        <v>46070</v>
      </c>
      <c r="P27" s="150">
        <f>IFERROR(AVERAGEIF(tblProjectPlan[ProjectName],tblProjects[[#This Row],[Project Name]],tblProjectPlan[Actual%Complete]),0)</f>
        <v>0.90620714285714277</v>
      </c>
      <c r="Q27" s="150">
        <f>IFERROR(AVERAGEIF(tblProjectPlan[ProjectName],tblProjects[[#This Row],[Project Name]],tblProjectPlan[Expected%Complete]),0)</f>
        <v>0.93630695559277477</v>
      </c>
      <c r="R27" s="151">
        <f>tblProjects[[#This Row],[Project % Complete]]-tblProjects[[#This Row],[Expected % Completed]]</f>
        <v>-3.0099812735632003E-2</v>
      </c>
      <c r="S27" s="152">
        <f>_xlfn.LET(_xlpm.p,tblProjects[[#This Row],[Project Name]], SUMIFS(tblProgramInflows[MilstoneAmount], tblProgramInflows[ProjectName], _xlpm.p))</f>
        <v>9522946.0000000019</v>
      </c>
      <c r="T27" s="152">
        <f>_xlfn.LET(_xlpm.p,tblProjects[[#This Row],[Project Name]], SUMIFS(tblProgramExpense[ExpenseActualTotal], tblProgramExpense[ProjectName], _xlpm.p))</f>
        <v>3936602.6525000003</v>
      </c>
      <c r="U27" s="150">
        <f>1-IF(tblProjects[[#This Row],[Actual Revenue]]=0,"",tblProjects[[#This Row],[Actual Expenses]]/tblProjects[[#This Row],[Actual Revenue]])</f>
        <v>0.5866192402540138</v>
      </c>
      <c r="V27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7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27" s="246"/>
      <c r="Y27" s="246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</row>
    <row r="28" spans="1:186">
      <c r="A28" t="str" cm="1">
        <f t="array" ref="A2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IFERROR(INDEX(_xlpm.sorted,ROWS(A$2:A28)),"")
)</f>
        <v>Randfontein_Tracker.xlsx</v>
      </c>
      <c r="B28" s="147" cm="1">
        <f t="array" ref="B28">_xlfn.LET(_xlpm.p,$A28,_xlfn.IFNA(
  INDEX(tblProjectInfo[InfoValue],
        MATCH(1,(tblProjectInfo[ProjectName]=_xlpm.p)*
                 (UPPER(TRIM(tblProjectInfo[Info]))="PROJECT SIZE (KWP)"),0)
), ""))</f>
        <v>370</v>
      </c>
      <c r="C28" s="147" t="str" cm="1">
        <f t="array" ref="C28">_xlfn.LET(_xlpm.p,$A28,_xlfn.IFNA(
  INDEX(tblProjectInfo[InfoValue],
        MATCH(1,(tblProjectInfo[ProjectName]=_xlpm.p)*
                 (UPPER(TRIM(tblProjectInfo[Info]))="PROJECT DEVELOPER"),0)
), ""))</f>
        <v>Natasha Watkins-Baker</v>
      </c>
      <c r="D28" s="148" t="str" cm="1">
        <f t="array" ref="D28">_xlfn.LET(_xlpm.p,$A28,_xlfn.IFNA(
  INDEX(tblProjectInfo[InfoValue],
        MATCH(1,(tblProjectInfo[ProjectName]=_xlpm.p)*
                 (UPPER(TRIM(tblProjectInfo[Info]))="PROJECT MANAGERS"),0)
), ""))</f>
        <v>JT Moorosi</v>
      </c>
      <c r="E28" s="147"/>
      <c r="F28" s="147"/>
      <c r="G28" s="147"/>
      <c r="H28" s="162" t="str" cm="1">
        <f t="array" ref="H28">_xlfn.LET(_xlpm.p,$A28,_xlfn.IFNA(
  INDEX(tblProjectInfo[InfoValue],
        MATCH(1,(tblProjectInfo[ProjectName]=_xlpm.p)*
                 ISNUMBER(SEARCH("PHASE",UPPER(tblProjectInfo[Info]))),0)
), ""))</f>
        <v>QA</v>
      </c>
      <c r="I28" s="149" cm="1">
        <f t="array" ref="I28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28" s="149">
        <f>IFERROR(
  _xlfn.MAXIFS(
    tblProjectPlan[ActualEndDate],
    tblProjectPlan[ProjectName], tblProjects[[#This Row],[Project Name]],
    tblProjectPlan[TaskDescription], "*site establishment*"
  ),
  ""
)</f>
        <v>45819</v>
      </c>
      <c r="K28" s="169">
        <f>_xlfn.DAYS(tblProjects[[#This Row],[Client Handover Date]],tblProjects[[#This Row],[Construction Start date]])</f>
        <v>258</v>
      </c>
      <c r="L28" s="169">
        <f>tblProjects[[#This Row],[Size]]/(_xlfn.DAYS(tblProjects[[#This Row],[Commissioning Date]],tblProjects[[#This Row],[Construction Start date]]))*7</f>
        <v>10.614754098360656</v>
      </c>
      <c r="M28" s="149">
        <f>IFERROR(
  _xlfn.MAXIFS(
    tblProjectPlan[ActualEndDate],
    tblProjectPlan[ProjectName], tblProjects[[#This Row],[Project Name]],
    tblProjectPlan[TaskDescription], "*Commissioning*"
  ),
  ""
)</f>
        <v>46063</v>
      </c>
      <c r="N28" s="149">
        <f>IFERROR(
  _xlfn.MAXIFS(
    tblProjectPlan[ActualEndDate],
    tblProjectPlan[ProjectName], tblProjects[[#This Row],[Project Name]],
    tblProjectPlan[TaskDescription], "*Handover to Matriarch*"
  ),
  ""
)</f>
        <v>46079</v>
      </c>
      <c r="O28" s="149">
        <f>IFERROR(
  _xlfn.MAXIFS(
    tblProjectPlan[ActualEndDate],
    tblProjectPlan[ProjectName], tblProjects[[#This Row],[Project Name]],
    tblProjectPlan[TaskDescription], "*handover to client*"
  ),
  ""
)</f>
        <v>46077</v>
      </c>
      <c r="P28" s="150">
        <f>IFERROR(AVERAGEIF(tblProjectPlan[ProjectName],tblProjects[[#This Row],[Project Name]],tblProjectPlan[Actual%Complete]),0)</f>
        <v>0.71260504201680674</v>
      </c>
      <c r="Q28" s="150">
        <f>IFERROR(AVERAGEIF(tblProjectPlan[ProjectName],tblProjects[[#This Row],[Project Name]],tblProjectPlan[Expected%Complete]),0)</f>
        <v>0.745937445169499</v>
      </c>
      <c r="R28" s="151">
        <f>tblProjects[[#This Row],[Project % Complete]]-tblProjects[[#This Row],[Expected % Completed]]</f>
        <v>-3.3332403152692258E-2</v>
      </c>
      <c r="S28" s="152">
        <f>_xlfn.LET(_xlpm.p,tblProjects[[#This Row],[Project Name]], SUMIFS(tblProgramInflows[MilstoneAmount], tblProgramInflows[ProjectName], _xlpm.p))</f>
        <v>6710878</v>
      </c>
      <c r="T28" s="152">
        <f>_xlfn.LET(_xlpm.p,tblProjects[[#This Row],[Project Name]], SUMIFS(tblProgramExpense[ExpenseActualTotal], tblProgramExpense[ProjectName], _xlpm.p))</f>
        <v>3215443.8433799963</v>
      </c>
      <c r="U28" s="150">
        <f>1-IF(tblProjects[[#This Row],[Actual Revenue]]=0,"",tblProjects[[#This Row],[Actual Expenses]]/tblProjects[[#This Row],[Actual Revenue]])</f>
        <v>0.52086093006310108</v>
      </c>
      <c r="V28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8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162723.04915034503</v>
      </c>
      <c r="X28" s="246"/>
      <c r="Y28" s="246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</row>
    <row r="29" spans="1:186">
      <c r="A29" t="str" cm="1">
        <f t="array" ref="A2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IFERROR(INDEX(_xlpm.sorted,ROWS(A$2:A29)),"")
)</f>
        <v>Superspar Ph2_Tracker.xlsx</v>
      </c>
      <c r="B29" s="147" cm="1">
        <f t="array" ref="B29">_xlfn.LET(_xlpm.p,$A29,_xlfn.IFNA(
  INDEX(tblProjectInfo[InfoValue],
        MATCH(1,(tblProjectInfo[ProjectName]=_xlpm.p)*
                 (UPPER(TRIM(tblProjectInfo[Info]))="PROJECT SIZE (KWP)"),0)
), ""))</f>
        <v>157</v>
      </c>
      <c r="C29" s="147" t="str" cm="1">
        <f t="array" ref="C29">_xlfn.LET(_xlpm.p,$A29,_xlfn.IFNA(
  INDEX(tblProjectInfo[InfoValue],
        MATCH(1,(tblProjectInfo[ProjectName]=_xlpm.p)*
                 (UPPER(TRIM(tblProjectInfo[Info]))="PROJECT DEVELOPER"),0)
), ""))</f>
        <v>Gordon Upton</v>
      </c>
      <c r="D29" s="148" t="str" cm="1">
        <f t="array" ref="D29">_xlfn.LET(_xlpm.p,$A29,_xlfn.IFNA(
  INDEX(tblProjectInfo[InfoValue],
        MATCH(1,(tblProjectInfo[ProjectName]=_xlpm.p)*
                 (UPPER(TRIM(tblProjectInfo[Info]))="PROJECT MANAGERS"),0)
), ""))</f>
        <v>Lloyd Brown</v>
      </c>
      <c r="E29" s="147"/>
      <c r="F29" s="147"/>
      <c r="G29" s="147"/>
      <c r="H29" s="162" t="str" cm="1">
        <f t="array" ref="H29">_xlfn.LET(_xlpm.p,$A29,_xlfn.IFNA(
  INDEX(tblProjectInfo[InfoValue],
        MATCH(1,(tblProjectInfo[ProjectName]=_xlpm.p)*
                 ISNUMBER(SEARCH("PHASE",UPPER(tblProjectInfo[Info]))),0)
), ""))</f>
        <v>QA</v>
      </c>
      <c r="I29" s="149" cm="1">
        <f t="array" ref="I29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45987</v>
      </c>
      <c r="J29" s="149">
        <f>IFERROR(
  _xlfn.MAXIFS(
    tblProjectPlan[ActualEndDate],
    tblProjectPlan[ProjectName], tblProjects[[#This Row],[Project Name]],
    tblProjectPlan[TaskDescription], "*site establishment*"
  ),
  ""
)</f>
        <v>46049</v>
      </c>
      <c r="K29" s="169">
        <f>_xlfn.DAYS(tblProjects[[#This Row],[Client Handover Date]],tblProjects[[#This Row],[Construction Start date]])</f>
        <v>24</v>
      </c>
      <c r="L29" s="169">
        <f>tblProjects[[#This Row],[Size]]/(_xlfn.DAYS(tblProjects[[#This Row],[Commissioning Date]],tblProjects[[#This Row],[Construction Start date]]))*7</f>
        <v>109.89999999999999</v>
      </c>
      <c r="M29" s="149">
        <f>IFERROR(
  _xlfn.MAXIFS(
    tblProjectPlan[ActualEndDate],
    tblProjectPlan[ProjectName], tblProjects[[#This Row],[Project Name]],
    tblProjectPlan[TaskDescription], "*Commissioning*"
  ),
  ""
)</f>
        <v>46059</v>
      </c>
      <c r="N29" s="149">
        <f>IFERROR(
  _xlfn.MAXIFS(
    tblProjectPlan[ActualEndDate],
    tblProjectPlan[ProjectName], tblProjects[[#This Row],[Project Name]],
    tblProjectPlan[TaskDescription], "*Handover to Matriarch*"
  ),
  ""
)</f>
        <v>46079</v>
      </c>
      <c r="O29" s="149">
        <f>IFERROR(
  _xlfn.MAXIFS(
    tblProjectPlan[ActualEndDate],
    tblProjectPlan[ProjectName], tblProjects[[#This Row],[Project Name]],
    tblProjectPlan[TaskDescription], "*handover to client*"
  ),
  ""
)</f>
        <v>46073</v>
      </c>
      <c r="P29" s="150">
        <f>IFERROR(AVERAGEIF(tblProjectPlan[ProjectName],tblProjects[[#This Row],[Project Name]],tblProjectPlan[Actual%Complete]),0)</f>
        <v>0.7582683982683982</v>
      </c>
      <c r="Q29" s="150">
        <f>IFERROR(AVERAGEIF(tblProjectPlan[ProjectName],tblProjects[[#This Row],[Project Name]],tblProjectPlan[Expected%Complete]),0)</f>
        <v>0.88686600342682542</v>
      </c>
      <c r="R29" s="151">
        <f>tblProjects[[#This Row],[Project % Complete]]-tblProjects[[#This Row],[Expected % Completed]]</f>
        <v>-0.12859760515842722</v>
      </c>
      <c r="S29" s="152">
        <f>_xlfn.LET(_xlpm.p,tblProjects[[#This Row],[Project Name]], SUMIFS(tblProgramInflows[MilstoneAmount], tblProgramInflows[ProjectName], _xlpm.p))</f>
        <v>1364882.3818340108</v>
      </c>
      <c r="T29" s="152">
        <f>_xlfn.LET(_xlpm.p,tblProjects[[#This Row],[Project Name]], SUMIFS(tblProgramExpense[ExpenseActualTotal], tblProgramExpense[ProjectName], _xlpm.p))</f>
        <v>948906.39999999991</v>
      </c>
      <c r="U29" s="150">
        <f>1-IF(tblProjects[[#This Row],[Actual Revenue]]=0,"",tblProjects[[#This Row],[Actual Expenses]]/tblProjects[[#This Row],[Actual Revenue]])</f>
        <v>0.30477057024874066</v>
      </c>
      <c r="V29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29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16474.5</v>
      </c>
      <c r="X29" s="246"/>
      <c r="Y29" s="246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</row>
    <row r="30" spans="1:186">
      <c r="A30" t="str" cm="1">
        <f t="array" ref="A3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IFERROR(INDEX(_xlpm.sorted,ROWS(A$2:A30)),"")
)</f>
        <v>1 Bolt Ave_Tracker.xlsx</v>
      </c>
      <c r="B30" s="147" cm="1">
        <f t="array" ref="B30">_xlfn.LET(_xlpm.p,$A30,_xlfn.IFNA(
  INDEX(tblProjectInfo[InfoValue],
        MATCH(1,(tblProjectInfo[ProjectName]=_xlpm.p)*
                 (UPPER(TRIM(tblProjectInfo[Info]))="PROJECT SIZE (KWP)"),0)
), ""))</f>
        <v>366</v>
      </c>
      <c r="C30" s="147" t="str" cm="1">
        <f t="array" ref="C30">_xlfn.LET(_xlpm.p,$A30,_xlfn.IFNA(
  INDEX(tblProjectInfo[InfoValue],
        MATCH(1,(tblProjectInfo[ProjectName]=_xlpm.p)*
                 (UPPER(TRIM(tblProjectInfo[Info]))="PROJECT DEVELOPER"),0)
), ""))</f>
        <v>Peet Verreynne</v>
      </c>
      <c r="D30" s="148" t="str" cm="1">
        <f t="array" ref="D30">_xlfn.LET(_xlpm.p,$A30,_xlfn.IFNA(
  INDEX(tblProjectInfo[InfoValue],
        MATCH(1,(tblProjectInfo[ProjectName]=_xlpm.p)*
                 (UPPER(TRIM(tblProjectInfo[Info]))="PROJECT MANAGERS"),0)
), ""))</f>
        <v>Peet Verreynne</v>
      </c>
      <c r="E30" s="147"/>
      <c r="F30" s="147"/>
      <c r="G30" s="147"/>
      <c r="H30" s="162" t="str" cm="1">
        <f t="array" ref="H30">_xlfn.LET(_xlpm.p,$A30,_xlfn.IFNA(
  INDEX(tblProjectInfo[InfoValue],
        MATCH(1,(tblProjectInfo[ProjectName]=_xlpm.p)*
                 ISNUMBER(SEARCH("PHASE",UPPER(tblProjectInfo[Info]))),0)
), ""))</f>
        <v>Handover</v>
      </c>
      <c r="I30" s="149" cm="1">
        <f t="array" ref="I30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45910</v>
      </c>
      <c r="J30" s="149">
        <f>IFERROR(
  _xlfn.MAXIFS(
    tblProjectPlan[ActualEndDate],
    tblProjectPlan[ProjectName], tblProjects[[#This Row],[Project Name]],
    tblProjectPlan[TaskDescription], "*site establishment*"
  ),
  ""
)</f>
        <v>45945</v>
      </c>
      <c r="K30" s="169">
        <f>_xlfn.DAYS(tblProjects[[#This Row],[Client Handover Date]],tblProjects[[#This Row],[Construction Start date]])</f>
        <v>128</v>
      </c>
      <c r="L30" s="169">
        <f>tblProjects[[#This Row],[Size]]/(_xlfn.DAYS(tblProjects[[#This Row],[Commissioning Date]],tblProjects[[#This Row],[Construction Start date]]))*7</f>
        <v>25.62</v>
      </c>
      <c r="M30" s="149">
        <f>IFERROR(
  _xlfn.MAXIFS(
    tblProjectPlan[ActualEndDate],
    tblProjectPlan[ProjectName], tblProjects[[#This Row],[Project Name]],
    tblProjectPlan[TaskDescription], "*Commissioning*"
  ),
  ""
)</f>
        <v>46045</v>
      </c>
      <c r="N30" s="149">
        <f>IFERROR(
  _xlfn.MAXIFS(
    tblProjectPlan[ActualEndDate],
    tblProjectPlan[ProjectName], tblProjects[[#This Row],[Project Name]],
    tblProjectPlan[TaskDescription], "*Handover to Matriarch*"
  ),
  ""
)</f>
        <v>46077</v>
      </c>
      <c r="O30" s="149">
        <f>IFERROR(
  _xlfn.MAXIFS(
    tblProjectPlan[ActualEndDate],
    tblProjectPlan[ProjectName], tblProjects[[#This Row],[Project Name]],
    tblProjectPlan[TaskDescription], "*handover to client*"
  ),
  ""
)</f>
        <v>46073</v>
      </c>
      <c r="P30" s="150">
        <f>IFERROR(AVERAGEIF(tblProjectPlan[ProjectName],tblProjects[[#This Row],[Project Name]],tblProjectPlan[Actual%Complete]),0)</f>
        <v>0.931758910460736</v>
      </c>
      <c r="Q30" s="150">
        <f>IFERROR(AVERAGEIF(tblProjectPlan[ProjectName],tblProjects[[#This Row],[Project Name]],tblProjectPlan[Expected%Complete]),0)</f>
        <v>0.93035483807915353</v>
      </c>
      <c r="R30" s="151">
        <f>tblProjects[[#This Row],[Project % Complete]]-tblProjects[[#This Row],[Expected % Completed]]</f>
        <v>1.4040723815824663E-3</v>
      </c>
      <c r="S30" s="152">
        <f>_xlfn.LET(_xlpm.p,tblProjects[[#This Row],[Project Name]], SUMIFS(tblProgramInflows[MilstoneAmount], tblProgramInflows[ProjectName], _xlpm.p))</f>
        <v>3377404.75</v>
      </c>
      <c r="T30" s="152">
        <f>_xlfn.LET(_xlpm.p,tblProjects[[#This Row],[Project Name]], SUMIFS(tblProgramExpense[ExpenseActualTotal], tblProgramExpense[ProjectName], _xlpm.p))</f>
        <v>2218071.6518750004</v>
      </c>
      <c r="U30" s="150">
        <f>1-IF(tblProjects[[#This Row],[Actual Revenue]]=0,"",tblProjects[[#This Row],[Actual Expenses]]/tblProjects[[#This Row],[Actual Revenue]])</f>
        <v>0.34326152295634671</v>
      </c>
      <c r="V30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0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0" s="246"/>
      <c r="Y30" s="246"/>
      <c r="Z30"/>
      <c r="AA30"/>
      <c r="AB30"/>
      <c r="AC30"/>
      <c r="AD30"/>
      <c r="AE30"/>
      <c r="AF30"/>
      <c r="AG30"/>
      <c r="AH30"/>
      <c r="AI30"/>
      <c r="AJ30"/>
    </row>
    <row r="31" spans="1:186">
      <c r="A31" t="str" cm="1">
        <f t="array" ref="A3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IFERROR(INDEX(_xlpm.sorted,ROWS(A$2:A31)),"")
)</f>
        <v>Boundary Terraces_Tracker.xlsx</v>
      </c>
      <c r="B31" s="147" cm="1">
        <f t="array" ref="B31">_xlfn.LET(_xlpm.p,$A31,_xlfn.IFNA(
  INDEX(tblProjectInfo[InfoValue],
        MATCH(1,(tblProjectInfo[ProjectName]=_xlpm.p)*
                 (UPPER(TRIM(tblProjectInfo[Info]))="PROJECT SIZE (KWP)"),0)
), ""))</f>
        <v>166</v>
      </c>
      <c r="C31" s="147" t="str" cm="1">
        <f t="array" ref="C31">_xlfn.LET(_xlpm.p,$A31,_xlfn.IFNA(
  INDEX(tblProjectInfo[InfoValue],
        MATCH(1,(tblProjectInfo[ProjectName]=_xlpm.p)*
                 (UPPER(TRIM(tblProjectInfo[Info]))="PROJECT DEVELOPER"),0)
), ""))</f>
        <v>Natasha Watkins-Baker</v>
      </c>
      <c r="D31" s="148" t="str" cm="1">
        <f t="array" ref="D31">_xlfn.LET(_xlpm.p,$A31,_xlfn.IFNA(
  INDEX(tblProjectInfo[InfoValue],
        MATCH(1,(tblProjectInfo[ProjectName]=_xlpm.p)*
                 (UPPER(TRIM(tblProjectInfo[Info]))="PROJECT MANAGERS"),0)
), ""))</f>
        <v>Justin Franke</v>
      </c>
      <c r="E31" s="147"/>
      <c r="F31" s="147"/>
      <c r="G31" s="147"/>
      <c r="H31" s="162" t="str" cm="1">
        <f t="array" ref="H31">_xlfn.LET(_xlpm.p,$A31,_xlfn.IFNA(
  INDEX(tblProjectInfo[InfoValue],
        MATCH(1,(tblProjectInfo[ProjectName]=_xlpm.p)*
                 ISNUMBER(SEARCH("PHASE",UPPER(tblProjectInfo[Info]))),0)
), ""))</f>
        <v>Handover</v>
      </c>
      <c r="I31" s="149" cm="1">
        <f t="array" ref="I31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45874</v>
      </c>
      <c r="J31" s="149">
        <f>IFERROR(
  _xlfn.MAXIFS(
    tblProjectPlan[ActualEndDate],
    tblProjectPlan[ProjectName], tblProjects[[#This Row],[Project Name]],
    tblProjectPlan[TaskDescription], "*site establishment*"
  ),
  ""
)</f>
        <v>45895</v>
      </c>
      <c r="K31" s="169">
        <f>_xlfn.DAYS(tblProjects[[#This Row],[Client Handover Date]],tblProjects[[#This Row],[Construction Start date]])</f>
        <v>177</v>
      </c>
      <c r="L31" s="169">
        <f>tblProjects[[#This Row],[Size]]/(_xlfn.DAYS(tblProjects[[#This Row],[Commissioning Date]],tblProjects[[#This Row],[Construction Start date]]))*7</f>
        <v>11.857142857142858</v>
      </c>
      <c r="M31" s="149">
        <f>IFERROR(
  _xlfn.MAXIFS(
    tblProjectPlan[ActualEndDate],
    tblProjectPlan[ProjectName], tblProjects[[#This Row],[Project Name]],
    tblProjectPlan[TaskDescription], "*Commissioning*"
  ),
  ""
)</f>
        <v>45993</v>
      </c>
      <c r="N31" s="149">
        <f>IFERROR(
  _xlfn.MAXIFS(
    tblProjectPlan[ActualEndDate],
    tblProjectPlan[ProjectName], tblProjects[[#This Row],[Project Name]],
    tblProjectPlan[TaskDescription], "*Handover to Matriarch*"
  ),
  ""
)</f>
        <v>46078</v>
      </c>
      <c r="O31" s="149">
        <f>IFERROR(
  _xlfn.MAXIFS(
    tblProjectPlan[ActualEndDate],
    tblProjectPlan[ProjectName], tblProjects[[#This Row],[Project Name]],
    tblProjectPlan[TaskDescription], "*handover to client*"
  ),
  ""
)</f>
        <v>46072</v>
      </c>
      <c r="P31" s="150">
        <f>IFERROR(AVERAGEIF(tblProjectPlan[ProjectName],tblProjects[[#This Row],[Project Name]],tblProjectPlan[Actual%Complete]),0)</f>
        <v>0.94344608879492609</v>
      </c>
      <c r="Q31" s="150">
        <f>IFERROR(AVERAGEIF(tblProjectPlan[ProjectName],tblProjects[[#This Row],[Project Name]],tblProjectPlan[Expected%Complete]),0)</f>
        <v>0.94573194494830592</v>
      </c>
      <c r="R31" s="151">
        <f>tblProjects[[#This Row],[Project % Complete]]-tblProjects[[#This Row],[Expected % Completed]]</f>
        <v>-2.2858561533798394E-3</v>
      </c>
      <c r="S31" s="152">
        <f>_xlfn.LET(_xlpm.p,tblProjects[[#This Row],[Project Name]], SUMIFS(tblProgramInflows[MilstoneAmount], tblProgramInflows[ProjectName], _xlpm.p))</f>
        <v>1791940.7400000002</v>
      </c>
      <c r="T31" s="152">
        <f>_xlfn.LET(_xlpm.p,tblProjects[[#This Row],[Project Name]], SUMIFS(tblProgramExpense[ExpenseActualTotal], tblProgramExpense[ProjectName], _xlpm.p))</f>
        <v>1818202.1892499998</v>
      </c>
      <c r="U31" s="150">
        <f>1-IF(tblProjects[[#This Row],[Actual Revenue]]=0,"",tblProjects[[#This Row],[Actual Expenses]]/tblProjects[[#This Row],[Actual Revenue]])</f>
        <v>-1.4655311229767376E-2</v>
      </c>
      <c r="V31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1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1" s="246"/>
      <c r="Y31" s="246"/>
      <c r="Z31"/>
      <c r="AA31"/>
      <c r="AB31"/>
      <c r="AC31"/>
      <c r="AD31"/>
      <c r="AE31"/>
      <c r="AF31"/>
      <c r="AG31"/>
      <c r="AH31"/>
      <c r="AI31"/>
      <c r="AJ31"/>
    </row>
    <row r="32" spans="1:186">
      <c r="A32" t="str" cm="1">
        <f t="array" ref="A3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IFERROR(INDEX(_xlpm.sorted,ROWS(A$2:A32)),"")
)</f>
        <v>Gillwell_Tracker.xlsx</v>
      </c>
      <c r="B32" s="147" cm="1">
        <f t="array" ref="B32">_xlfn.LET(_xlpm.p,$A32,_xlfn.IFNA(
  INDEX(tblProjectInfo[InfoValue],
        MATCH(1,(tblProjectInfo[ProjectName]=_xlpm.p)*
                 (UPPER(TRIM(tblProjectInfo[Info]))="PROJECT SIZE (KWP)"),0)
), ""))</f>
        <v>1043</v>
      </c>
      <c r="C32" s="147" t="str" cm="1">
        <f t="array" ref="C32">_xlfn.LET(_xlpm.p,$A32,_xlfn.IFNA(
  INDEX(tblProjectInfo[InfoValue],
        MATCH(1,(tblProjectInfo[ProjectName]=_xlpm.p)*
                 (UPPER(TRIM(tblProjectInfo[Info]))="PROJECT DEVELOPER"),0)
), ""))</f>
        <v>Natasha Watkins-Baker</v>
      </c>
      <c r="D32" s="148" t="str" cm="1">
        <f t="array" ref="D32">_xlfn.LET(_xlpm.p,$A32,_xlfn.IFNA(
  INDEX(tblProjectInfo[InfoValue],
        MATCH(1,(tblProjectInfo[ProjectName]=_xlpm.p)*
                 (UPPER(TRIM(tblProjectInfo[Info]))="PROJECT MANAGERS"),0)
), ""))</f>
        <v>Lloyd Brown</v>
      </c>
      <c r="E32" s="147"/>
      <c r="F32" s="147"/>
      <c r="G32" s="147"/>
      <c r="H32" s="162" t="str" cm="1">
        <f t="array" ref="H32">_xlfn.LET(_xlpm.p,$A32,_xlfn.IFNA(
  INDEX(tblProjectInfo[InfoValue],
        MATCH(1,(tblProjectInfo[ProjectName]=_xlpm.p)*
                 ISNUMBER(SEARCH("PHASE",UPPER(tblProjectInfo[Info]))),0)
), ""))</f>
        <v>Handover</v>
      </c>
      <c r="I32" s="149" cm="1">
        <f t="array" ref="I32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32" s="149">
        <f>IFERROR(
  _xlfn.MAXIFS(
    tblProjectPlan[ActualEndDate],
    tblProjectPlan[ProjectName], tblProjects[[#This Row],[Project Name]],
    tblProjectPlan[TaskDescription], "*site establishment*"
  ),
  ""
)</f>
        <v>45800</v>
      </c>
      <c r="K32" s="169">
        <f>_xlfn.DAYS(tblProjects[[#This Row],[Client Handover Date]],tblProjects[[#This Row],[Construction Start date]])</f>
        <v>279</v>
      </c>
      <c r="L32" s="169">
        <f>tblProjects[[#This Row],[Size]]/(_xlfn.DAYS(tblProjects[[#This Row],[Commissioning Date]],tblProjects[[#This Row],[Construction Start date]]))*7</f>
        <v>53.291970802919707</v>
      </c>
      <c r="M32" s="149">
        <f>IFERROR(
  _xlfn.MAXIFS(
    tblProjectPlan[ActualEndDate],
    tblProjectPlan[ProjectName], tblProjects[[#This Row],[Project Name]],
    tblProjectPlan[TaskDescription], "*Commissioning*"
  ),
  ""
)</f>
        <v>45937</v>
      </c>
      <c r="N32" s="149">
        <f>IFERROR(
  _xlfn.MAXIFS(
    tblProjectPlan[ActualEndDate],
    tblProjectPlan[ProjectName], tblProjects[[#This Row],[Project Name]],
    tblProjectPlan[TaskDescription], "*Handover to Matriarch*"
  ),
  ""
)</f>
        <v>45968</v>
      </c>
      <c r="O32" s="149">
        <f>IFERROR(
  _xlfn.MAXIFS(
    tblProjectPlan[ActualEndDate],
    tblProjectPlan[ProjectName], tblProjects[[#This Row],[Project Name]],
    tblProjectPlan[TaskDescription], "*handover to client*"
  ),
  ""
)</f>
        <v>46079</v>
      </c>
      <c r="P32" s="150">
        <f>IFERROR(AVERAGEIF(tblProjectPlan[ProjectName],tblProjects[[#This Row],[Project Name]],tblProjectPlan[Actual%Complete]),0)</f>
        <v>0.97142857142857142</v>
      </c>
      <c r="Q32" s="150">
        <f>IFERROR(AVERAGEIF(tblProjectPlan[ProjectName],tblProjects[[#This Row],[Project Name]],tblProjectPlan[Expected%Complete]),0)</f>
        <v>1</v>
      </c>
      <c r="R32" s="151">
        <f>tblProjects[[#This Row],[Project % Complete]]-tblProjects[[#This Row],[Expected % Completed]]</f>
        <v>-2.8571428571428581E-2</v>
      </c>
      <c r="S32" s="152">
        <f>_xlfn.LET(_xlpm.p,tblProjects[[#This Row],[Project Name]], SUMIFS(tblProgramInflows[MilstoneAmount], tblProgramInflows[ProjectName], _xlpm.p))</f>
        <v>19133377.851580784</v>
      </c>
      <c r="T32" s="152">
        <f>_xlfn.LET(_xlpm.p,tblProjects[[#This Row],[Project Name]], SUMIFS(tblProgramExpense[ExpenseActualTotal], tblProgramExpense[ProjectName], _xlpm.p))</f>
        <v>7712531.4215723807</v>
      </c>
      <c r="U32" s="150">
        <f>1-IF(tblProjects[[#This Row],[Actual Revenue]]=0,"",tblProjects[[#This Row],[Actual Expenses]]/tblProjects[[#This Row],[Actual Revenue]])</f>
        <v>0.59690696115452613</v>
      </c>
      <c r="V32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2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2" s="246"/>
      <c r="Y32" s="246"/>
      <c r="Z32"/>
      <c r="AA32"/>
      <c r="AB32"/>
      <c r="AC32"/>
      <c r="AD32"/>
      <c r="AE32"/>
      <c r="AF32"/>
      <c r="AG32"/>
      <c r="AH32"/>
      <c r="AI32"/>
      <c r="AJ32"/>
    </row>
    <row r="33" spans="1:36">
      <c r="A33" t="str" cm="1">
        <f t="array" ref="A3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IFERROR(INDEX(_xlpm.sorted,ROWS(A$2:A33)),"")
)</f>
        <v>Mahikeng Builders Express_Tracker.xlsx</v>
      </c>
      <c r="B33" s="147" cm="1">
        <f t="array" ref="B33">_xlfn.LET(_xlpm.p,$A33,_xlfn.IFNA(
  INDEX(tblProjectInfo[InfoValue],
        MATCH(1,(tblProjectInfo[ProjectName]=_xlpm.p)*
                 (UPPER(TRIM(tblProjectInfo[Info]))="PROJECT SIZE (KWP)"),0)
), ""))</f>
        <v>250</v>
      </c>
      <c r="C33" s="147" t="str" cm="1">
        <f t="array" ref="C33">_xlfn.LET(_xlpm.p,$A33,_xlfn.IFNA(
  INDEX(tblProjectInfo[InfoValue],
        MATCH(1,(tblProjectInfo[ProjectName]=_xlpm.p)*
                 (UPPER(TRIM(tblProjectInfo[Info]))="PROJECT DEVELOPER"),0)
), ""))</f>
        <v>Kirsten Marwick</v>
      </c>
      <c r="D33" s="148" t="str" cm="1">
        <f t="array" ref="D33">_xlfn.LET(_xlpm.p,$A33,_xlfn.IFNA(
  INDEX(tblProjectInfo[InfoValue],
        MATCH(1,(tblProjectInfo[ProjectName]=_xlpm.p)*
                 (UPPER(TRIM(tblProjectInfo[Info]))="PROJECT MANAGERS"),0)
), ""))</f>
        <v>Eon Van Rensburg</v>
      </c>
      <c r="E33" s="147"/>
      <c r="F33" s="147"/>
      <c r="G33" s="147"/>
      <c r="H33" s="162" t="str" cm="1">
        <f t="array" ref="H33">_xlfn.LET(_xlpm.p,$A33,_xlfn.IFNA(
  INDEX(tblProjectInfo[InfoValue],
        MATCH(1,(tblProjectInfo[ProjectName]=_xlpm.p)*
                 ISNUMBER(SEARCH("PHASE",UPPER(tblProjectInfo[Info]))),0)
), ""))</f>
        <v>Handover</v>
      </c>
      <c r="I33" s="149" cm="1">
        <f t="array" ref="I33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45940</v>
      </c>
      <c r="J33" s="149">
        <f>IFERROR(
  _xlfn.MAXIFS(
    tblProjectPlan[ActualEndDate],
    tblProjectPlan[ProjectName], tblProjects[[#This Row],[Project Name]],
    tblProjectPlan[TaskDescription], "*site establishment*"
  ),
  ""
)</f>
        <v>45960</v>
      </c>
      <c r="K33" s="169">
        <f>_xlfn.DAYS(tblProjects[[#This Row],[Client Handover Date]],tblProjects[[#This Row],[Construction Start date]])</f>
        <v>113</v>
      </c>
      <c r="L33" s="169">
        <f>tblProjects[[#This Row],[Size]]/(_xlfn.DAYS(tblProjects[[#This Row],[Commissioning Date]],tblProjects[[#This Row],[Construction Start date]]))*7</f>
        <v>16.826923076923077</v>
      </c>
      <c r="M33" s="149">
        <f>IFERROR(
  _xlfn.MAXIFS(
    tblProjectPlan[ActualEndDate],
    tblProjectPlan[ProjectName], tblProjects[[#This Row],[Project Name]],
    tblProjectPlan[TaskDescription], "*Commissioning*"
  ),
  ""
)</f>
        <v>46064</v>
      </c>
      <c r="N33" s="149">
        <f>IFERROR(
  _xlfn.MAXIFS(
    tblProjectPlan[ActualEndDate],
    tblProjectPlan[ProjectName], tblProjects[[#This Row],[Project Name]],
    tblProjectPlan[TaskDescription], "*Handover to Matriarch*"
  ),
  ""
)</f>
        <v>46077</v>
      </c>
      <c r="O33" s="149">
        <f>IFERROR(
  _xlfn.MAXIFS(
    tblProjectPlan[ActualEndDate],
    tblProjectPlan[ProjectName], tblProjects[[#This Row],[Project Name]],
    tblProjectPlan[TaskDescription], "*handover to client*"
  ),
  ""
)</f>
        <v>46073</v>
      </c>
      <c r="P33" s="150">
        <f>IFERROR(AVERAGEIF(tblProjectPlan[ProjectName],tblProjects[[#This Row],[Project Name]],tblProjectPlan[Actual%Complete]),0)</f>
        <v>0.88150516150516156</v>
      </c>
      <c r="Q33" s="150">
        <f>IFERROR(AVERAGEIF(tblProjectPlan[ProjectName],tblProjects[[#This Row],[Project Name]],tblProjectPlan[Expected%Complete]),0)</f>
        <v>0.92141594571425045</v>
      </c>
      <c r="R33" s="151">
        <f>tblProjects[[#This Row],[Project % Complete]]-tblProjects[[#This Row],[Expected % Completed]]</f>
        <v>-3.991078420908889E-2</v>
      </c>
      <c r="S33" s="152">
        <f>_xlfn.LET(_xlpm.p,tblProjects[[#This Row],[Project Name]], SUMIFS(tblProgramInflows[MilstoneAmount], tblProgramInflows[ProjectName], _xlpm.p))</f>
        <v>2820054.9194958336</v>
      </c>
      <c r="T33" s="152">
        <f>_xlfn.LET(_xlpm.p,tblProjects[[#This Row],[Project Name]], SUMIFS(tblProgramExpense[ExpenseActualTotal], tblProgramExpense[ProjectName], _xlpm.p))</f>
        <v>2684846.6775000002</v>
      </c>
      <c r="U33" s="150">
        <f>1-IF(tblProjects[[#This Row],[Actual Revenue]]=0,"",tblProjects[[#This Row],[Actual Expenses]]/tblProjects[[#This Row],[Actual Revenue]])</f>
        <v>4.7945251371205866E-2</v>
      </c>
      <c r="V33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312300.51</v>
      </c>
      <c r="W33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11573</v>
      </c>
      <c r="X33" s="246"/>
      <c r="Y33" s="246"/>
      <c r="Z33"/>
      <c r="AA33"/>
      <c r="AB33"/>
      <c r="AC33"/>
      <c r="AD33"/>
      <c r="AE33"/>
      <c r="AF33"/>
      <c r="AG33"/>
      <c r="AH33"/>
      <c r="AI33"/>
      <c r="AJ33"/>
    </row>
    <row r="34" spans="1:36">
      <c r="A34" t="str" cm="1">
        <f t="array" ref="A3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IFERROR(INDEX(_xlpm.sorted,ROWS(A$2:A34)),"")
)</f>
        <v>Malvern Ph2_Tracker.xlsx</v>
      </c>
      <c r="B34" s="147" cm="1">
        <f t="array" ref="B34">_xlfn.LET(_xlpm.p,$A34,_xlfn.IFNA(
  INDEX(tblProjectInfo[InfoValue],
        MATCH(1,(tblProjectInfo[ProjectName]=_xlpm.p)*
                 (UPPER(TRIM(tblProjectInfo[Info]))="PROJECT SIZE (KWP)"),0)
), ""))</f>
        <v>147</v>
      </c>
      <c r="C34" s="147" t="str" cm="1">
        <f t="array" ref="C34">_xlfn.LET(_xlpm.p,$A34,_xlfn.IFNA(
  INDEX(tblProjectInfo[InfoValue],
        MATCH(1,(tblProjectInfo[ProjectName]=_xlpm.p)*
                 (UPPER(TRIM(tblProjectInfo[Info]))="PROJECT DEVELOPER"),0)
), ""))</f>
        <v>Cole Bisset</v>
      </c>
      <c r="D34" s="148" t="str" cm="1">
        <f t="array" ref="D34">_xlfn.LET(_xlpm.p,$A34,_xlfn.IFNA(
  INDEX(tblProjectInfo[InfoValue],
        MATCH(1,(tblProjectInfo[ProjectName]=_xlpm.p)*
                 (UPPER(TRIM(tblProjectInfo[Info]))="PROJECT MANAGERS"),0)
), ""))</f>
        <v>JT Moorosi</v>
      </c>
      <c r="E34" s="147"/>
      <c r="F34" s="147"/>
      <c r="G34" s="147"/>
      <c r="H34" s="162" t="str" cm="1">
        <f t="array" ref="H34">_xlfn.LET(_xlpm.p,$A34,_xlfn.IFNA(
  INDEX(tblProjectInfo[InfoValue],
        MATCH(1,(tblProjectInfo[ProjectName]=_xlpm.p)*
                 ISNUMBER(SEARCH("PHASE",UPPER(tblProjectInfo[Info]))),0)
), ""))</f>
        <v>Handover</v>
      </c>
      <c r="I34" s="149" cm="1">
        <f t="array" ref="I34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45911</v>
      </c>
      <c r="J34" s="149">
        <f>IFERROR(
  _xlfn.MAXIFS(
    tblProjectPlan[ActualEndDate],
    tblProjectPlan[ProjectName], tblProjects[[#This Row],[Project Name]],
    tblProjectPlan[TaskDescription], "*site establishment*"
  ),
  ""
)</f>
        <v>45958</v>
      </c>
      <c r="K34" s="169">
        <f>_xlfn.DAYS(tblProjects[[#This Row],[Client Handover Date]],tblProjects[[#This Row],[Construction Start date]])</f>
        <v>129</v>
      </c>
      <c r="L34" s="169">
        <f>tblProjects[[#This Row],[Size]]/(_xlfn.DAYS(tblProjects[[#This Row],[Commissioning Date]],tblProjects[[#This Row],[Construction Start date]]))*7</f>
        <v>28.583333333333332</v>
      </c>
      <c r="M34" s="149">
        <f>IFERROR(
  _xlfn.MAXIFS(
    tblProjectPlan[ActualEndDate],
    tblProjectPlan[ProjectName], tblProjects[[#This Row],[Project Name]],
    tblProjectPlan[TaskDescription], "*Commissioning*"
  ),
  ""
)</f>
        <v>45994</v>
      </c>
      <c r="N34" s="149">
        <f>IFERROR(
  _xlfn.MAXIFS(
    tblProjectPlan[ActualEndDate],
    tblProjectPlan[ProjectName], tblProjects[[#This Row],[Project Name]],
    tblProjectPlan[TaskDescription], "*Handover to Matriarch*"
  ),
  ""
)</f>
        <v>46084</v>
      </c>
      <c r="O34" s="149">
        <f>IFERROR(
  _xlfn.MAXIFS(
    tblProjectPlan[ActualEndDate],
    tblProjectPlan[ProjectName], tblProjects[[#This Row],[Project Name]],
    tblProjectPlan[TaskDescription], "*handover to client*"
  ),
  ""
)</f>
        <v>46087</v>
      </c>
      <c r="P34" s="150">
        <f>IFERROR(AVERAGEIF(tblProjectPlan[ProjectName],tblProjects[[#This Row],[Project Name]],tblProjectPlan[Actual%Complete]),0)</f>
        <v>0.92815716978396401</v>
      </c>
      <c r="Q34" s="150">
        <f>IFERROR(AVERAGEIF(tblProjectPlan[ProjectName],tblProjects[[#This Row],[Project Name]],tblProjectPlan[Expected%Complete]),0)</f>
        <v>0.91968091212243852</v>
      </c>
      <c r="R34" s="151">
        <f>tblProjects[[#This Row],[Project % Complete]]-tblProjects[[#This Row],[Expected % Completed]]</f>
        <v>8.4762576615254881E-3</v>
      </c>
      <c r="S34" s="152">
        <f>_xlfn.LET(_xlpm.p,tblProjects[[#This Row],[Project Name]], SUMIFS(tblProgramInflows[MilstoneAmount], tblProgramInflows[ProjectName], _xlpm.p))</f>
        <v>1366576.1500000001</v>
      </c>
      <c r="T34" s="152">
        <f>_xlfn.LET(_xlpm.p,tblProjects[[#This Row],[Project Name]], SUMIFS(tblProgramExpense[ExpenseActualTotal], tblProgramExpense[ProjectName], _xlpm.p))</f>
        <v>926046.77187500044</v>
      </c>
      <c r="U34" s="150">
        <f>1-IF(tblProjects[[#This Row],[Actual Revenue]]=0,"",tblProjects[[#This Row],[Actual Expenses]]/tblProjects[[#This Row],[Actual Revenue]])</f>
        <v>0.32235991980761525</v>
      </c>
      <c r="V34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4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4" s="246"/>
      <c r="Y34" s="246"/>
      <c r="Z34"/>
      <c r="AA34"/>
      <c r="AB34"/>
      <c r="AC34"/>
      <c r="AD34"/>
      <c r="AE34"/>
      <c r="AF34"/>
      <c r="AG34"/>
      <c r="AH34"/>
      <c r="AI34"/>
      <c r="AJ34"/>
    </row>
    <row r="35" spans="1:36">
      <c r="A35" t="str" cm="1">
        <f t="array" ref="A3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IFERROR(INDEX(_xlpm.sorted,ROWS(A$2:A35)),"")
)</f>
        <v>Marikana Old Church_Tracker.xlsx</v>
      </c>
      <c r="B35" s="147" cm="1">
        <f t="array" ref="B35">_xlfn.LET(_xlpm.p,$A35,_xlfn.IFNA(
  INDEX(tblProjectInfo[InfoValue],
        MATCH(1,(tblProjectInfo[ProjectName]=_xlpm.p)*
                 (UPPER(TRIM(tblProjectInfo[Info]))="PROJECT SIZE (KWP)"),0)
), ""))</f>
        <v>175</v>
      </c>
      <c r="C35" s="147" t="str" cm="1">
        <f t="array" ref="C35">_xlfn.LET(_xlpm.p,$A35,_xlfn.IFNA(
  INDEX(tblProjectInfo[InfoValue],
        MATCH(1,(tblProjectInfo[ProjectName]=_xlpm.p)*
                 (UPPER(TRIM(tblProjectInfo[Info]))="PROJECT DEVELOPER"),0)
), ""))</f>
        <v>Natasha Watkins-Baker</v>
      </c>
      <c r="D35" s="148" t="str" cm="1">
        <f t="array" ref="D35">_xlfn.LET(_xlpm.p,$A35,_xlfn.IFNA(
  INDEX(tblProjectInfo[InfoValue],
        MATCH(1,(tblProjectInfo[ProjectName]=_xlpm.p)*
                 (UPPER(TRIM(tblProjectInfo[Info]))="PROJECT MANAGERS"),0)
), ""))</f>
        <v>Lloyd Brown</v>
      </c>
      <c r="E35" s="147"/>
      <c r="F35" s="147"/>
      <c r="G35" s="147"/>
      <c r="H35" s="162" t="str" cm="1">
        <f t="array" ref="H35">_xlfn.LET(_xlpm.p,$A35,_xlfn.IFNA(
  INDEX(tblProjectInfo[InfoValue],
        MATCH(1,(tblProjectInfo[ProjectName]=_xlpm.p)*
                 ISNUMBER(SEARCH("PHASE",UPPER(tblProjectInfo[Info]))),0)
), ""))</f>
        <v>Handover</v>
      </c>
      <c r="I35" s="149" cm="1">
        <f t="array" ref="I35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45770</v>
      </c>
      <c r="J35" s="149">
        <f>IFERROR(
  _xlfn.MAXIFS(
    tblProjectPlan[ActualEndDate],
    tblProjectPlan[ProjectName], tblProjects[[#This Row],[Project Name]],
    tblProjectPlan[TaskDescription], "*site establishment*"
  ),
  ""
)</f>
        <v>45871</v>
      </c>
      <c r="K35" s="169">
        <f>_xlfn.DAYS(tblProjects[[#This Row],[Client Handover Date]],tblProjects[[#This Row],[Construction Start date]])</f>
        <v>121</v>
      </c>
      <c r="L35" s="169">
        <f>tblProjects[[#This Row],[Size]]/(_xlfn.DAYS(tblProjects[[#This Row],[Commissioning Date]],tblProjects[[#This Row],[Construction Start date]]))*7</f>
        <v>16.118421052631579</v>
      </c>
      <c r="M35" s="149">
        <f>IFERROR(
  _xlfn.MAXIFS(
    tblProjectPlan[ActualEndDate],
    tblProjectPlan[ProjectName], tblProjects[[#This Row],[Project Name]],
    tblProjectPlan[TaskDescription], "*Commissioning*"
  ),
  ""
)</f>
        <v>45947</v>
      </c>
      <c r="N35" s="149">
        <f>IFERROR(
  _xlfn.MAXIFS(
    tblProjectPlan[ActualEndDate],
    tblProjectPlan[ProjectName], tblProjects[[#This Row],[Project Name]],
    tblProjectPlan[TaskDescription], "*Handover to Matriarch*"
  ),
  ""
)</f>
        <v>45960</v>
      </c>
      <c r="O35" s="149">
        <f>IFERROR(
  _xlfn.MAXIFS(
    tblProjectPlan[ActualEndDate],
    tblProjectPlan[ProjectName], tblProjects[[#This Row],[Project Name]],
    tblProjectPlan[TaskDescription], "*handover to client*"
  ),
  ""
)</f>
        <v>45992</v>
      </c>
      <c r="P35" s="150">
        <f>IFERROR(AVERAGEIF(tblProjectPlan[ProjectName],tblProjects[[#This Row],[Project Name]],tblProjectPlan[Actual%Complete]),0)</f>
        <v>0.97142857142857142</v>
      </c>
      <c r="Q35" s="150">
        <v>1</v>
      </c>
      <c r="R35" s="151">
        <f>tblProjects[[#This Row],[Project % Complete]]-tblProjects[[#This Row],[Expected % Completed]]</f>
        <v>-2.8571428571428581E-2</v>
      </c>
      <c r="S35" s="152">
        <f>_xlfn.LET(_xlpm.p,tblProjects[[#This Row],[Project Name]], SUMIFS(tblProgramInflows[MilstoneAmount], tblProgramInflows[ProjectName], _xlpm.p))</f>
        <v>4074212</v>
      </c>
      <c r="T35" s="152">
        <f>_xlfn.LET(_xlpm.p,tblProjects[[#This Row],[Project Name]], SUMIFS(tblProgramExpense[ExpenseActualTotal], tblProgramExpense[ProjectName], _xlpm.p))</f>
        <v>1612924.8450000002</v>
      </c>
      <c r="U35" s="150">
        <f>1-IF(tblProjects[[#This Row],[Actual Revenue]]=0,"",tblProjects[[#This Row],[Actual Expenses]]/tblProjects[[#This Row],[Actual Revenue]])</f>
        <v>0.60411366787000764</v>
      </c>
      <c r="V35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5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5" s="246"/>
      <c r="Y35" s="246"/>
      <c r="Z35"/>
      <c r="AA35"/>
      <c r="AB35"/>
      <c r="AC35"/>
      <c r="AD35"/>
      <c r="AE35"/>
      <c r="AF35"/>
      <c r="AG35"/>
      <c r="AH35"/>
      <c r="AI35"/>
      <c r="AJ35"/>
    </row>
    <row r="36" spans="1:36">
      <c r="A36" t="str" cm="1">
        <f t="array" ref="A3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IFERROR(INDEX(_xlpm.sorted,ROWS(A$2:A36)),"")
)</f>
        <v>Marikana Shoprite_Tracker.xlsx</v>
      </c>
      <c r="B36" s="147" cm="1">
        <f t="array" ref="B36">_xlfn.LET(_xlpm.p,$A36,_xlfn.IFNA(
  INDEX(tblProjectInfo[InfoValue],
        MATCH(1,(tblProjectInfo[ProjectName]=_xlpm.p)*
                 (UPPER(TRIM(tblProjectInfo[Info]))="PROJECT SIZE (KWP)"),0)
), ""))</f>
        <v>825</v>
      </c>
      <c r="C36" s="147" t="str" cm="1">
        <f t="array" ref="C36">_xlfn.LET(_xlpm.p,$A36,_xlfn.IFNA(
  INDEX(tblProjectInfo[InfoValue],
        MATCH(1,(tblProjectInfo[ProjectName]=_xlpm.p)*
                 (UPPER(TRIM(tblProjectInfo[Info]))="PROJECT DEVELOPER"),0)
), ""))</f>
        <v>Natasha Watkins-Baker</v>
      </c>
      <c r="D36" s="148" t="str" cm="1">
        <f t="array" ref="D36">_xlfn.LET(_xlpm.p,$A36,_xlfn.IFNA(
  INDEX(tblProjectInfo[InfoValue],
        MATCH(1,(tblProjectInfo[ProjectName]=_xlpm.p)*
                 (UPPER(TRIM(tblProjectInfo[Info]))="PROJECT MANAGERS"),0)
), ""))</f>
        <v>Lloyd Brown</v>
      </c>
      <c r="E36" s="147"/>
      <c r="F36" s="147"/>
      <c r="G36" s="147"/>
      <c r="H36" s="162" t="str" cm="1">
        <f t="array" ref="H36">_xlfn.LET(_xlpm.p,$A36,_xlfn.IFNA(
  INDEX(tblProjectInfo[InfoValue],
        MATCH(1,(tblProjectInfo[ProjectName]=_xlpm.p)*
                 ISNUMBER(SEARCH("PHASE",UPPER(tblProjectInfo[Info]))),0)
), ""))</f>
        <v>Handover</v>
      </c>
      <c r="I36" s="149" cm="1">
        <f t="array" ref="I36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36" s="149">
        <f>IFERROR(
  _xlfn.MAXIFS(
    tblProjectPlan[ActualEndDate],
    tblProjectPlan[ProjectName], tblProjects[[#This Row],[Project Name]],
    tblProjectPlan[TaskDescription], "*site establishment*"
  ),
  ""
)</f>
        <v>45820</v>
      </c>
      <c r="K36" s="169">
        <f>_xlfn.DAYS(tblProjects[[#This Row],[Client Handover Date]],tblProjects[[#This Row],[Construction Start date]])</f>
        <v>172</v>
      </c>
      <c r="L36" s="169">
        <f>tblProjects[[#This Row],[Size]]/(_xlfn.DAYS(tblProjects[[#This Row],[Commissioning Date]],tblProjects[[#This Row],[Construction Start date]]))*7</f>
        <v>49.78448275862069</v>
      </c>
      <c r="M36" s="149">
        <f>IFERROR(
  _xlfn.MAXIFS(
    tblProjectPlan[ActualEndDate],
    tblProjectPlan[ProjectName], tblProjects[[#This Row],[Project Name]],
    tblProjectPlan[TaskDescription], "*Commissioning*"
  ),
  ""
)</f>
        <v>45936</v>
      </c>
      <c r="N36" s="149">
        <f>IFERROR(
  _xlfn.MAXIFS(
    tblProjectPlan[ActualEndDate],
    tblProjectPlan[ProjectName], tblProjects[[#This Row],[Project Name]],
    tblProjectPlan[TaskDescription], "*Handover to Matriarch*"
  ),
  ""
)</f>
        <v>45966</v>
      </c>
      <c r="O36" s="149">
        <f>IFERROR(
  _xlfn.MAXIFS(
    tblProjectPlan[ActualEndDate],
    tblProjectPlan[ProjectName], tblProjects[[#This Row],[Project Name]],
    tblProjectPlan[TaskDescription], "*handover to client*"
  ),
  ""
)</f>
        <v>45992</v>
      </c>
      <c r="P36" s="150">
        <f>IFERROR(AVERAGEIF(tblProjectPlan[ProjectName],tblProjects[[#This Row],[Project Name]],tblProjectPlan[Actual%Complete]),0)</f>
        <v>0.97142857142857142</v>
      </c>
      <c r="Q36" s="150">
        <f>IFERROR(AVERAGEIF(tblProjectPlan[ProjectName],tblProjects[[#This Row],[Project Name]],tblProjectPlan[Expected%Complete]),0)</f>
        <v>0.97142857142857142</v>
      </c>
      <c r="R36" s="151">
        <f>tblProjects[[#This Row],[Project % Complete]]-tblProjects[[#This Row],[Expected % Completed]]</f>
        <v>0</v>
      </c>
      <c r="S36" s="152">
        <f>_xlfn.LET(_xlpm.p,tblProjects[[#This Row],[Project Name]], SUMIFS(tblProgramInflows[MilstoneAmount], tblProgramInflows[ProjectName], _xlpm.p))</f>
        <v>17812750</v>
      </c>
      <c r="T36" s="152">
        <f>_xlfn.LET(_xlpm.p,tblProjects[[#This Row],[Project Name]], SUMIFS(tblProgramExpense[ExpenseActualTotal], tblProgramExpense[ProjectName], _xlpm.p))</f>
        <v>6616469.6949999984</v>
      </c>
      <c r="U36" s="150">
        <f>1-IF(tblProjects[[#This Row],[Actual Revenue]]=0,"",tblProjects[[#This Row],[Actual Expenses]]/tblProjects[[#This Row],[Actual Revenue]])</f>
        <v>0.62855428302760674</v>
      </c>
      <c r="V36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6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6" s="246"/>
      <c r="Y36" s="246"/>
      <c r="Z36"/>
      <c r="AA36"/>
      <c r="AB36"/>
      <c r="AC36"/>
      <c r="AD36"/>
      <c r="AE36"/>
      <c r="AF36"/>
      <c r="AG36"/>
      <c r="AH36"/>
      <c r="AI36"/>
      <c r="AJ36"/>
    </row>
    <row r="37" spans="1:36">
      <c r="A37" t="str" cm="1">
        <f t="array" ref="A3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IFERROR(INDEX(_xlpm.sorted,ROWS(A$2:A37)),"")
)</f>
        <v>Milkwood_Square_Tracker.xlsx</v>
      </c>
      <c r="B37" s="147" cm="1">
        <f t="array" ref="B37">_xlfn.LET(_xlpm.p,$A37,_xlfn.IFNA(
  INDEX(tblProjectInfo[InfoValue],
        MATCH(1,(tblProjectInfo[ProjectName]=_xlpm.p)*
                 (UPPER(TRIM(tblProjectInfo[Info]))="PROJECT SIZE (KWP)"),0)
), ""))</f>
        <v>375</v>
      </c>
      <c r="C37" s="147" t="str" cm="1">
        <f t="array" ref="C37">_xlfn.LET(_xlpm.p,$A37,_xlfn.IFNA(
  INDEX(tblProjectInfo[InfoValue],
        MATCH(1,(tblProjectInfo[ProjectName]=_xlpm.p)*
                 (UPPER(TRIM(tblProjectInfo[Info]))="PROJECT DEVELOPER"),0)
), ""))</f>
        <v>Peet Verenney</v>
      </c>
      <c r="D37" s="148" t="str" cm="1">
        <f t="array" ref="D37">_xlfn.LET(_xlpm.p,$A37,_xlfn.IFNA(
  INDEX(tblProjectInfo[InfoValue],
        MATCH(1,(tblProjectInfo[ProjectName]=_xlpm.p)*
                 (UPPER(TRIM(tblProjectInfo[Info]))="PROJECT MANAGERS"),0)
), ""))</f>
        <v>Lloyd Brown</v>
      </c>
      <c r="E37" s="147"/>
      <c r="F37" s="147"/>
      <c r="G37" s="147"/>
      <c r="H37" s="162" t="str" cm="1">
        <f t="array" ref="H37">_xlfn.LET(_xlpm.p,$A37,_xlfn.IFNA(
  INDEX(tblProjectInfo[InfoValue],
        MATCH(1,(tblProjectInfo[ProjectName]=_xlpm.p)*
                 ISNUMBER(SEARCH("PHASE",UPPER(tblProjectInfo[Info]))),0)
), ""))</f>
        <v>Handover</v>
      </c>
      <c r="I37" s="149" cm="1">
        <f t="array" ref="I37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45757</v>
      </c>
      <c r="J37" s="149">
        <f>IFERROR(
  _xlfn.MAXIFS(
    tblProjectPlan[ActualEndDate],
    tblProjectPlan[ProjectName], tblProjects[[#This Row],[Project Name]],
    tblProjectPlan[TaskDescription], "*site establishment*"
  ),
  ""
)</f>
        <v>45903</v>
      </c>
      <c r="K37" s="169">
        <f>_xlfn.DAYS(tblProjects[[#This Row],[Client Handover Date]],tblProjects[[#This Row],[Construction Start date]])</f>
        <v>92</v>
      </c>
      <c r="L37" s="169">
        <f>tblProjects[[#This Row],[Size]]/(_xlfn.DAYS(tblProjects[[#This Row],[Commissioning Date]],tblProjects[[#This Row],[Construction Start date]]))*7</f>
        <v>54.6875</v>
      </c>
      <c r="M37" s="149">
        <f>IFERROR(
  _xlfn.MAXIFS(
    tblProjectPlan[ActualEndDate],
    tblProjectPlan[ProjectName], tblProjects[[#This Row],[Project Name]],
    tblProjectPlan[TaskDescription], "*Commissioning*"
  ),
  ""
)</f>
        <v>45951</v>
      </c>
      <c r="N37" s="149">
        <f>IFERROR(
  _xlfn.MAXIFS(
    tblProjectPlan[ActualEndDate],
    tblProjectPlan[ProjectName], tblProjects[[#This Row],[Project Name]],
    tblProjectPlan[TaskDescription], "*Handover to Matriarch*"
  ),
  ""
)</f>
        <v>45992</v>
      </c>
      <c r="O37" s="149">
        <f>IFERROR(
  _xlfn.MAXIFS(
    tblProjectPlan[ActualEndDate],
    tblProjectPlan[ProjectName], tblProjects[[#This Row],[Project Name]],
    tblProjectPlan[TaskDescription], "*handover to client*"
  ),
  ""
)</f>
        <v>45995</v>
      </c>
      <c r="P37" s="150">
        <f>IFERROR(AVERAGEIF(tblProjectPlan[ProjectName],tblProjects[[#This Row],[Project Name]],tblProjectPlan[Actual%Complete]),0)</f>
        <v>0.96666666666666656</v>
      </c>
      <c r="Q37" s="150">
        <f>IFERROR(AVERAGEIF(tblProjectPlan[ProjectName],tblProjects[[#This Row],[Project Name]],tblProjectPlan[Expected%Complete]),0)</f>
        <v>1</v>
      </c>
      <c r="R37" s="151">
        <f>tblProjects[[#This Row],[Project % Complete]]-tblProjects[[#This Row],[Expected % Completed]]</f>
        <v>-3.3333333333333437E-2</v>
      </c>
      <c r="S37" s="152">
        <f>_xlfn.LET(_xlpm.p,tblProjects[[#This Row],[Project Name]], SUMIFS(tblProgramInflows[MilstoneAmount], tblProgramInflows[ProjectName], _xlpm.p))</f>
        <v>3137319.4266193202</v>
      </c>
      <c r="T37" s="152">
        <f>_xlfn.LET(_xlpm.p,tblProjects[[#This Row],[Project Name]], SUMIFS(tblProgramExpense[ExpenseActualTotal], tblProgramExpense[ProjectName], _xlpm.p))</f>
        <v>2274921.4775000005</v>
      </c>
      <c r="U37" s="150">
        <f>1-IF(tblProjects[[#This Row],[Actual Revenue]]=0,"",tblProjects[[#This Row],[Actual Expenses]]/tblProjects[[#This Row],[Actual Revenue]])</f>
        <v>0.27488369268430324</v>
      </c>
      <c r="V37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7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7" s="246"/>
      <c r="Y37" s="246"/>
      <c r="Z37"/>
      <c r="AA37"/>
      <c r="AB37"/>
      <c r="AC37"/>
      <c r="AD37"/>
      <c r="AE37"/>
      <c r="AF37"/>
      <c r="AG37"/>
      <c r="AH37"/>
      <c r="AI37"/>
      <c r="AJ37"/>
    </row>
    <row r="38" spans="1:36">
      <c r="A38" t="str" cm="1">
        <f t="array" ref="A3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IFERROR(INDEX(_xlpm.sorted,ROWS(A$2:A38)),"")
)</f>
        <v>Umzimkhulu_Tracker.xlsx</v>
      </c>
      <c r="B38" s="147" cm="1">
        <f t="array" ref="B38">_xlfn.LET(_xlpm.p,$A38,_xlfn.IFNA(
  INDEX(tblProjectInfo[InfoValue],
        MATCH(1,(tblProjectInfo[ProjectName]=_xlpm.p)*
                 (UPPER(TRIM(tblProjectInfo[Info]))="PROJECT SIZE (KWP)"),0)
), ""))</f>
        <v>838</v>
      </c>
      <c r="C38" s="147" t="str" cm="1">
        <f t="array" ref="C38">_xlfn.LET(_xlpm.p,$A38,_xlfn.IFNA(
  INDEX(tblProjectInfo[InfoValue],
        MATCH(1,(tblProjectInfo[ProjectName]=_xlpm.p)*
                 (UPPER(TRIM(tblProjectInfo[Info]))="PROJECT DEVELOPER"),0)
), ""))</f>
        <v>Natasha Watkins-Baker</v>
      </c>
      <c r="D38" s="148" t="str" cm="1">
        <f t="array" ref="D38">_xlfn.LET(_xlpm.p,$A38,_xlfn.IFNA(
  INDEX(tblProjectInfo[InfoValue],
        MATCH(1,(tblProjectInfo[ProjectName]=_xlpm.p)*
                 (UPPER(TRIM(tblProjectInfo[Info]))="PROJECT MANAGERS"),0)
), ""))</f>
        <v>Lloyd Brown</v>
      </c>
      <c r="E38" s="147"/>
      <c r="F38" s="147"/>
      <c r="G38" s="147"/>
      <c r="H38" s="162" t="str" cm="1">
        <f t="array" ref="H38">_xlfn.LET(_xlpm.p,$A38,_xlfn.IFNA(
  INDEX(tblProjectInfo[InfoValue],
        MATCH(1,(tblProjectInfo[ProjectName]=_xlpm.p)*
                 ISNUMBER(SEARCH("PHASE",UPPER(tblProjectInfo[Info]))),0)
), ""))</f>
        <v>Handover</v>
      </c>
      <c r="I38" s="149" cm="1">
        <f t="array" ref="I38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38" s="149">
        <f>IFERROR(
  _xlfn.MAXIFS(
    tblProjectPlan[ActualEndDate],
    tblProjectPlan[ProjectName], tblProjects[[#This Row],[Project Name]],
    tblProjectPlan[TaskDescription], "*site establishment*"
  ),
  ""
)</f>
        <v>45798</v>
      </c>
      <c r="K38" s="169">
        <f>_xlfn.DAYS(tblProjects[[#This Row],[Client Handover Date]],tblProjects[[#This Row],[Construction Start date]])</f>
        <v>194</v>
      </c>
      <c r="L38" s="169">
        <f>tblProjects[[#This Row],[Size]]/(_xlfn.DAYS(tblProjects[[#This Row],[Commissioning Date]],tblProjects[[#This Row],[Construction Start date]]))*7</f>
        <v>39.904761904761905</v>
      </c>
      <c r="M38" s="149">
        <f>IFERROR(
  _xlfn.MAXIFS(
    tblProjectPlan[ActualEndDate],
    tblProjectPlan[ProjectName], tblProjects[[#This Row],[Project Name]],
    tblProjectPlan[TaskDescription], "*Commissioning*"
  ),
  ""
)</f>
        <v>45945</v>
      </c>
      <c r="N38" s="149">
        <f>IFERROR(
  _xlfn.MAXIFS(
    tblProjectPlan[ActualEndDate],
    tblProjectPlan[ProjectName], tblProjects[[#This Row],[Project Name]],
    tblProjectPlan[TaskDescription], "*Handover to Matriarch*"
  ),
  ""
)</f>
        <v>45992</v>
      </c>
      <c r="O38" s="149">
        <f>IFERROR(
  _xlfn.MAXIFS(
    tblProjectPlan[ActualEndDate],
    tblProjectPlan[ProjectName], tblProjects[[#This Row],[Project Name]],
    tblProjectPlan[TaskDescription], "*handover to client*"
  ),
  ""
)</f>
        <v>45992</v>
      </c>
      <c r="P38" s="150">
        <f>IFERROR(AVERAGEIF(tblProjectPlan[ProjectName],tblProjects[[#This Row],[Project Name]],tblProjectPlan[Actual%Complete]),0)</f>
        <v>0.93877551020408179</v>
      </c>
      <c r="Q38" s="150">
        <f>IFERROR(AVERAGEIF(tblProjectPlan[ProjectName],tblProjects[[#This Row],[Project Name]],tblProjectPlan[Expected%Complete]),0)</f>
        <v>0.97142857142857142</v>
      </c>
      <c r="R38" s="151">
        <f>tblProjects[[#This Row],[Project % Complete]]-tblProjects[[#This Row],[Expected % Completed]]</f>
        <v>-3.2653061224489632E-2</v>
      </c>
      <c r="S38" s="152">
        <f>_xlfn.LET(_xlpm.p,tblProjects[[#This Row],[Project Name]], SUMIFS(tblProgramInflows[MilstoneAmount], tblProgramInflows[ProjectName], _xlpm.p))</f>
        <v>16311467.000000004</v>
      </c>
      <c r="T38" s="152">
        <f>_xlfn.LET(_xlpm.p,tblProjects[[#This Row],[Project Name]], SUMIFS(tblProgramExpense[ExpenseActualTotal], tblProgramExpense[ProjectName], _xlpm.p))</f>
        <v>6303040.3518749056</v>
      </c>
      <c r="U38" s="150">
        <f>1-IF(tblProjects[[#This Row],[Actual Revenue]]=0,"",tblProjects[[#This Row],[Actual Expenses]]/tblProjects[[#This Row],[Actual Revenue]])</f>
        <v>0.61358225156113155</v>
      </c>
      <c r="V38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38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8" s="246"/>
      <c r="Y38" s="246"/>
      <c r="Z38"/>
      <c r="AA38"/>
      <c r="AB38"/>
      <c r="AC38"/>
      <c r="AD38"/>
      <c r="AE38"/>
      <c r="AF38"/>
      <c r="AG38"/>
      <c r="AH38"/>
      <c r="AI38"/>
      <c r="AJ38"/>
    </row>
    <row r="39" spans="1:36">
      <c r="A39" t="str" cm="1">
        <f t="array" ref="A3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IFERROR(INDEX(_xlpm.sorted,ROWS(A$2:A39)),"")
)</f>
        <v>Waterside_Tracker.xlsx</v>
      </c>
      <c r="B39" s="147" cm="1">
        <f t="array" ref="B39">_xlfn.LET(_xlpm.p,$A39,_xlfn.IFNA(
  INDEX(tblProjectInfo[InfoValue],
        MATCH(1,(tblProjectInfo[ProjectName]=_xlpm.p)*
                 (UPPER(TRIM(tblProjectInfo[Info]))="PROJECT SIZE (KWP)"),0)
), ""))</f>
        <v>55</v>
      </c>
      <c r="C39" s="147" t="str" cm="1">
        <f t="array" ref="C39">_xlfn.LET(_xlpm.p,$A39,_xlfn.IFNA(
  INDEX(tblProjectInfo[InfoValue],
        MATCH(1,(tblProjectInfo[ProjectName]=_xlpm.p)*
                 (UPPER(TRIM(tblProjectInfo[Info]))="PROJECT DEVELOPER"),0)
), ""))</f>
        <v>Natasha Watkins-Baker</v>
      </c>
      <c r="D39" s="148" t="str" cm="1">
        <f t="array" ref="D39">_xlfn.LET(_xlpm.p,$A39,_xlfn.IFNA(
  INDEX(tblProjectInfo[InfoValue],
        MATCH(1,(tblProjectInfo[ProjectName]=_xlpm.p)*
                 (UPPER(TRIM(tblProjectInfo[Info]))="PROJECT MANAGERS"),0)
), ""))</f>
        <v>Amanda Gadla</v>
      </c>
      <c r="E39" s="147"/>
      <c r="F39" s="147"/>
      <c r="G39" s="147"/>
      <c r="H39" s="162" t="str" cm="1">
        <f t="array" ref="H39">_xlfn.LET(_xlpm.p,$A39,_xlfn.IFNA(
  INDEX(tblProjectInfo[InfoValue],
        MATCH(1,(tblProjectInfo[ProjectName]=_xlpm.p)*
                 ISNUMBER(SEARCH("PHASE",UPPER(tblProjectInfo[Info]))),0)
), ""))</f>
        <v>Handover</v>
      </c>
      <c r="I39" s="149" cm="1">
        <f t="array" ref="I39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45874</v>
      </c>
      <c r="J39" s="149">
        <f>IFERROR(
  _xlfn.MAXIFS(
    tblProjectPlan[ActualEndDate],
    tblProjectPlan[ProjectName], tblProjects[[#This Row],[Project Name]],
    tblProjectPlan[TaskDescription], "*site establishment*"
  ),
  ""
)</f>
        <v>45948</v>
      </c>
      <c r="K39" s="169">
        <f>_xlfn.DAYS(tblProjects[[#This Row],[Client Handover Date]],tblProjects[[#This Row],[Construction Start date]])</f>
        <v>124</v>
      </c>
      <c r="L39" s="169">
        <f>tblProjects[[#This Row],[Size]]/(_xlfn.DAYS(tblProjects[[#This Row],[Commissioning Date]],tblProjects[[#This Row],[Construction Start date]]))*7</f>
        <v>8.3695652173913047</v>
      </c>
      <c r="M39" s="149">
        <f>IFERROR(
  _xlfn.MAXIFS(
    tblProjectPlan[ActualEndDate],
    tblProjectPlan[ProjectName], tblProjects[[#This Row],[Project Name]],
    tblProjectPlan[TaskDescription], "*Commissioning*"
  ),
  ""
)</f>
        <v>45994</v>
      </c>
      <c r="N39" s="149">
        <f>IFERROR(
  _xlfn.MAXIFS(
    tblProjectPlan[ActualEndDate],
    tblProjectPlan[ProjectName], tblProjects[[#This Row],[Project Name]],
    tblProjectPlan[TaskDescription], "*Handover to Matriarch*"
  ),
  ""
)</f>
        <v>46070</v>
      </c>
      <c r="O39" s="149">
        <f>IFERROR(
  _xlfn.MAXIFS(
    tblProjectPlan[ActualEndDate],
    tblProjectPlan[ProjectName], tblProjects[[#This Row],[Project Name]],
    tblProjectPlan[TaskDescription], "*handover to client*"
  ),
  ""
)</f>
        <v>46072</v>
      </c>
      <c r="P39" s="150">
        <f>IFERROR(AVERAGEIF(tblProjectPlan[ProjectName],tblProjects[[#This Row],[Project Name]],tblProjectPlan[Actual%Complete]),0)</f>
        <v>0.93001200480192081</v>
      </c>
      <c r="Q39" s="150">
        <f>IFERROR(AVERAGEIF(tblProjectPlan[ProjectName],tblProjects[[#This Row],[Project Name]],tblProjectPlan[Expected%Complete]),0)</f>
        <v>0.92618908473738359</v>
      </c>
      <c r="R39" s="151">
        <f>tblProjects[[#This Row],[Project % Complete]]-tblProjects[[#This Row],[Expected % Completed]]</f>
        <v>3.8229200645372163E-3</v>
      </c>
      <c r="S39" s="152">
        <f>_xlfn.LET(_xlpm.p,tblProjects[[#This Row],[Project Name]], SUMIFS(tblProgramInflows[MilstoneAmount], tblProgramInflows[ProjectName], _xlpm.p))</f>
        <v>1656734.491162892</v>
      </c>
      <c r="T39" s="152">
        <f>_xlfn.LET(_xlpm.p,tblProjects[[#This Row],[Project Name]], SUMIFS(tblProgramExpense[ExpenseActualTotal], tblProgramExpense[ProjectName], _xlpm.p))</f>
        <v>627507.45056976809</v>
      </c>
      <c r="U39" s="150">
        <f>1-IF(tblProjects[[#This Row],[Actual Revenue]]=0,"",tblProjects[[#This Row],[Actual Expenses]]/tblProjects[[#This Row],[Actual Revenue]])</f>
        <v>0.62123837348897759</v>
      </c>
      <c r="V39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41418.362279072302</v>
      </c>
      <c r="W39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39" s="246"/>
      <c r="Y39" s="246"/>
      <c r="Z39"/>
      <c r="AA39"/>
      <c r="AB39"/>
      <c r="AC39"/>
      <c r="AD39"/>
      <c r="AE39"/>
      <c r="AF39"/>
      <c r="AG39"/>
      <c r="AH39"/>
      <c r="AI39"/>
      <c r="AJ39"/>
    </row>
    <row r="40" spans="1:36">
      <c r="A40" t="str" cm="1">
        <f t="array" ref="A4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IFERROR(INDEX(_xlpm.sorted,ROWS(A$2:A40)),"")
)</f>
        <v>Blackheath Park_Tracker.xlsx</v>
      </c>
      <c r="B40" s="147" cm="1">
        <f t="array" ref="B40">_xlfn.LET(_xlpm.p,$A40,_xlfn.IFNA(
  INDEX(tblProjectInfo[InfoValue],
        MATCH(1,(tblProjectInfo[ProjectName]=_xlpm.p)*
                 (UPPER(TRIM(tblProjectInfo[Info]))="PROJECT SIZE (KWP)"),0)
), ""))</f>
        <v>800</v>
      </c>
      <c r="C40" s="147" t="str" cm="1">
        <f t="array" ref="C40">_xlfn.LET(_xlpm.p,$A40,_xlfn.IFNA(
  INDEX(tblProjectInfo[InfoValue],
        MATCH(1,(tblProjectInfo[ProjectName]=_xlpm.p)*
                 (UPPER(TRIM(tblProjectInfo[Info]))="PROJECT DEVELOPER"),0)
), ""))</f>
        <v>Peet Verreynne</v>
      </c>
      <c r="D40" s="148" t="str" cm="1">
        <f t="array" ref="D40">_xlfn.LET(_xlpm.p,$A40,_xlfn.IFNA(
  INDEX(tblProjectInfo[InfoValue],
        MATCH(1,(tblProjectInfo[ProjectName]=_xlpm.p)*
                 (UPPER(TRIM(tblProjectInfo[Info]))="PROJECT MANAGERS"),0)
), ""))</f>
        <v>Justin Franke</v>
      </c>
      <c r="E40" s="147"/>
      <c r="F40" s="147"/>
      <c r="G40" s="147"/>
      <c r="H40" s="162" t="str" cm="1">
        <f t="array" ref="H40">_xlfn.LET(_xlpm.p,$A40,_xlfn.IFNA(
  INDEX(tblProjectInfo[InfoValue],
        MATCH(1,(tblProjectInfo[ProjectName]=_xlpm.p)*
                 ISNUMBER(SEARCH("PHASE",UPPER(tblProjectInfo[Info]))),0)
), ""))</f>
        <v>Commercial Close Out</v>
      </c>
      <c r="I40" s="149" cm="1">
        <f t="array" ref="I40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45832</v>
      </c>
      <c r="J40" s="149">
        <f>IFERROR(
  _xlfn.MAXIFS(
    tblProjectPlan[ActualEndDate],
    tblProjectPlan[ProjectName], tblProjects[[#This Row],[Project Name]],
    tblProjectPlan[TaskDescription], "*site establishment*"
  ),
  ""
)</f>
        <v>45913</v>
      </c>
      <c r="K40" s="169">
        <f>_xlfn.DAYS(tblProjects[[#This Row],[Client Handover Date]],tblProjects[[#This Row],[Construction Start date]])</f>
        <v>142</v>
      </c>
      <c r="L40" s="169">
        <f>tblProjects[[#This Row],[Size]]/(_xlfn.DAYS(tblProjects[[#This Row],[Commissioning Date]],tblProjects[[#This Row],[Construction Start date]]))*7</f>
        <v>70.886075949367097</v>
      </c>
      <c r="M40" s="149">
        <f>IFERROR(
  _xlfn.MAXIFS(
    tblProjectPlan[ActualEndDate],
    tblProjectPlan[ProjectName], tblProjects[[#This Row],[Project Name]],
    tblProjectPlan[TaskDescription], "*Commissioning*"
  ),
  ""
)</f>
        <v>45992</v>
      </c>
      <c r="N40" s="149">
        <f>IFERROR(
  _xlfn.MAXIFS(
    tblProjectPlan[ActualEndDate],
    tblProjectPlan[ProjectName], tblProjects[[#This Row],[Project Name]],
    tblProjectPlan[TaskDescription], "*Handover to Matriarch*"
  ),
  ""
)</f>
        <v>46059</v>
      </c>
      <c r="O40" s="149">
        <f>IFERROR(
  _xlfn.MAXIFS(
    tblProjectPlan[ActualEndDate],
    tblProjectPlan[ProjectName], tblProjects[[#This Row],[Project Name]],
    tblProjectPlan[TaskDescription], "*handover to client*"
  ),
  ""
)</f>
        <v>46055</v>
      </c>
      <c r="P40" s="150">
        <f>IFERROR(AVERAGEIF(tblProjectPlan[ProjectName],tblProjects[[#This Row],[Project Name]],tblProjectPlan[Actual%Complete]),0)</f>
        <v>0.93461791831357055</v>
      </c>
      <c r="Q40" s="150">
        <f>IFERROR(AVERAGEIF(tblProjectPlan[ProjectName],tblProjects[[#This Row],[Project Name]],tblProjectPlan[Expected%Complete]),0)</f>
        <v>0.96843434343434331</v>
      </c>
      <c r="R40" s="151">
        <f>tblProjects[[#This Row],[Project % Complete]]-tblProjects[[#This Row],[Expected % Completed]]</f>
        <v>-3.3816425120772764E-2</v>
      </c>
      <c r="S40" s="152">
        <f>_xlfn.LET(_xlpm.p,tblProjects[[#This Row],[Project Name]], SUMIFS(tblProgramInflows[MilstoneAmount], tblProgramInflows[ProjectName], _xlpm.p))</f>
        <v>6355349.9168330692</v>
      </c>
      <c r="T40" s="152">
        <f>_xlfn.LET(_xlpm.p,tblProjects[[#This Row],[Project Name]], SUMIFS(tblProgramExpense[ExpenseActualTotal], tblProgramExpense[ProjectName], _xlpm.p))</f>
        <v>4803382.0739604142</v>
      </c>
      <c r="U40" s="150">
        <f>1-IF(tblProjects[[#This Row],[Actual Revenue]]=0,"",tblProjects[[#This Row],[Actual Expenses]]/tblProjects[[#This Row],[Actual Revenue]])</f>
        <v>0.24419864573656946</v>
      </c>
      <c r="V40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0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0" s="246"/>
      <c r="Y40" s="246"/>
      <c r="Z40"/>
      <c r="AA40"/>
      <c r="AB40"/>
      <c r="AC40"/>
      <c r="AD40"/>
      <c r="AE40"/>
      <c r="AF40"/>
      <c r="AG40"/>
      <c r="AH40"/>
      <c r="AI40"/>
      <c r="AJ40"/>
    </row>
    <row r="41" spans="1:36">
      <c r="A41" t="str" cm="1">
        <f t="array" ref="A4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IFERROR(INDEX(_xlpm.sorted,ROWS(A$2:A41)),"")
)</f>
        <v>Cascades_Tracker.xlsx</v>
      </c>
      <c r="B41" s="147" cm="1">
        <f t="array" ref="B41">_xlfn.LET(_xlpm.p,$A41,_xlfn.IFNA(
  INDEX(tblProjectInfo[InfoValue],
        MATCH(1,(tblProjectInfo[ProjectName]=_xlpm.p)*
                 (UPPER(TRIM(tblProjectInfo[Info]))="PROJECT SIZE (KWP)"),0)
), ""))</f>
        <v>1510</v>
      </c>
      <c r="C41" s="147" t="str" cm="1">
        <f t="array" ref="C41">_xlfn.LET(_xlpm.p,$A41,_xlfn.IFNA(
  INDEX(tblProjectInfo[InfoValue],
        MATCH(1,(tblProjectInfo[ProjectName]=_xlpm.p)*
                 (UPPER(TRIM(tblProjectInfo[Info]))="PROJECT DEVELOPER"),0)
), ""))</f>
        <v>Dayne Sage</v>
      </c>
      <c r="D41" s="148" t="str" cm="1">
        <f t="array" ref="D41">_xlfn.LET(_xlpm.p,$A41,_xlfn.IFNA(
  INDEX(tblProjectInfo[InfoValue],
        MATCH(1,(tblProjectInfo[ProjectName]=_xlpm.p)*
                 (UPPER(TRIM(tblProjectInfo[Info]))="PROJECT MANAGERS"),0)
), ""))</f>
        <v>Lloyd Brown</v>
      </c>
      <c r="E41" s="147"/>
      <c r="F41" s="147"/>
      <c r="G41" s="147"/>
      <c r="H41" s="162" t="str" cm="1">
        <f t="array" ref="H41">_xlfn.LET(_xlpm.p,$A41,_xlfn.IFNA(
  INDEX(tblProjectInfo[InfoValue],
        MATCH(1,(tblProjectInfo[ProjectName]=_xlpm.p)*
                 ISNUMBER(SEARCH("PHASE",UPPER(tblProjectInfo[Info]))),0)
), ""))</f>
        <v>Commercial Close Out</v>
      </c>
      <c r="I41" s="149" cm="1">
        <f t="array" ref="I41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45468</v>
      </c>
      <c r="J41" s="149">
        <f>IFERROR(
  _xlfn.MAXIFS(
    tblProjectPlan[ActualEndDate],
    tblProjectPlan[ProjectName], tblProjects[[#This Row],[Project Name]],
    tblProjectPlan[TaskDescription], "*site establishment*"
  ),
  ""
)</f>
        <v>45504</v>
      </c>
      <c r="K41" s="169">
        <f>_xlfn.DAYS(tblProjects[[#This Row],[Client Handover Date]],tblProjects[[#This Row],[Construction Start date]])</f>
        <v>163</v>
      </c>
      <c r="L41" s="169">
        <f>tblProjects[[#This Row],[Size]]/(_xlfn.DAYS(tblProjects[[#This Row],[Commissioning Date]],tblProjects[[#This Row],[Construction Start date]]))*7</f>
        <v>95.22522522522523</v>
      </c>
      <c r="M41" s="149">
        <f>IFERROR(
  _xlfn.MAXIFS(
    tblProjectPlan[ActualEndDate],
    tblProjectPlan[ProjectName], tblProjects[[#This Row],[Project Name]],
    tblProjectPlan[TaskDescription], "*Commissioning*"
  ),
  ""
)</f>
        <v>45615</v>
      </c>
      <c r="N41" s="149">
        <f>IFERROR(
  _xlfn.MAXIFS(
    tblProjectPlan[ActualEndDate],
    tblProjectPlan[ProjectName], tblProjects[[#This Row],[Project Name]],
    tblProjectPlan[TaskDescription], "*Handover to Matriarch*"
  ),
  ""
)</f>
        <v>45618</v>
      </c>
      <c r="O41" s="149">
        <f>IFERROR(
  _xlfn.MAXIFS(
    tblProjectPlan[ActualEndDate],
    tblProjectPlan[ProjectName], tblProjects[[#This Row],[Project Name]],
    tblProjectPlan[TaskDescription], "*handover to client*"
  ),
  ""
)</f>
        <v>45667</v>
      </c>
      <c r="P41" s="150">
        <f>IFERROR(AVERAGEIF(tblProjectPlan[ProjectName],tblProjects[[#This Row],[Project Name]],tblProjectPlan[Actual%Complete]),0)</f>
        <v>0.9951171875</v>
      </c>
      <c r="Q41" s="150">
        <f>IFERROR(AVERAGEIF(tblProjectPlan[ProjectName],tblProjects[[#This Row],[Project Name]],tblProjectPlan[Expected%Complete]),0)</f>
        <v>41.625</v>
      </c>
      <c r="R41" s="151">
        <f>tblProjects[[#This Row],[Project % Complete]]-tblProjects[[#This Row],[Expected % Completed]]</f>
        <v>-40.6298828125</v>
      </c>
      <c r="S41" s="152">
        <f>_xlfn.LET(_xlpm.p,tblProjects[[#This Row],[Project Name]], SUMIFS(tblProgramInflows[MilstoneAmount], tblProgramInflows[ProjectName], _xlpm.p))</f>
        <v>9734366</v>
      </c>
      <c r="T41" s="152">
        <f>_xlfn.LET(_xlpm.p,tblProjects[[#This Row],[Project Name]], SUMIFS(tblProgramExpense[ExpenseActualTotal], tblProgramExpense[ProjectName], _xlpm.p))</f>
        <v>7000321.7899999991</v>
      </c>
      <c r="U41" s="150">
        <f>1-IF(tblProjects[[#This Row],[Actual Revenue]]=0,"",tblProjects[[#This Row],[Actual Expenses]]/tblProjects[[#This Row],[Actual Revenue]])</f>
        <v>0.28086515444354576</v>
      </c>
      <c r="V41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1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1" s="246"/>
      <c r="Y41" s="246"/>
      <c r="Z41"/>
      <c r="AA41"/>
      <c r="AB41"/>
      <c r="AC41"/>
      <c r="AD41"/>
      <c r="AE41"/>
      <c r="AF41"/>
      <c r="AG41"/>
      <c r="AH41"/>
      <c r="AI41"/>
      <c r="AJ41"/>
    </row>
    <row r="42" spans="1:36">
      <c r="A42" t="str" cm="1">
        <f t="array" ref="A4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IFERROR(INDEX(_xlpm.sorted,ROWS(A$2:A42)),"")
)</f>
        <v>Cassia_Tracker.xlsx</v>
      </c>
      <c r="B42" s="147" cm="1">
        <f t="array" ref="B42">_xlfn.LET(_xlpm.p,$A42,_xlfn.IFNA(
  INDEX(tblProjectInfo[InfoValue],
        MATCH(1,(tblProjectInfo[ProjectName]=_xlpm.p)*
                 (UPPER(TRIM(tblProjectInfo[Info]))="PROJECT SIZE (KWP)"),0)
), ""))</f>
        <v>50</v>
      </c>
      <c r="C42" s="147" t="str" cm="1">
        <f t="array" ref="C42">_xlfn.LET(_xlpm.p,$A42,_xlfn.IFNA(
  INDEX(tblProjectInfo[InfoValue],
        MATCH(1,(tblProjectInfo[ProjectName]=_xlpm.p)*
                 (UPPER(TRIM(tblProjectInfo[Info]))="PROJECT DEVELOPER"),0)
), ""))</f>
        <v>Dayne Sage</v>
      </c>
      <c r="D42" s="148" t="str" cm="1">
        <f t="array" ref="D42">_xlfn.LET(_xlpm.p,$A42,_xlfn.IFNA(
  INDEX(tblProjectInfo[InfoValue],
        MATCH(1,(tblProjectInfo[ProjectName]=_xlpm.p)*
                 (UPPER(TRIM(tblProjectInfo[Info]))="PROJECT MANAGERS"),0)
), ""))</f>
        <v>Amanda Gadla</v>
      </c>
      <c r="E42" s="147"/>
      <c r="F42" s="147"/>
      <c r="G42" s="147"/>
      <c r="H42" s="162" t="str" cm="1">
        <f t="array" ref="H42">_xlfn.LET(_xlpm.p,$A42,_xlfn.IFNA(
  INDEX(tblProjectInfo[InfoValue],
        MATCH(1,(tblProjectInfo[ProjectName]=_xlpm.p)*
                 ISNUMBER(SEARCH("PHASE",UPPER(tblProjectInfo[Info]))),0)
), ""))</f>
        <v>Commercial Close Out</v>
      </c>
      <c r="I42" s="149" t="str" cm="1">
        <f t="array" ref="I42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42" s="149">
        <f>IFERROR(
  _xlfn.MAXIFS(
    tblProjectPlan[ActualEndDate],
    tblProjectPlan[ProjectName], tblProjects[[#This Row],[Project Name]],
    tblProjectPlan[TaskDescription], "*site establishment*"
  ),
  ""
)</f>
        <v>45748</v>
      </c>
      <c r="K42" s="169">
        <f>_xlfn.DAYS(tblProjects[[#This Row],[Client Handover Date]],tblProjects[[#This Row],[Construction Start date]])</f>
        <v>-45748</v>
      </c>
      <c r="L42" s="169">
        <f>tblProjects[[#This Row],[Size]]/(_xlfn.DAYS(tblProjects[[#This Row],[Commissioning Date]],tblProjects[[#This Row],[Construction Start date]]))*7</f>
        <v>-7.6506076768383321E-3</v>
      </c>
      <c r="M42" s="149">
        <f>IFERROR(
  _xlfn.MAXIFS(
    tblProjectPlan[ActualEndDate],
    tblProjectPlan[ProjectName], tblProjects[[#This Row],[Project Name]],
    tblProjectPlan[TaskDescription], "*Commissioning*"
  ),
  ""
)</f>
        <v>0</v>
      </c>
      <c r="N42" s="149">
        <f>IFERROR(
  _xlfn.MAXIFS(
    tblProjectPlan[ActualEndDate],
    tblProjectPlan[ProjectName], tblProjects[[#This Row],[Project Name]],
    tblProjectPlan[TaskDescription], "*Handover to Matriarch*"
  ),
  ""
)</f>
        <v>0</v>
      </c>
      <c r="O42" s="149">
        <f>IFERROR(
  _xlfn.MAXIFS(
    tblProjectPlan[ActualEndDate],
    tblProjectPlan[ProjectName], tblProjects[[#This Row],[Project Name]],
    tblProjectPlan[TaskDescription], "*handover to client*"
  ),
  ""
)</f>
        <v>0</v>
      </c>
      <c r="P42" s="359">
        <f>IFERROR(AVERAGEIF(tblProjectPlan[ProjectName],tblProjects[[#This Row],[Project Name]],tblProjectPlan[Actual%Complete]),0)</f>
        <v>1</v>
      </c>
      <c r="Q42" s="359">
        <v>1</v>
      </c>
      <c r="R42" s="151">
        <f>tblProjects[[#This Row],[Project % Complete]]-tblProjects[[#This Row],[Expected % Completed]]</f>
        <v>0</v>
      </c>
      <c r="S42" s="351">
        <f>_xlfn.LET(_xlpm.p,tblProjects[[#This Row],[Project Name]], SUMIFS(tblProgramInflows[MilstoneAmount], tblProgramInflows[ProjectName], _xlpm.p))</f>
        <v>261790.45000000007</v>
      </c>
      <c r="T42" s="351">
        <f>_xlfn.LET(_xlpm.p,tblProjects[[#This Row],[Project Name]], SUMIFS(tblProgramExpense[ExpenseActualTotal], tblProgramExpense[ProjectName], _xlpm.p))</f>
        <v>183007.37</v>
      </c>
      <c r="U42" s="359">
        <f>1-IF(tblProjects[[#This Row],[Actual Revenue]]=0,"",tblProjects[[#This Row],[Actual Expenses]]/tblProjects[[#This Row],[Actual Revenue]])</f>
        <v>0.30093947277297572</v>
      </c>
      <c r="V42" s="351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2" s="351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2" s="351"/>
      <c r="Y42" s="351"/>
      <c r="Z42"/>
      <c r="AA42"/>
      <c r="AB42"/>
      <c r="AC42"/>
      <c r="AD42"/>
      <c r="AE42"/>
      <c r="AF42"/>
      <c r="AG42"/>
      <c r="AH42"/>
      <c r="AI42"/>
      <c r="AJ42"/>
    </row>
    <row r="43" spans="1:36">
      <c r="A43" t="str" cm="1">
        <f t="array" ref="A4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IFERROR(INDEX(_xlpm.sorted,ROWS(A$2:A43)),"")
)</f>
        <v>SA Metal_14 Christiaan_A_Tracker.xlsx</v>
      </c>
      <c r="B43" s="147" cm="1">
        <f t="array" ref="B43">_xlfn.LET(_xlpm.p,$A43,_xlfn.IFNA(
  INDEX(tblProjectInfo[InfoValue],
        MATCH(1,(tblProjectInfo[ProjectName]=_xlpm.p)*
                 (UPPER(TRIM(tblProjectInfo[Info]))="PROJECT SIZE (KWP)"),0)
), ""))</f>
        <v>595</v>
      </c>
      <c r="C43" s="147" t="str" cm="1">
        <f t="array" ref="C43">_xlfn.LET(_xlpm.p,$A43,_xlfn.IFNA(
  INDEX(tblProjectInfo[InfoValue],
        MATCH(1,(tblProjectInfo[ProjectName]=_xlpm.p)*
                 (UPPER(TRIM(tblProjectInfo[Info]))="PROJECT DEVELOPER"),0)
), ""))</f>
        <v/>
      </c>
      <c r="D43" s="148" t="str" cm="1">
        <f t="array" ref="D43">_xlfn.LET(_xlpm.p,$A43,_xlfn.IFNA(
  INDEX(tblProjectInfo[InfoValue],
        MATCH(1,(tblProjectInfo[ProjectName]=_xlpm.p)*
                 (UPPER(TRIM(tblProjectInfo[Info]))="PROJECT MANAGERS"),0)
), ""))</f>
        <v/>
      </c>
      <c r="E43" s="223"/>
      <c r="F43" s="223"/>
      <c r="G43" s="223"/>
      <c r="H43" s="162" t="str" cm="1">
        <f t="array" ref="H43">_xlfn.LET(_xlpm.p,$A43,_xlfn.IFNA(
  INDEX(tblProjectInfo[InfoValue],
        MATCH(1,(tblProjectInfo[ProjectName]=_xlpm.p)*
                 ISNUMBER(SEARCH("PHASE",UPPER(tblProjectInfo[Info]))),0)
), ""))</f>
        <v>Commercial Close Out</v>
      </c>
      <c r="I43" s="149" cm="1">
        <f t="array" ref="I43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45519</v>
      </c>
      <c r="J43" s="149">
        <f>IFERROR(
  _xlfn.MAXIFS(
    tblProjectPlan[ActualEndDate],
    tblProjectPlan[ProjectName], tblProjects[[#This Row],[Project Name]],
    tblProjectPlan[TaskDescription], "*site establishment*"
  ),
  ""
)</f>
        <v>45580</v>
      </c>
      <c r="K43" s="169">
        <f>_xlfn.DAYS(tblProjects[[#This Row],[Client Handover Date]],tblProjects[[#This Row],[Construction Start date]])</f>
        <v>318</v>
      </c>
      <c r="L43" s="169">
        <f>tblProjects[[#This Row],[Size]]/(_xlfn.DAYS(tblProjects[[#This Row],[Commissioning Date]],tblProjects[[#This Row],[Construction Start date]]))*7</f>
        <v>34.708333333333329</v>
      </c>
      <c r="M43" s="149">
        <f>IFERROR(
  _xlfn.MAXIFS(
    tblProjectPlan[ActualEndDate],
    tblProjectPlan[ProjectName], tblProjects[[#This Row],[Project Name]],
    tblProjectPlan[TaskDescription], "*Commissioning*"
  ),
  ""
)</f>
        <v>45700</v>
      </c>
      <c r="N43" s="149">
        <f>IFERROR(
  _xlfn.MAXIFS(
    tblProjectPlan[ActualEndDate],
    tblProjectPlan[ProjectName], tblProjects[[#This Row],[Project Name]],
    tblProjectPlan[TaskDescription], "*Handover to Matriarch*"
  ),
  ""
)</f>
        <v>45777</v>
      </c>
      <c r="O43" s="149">
        <f>IFERROR(
  _xlfn.MAXIFS(
    tblProjectPlan[ActualEndDate],
    tblProjectPlan[ProjectName], tblProjects[[#This Row],[Project Name]],
    tblProjectPlan[TaskDescription], "*handover to client*"
  ),
  ""
)</f>
        <v>45898</v>
      </c>
      <c r="P43" s="150">
        <f>IFERROR(AVERAGEIF(tblProjectPlan[ProjectName],tblProjects[[#This Row],[Project Name]],tblProjectPlan[Actual%Complete]),0)</f>
        <v>1</v>
      </c>
      <c r="Q43" s="150">
        <f>IFERROR(AVERAGEIF(tblProjectPlan[ProjectName],tblProjects[[#This Row],[Project Name]],tblProjectPlan[Expected%Complete]),0)</f>
        <v>1</v>
      </c>
      <c r="R43" s="151">
        <f>tblProjects[[#This Row],[Project % Complete]]-tblProjects[[#This Row],[Expected % Completed]]</f>
        <v>0</v>
      </c>
      <c r="S43" s="152">
        <f>_xlfn.LET(_xlpm.p,tblProjects[[#This Row],[Project Name]], SUMIFS(tblProgramInflows[MilstoneAmount], tblProgramInflows[ProjectName], _xlpm.p))</f>
        <v>5613503.01123886</v>
      </c>
      <c r="T43" s="152">
        <f>_xlfn.LET(_xlpm.p,tblProjects[[#This Row],[Project Name]], SUMIFS(tblProgramExpense[ExpenseActualTotal], tblProgramExpense[ProjectName], _xlpm.p))</f>
        <v>110418.18769230769</v>
      </c>
      <c r="U43" s="150">
        <f>1-IF(tblProjects[[#This Row],[Actual Revenue]]=0,"",tblProjects[[#This Row],[Actual Expenses]]/tblProjects[[#This Row],[Actual Revenue]])</f>
        <v>0.98032989606111587</v>
      </c>
      <c r="V43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3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3" s="246"/>
      <c r="Y43" s="246"/>
      <c r="Z43"/>
      <c r="AA43"/>
      <c r="AB43"/>
      <c r="AC43"/>
      <c r="AD43"/>
      <c r="AE43"/>
      <c r="AF43"/>
      <c r="AG43"/>
      <c r="AH43"/>
      <c r="AI43"/>
      <c r="AJ43"/>
    </row>
    <row r="44" spans="1:36">
      <c r="A44" t="str" cm="1">
        <f t="array" ref="A4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IFERROR(INDEX(_xlpm.sorted,ROWS(A$2:A44)),"")
)</f>
        <v>STD GQ_Tracker.xlsx</v>
      </c>
      <c r="B44" s="147" cm="1">
        <f t="array" ref="B44">_xlfn.LET(_xlpm.p,$A44,_xlfn.IFNA(
  INDEX(tblProjectInfo[InfoValue],
        MATCH(1,(tblProjectInfo[ProjectName]=_xlpm.p)*
                 (UPPER(TRIM(tblProjectInfo[Info]))="PROJECT SIZE (KWP)"),0)
), ""))</f>
        <v>460</v>
      </c>
      <c r="C44" s="147" t="str" cm="1">
        <f t="array" ref="C44">_xlfn.LET(_xlpm.p,$A44,_xlfn.IFNA(
  INDEX(tblProjectInfo[InfoValue],
        MATCH(1,(tblProjectInfo[ProjectName]=_xlpm.p)*
                 (UPPER(TRIM(tblProjectInfo[Info]))="PROJECT DEVELOPER"),0)
), ""))</f>
        <v>Gordon Upton</v>
      </c>
      <c r="D44" s="148" t="str" cm="1">
        <f t="array" ref="D44">_xlfn.LET(_xlpm.p,$A44,_xlfn.IFNA(
  INDEX(tblProjectInfo[InfoValue],
        MATCH(1,(tblProjectInfo[ProjectName]=_xlpm.p)*
                 (UPPER(TRIM(tblProjectInfo[Info]))="PROJECT MANAGERS"),0)
), ""))</f>
        <v>Lloyd Brown</v>
      </c>
      <c r="E44" s="147"/>
      <c r="F44" s="147"/>
      <c r="G44" s="147"/>
      <c r="H44" s="162" t="str" cm="1">
        <f t="array" ref="H44">_xlfn.LET(_xlpm.p,$A44,_xlfn.IFNA(
  INDEX(tblProjectInfo[InfoValue],
        MATCH(1,(tblProjectInfo[ProjectName]=_xlpm.p)*
                 ISNUMBER(SEARCH("PHASE",UPPER(tblProjectInfo[Info]))),0)
), ""))</f>
        <v>Commercial Close Out</v>
      </c>
      <c r="I44" s="149" cm="1">
        <f t="array" ref="I44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45910</v>
      </c>
      <c r="J44" s="149">
        <f>IFERROR(
  _xlfn.MAXIFS(
    tblProjectPlan[ActualEndDate],
    tblProjectPlan[ProjectName], tblProjects[[#This Row],[Project Name]],
    tblProjectPlan[TaskDescription], "*site establishment*"
  ),
  ""
)</f>
        <v>45951</v>
      </c>
      <c r="K44" s="169">
        <f>_xlfn.DAYS(tblProjects[[#This Row],[Client Handover Date]],tblProjects[[#This Row],[Construction Start date]])</f>
        <v>99</v>
      </c>
      <c r="L44" s="169">
        <f>tblProjects[[#This Row],[Size]]/(_xlfn.DAYS(tblProjects[[#This Row],[Commissioning Date]],tblProjects[[#This Row],[Construction Start date]]))*7</f>
        <v>34.623655913978496</v>
      </c>
      <c r="M44" s="149">
        <f>IFERROR(
  _xlfn.MAXIFS(
    tblProjectPlan[ActualEndDate],
    tblProjectPlan[ProjectName], tblProjects[[#This Row],[Project Name]],
    tblProjectPlan[TaskDescription], "*Commissioning*"
  ),
  ""
)</f>
        <v>46044</v>
      </c>
      <c r="N44" s="149">
        <f>IFERROR(
  _xlfn.MAXIFS(
    tblProjectPlan[ActualEndDate],
    tblProjectPlan[ProjectName], tblProjects[[#This Row],[Project Name]],
    tblProjectPlan[TaskDescription], "*Handover to Matriarch*"
  ),
  ""
)</f>
        <v>46057</v>
      </c>
      <c r="O44" s="149">
        <f>IFERROR(
  _xlfn.MAXIFS(
    tblProjectPlan[ActualEndDate],
    tblProjectPlan[ProjectName], tblProjects[[#This Row],[Project Name]],
    tblProjectPlan[TaskDescription], "*handover to client*"
  ),
  ""
)</f>
        <v>46050</v>
      </c>
      <c r="P44" s="150">
        <f>IFERROR(AVERAGEIF(tblProjectPlan[ProjectName],tblProjects[[#This Row],[Project Name]],tblProjectPlan[Actual%Complete]),0)</f>
        <v>0.98396501457725949</v>
      </c>
      <c r="Q44" s="150">
        <f>IFERROR(AVERAGEIF(tblProjectPlan[ProjectName],tblProjects[[#This Row],[Project Name]],tblProjectPlan[Expected%Complete]),0)</f>
        <v>0.99659808548225204</v>
      </c>
      <c r="R44" s="151">
        <f>tblProjects[[#This Row],[Project % Complete]]-tblProjects[[#This Row],[Expected % Completed]]</f>
        <v>-1.2633070904992549E-2</v>
      </c>
      <c r="S44" s="152">
        <f>_xlfn.LET(_xlpm.p,tblProjects[[#This Row],[Project Name]], SUMIFS(tblProgramInflows[MilstoneAmount], tblProgramInflows[ProjectName], _xlpm.p))</f>
        <v>2000586.7899999998</v>
      </c>
      <c r="T44" s="152">
        <f>_xlfn.LET(_xlpm.p,tblProjects[[#This Row],[Project Name]], SUMIFS(tblProgramExpense[ExpenseActualTotal], tblProgramExpense[ProjectName], _xlpm.p))</f>
        <v>1377826.1763984049</v>
      </c>
      <c r="U44" s="150">
        <f>1-IF(tblProjects[[#This Row],[Actual Revenue]]=0,"",tblProjects[[#This Row],[Actual Expenses]]/tblProjects[[#This Row],[Actual Revenue]])</f>
        <v>0.31128897617163365</v>
      </c>
      <c r="V44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4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4" s="246"/>
      <c r="Y44" s="246"/>
      <c r="Z44"/>
      <c r="AA44"/>
      <c r="AB44"/>
      <c r="AC44"/>
      <c r="AD44"/>
      <c r="AE44"/>
      <c r="AF44"/>
      <c r="AG44"/>
      <c r="AH44"/>
      <c r="AI44"/>
      <c r="AJ44"/>
    </row>
    <row r="45" spans="1:36">
      <c r="A45" t="str" cm="1">
        <f t="array" ref="A4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IFERROR(INDEX(_xlpm.sorted,ROWS(A$2:A45)),"")
)</f>
        <v>Trident Steel GP_Tracker.xlsx</v>
      </c>
      <c r="B45" s="147" cm="1">
        <f t="array" ref="B45">_xlfn.LET(_xlpm.p,$A45,_xlfn.IFNA(
  INDEX(tblProjectInfo[InfoValue],
        MATCH(1,(tblProjectInfo[ProjectName]=_xlpm.p)*
                 (UPPER(TRIM(tblProjectInfo[Info]))="PROJECT SIZE (KWP)"),0)
), ""))</f>
        <v>1875</v>
      </c>
      <c r="C45" s="147" t="str" cm="1">
        <f t="array" ref="C45">_xlfn.LET(_xlpm.p,$A45,_xlfn.IFNA(
  INDEX(tblProjectInfo[InfoValue],
        MATCH(1,(tblProjectInfo[ProjectName]=_xlpm.p)*
                 (UPPER(TRIM(tblProjectInfo[Info]))="PROJECT DEVELOPER"),0)
), ""))</f>
        <v>Natasha Watkins-Baker</v>
      </c>
      <c r="D45" s="148" t="str" cm="1">
        <f t="array" ref="D45">_xlfn.LET(_xlpm.p,$A45,_xlfn.IFNA(
  INDEX(tblProjectInfo[InfoValue],
        MATCH(1,(tblProjectInfo[ProjectName]=_xlpm.p)*
                 (UPPER(TRIM(tblProjectInfo[Info]))="PROJECT MANAGERS"),0)
), ""))</f>
        <v>JT Moorosi</v>
      </c>
      <c r="E45" s="147"/>
      <c r="F45" s="147"/>
      <c r="G45" s="147"/>
      <c r="H45" s="162" t="str" cm="1">
        <f t="array" ref="H45">_xlfn.LET(_xlpm.p,$A45,_xlfn.IFNA(
  INDEX(tblProjectInfo[InfoValue],
        MATCH(1,(tblProjectInfo[ProjectName]=_xlpm.p)*
                 ISNUMBER(SEARCH("PHASE",UPPER(tblProjectInfo[Info]))),0)
), ""))</f>
        <v>Commercial Close Out</v>
      </c>
      <c r="I45" s="149" t="str" cm="1">
        <f t="array" ref="I45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45" s="149">
        <f>IFERROR(
  _xlfn.MAXIFS(
    tblProjectPlan[ActualEndDate],
    tblProjectPlan[ProjectName], tblProjects[[#This Row],[Project Name]],
    tblProjectPlan[TaskDescription], "*site establishment*"
  ),
  ""
)</f>
        <v>45699</v>
      </c>
      <c r="K45" s="169">
        <f>_xlfn.DAYS(tblProjects[[#This Row],[Client Handover Date]],tblProjects[[#This Row],[Construction Start date]])</f>
        <v>216</v>
      </c>
      <c r="L45" s="169">
        <f>tblProjects[[#This Row],[Size]]/(_xlfn.DAYS(tblProjects[[#This Row],[Commissioning Date]],tblProjects[[#This Row],[Construction Start date]]))*7</f>
        <v>88.087248322147659</v>
      </c>
      <c r="M45" s="149">
        <f>IFERROR(
  _xlfn.MAXIFS(
    tblProjectPlan[ActualEndDate],
    tblProjectPlan[ProjectName], tblProjects[[#This Row],[Project Name]],
    tblProjectPlan[TaskDescription], "*Commissioning*"
  ),
  ""
)</f>
        <v>45848</v>
      </c>
      <c r="N45" s="149">
        <f>IFERROR(
  _xlfn.MAXIFS(
    tblProjectPlan[ActualEndDate],
    tblProjectPlan[ProjectName], tblProjects[[#This Row],[Project Name]],
    tblProjectPlan[TaskDescription], "*Handover to Matriarch*"
  ),
  ""
)</f>
        <v>45925</v>
      </c>
      <c r="O45" s="149">
        <f>IFERROR(
  _xlfn.MAXIFS(
    tblProjectPlan[ActualEndDate],
    tblProjectPlan[ProjectName], tblProjects[[#This Row],[Project Name]],
    tblProjectPlan[TaskDescription], "*handover to client*"
  ),
  ""
)</f>
        <v>45915</v>
      </c>
      <c r="P45" s="150">
        <f>IFERROR(AVERAGEIF(tblProjectPlan[ProjectName],tblProjects[[#This Row],[Project Name]],tblProjectPlan[Actual%Complete]),0)</f>
        <v>1</v>
      </c>
      <c r="Q45" s="150">
        <f>IFERROR(AVERAGEIF(tblProjectPlan[ProjectName],tblProjects[[#This Row],[Project Name]],tblProjectPlan[Expected%Complete]),0)</f>
        <v>1</v>
      </c>
      <c r="R45" s="151">
        <f>tblProjects[[#This Row],[Project % Complete]]-tblProjects[[#This Row],[Expected % Completed]]</f>
        <v>0</v>
      </c>
      <c r="S45" s="152">
        <f>_xlfn.LET(_xlpm.p,tblProjects[[#This Row],[Project Name]], SUMIFS(tblProgramInflows[MilstoneAmount], tblProgramInflows[ProjectName], _xlpm.p))</f>
        <v>16024328.9396773</v>
      </c>
      <c r="T45" s="152">
        <f>_xlfn.LET(_xlpm.p,tblProjects[[#This Row],[Project Name]], SUMIFS(tblProgramExpense[ExpenseActualTotal], tblProgramExpense[ProjectName], _xlpm.p))</f>
        <v>14799893.871745965</v>
      </c>
      <c r="U45" s="150">
        <f>1-IF(tblProjects[[#This Row],[Actual Revenue]]=0,"",tblProjects[[#This Row],[Actual Expenses]]/tblProjects[[#This Row],[Actual Revenue]])</f>
        <v>7.6411004326025322E-2</v>
      </c>
      <c r="V45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5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5" s="246"/>
      <c r="Y45" s="246"/>
      <c r="Z45"/>
      <c r="AA45"/>
      <c r="AB45"/>
      <c r="AC45"/>
      <c r="AD45"/>
      <c r="AE45"/>
      <c r="AF45"/>
      <c r="AG45"/>
      <c r="AH45"/>
      <c r="AI45"/>
      <c r="AJ45"/>
    </row>
    <row r="46" spans="1:36">
      <c r="A46" t="str" cm="1">
        <f t="array" ref="A4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IFERROR(INDEX(_xlpm.sorted,ROWS(A$2:A46)),"")
)</f>
        <v>Trident Steel PE_Tracker.xlsx</v>
      </c>
      <c r="B46" s="147" cm="1">
        <f t="array" ref="B46">_xlfn.LET(_xlpm.p,$A46,_xlfn.IFNA(
  INDEX(tblProjectInfo[InfoValue],
        MATCH(1,(tblProjectInfo[ProjectName]=_xlpm.p)*
                 (UPPER(TRIM(tblProjectInfo[Info]))="PROJECT SIZE (KWP)"),0)
), ""))</f>
        <v>440</v>
      </c>
      <c r="C46" s="147" t="str" cm="1">
        <f t="array" ref="C46">_xlfn.LET(_xlpm.p,$A46,_xlfn.IFNA(
  INDEX(tblProjectInfo[InfoValue],
        MATCH(1,(tblProjectInfo[ProjectName]=_xlpm.p)*
                 (UPPER(TRIM(tblProjectInfo[Info]))="PROJECT DEVELOPER"),0)
), ""))</f>
        <v>Natasha</v>
      </c>
      <c r="D46" s="148" t="str" cm="1">
        <f t="array" ref="D46">_xlfn.LET(_xlpm.p,$A46,_xlfn.IFNA(
  INDEX(tblProjectInfo[InfoValue],
        MATCH(1,(tblProjectInfo[ProjectName]=_xlpm.p)*
                 (UPPER(TRIM(tblProjectInfo[Info]))="PROJECT MANAGERS"),0)
), ""))</f>
        <v>Lloyd Brown</v>
      </c>
      <c r="E46" s="147"/>
      <c r="F46" s="147"/>
      <c r="G46" s="147"/>
      <c r="H46" s="162" t="str" cm="1">
        <f t="array" ref="H46">_xlfn.LET(_xlpm.p,$A46,_xlfn.IFNA(
  INDEX(tblProjectInfo[InfoValue],
        MATCH(1,(tblProjectInfo[ProjectName]=_xlpm.p)*
                 ISNUMBER(SEARCH("PHASE",UPPER(tblProjectInfo[Info]))),0)
), ""))</f>
        <v>Commercial Close Out</v>
      </c>
      <c r="I46" s="149" cm="1">
        <f t="array" ref="I46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45595</v>
      </c>
      <c r="J46" s="149">
        <f>IFERROR(
  _xlfn.MAXIFS(
    tblProjectPlan[ActualEndDate],
    tblProjectPlan[ProjectName], tblProjects[[#This Row],[Project Name]],
    tblProjectPlan[TaskDescription], "*site establishment*"
  ),
  ""
)</f>
        <v>45693</v>
      </c>
      <c r="K46" s="169">
        <f>_xlfn.DAYS(tblProjects[[#This Row],[Client Handover Date]],tblProjects[[#This Row],[Construction Start date]])</f>
        <v>194</v>
      </c>
      <c r="L46" s="169">
        <f>tblProjects[[#This Row],[Size]]/(_xlfn.DAYS(tblProjects[[#This Row],[Commissioning Date]],tblProjects[[#This Row],[Construction Start date]]))*7</f>
        <v>106.20689655172414</v>
      </c>
      <c r="M46" s="149">
        <f>IFERROR(
  _xlfn.MAXIFS(
    tblProjectPlan[ActualEndDate],
    tblProjectPlan[ProjectName], tblProjects[[#This Row],[Project Name]],
    tblProjectPlan[TaskDescription], "*Commissioning*"
  ),
  ""
)</f>
        <v>45722</v>
      </c>
      <c r="N46" s="149">
        <f>IFERROR(
  _xlfn.MAXIFS(
    tblProjectPlan[ActualEndDate],
    tblProjectPlan[ProjectName], tblProjects[[#This Row],[Project Name]],
    tblProjectPlan[TaskDescription], "*Handover to Matriarch*"
  ),
  ""
)</f>
        <v>45729</v>
      </c>
      <c r="O46" s="149">
        <f>IFERROR(
  _xlfn.MAXIFS(
    tblProjectPlan[ActualEndDate],
    tblProjectPlan[ProjectName], tblProjects[[#This Row],[Project Name]],
    tblProjectPlan[TaskDescription], "*handover to client*"
  ),
  ""
)</f>
        <v>45887</v>
      </c>
      <c r="P46" s="150">
        <f>IFERROR(AVERAGEIF(tblProjectPlan[ProjectName],tblProjects[[#This Row],[Project Name]],tblProjectPlan[Actual%Complete]),0)</f>
        <v>1</v>
      </c>
      <c r="Q46" s="150">
        <f>IFERROR(AVERAGEIF(tblProjectPlan[ProjectName],tblProjects[[#This Row],[Project Name]],tblProjectPlan[Expected%Complete]),0)</f>
        <v>1</v>
      </c>
      <c r="R46" s="151">
        <f>tblProjects[[#This Row],[Project % Complete]]-tblProjects[[#This Row],[Expected % Completed]]</f>
        <v>0</v>
      </c>
      <c r="S46" s="152">
        <f>_xlfn.LET(_xlpm.p,tblProjects[[#This Row],[Project Name]], SUMIFS(tblProgramInflows[MilstoneAmount], tblProgramInflows[ProjectName], _xlpm.p))</f>
        <v>3878819.44001059</v>
      </c>
      <c r="T46" s="152">
        <f>_xlfn.LET(_xlpm.p,tblProjects[[#This Row],[Project Name]], SUMIFS(tblProgramExpense[ExpenseActualTotal], tblProgramExpense[ProjectName], _xlpm.p))</f>
        <v>217067.04000000004</v>
      </c>
      <c r="U46" s="150">
        <f>1-IF(tblProjects[[#This Row],[Actual Revenue]]=0,"",tblProjects[[#This Row],[Actual Expenses]]/tblProjects[[#This Row],[Actual Revenue]])</f>
        <v>0.94403785910709792</v>
      </c>
      <c r="V46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6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6" s="246"/>
      <c r="Y46" s="246"/>
      <c r="Z46"/>
      <c r="AA46"/>
      <c r="AB46"/>
      <c r="AC46"/>
      <c r="AD46"/>
      <c r="AE46"/>
      <c r="AF46"/>
      <c r="AG46"/>
      <c r="AH46"/>
      <c r="AI46"/>
      <c r="AJ46"/>
    </row>
    <row r="47" spans="1:36">
      <c r="A47" t="str" cm="1">
        <f t="array" ref="A4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IFERROR(INDEX(_xlpm.sorted,ROWS(A$2:A47)),"")
)</f>
        <v>Hungry Lion_Citrusdal_Tracker.xlsx</v>
      </c>
      <c r="B47" s="147" cm="1">
        <f t="array" ref="B47">_xlfn.LET(_xlpm.p,$A47,_xlfn.IFNA(
  INDEX(tblProjectInfo[InfoValue],
        MATCH(1,(tblProjectInfo[ProjectName]=_xlpm.p)*
                 (UPPER(TRIM(tblProjectInfo[Info]))="PROJECT SIZE (KWP)"),0)
), ""))</f>
        <v>130</v>
      </c>
      <c r="C47" s="147" t="str" cm="1">
        <f t="array" ref="C47">_xlfn.LET(_xlpm.p,$A47,_xlfn.IFNA(
  INDEX(tblProjectInfo[InfoValue],
        MATCH(1,(tblProjectInfo[ProjectName]=_xlpm.p)*
                 (UPPER(TRIM(tblProjectInfo[Info]))="PROJECT DEVELOPER"),0)
), ""))</f>
        <v>Peet Verreynne</v>
      </c>
      <c r="D47" s="148" t="str" cm="1">
        <f t="array" ref="D47">_xlfn.LET(_xlpm.p,$A47,_xlfn.IFNA(
  INDEX(tblProjectInfo[InfoValue],
        MATCH(1,(tblProjectInfo[ProjectName]=_xlpm.p)*
                 (UPPER(TRIM(tblProjectInfo[Info]))="PROJECT MANAGERS"),0)
), ""))</f>
        <v>Peet Verreynne</v>
      </c>
      <c r="E47" s="330"/>
      <c r="F47" s="330"/>
      <c r="G47" s="330"/>
      <c r="H47" s="162" t="str" cm="1">
        <f t="array" ref="H47">_xlfn.LET(_xlpm.p,$A47,_xlfn.IFNA(
  INDEX(tblProjectInfo[InfoValue],
        MATCH(1,(tblProjectInfo[ProjectName]=_xlpm.p)*
                 ISNUMBER(SEARCH("PHASE",UPPER(tblProjectInfo[Info]))),0)
), ""))</f>
        <v>Compliance Handover</v>
      </c>
      <c r="I47" s="149" cm="1">
        <f t="array" ref="I47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45932</v>
      </c>
      <c r="J47" s="149">
        <f>IFERROR(
  _xlfn.MAXIFS(
    tblProjectPlan[ActualEndDate],
    tblProjectPlan[ProjectName], tblProjects[[#This Row],[Project Name]],
    tblProjectPlan[TaskDescription], "*site establishment*"
  ),
  ""
)</f>
        <v>45968</v>
      </c>
      <c r="K47" s="169">
        <f>_xlfn.DAYS(tblProjects[[#This Row],[Client Handover Date]],tblProjects[[#This Row],[Construction Start date]])</f>
        <v>33</v>
      </c>
      <c r="L47" s="169">
        <f>tblProjects[[#This Row],[Size]]/(_xlfn.DAYS(tblProjects[[#This Row],[Commissioning Date]],tblProjects[[#This Row],[Construction Start date]]))*7</f>
        <v>36.4</v>
      </c>
      <c r="M47" s="149">
        <f>IFERROR(
  _xlfn.MAXIFS(
    tblProjectPlan[ActualEndDate],
    tblProjectPlan[ProjectName], tblProjects[[#This Row],[Project Name]],
    tblProjectPlan[TaskDescription], "*Commissioning*"
  ),
  ""
)</f>
        <v>45993</v>
      </c>
      <c r="N47" s="149">
        <f>IFERROR(
  _xlfn.MAXIFS(
    tblProjectPlan[ActualEndDate],
    tblProjectPlan[ProjectName], tblProjects[[#This Row],[Project Name]],
    tblProjectPlan[TaskDescription], "*Handover to Matriarch*"
  ),
  ""
)</f>
        <v>46008</v>
      </c>
      <c r="O47" s="149">
        <f>IFERROR(
  _xlfn.MAXIFS(
    tblProjectPlan[ActualEndDate],
    tblProjectPlan[ProjectName], tblProjects[[#This Row],[Project Name]],
    tblProjectPlan[TaskDescription], "*handover to client*"
  ),
  ""
)</f>
        <v>46001</v>
      </c>
      <c r="P47" s="150">
        <f>IFERROR(AVERAGEIF(tblProjectPlan[ProjectName],tblProjects[[#This Row],[Project Name]],tblProjectPlan[Actual%Complete]),0)</f>
        <v>1</v>
      </c>
      <c r="Q47" s="150">
        <f>IFERROR(AVERAGEIF(tblProjectPlan[ProjectName],tblProjects[[#This Row],[Project Name]],tblProjectPlan[Expected%Complete]),0)</f>
        <v>0.99999802380992842</v>
      </c>
      <c r="R47" s="151">
        <f>tblProjects[[#This Row],[Project % Complete]]-tblProjects[[#This Row],[Expected % Completed]]</f>
        <v>1.9761900715842273E-6</v>
      </c>
      <c r="S47" s="152">
        <f>_xlfn.LET(_xlpm.p,tblProjects[[#This Row],[Project Name]], SUMIFS(tblProgramInflows[MilstoneAmount], tblProgramInflows[ProjectName], _xlpm.p))</f>
        <v>1292329.358008248</v>
      </c>
      <c r="T47" s="152">
        <f>_xlfn.LET(_xlpm.p,tblProjects[[#This Row],[Project Name]], SUMIFS(tblProgramExpense[ExpenseActualTotal], tblProgramExpense[ProjectName], _xlpm.p))</f>
        <v>889884.7555000002</v>
      </c>
      <c r="U47" s="150">
        <f>1-IF(tblProjects[[#This Row],[Actual Revenue]]=0,"",tblProjects[[#This Row],[Actual Expenses]]/tblProjects[[#This Row],[Actual Revenue]])</f>
        <v>0.31141024539479611</v>
      </c>
      <c r="V47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7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7" s="246"/>
      <c r="Y47" s="351"/>
      <c r="Z47"/>
      <c r="AA47"/>
      <c r="AB47"/>
      <c r="AC47"/>
      <c r="AD47"/>
      <c r="AE47"/>
      <c r="AF47"/>
      <c r="AG47"/>
      <c r="AH47"/>
      <c r="AI47"/>
      <c r="AJ47"/>
    </row>
    <row r="48" spans="1:36">
      <c r="A48" t="str" cm="1">
        <f t="array" ref="A4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IFERROR(INDEX(_xlpm.sorted,ROWS(A$2:A48)),"")
)</f>
        <v>IconsSA_KZN_Tracker.xlsx</v>
      </c>
      <c r="B48" s="147" cm="1">
        <f t="array" ref="B48">_xlfn.LET(_xlpm.p,$A48,_xlfn.IFNA(
  INDEX(tblProjectInfo[InfoValue],
        MATCH(1,(tblProjectInfo[ProjectName]=_xlpm.p)*
                 (UPPER(TRIM(tblProjectInfo[Info]))="PROJECT SIZE (KWP)"),0)
), ""))</f>
        <v>71</v>
      </c>
      <c r="C48" s="147" t="str" cm="1">
        <f t="array" ref="C48">_xlfn.LET(_xlpm.p,$A48,_xlfn.IFNA(
  INDEX(tblProjectInfo[InfoValue],
        MATCH(1,(tblProjectInfo[ProjectName]=_xlpm.p)*
                 (UPPER(TRIM(tblProjectInfo[Info]))="PROJECT DEVELOPER"),0)
), ""))</f>
        <v>Peet Verreynne</v>
      </c>
      <c r="D48" s="148" t="str" cm="1">
        <f t="array" ref="D48">_xlfn.LET(_xlpm.p,$A48,_xlfn.IFNA(
  INDEX(tblProjectInfo[InfoValue],
        MATCH(1,(tblProjectInfo[ProjectName]=_xlpm.p)*
                 (UPPER(TRIM(tblProjectInfo[Info]))="PROJECT MANAGERS"),0)
), ""))</f>
        <v>Eon Van Rensburg</v>
      </c>
      <c r="E48" s="147"/>
      <c r="F48" s="147"/>
      <c r="G48" s="147"/>
      <c r="H48" s="162" t="str" cm="1">
        <f t="array" ref="H48">_xlfn.LET(_xlpm.p,$A48,_xlfn.IFNA(
  INDEX(tblProjectInfo[InfoValue],
        MATCH(1,(tblProjectInfo[ProjectName]=_xlpm.p)*
                 ISNUMBER(SEARCH("PHASE",UPPER(tblProjectInfo[Info]))),0)
), ""))</f>
        <v>Compliance Handover</v>
      </c>
      <c r="I48" s="149" cm="1">
        <f t="array" ref="I48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45874</v>
      </c>
      <c r="J48" s="149">
        <f>IFERROR(
  _xlfn.MAXIFS(
    tblProjectPlan[ActualEndDate],
    tblProjectPlan[ProjectName], tblProjects[[#This Row],[Project Name]],
    tblProjectPlan[TaskDescription], "*site establishment*"
  ),
  ""
)</f>
        <v>45911</v>
      </c>
      <c r="K48" s="169">
        <f>_xlfn.DAYS(tblProjects[[#This Row],[Client Handover Date]],tblProjects[[#This Row],[Construction Start date]])</f>
        <v>63</v>
      </c>
      <c r="L48" s="169">
        <f>tblProjects[[#This Row],[Size]]/(_xlfn.DAYS(tblProjects[[#This Row],[Commissioning Date]],tblProjects[[#This Row],[Construction Start date]]))*7</f>
        <v>15.060606060606059</v>
      </c>
      <c r="M48" s="149">
        <f>IFERROR(
  _xlfn.MAXIFS(
    tblProjectPlan[ActualEndDate],
    tblProjectPlan[ProjectName], tblProjects[[#This Row],[Project Name]],
    tblProjectPlan[TaskDescription], "*Commissioning*"
  ),
  ""
)</f>
        <v>45944</v>
      </c>
      <c r="N48" s="149">
        <f>IFERROR(
  _xlfn.MAXIFS(
    tblProjectPlan[ActualEndDate],
    tblProjectPlan[ProjectName], tblProjects[[#This Row],[Project Name]],
    tblProjectPlan[TaskDescription], "*Handover to Matriarch*"
  ),
  ""
)</f>
        <v>45992</v>
      </c>
      <c r="O48" s="149">
        <f>IFERROR(
  _xlfn.MAXIFS(
    tblProjectPlan[ActualEndDate],
    tblProjectPlan[ProjectName], tblProjects[[#This Row],[Project Name]],
    tblProjectPlan[TaskDescription], "*handover to client*"
  ),
  ""
)</f>
        <v>45974</v>
      </c>
      <c r="P48" s="150">
        <f>IFERROR(AVERAGEIF(tblProjectPlan[ProjectName],tblProjects[[#This Row],[Project Name]],tblProjectPlan[Actual%Complete]),0)</f>
        <v>0.97142857142857142</v>
      </c>
      <c r="Q48" s="150">
        <f>IFERROR(AVERAGEIF(tblProjectPlan[ProjectName],tblProjects[[#This Row],[Project Name]],tblProjectPlan[Expected%Complete]),0)</f>
        <v>0.97142857142857142</v>
      </c>
      <c r="R48" s="151">
        <f>tblProjects[[#This Row],[Project % Complete]]-tblProjects[[#This Row],[Expected % Completed]]</f>
        <v>0</v>
      </c>
      <c r="S48" s="152">
        <f>_xlfn.LET(_xlpm.p,tblProjects[[#This Row],[Project Name]], SUMIFS(tblProgramInflows[MilstoneAmount], tblProgramInflows[ProjectName], _xlpm.p))</f>
        <v>1027136</v>
      </c>
      <c r="T48" s="152">
        <f>_xlfn.LET(_xlpm.p,tblProjects[[#This Row],[Project Name]], SUMIFS(tblProgramExpense[ExpenseActualTotal], tblProgramExpense[ProjectName], _xlpm.p))</f>
        <v>770507.2699999999</v>
      </c>
      <c r="U48" s="150">
        <f>1-IF(tblProjects[[#This Row],[Actual Revenue]]=0,"",tblProjects[[#This Row],[Actual Expenses]]/tblProjects[[#This Row],[Actual Revenue]])</f>
        <v>0.24984883209234232</v>
      </c>
      <c r="V48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8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8" s="246"/>
      <c r="Y48" s="246"/>
      <c r="Z48"/>
      <c r="AA48"/>
      <c r="AB48"/>
      <c r="AC48"/>
      <c r="AD48"/>
      <c r="AE48"/>
      <c r="AF48"/>
      <c r="AG48"/>
      <c r="AH48"/>
      <c r="AI48"/>
      <c r="AJ48"/>
    </row>
    <row r="49" spans="1:36">
      <c r="A49" t="str" cm="1">
        <f t="array" ref="A4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IFERROR(INDEX(_xlpm.sorted,ROWS(A$2:A49)),"")
)</f>
        <v>Kroonstad_Tracker.xlsx</v>
      </c>
      <c r="B49" s="147" cm="1">
        <f t="array" ref="B49">_xlfn.LET(_xlpm.p,$A49,_xlfn.IFNA(
  INDEX(tblProjectInfo[InfoValue],
        MATCH(1,(tblProjectInfo[ProjectName]=_xlpm.p)*
                 (UPPER(TRIM(tblProjectInfo[Info]))="PROJECT SIZE (KWP)"),0)
), ""))</f>
        <v>391</v>
      </c>
      <c r="C49" s="147" t="str" cm="1">
        <f t="array" ref="C49">_xlfn.LET(_xlpm.p,$A49,_xlfn.IFNA(
  INDEX(tblProjectInfo[InfoValue],
        MATCH(1,(tblProjectInfo[ProjectName]=_xlpm.p)*
                 (UPPER(TRIM(tblProjectInfo[Info]))="PROJECT DEVELOPER"),0)
), ""))</f>
        <v>Natasha Watkins-Baker</v>
      </c>
      <c r="D49" s="148" t="str" cm="1">
        <f t="array" ref="D49">_xlfn.LET(_xlpm.p,$A49,_xlfn.IFNA(
  INDEX(tblProjectInfo[InfoValue],
        MATCH(1,(tblProjectInfo[ProjectName]=_xlpm.p)*
                 (UPPER(TRIM(tblProjectInfo[Info]))="PROJECT MANAGERS"),0)
), ""))</f>
        <v>JT Moorosi</v>
      </c>
      <c r="E49" s="147"/>
      <c r="F49" s="147"/>
      <c r="G49" s="147"/>
      <c r="H49" s="162" t="str" cm="1">
        <f t="array" ref="H49">_xlfn.LET(_xlpm.p,$A49,_xlfn.IFNA(
  INDEX(tblProjectInfo[InfoValue],
        MATCH(1,(tblProjectInfo[ProjectName]=_xlpm.p)*
                 ISNUMBER(SEARCH("PHASE",UPPER(tblProjectInfo[Info]))),0)
), ""))</f>
        <v>Compliance Handover</v>
      </c>
      <c r="I49" s="149" cm="1">
        <f t="array" ref="I49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45791</v>
      </c>
      <c r="J49" s="149">
        <f>IFERROR(
  _xlfn.MAXIFS(
    tblProjectPlan[ActualEndDate],
    tblProjectPlan[ProjectName], tblProjects[[#This Row],[Project Name]],
    tblProjectPlan[TaskDescription], "*site establishment*"
  ),
  ""
)</f>
        <v>45811</v>
      </c>
      <c r="K49" s="169">
        <f>_xlfn.DAYS(tblProjects[[#This Row],[Client Handover Date]],tblProjects[[#This Row],[Construction Start date]])</f>
        <v>111</v>
      </c>
      <c r="L49" s="169">
        <f>tblProjects[[#This Row],[Size]]/(_xlfn.DAYS(tblProjects[[#This Row],[Commissioning Date]],tblProjects[[#This Row],[Construction Start date]]))*7</f>
        <v>30.411111111111108</v>
      </c>
      <c r="M49" s="149">
        <f>IFERROR(
  _xlfn.MAXIFS(
    tblProjectPlan[ActualEndDate],
    tblProjectPlan[ProjectName], tblProjects[[#This Row],[Project Name]],
    tblProjectPlan[TaskDescription], "*Commissioning*"
  ),
  ""
)</f>
        <v>45901</v>
      </c>
      <c r="N49" s="149">
        <f>IFERROR(
  _xlfn.MAXIFS(
    tblProjectPlan[ActualEndDate],
    tblProjectPlan[ProjectName], tblProjects[[#This Row],[Project Name]],
    tblProjectPlan[TaskDescription], "*Handover to Matriarch*"
  ),
  ""
)</f>
        <v>45926</v>
      </c>
      <c r="O49" s="149">
        <f>IFERROR(
  _xlfn.MAXIFS(
    tblProjectPlan[ActualEndDate],
    tblProjectPlan[ProjectName], tblProjects[[#This Row],[Project Name]],
    tblProjectPlan[TaskDescription], "*handover to client*"
  ),
  ""
)</f>
        <v>45922</v>
      </c>
      <c r="P49" s="150">
        <f>IFERROR(AVERAGEIF(tblProjectPlan[ProjectName],tblProjects[[#This Row],[Project Name]],tblProjectPlan[Actual%Complete]),0)</f>
        <v>0.97142857142857142</v>
      </c>
      <c r="Q49" s="150">
        <f>IFERROR(AVERAGEIF(tblProjectPlan[ProjectName],tblProjects[[#This Row],[Project Name]],tblProjectPlan[Expected%Complete]),0)</f>
        <v>0.97142857142857142</v>
      </c>
      <c r="R49" s="151">
        <f>tblProjects[[#This Row],[Project % Complete]]-tblProjects[[#This Row],[Expected % Completed]]</f>
        <v>0</v>
      </c>
      <c r="S49" s="152">
        <f>_xlfn.LET(_xlpm.p,tblProjects[[#This Row],[Project Name]], SUMIFS(tblProgramInflows[MilstoneAmount], tblProgramInflows[ProjectName], _xlpm.p))</f>
        <v>3786732</v>
      </c>
      <c r="T49" s="152">
        <f>_xlfn.LET(_xlpm.p,tblProjects[[#This Row],[Project Name]], SUMIFS(tblProgramExpense[ExpenseActualTotal], tblProgramExpense[ProjectName], _xlpm.p))</f>
        <v>2789768.8875000002</v>
      </c>
      <c r="U49" s="150">
        <f>1-IF(tblProjects[[#This Row],[Actual Revenue]]=0,"",tblProjects[[#This Row],[Actual Expenses]]/tblProjects[[#This Row],[Actual Revenue]])</f>
        <v>0.2632779696318619</v>
      </c>
      <c r="V49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49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49" s="246"/>
      <c r="Y49" s="246"/>
      <c r="Z49"/>
      <c r="AA49"/>
      <c r="AB49"/>
      <c r="AC49"/>
      <c r="AD49"/>
      <c r="AE49"/>
      <c r="AF49"/>
      <c r="AG49"/>
      <c r="AH49"/>
      <c r="AI49"/>
      <c r="AJ49"/>
    </row>
    <row r="50" spans="1:36" s="147" customFormat="1">
      <c r="A50" t="str" cm="1">
        <f t="array" ref="A5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IFERROR(INDEX(_xlpm.sorted,ROWS(A$2:A50)),"")
)</f>
        <v>Lynnridge Mall_Tracker_1.xlsx</v>
      </c>
      <c r="B50" s="147" cm="1">
        <f t="array" ref="B50">_xlfn.LET(_xlpm.p,$A50,_xlfn.IFNA(
  INDEX(tblProjectInfo[InfoValue],
        MATCH(1,(tblProjectInfo[ProjectName]=_xlpm.p)*
                 (UPPER(TRIM(tblProjectInfo[Info]))="PROJECT SIZE (KWP)"),0)
), ""))</f>
        <v>700</v>
      </c>
      <c r="C50" s="147" t="str" cm="1">
        <f t="array" ref="C50">_xlfn.LET(_xlpm.p,$A50,_xlfn.IFNA(
  INDEX(tblProjectInfo[InfoValue],
        MATCH(1,(tblProjectInfo[ProjectName]=_xlpm.p)*
                 (UPPER(TRIM(tblProjectInfo[Info]))="PROJECT DEVELOPER"),0)
), ""))</f>
        <v>Peet Verenney</v>
      </c>
      <c r="D50" s="148" t="str" cm="1">
        <f t="array" ref="D50">_xlfn.LET(_xlpm.p,$A50,_xlfn.IFNA(
  INDEX(tblProjectInfo[InfoValue],
        MATCH(1,(tblProjectInfo[ProjectName]=_xlpm.p)*
                 (UPPER(TRIM(tblProjectInfo[Info]))="PROJECT MANAGERS"),0)
), ""))</f>
        <v>Eon Van Rensburg</v>
      </c>
      <c r="H50" s="162" t="str" cm="1">
        <f t="array" ref="H50">_xlfn.LET(_xlpm.p,$A50,_xlfn.IFNA(
  INDEX(tblProjectInfo[InfoValue],
        MATCH(1,(tblProjectInfo[ProjectName]=_xlpm.p)*
                 ISNUMBER(SEARCH("PHASE",UPPER(tblProjectInfo[Info]))),0)
), ""))</f>
        <v>Compliance Handover</v>
      </c>
      <c r="I50" s="149" cm="1">
        <f t="array" ref="I50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45686</v>
      </c>
      <c r="J50" s="149">
        <f>IFERROR(
  _xlfn.MAXIFS(
    tblProjectPlan[ActualEndDate],
    tblProjectPlan[ProjectName], tblProjects[[#This Row],[Project Name]],
    tblProjectPlan[TaskDescription], "*site establishment*"
  ),
  ""
)</f>
        <v>45827</v>
      </c>
      <c r="K50" s="169">
        <f>_xlfn.DAYS(tblProjects[[#This Row],[Client Handover Date]],tblProjects[[#This Row],[Construction Start date]])</f>
        <v>120</v>
      </c>
      <c r="L50" s="169">
        <f>tblProjects[[#This Row],[Size]]/(_xlfn.DAYS(tblProjects[[#This Row],[Commissioning Date]],tblProjects[[#This Row],[Construction Start date]]))*7</f>
        <v>55.056179775280896</v>
      </c>
      <c r="M50" s="149">
        <f>IFERROR(
  _xlfn.MAXIFS(
    tblProjectPlan[ActualEndDate],
    tblProjectPlan[ProjectName], tblProjects[[#This Row],[Project Name]],
    tblProjectPlan[TaskDescription], "*Commissioning*"
  ),
  ""
)</f>
        <v>45916</v>
      </c>
      <c r="N50" s="149">
        <f>IFERROR(
  _xlfn.MAXIFS(
    tblProjectPlan[ActualEndDate],
    tblProjectPlan[ProjectName], tblProjects[[#This Row],[Project Name]],
    tblProjectPlan[TaskDescription], "*Handover to Matriarch*"
  ),
  ""
)</f>
        <v>45953</v>
      </c>
      <c r="O50" s="149">
        <f>IFERROR(
  _xlfn.MAXIFS(
    tblProjectPlan[ActualEndDate],
    tblProjectPlan[ProjectName], tblProjects[[#This Row],[Project Name]],
    tblProjectPlan[TaskDescription], "*handover to client*"
  ),
  ""
)</f>
        <v>45947</v>
      </c>
      <c r="P50" s="150">
        <f>IFERROR(AVERAGEIF(tblProjectPlan[ProjectName],tblProjects[[#This Row],[Project Name]],tblProjectPlan[Actual%Complete]),0)</f>
        <v>0.97222222222222221</v>
      </c>
      <c r="Q50" s="150">
        <f>IFERROR(AVERAGEIF(tblProjectPlan[ProjectName],tblProjects[[#This Row],[Project Name]],tblProjectPlan[Expected%Complete]),0)</f>
        <v>0.97222222222222221</v>
      </c>
      <c r="R50" s="151">
        <f>tblProjects[[#This Row],[Project % Complete]]-tblProjects[[#This Row],[Expected % Completed]]</f>
        <v>0</v>
      </c>
      <c r="S50" s="152">
        <f>_xlfn.LET(_xlpm.p,tblProjects[[#This Row],[Project Name]], SUMIFS(tblProgramInflows[MilstoneAmount], tblProgramInflows[ProjectName], _xlpm.p))</f>
        <v>5818787.21011623</v>
      </c>
      <c r="T50" s="152">
        <f>_xlfn.LET(_xlpm.p,tblProjects[[#This Row],[Project Name]], SUMIFS(tblProgramExpense[ExpenseActualTotal], tblProgramExpense[ProjectName], _xlpm.p))</f>
        <v>4056639.240126451</v>
      </c>
      <c r="U50" s="150">
        <f>1-IF(tblProjects[[#This Row],[Actual Revenue]]=0,"",tblProjects[[#This Row],[Actual Expenses]]/tblProjects[[#This Row],[Actual Revenue]])</f>
        <v>0.30283767155571584</v>
      </c>
      <c r="V50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0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0" s="246"/>
      <c r="Y50" s="246"/>
      <c r="Z50"/>
      <c r="AA50"/>
      <c r="AB50"/>
      <c r="AC50"/>
      <c r="AD50"/>
      <c r="AE50"/>
      <c r="AF50"/>
      <c r="AG50"/>
      <c r="AH50"/>
      <c r="AI50"/>
      <c r="AJ50"/>
    </row>
    <row r="51" spans="1:36">
      <c r="A51" t="str" cm="1">
        <f t="array" ref="A5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IFERROR(INDEX(_xlpm.sorted,ROWS(A$2:A51)),"")
)</f>
        <v>Northpoint_Tracker.xlsx</v>
      </c>
      <c r="B51" s="147" cm="1">
        <f t="array" ref="B51">_xlfn.LET(_xlpm.p,$A51,_xlfn.IFNA(
  INDEX(tblProjectInfo[InfoValue],
        MATCH(1,(tblProjectInfo[ProjectName]=_xlpm.p)*
                 (UPPER(TRIM(tblProjectInfo[Info]))="PROJECT SIZE (KWP)"),0)
), ""))</f>
        <v>260</v>
      </c>
      <c r="C51" s="147" t="str" cm="1">
        <f t="array" ref="C51">_xlfn.LET(_xlpm.p,$A51,_xlfn.IFNA(
  INDEX(tblProjectInfo[InfoValue],
        MATCH(1,(tblProjectInfo[ProjectName]=_xlpm.p)*
                 (UPPER(TRIM(tblProjectInfo[Info]))="PROJECT DEVELOPER"),0)
), ""))</f>
        <v>Natasha Watkins-Baker</v>
      </c>
      <c r="D51" s="148" t="str" cm="1">
        <f t="array" ref="D51">_xlfn.LET(_xlpm.p,$A51,_xlfn.IFNA(
  INDEX(tblProjectInfo[InfoValue],
        MATCH(1,(tblProjectInfo[ProjectName]=_xlpm.p)*
                 (UPPER(TRIM(tblProjectInfo[Info]))="PROJECT MANAGERS"),0)
), ""))</f>
        <v>Justin Franke</v>
      </c>
      <c r="E51" s="147"/>
      <c r="F51" s="147"/>
      <c r="G51" s="147"/>
      <c r="H51" s="162" t="str" cm="1">
        <f t="array" ref="H51">_xlfn.LET(_xlpm.p,$A51,_xlfn.IFNA(
  INDEX(tblProjectInfo[InfoValue],
        MATCH(1,(tblProjectInfo[ProjectName]=_xlpm.p)*
                 ISNUMBER(SEARCH("PHASE",UPPER(tblProjectInfo[Info]))),0)
), ""))</f>
        <v>Compliance Handover</v>
      </c>
      <c r="I51" s="149" cm="1">
        <f t="array" ref="I51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45832</v>
      </c>
      <c r="J51" s="149">
        <f>IFERROR(
  _xlfn.MAXIFS(
    tblProjectPlan[ActualEndDate],
    tblProjectPlan[ProjectName], tblProjects[[#This Row],[Project Name]],
    tblProjectPlan[TaskDescription], "*site establishment*"
  ),
  ""
)</f>
        <v>45853</v>
      </c>
      <c r="K51" s="169">
        <f>_xlfn.DAYS(tblProjects[[#This Row],[Client Handover Date]],tblProjects[[#This Row],[Construction Start date]])</f>
        <v>101</v>
      </c>
      <c r="L51" s="169">
        <f>tblProjects[[#This Row],[Size]]/(_xlfn.DAYS(tblProjects[[#This Row],[Commissioning Date]],tblProjects[[#This Row],[Construction Start date]]))*7</f>
        <v>28.888888888888893</v>
      </c>
      <c r="M51" s="149">
        <f>IFERROR(
  _xlfn.MAXIFS(
    tblProjectPlan[ActualEndDate],
    tblProjectPlan[ProjectName], tblProjects[[#This Row],[Project Name]],
    tblProjectPlan[TaskDescription], "*Commissioning*"
  ),
  ""
)</f>
        <v>45916</v>
      </c>
      <c r="N51" s="149">
        <f>IFERROR(
  _xlfn.MAXIFS(
    tblProjectPlan[ActualEndDate],
    tblProjectPlan[ProjectName], tblProjects[[#This Row],[Project Name]],
    tblProjectPlan[TaskDescription], "*Handover to Matriarch*"
  ),
  ""
)</f>
        <v>45960</v>
      </c>
      <c r="O51" s="149">
        <f>IFERROR(
  _xlfn.MAXIFS(
    tblProjectPlan[ActualEndDate],
    tblProjectPlan[ProjectName], tblProjects[[#This Row],[Project Name]],
    tblProjectPlan[TaskDescription], "*handover to client*"
  ),
  ""
)</f>
        <v>45954</v>
      </c>
      <c r="P51" s="150">
        <f>IFERROR(AVERAGEIF(tblProjectPlan[ProjectName],tblProjects[[#This Row],[Project Name]],tblProjectPlan[Actual%Complete]),0)</f>
        <v>0.97142857142857142</v>
      </c>
      <c r="Q51" s="150">
        <v>1</v>
      </c>
      <c r="R51" s="151">
        <f>tblProjects[[#This Row],[Project % Complete]]-tblProjects[[#This Row],[Expected % Completed]]</f>
        <v>-2.8571428571428581E-2</v>
      </c>
      <c r="S51" s="152">
        <f>_xlfn.LET(_xlpm.p,tblProjects[[#This Row],[Project Name]], SUMIFS(tblProgramInflows[MilstoneAmount], tblProgramInflows[ProjectName], _xlpm.p))</f>
        <v>5133192.61216514</v>
      </c>
      <c r="T51" s="152">
        <f>_xlfn.LET(_xlpm.p,tblProjects[[#This Row],[Project Name]], SUMIFS(tblProgramExpense[ExpenseActualTotal], tblProgramExpense[ProjectName], _xlpm.p))</f>
        <v>1543091.0238260319</v>
      </c>
      <c r="U51" s="150">
        <f>1-IF(tblProjects[[#This Row],[Actual Revenue]]=0,"",tblProjects[[#This Row],[Actual Expenses]]/tblProjects[[#This Row],[Actual Revenue]])</f>
        <v>0.69938961180434478</v>
      </c>
      <c r="V51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1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1" s="246"/>
      <c r="Y51" s="246"/>
      <c r="Z51"/>
      <c r="AA51"/>
      <c r="AB51"/>
      <c r="AC51"/>
      <c r="AD51"/>
      <c r="AE51"/>
      <c r="AF51"/>
      <c r="AG51"/>
      <c r="AH51"/>
      <c r="AI51"/>
      <c r="AJ51"/>
    </row>
    <row r="52" spans="1:36">
      <c r="A52" t="str" cm="1">
        <f t="array" ref="A5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IFERROR(INDEX(_xlpm.sorted,ROWS(A$2:A52)),"")
)</f>
        <v>Ridgeview Mall_Tracker.xlsx</v>
      </c>
      <c r="B52" s="147" cm="1">
        <f t="array" ref="B52">_xlfn.LET(_xlpm.p,$A52,_xlfn.IFNA(
  INDEX(tblProjectInfo[InfoValue],
        MATCH(1,(tblProjectInfo[ProjectName]=_xlpm.p)*
                 (UPPER(TRIM(tblProjectInfo[Info]))="PROJECT SIZE (KWP)"),0)
), ""))</f>
        <v>600</v>
      </c>
      <c r="C52" s="147" t="str" cm="1">
        <f t="array" ref="C52">_xlfn.LET(_xlpm.p,$A52,_xlfn.IFNA(
  INDEX(tblProjectInfo[InfoValue],
        MATCH(1,(tblProjectInfo[ProjectName]=_xlpm.p)*
                 (UPPER(TRIM(tblProjectInfo[Info]))="PROJECT DEVELOPER"),0)
), ""))</f>
        <v>Peet Verenney</v>
      </c>
      <c r="D52" s="148" t="str" cm="1">
        <f t="array" ref="D52">_xlfn.LET(_xlpm.p,$A52,_xlfn.IFNA(
  INDEX(tblProjectInfo[InfoValue],
        MATCH(1,(tblProjectInfo[ProjectName]=_xlpm.p)*
                 (UPPER(TRIM(tblProjectInfo[Info]))="PROJECT MANAGERS"),0)
), ""))</f>
        <v>JT Moorosi</v>
      </c>
      <c r="E52" s="147"/>
      <c r="F52" s="147"/>
      <c r="G52" s="147"/>
      <c r="H52" s="162" t="str" cm="1">
        <f t="array" ref="H52">_xlfn.LET(_xlpm.p,$A52,_xlfn.IFNA(
  INDEX(tblProjectInfo[InfoValue],
        MATCH(1,(tblProjectInfo[ProjectName]=_xlpm.p)*
                 ISNUMBER(SEARCH("PHASE",UPPER(tblProjectInfo[Info]))),0)
), ""))</f>
        <v>Compliance Handover</v>
      </c>
      <c r="I52" s="149" cm="1">
        <f t="array" ref="I52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45686</v>
      </c>
      <c r="J52" s="149">
        <f>IFERROR(
  _xlfn.MAXIFS(
    tblProjectPlan[ActualEndDate],
    tblProjectPlan[ProjectName], tblProjects[[#This Row],[Project Name]],
    tblProjectPlan[TaskDescription], "*site establishment*"
  ),
  ""
)</f>
        <v>45727</v>
      </c>
      <c r="K52" s="169">
        <f>_xlfn.DAYS(tblProjects[[#This Row],[Client Handover Date]],tblProjects[[#This Row],[Construction Start date]])</f>
        <v>143</v>
      </c>
      <c r="L52" s="169">
        <f>tblProjects[[#This Row],[Size]]/(_xlfn.DAYS(tblProjects[[#This Row],[Commissioning Date]],tblProjects[[#This Row],[Construction Start date]]))*7</f>
        <v>31.81818181818182</v>
      </c>
      <c r="M52" s="149">
        <f>IFERROR(
  _xlfn.MAXIFS(
    tblProjectPlan[ActualEndDate],
    tblProjectPlan[ProjectName], tblProjects[[#This Row],[Project Name]],
    tblProjectPlan[TaskDescription], "*Commissioning*"
  ),
  ""
)</f>
        <v>45859</v>
      </c>
      <c r="N52" s="149">
        <f>IFERROR(
  _xlfn.MAXIFS(
    tblProjectPlan[ActualEndDate],
    tblProjectPlan[ProjectName], tblProjects[[#This Row],[Project Name]],
    tblProjectPlan[TaskDescription], "*Handover to Matriarch*"
  ),
  ""
)</f>
        <v>45868</v>
      </c>
      <c r="O52" s="149">
        <f>IFERROR(
  _xlfn.MAXIFS(
    tblProjectPlan[ActualEndDate],
    tblProjectPlan[ProjectName], tblProjects[[#This Row],[Project Name]],
    tblProjectPlan[TaskDescription], "*handover to client*"
  ),
  ""
)</f>
        <v>45870</v>
      </c>
      <c r="P52" s="150">
        <f>IFERROR(AVERAGEIF(tblProjectPlan[ProjectName],tblProjects[[#This Row],[Project Name]],tblProjectPlan[Actual%Complete]),0)</f>
        <v>0.97142857142857142</v>
      </c>
      <c r="Q52" s="150">
        <f>IFERROR(AVERAGEIF(tblProjectPlan[ProjectName],tblProjects[[#This Row],[Project Name]],tblProjectPlan[Expected%Complete]),0)</f>
        <v>0.97142857142857142</v>
      </c>
      <c r="R52" s="151">
        <f>tblProjects[[#This Row],[Project % Complete]]-tblProjects[[#This Row],[Expected % Completed]]</f>
        <v>0</v>
      </c>
      <c r="S52" s="152">
        <f>_xlfn.LET(_xlpm.p,tblProjects[[#This Row],[Project Name]], SUMIFS(tblProgramInflows[MilstoneAmount], tblProgramInflows[ProjectName], _xlpm.p))</f>
        <v>5852178.2600290393</v>
      </c>
      <c r="T52" s="152">
        <f>_xlfn.LET(_xlpm.p,tblProjects[[#This Row],[Project Name]], SUMIFS(tblProgramExpense[ExpenseActualTotal], tblProgramExpense[ProjectName], _xlpm.p))</f>
        <v>4046134.0475003626</v>
      </c>
      <c r="U52" s="150">
        <f>1-IF(tblProjects[[#This Row],[Actual Revenue]]=0,"",tblProjects[[#This Row],[Actual Expenses]]/tblProjects[[#This Row],[Actual Revenue]])</f>
        <v>0.30861059459930307</v>
      </c>
      <c r="V52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2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2" s="246"/>
      <c r="Y52" s="351"/>
      <c r="Z52"/>
      <c r="AA52"/>
      <c r="AB52"/>
      <c r="AC52"/>
      <c r="AD52"/>
      <c r="AE52"/>
      <c r="AF52"/>
      <c r="AG52"/>
      <c r="AH52"/>
      <c r="AI52"/>
      <c r="AJ52"/>
    </row>
    <row r="53" spans="1:36">
      <c r="A53" t="str" cm="1">
        <f t="array" ref="A5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IFERROR(INDEX(_xlpm.sorted,ROWS(A$2:A53)),"")
)</f>
        <v>SA Metal_14 Christiaan_B_Tracker.xlsx</v>
      </c>
      <c r="B53" s="147" cm="1">
        <f t="array" ref="B53">_xlfn.LET(_xlpm.p,$A53,_xlfn.IFNA(
  INDEX(tblProjectInfo[InfoValue],
        MATCH(1,(tblProjectInfo[ProjectName]=_xlpm.p)*
                 (UPPER(TRIM(tblProjectInfo[Info]))="PROJECT SIZE (KWP)"),0)
), ""))</f>
        <v>157</v>
      </c>
      <c r="C53" s="147" t="str" cm="1">
        <f t="array" ref="C53">_xlfn.LET(_xlpm.p,$A53,_xlfn.IFNA(
  INDEX(tblProjectInfo[InfoValue],
        MATCH(1,(tblProjectInfo[ProjectName]=_xlpm.p)*
                 (UPPER(TRIM(tblProjectInfo[Info]))="PROJECT DEVELOPER"),0)
), ""))</f>
        <v/>
      </c>
      <c r="D53" s="148" t="str" cm="1">
        <f t="array" ref="D53">_xlfn.LET(_xlpm.p,$A53,_xlfn.IFNA(
  INDEX(tblProjectInfo[InfoValue],
        MATCH(1,(tblProjectInfo[ProjectName]=_xlpm.p)*
                 (UPPER(TRIM(tblProjectInfo[Info]))="PROJECT MANAGERS"),0)
), ""))</f>
        <v/>
      </c>
      <c r="E53" s="147"/>
      <c r="F53" s="147"/>
      <c r="G53" s="147"/>
      <c r="H53" s="162" t="str" cm="1">
        <f t="array" ref="H53">_xlfn.LET(_xlpm.p,$A53,_xlfn.IFNA(
  INDEX(tblProjectInfo[InfoValue],
        MATCH(1,(tblProjectInfo[ProjectName]=_xlpm.p)*
                 ISNUMBER(SEARCH("PHASE",UPPER(tblProjectInfo[Info]))),0)
), ""))</f>
        <v>Compliance Handover</v>
      </c>
      <c r="I53" s="149" cm="1">
        <f t="array" ref="I53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45519</v>
      </c>
      <c r="J53" s="149">
        <f>IFERROR(
  _xlfn.MAXIFS(
    tblProjectPlan[ActualEndDate],
    tblProjectPlan[ProjectName], tblProjects[[#This Row],[Project Name]],
    tblProjectPlan[TaskDescription], "*site establishment*"
  ),
  ""
)</f>
        <v>45561</v>
      </c>
      <c r="K53" s="169">
        <f>_xlfn.DAYS(tblProjects[[#This Row],[Client Handover Date]],tblProjects[[#This Row],[Construction Start date]])</f>
        <v>147</v>
      </c>
      <c r="L53" s="169">
        <f>tblProjects[[#This Row],[Size]]/(_xlfn.DAYS(tblProjects[[#This Row],[Commissioning Date]],tblProjects[[#This Row],[Construction Start date]]))*7</f>
        <v>15.927536231884057</v>
      </c>
      <c r="M53" s="149">
        <f>IFERROR(
  _xlfn.MAXIFS(
    tblProjectPlan[ActualEndDate],
    tblProjectPlan[ProjectName], tblProjects[[#This Row],[Project Name]],
    tblProjectPlan[TaskDescription], "*Commissioning*"
  ),
  ""
)</f>
        <v>45630</v>
      </c>
      <c r="N53" s="149">
        <f>IFERROR(
  _xlfn.MAXIFS(
    tblProjectPlan[ActualEndDate],
    tblProjectPlan[ProjectName], tblProjects[[#This Row],[Project Name]],
    tblProjectPlan[TaskDescription], "*Handover to Matriarch*"
  ),
  ""
)</f>
        <v>45777</v>
      </c>
      <c r="O53" s="149">
        <f>IFERROR(
  _xlfn.MAXIFS(
    tblProjectPlan[ActualEndDate],
    tblProjectPlan[ProjectName], tblProjects[[#This Row],[Project Name]],
    tblProjectPlan[TaskDescription], "*handover to client*"
  ),
  ""
)</f>
        <v>45708</v>
      </c>
      <c r="P53" s="150">
        <f>IFERROR(AVERAGEIF(tblProjectPlan[ProjectName],tblProjects[[#This Row],[Project Name]],tblProjectPlan[Actual%Complete]),0)</f>
        <v>1</v>
      </c>
      <c r="Q53" s="150">
        <f>IFERROR(AVERAGEIF(tblProjectPlan[ProjectName],tblProjects[[#This Row],[Project Name]],tblProjectPlan[Expected%Complete]),0)</f>
        <v>1</v>
      </c>
      <c r="R53" s="151">
        <f>tblProjects[[#This Row],[Project % Complete]]-tblProjects[[#This Row],[Expected % Completed]]</f>
        <v>0</v>
      </c>
      <c r="S53" s="152">
        <f>_xlfn.LET(_xlpm.p,tblProjects[[#This Row],[Project Name]], SUMIFS(tblProgramInflows[MilstoneAmount], tblProgramInflows[ProjectName], _xlpm.p))</f>
        <v>1729080.5537909898</v>
      </c>
      <c r="T53" s="152">
        <f>_xlfn.LET(_xlpm.p,tblProjects[[#This Row],[Project Name]], SUMIFS(tblProgramExpense[ExpenseActualTotal], tblProgramExpense[ProjectName], _xlpm.p))</f>
        <v>222317.35</v>
      </c>
      <c r="U53" s="150">
        <f>1-IF(tblProjects[[#This Row],[Actual Revenue]]=0,"",tblProjects[[#This Row],[Actual Expenses]]/tblProjects[[#This Row],[Actual Revenue]])</f>
        <v>0.87142452703399409</v>
      </c>
      <c r="V53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3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3" s="246"/>
      <c r="Y53" s="246"/>
      <c r="Z53"/>
      <c r="AA53"/>
      <c r="AB53"/>
      <c r="AC53"/>
      <c r="AD53"/>
      <c r="AE53"/>
      <c r="AF53"/>
      <c r="AG53"/>
      <c r="AH53"/>
      <c r="AI53"/>
      <c r="AJ53"/>
    </row>
    <row r="54" spans="1:36">
      <c r="A54" t="str" cm="1">
        <f t="array" ref="A5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IFERROR(INDEX(_xlpm.sorted,ROWS(A$2:A54)),"")
)</f>
        <v>SA Metal_20 Christiaan_Tracker.xlsx</v>
      </c>
      <c r="B54" s="147" cm="1">
        <f t="array" ref="B54">_xlfn.LET(_xlpm.p,$A54,_xlfn.IFNA(
  INDEX(tblProjectInfo[InfoValue],
        MATCH(1,(tblProjectInfo[ProjectName]=_xlpm.p)*
                 (UPPER(TRIM(tblProjectInfo[Info]))="PROJECT SIZE (KWP)"),0)
), ""))</f>
        <v>148</v>
      </c>
      <c r="C54" s="147" t="str" cm="1">
        <f t="array" ref="C54">_xlfn.LET(_xlpm.p,$A54,_xlfn.IFNA(
  INDEX(tblProjectInfo[InfoValue],
        MATCH(1,(tblProjectInfo[ProjectName]=_xlpm.p)*
                 (UPPER(TRIM(tblProjectInfo[Info]))="PROJECT DEVELOPER"),0)
), ""))</f>
        <v/>
      </c>
      <c r="D54" s="148" t="str" cm="1">
        <f t="array" ref="D54">_xlfn.LET(_xlpm.p,$A54,_xlfn.IFNA(
  INDEX(tblProjectInfo[InfoValue],
        MATCH(1,(tblProjectInfo[ProjectName]=_xlpm.p)*
                 (UPPER(TRIM(tblProjectInfo[Info]))="PROJECT MANAGERS"),0)
), ""))</f>
        <v/>
      </c>
      <c r="E54" s="147"/>
      <c r="F54" s="147"/>
      <c r="G54" s="147"/>
      <c r="H54" s="162" t="str" cm="1">
        <f t="array" ref="H54">_xlfn.LET(_xlpm.p,$A54,_xlfn.IFNA(
  INDEX(tblProjectInfo[InfoValue],
        MATCH(1,(tblProjectInfo[ProjectName]=_xlpm.p)*
                 ISNUMBER(SEARCH("PHASE",UPPER(tblProjectInfo[Info]))),0)
), ""))</f>
        <v>Compliance Handover</v>
      </c>
      <c r="I54" s="149" cm="1">
        <f t="array" ref="I54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45519</v>
      </c>
      <c r="J54" s="149">
        <f>IFERROR(
  _xlfn.MAXIFS(
    tblProjectPlan[ActualEndDate],
    tblProjectPlan[ProjectName], tblProjects[[#This Row],[Project Name]],
    tblProjectPlan[TaskDescription], "*site establishment*"
  ),
  ""
)</f>
        <v>45561</v>
      </c>
      <c r="K54" s="169">
        <f>_xlfn.DAYS(tblProjects[[#This Row],[Client Handover Date]],tblProjects[[#This Row],[Construction Start date]])</f>
        <v>337</v>
      </c>
      <c r="L54" s="169">
        <f>tblProjects[[#This Row],[Size]]/(_xlfn.DAYS(tblProjects[[#This Row],[Commissioning Date]],tblProjects[[#This Row],[Construction Start date]]))*7</f>
        <v>16.1875</v>
      </c>
      <c r="M54" s="149">
        <f>IFERROR(
  _xlfn.MAXIFS(
    tblProjectPlan[ActualEndDate],
    tblProjectPlan[ProjectName], tblProjects[[#This Row],[Project Name]],
    tblProjectPlan[TaskDescription], "*Commissioning*"
  ),
  ""
)</f>
        <v>45625</v>
      </c>
      <c r="N54" s="149">
        <f>IFERROR(
  _xlfn.MAXIFS(
    tblProjectPlan[ActualEndDate],
    tblProjectPlan[ProjectName], tblProjects[[#This Row],[Project Name]],
    tblProjectPlan[TaskDescription], "*Handover to Matriarch*"
  ),
  ""
)</f>
        <v>45777</v>
      </c>
      <c r="O54" s="149">
        <f>IFERROR(
  _xlfn.MAXIFS(
    tblProjectPlan[ActualEndDate],
    tblProjectPlan[ProjectName], tblProjects[[#This Row],[Project Name]],
    tblProjectPlan[TaskDescription], "*handover to client*"
  ),
  ""
)</f>
        <v>45898</v>
      </c>
      <c r="P54" s="150">
        <f>IFERROR(AVERAGEIF(tblProjectPlan[ProjectName],tblProjects[[#This Row],[Project Name]],tblProjectPlan[Actual%Complete]),0)</f>
        <v>1</v>
      </c>
      <c r="Q54" s="150">
        <f>IFERROR(AVERAGEIF(tblProjectPlan[ProjectName],tblProjects[[#This Row],[Project Name]],tblProjectPlan[Expected%Complete]),0)</f>
        <v>1</v>
      </c>
      <c r="R54" s="151">
        <f>tblProjects[[#This Row],[Project % Complete]]-tblProjects[[#This Row],[Expected % Completed]]</f>
        <v>0</v>
      </c>
      <c r="S54" s="152">
        <f>_xlfn.LET(_xlpm.p,tblProjects[[#This Row],[Project Name]], SUMIFS(tblProgramInflows[MilstoneAmount], tblProgramInflows[ProjectName], _xlpm.p))</f>
        <v>1776820.4492688498</v>
      </c>
      <c r="T54" s="152">
        <f>_xlfn.LET(_xlpm.p,tblProjects[[#This Row],[Project Name]], SUMIFS(tblProgramExpense[ExpenseActualTotal], tblProgramExpense[ProjectName], _xlpm.p))</f>
        <v>225414.95</v>
      </c>
      <c r="U54" s="150">
        <f>1-IF(tblProjects[[#This Row],[Actual Revenue]]=0,"",tblProjects[[#This Row],[Actual Expenses]]/tblProjects[[#This Row],[Actual Revenue]])</f>
        <v>0.87313577458388836</v>
      </c>
      <c r="V54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4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4" s="246"/>
      <c r="Y54" s="246"/>
      <c r="Z54"/>
      <c r="AA54"/>
      <c r="AB54"/>
      <c r="AC54"/>
      <c r="AD54"/>
      <c r="AE54"/>
      <c r="AF54"/>
      <c r="AG54"/>
      <c r="AH54"/>
      <c r="AI54"/>
      <c r="AJ54"/>
    </row>
    <row r="55" spans="1:36">
      <c r="A55" t="str" cm="1">
        <f t="array" ref="A5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IFERROR(INDEX(_xlpm.sorted,ROWS(A$2:A55)),"")
)</f>
        <v>SA Metal_22 Christiaan_Tracker.xlsx</v>
      </c>
      <c r="B55" s="147" cm="1">
        <f t="array" ref="B55">_xlfn.LET(_xlpm.p,$A55,_xlfn.IFNA(
  INDEX(tblProjectInfo[InfoValue],
        MATCH(1,(tblProjectInfo[ProjectName]=_xlpm.p)*
                 (UPPER(TRIM(tblProjectInfo[Info]))="PROJECT SIZE (KWP)"),0)
), ""))</f>
        <v>250</v>
      </c>
      <c r="C55" s="147" t="str" cm="1">
        <f t="array" ref="C55">_xlfn.LET(_xlpm.p,$A55,_xlfn.IFNA(
  INDEX(tblProjectInfo[InfoValue],
        MATCH(1,(tblProjectInfo[ProjectName]=_xlpm.p)*
                 (UPPER(TRIM(tblProjectInfo[Info]))="PROJECT DEVELOPER"),0)
), ""))</f>
        <v/>
      </c>
      <c r="D55" s="148" t="str" cm="1">
        <f t="array" ref="D55">_xlfn.LET(_xlpm.p,$A55,_xlfn.IFNA(
  INDEX(tblProjectInfo[InfoValue],
        MATCH(1,(tblProjectInfo[ProjectName]=_xlpm.p)*
                 (UPPER(TRIM(tblProjectInfo[Info]))="PROJECT MANAGERS"),0)
), ""))</f>
        <v/>
      </c>
      <c r="E55" s="147"/>
      <c r="F55" s="147"/>
      <c r="G55" s="147"/>
      <c r="H55" s="162" t="str" cm="1">
        <f t="array" ref="H55">_xlfn.LET(_xlpm.p,$A55,_xlfn.IFNA(
  INDEX(tblProjectInfo[InfoValue],
        MATCH(1,(tblProjectInfo[ProjectName]=_xlpm.p)*
                 ISNUMBER(SEARCH("PHASE",UPPER(tblProjectInfo[Info]))),0)
), ""))</f>
        <v>Compliance Handover</v>
      </c>
      <c r="I55" s="149" cm="1">
        <f t="array" ref="I55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45519</v>
      </c>
      <c r="J55" s="149">
        <f>IFERROR(
  _xlfn.MAXIFS(
    tblProjectPlan[ActualEndDate],
    tblProjectPlan[ProjectName], tblProjects[[#This Row],[Project Name]],
    tblProjectPlan[TaskDescription], "*site establishment*"
  ),
  ""
)</f>
        <v>45561</v>
      </c>
      <c r="K55" s="169">
        <f>_xlfn.DAYS(tblProjects[[#This Row],[Client Handover Date]],tblProjects[[#This Row],[Construction Start date]])</f>
        <v>337</v>
      </c>
      <c r="L55" s="169">
        <f>tblProjects[[#This Row],[Size]]/(_xlfn.DAYS(tblProjects[[#This Row],[Commissioning Date]],tblProjects[[#This Row],[Construction Start date]]))*7</f>
        <v>35.714285714285715</v>
      </c>
      <c r="M55" s="149">
        <f>IFERROR(
  _xlfn.MAXIFS(
    tblProjectPlan[ActualEndDate],
    tblProjectPlan[ProjectName], tblProjects[[#This Row],[Project Name]],
    tblProjectPlan[TaskDescription], "*Commissioning*"
  ),
  ""
)</f>
        <v>45610</v>
      </c>
      <c r="N55" s="149">
        <f>IFERROR(
  _xlfn.MAXIFS(
    tblProjectPlan[ActualEndDate],
    tblProjectPlan[ProjectName], tblProjects[[#This Row],[Project Name]],
    tblProjectPlan[TaskDescription], "*Handover to Matriarch*"
  ),
  ""
)</f>
        <v>45777</v>
      </c>
      <c r="O55" s="149">
        <f>IFERROR(
  _xlfn.MAXIFS(
    tblProjectPlan[ActualEndDate],
    tblProjectPlan[ProjectName], tblProjects[[#This Row],[Project Name]],
    tblProjectPlan[TaskDescription], "*handover to client*"
  ),
  ""
)</f>
        <v>45898</v>
      </c>
      <c r="P55" s="150">
        <f>IFERROR(AVERAGEIF(tblProjectPlan[ProjectName],tblProjects[[#This Row],[Project Name]],tblProjectPlan[Actual%Complete]),0)</f>
        <v>1</v>
      </c>
      <c r="Q55" s="150">
        <v>1</v>
      </c>
      <c r="R55" s="151">
        <f>tblProjects[[#This Row],[Project % Complete]]-tblProjects[[#This Row],[Expected % Completed]]</f>
        <v>0</v>
      </c>
      <c r="S55" s="152">
        <f>_xlfn.LET(_xlpm.p,tblProjects[[#This Row],[Project Name]], SUMIFS(tblProgramInflows[MilstoneAmount], tblProgramInflows[ProjectName], _xlpm.p))</f>
        <v>2505210.4733878602</v>
      </c>
      <c r="T55" s="152">
        <f>_xlfn.LET(_xlpm.p,tblProjects[[#This Row],[Project Name]], SUMIFS(tblProgramExpense[ExpenseActualTotal], tblProgramExpense[ProjectName], _xlpm.p))</f>
        <v>211671.15000000002</v>
      </c>
      <c r="U55" s="150">
        <f>1-IF(tblProjects[[#This Row],[Actual Revenue]]=0,"",tblProjects[[#This Row],[Actual Expenses]]/tblProjects[[#This Row],[Actual Revenue]])</f>
        <v>0.91550763808130187</v>
      </c>
      <c r="V55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5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5" s="246"/>
      <c r="Y55" s="246"/>
      <c r="Z55"/>
      <c r="AA55"/>
      <c r="AB55"/>
      <c r="AC55"/>
      <c r="AD55"/>
      <c r="AE55"/>
      <c r="AF55"/>
      <c r="AG55"/>
      <c r="AH55"/>
      <c r="AI55"/>
      <c r="AJ55"/>
    </row>
    <row r="56" spans="1:36">
      <c r="A56" t="str" cm="1">
        <f t="array" ref="A5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IFERROR(INDEX(_xlpm.sorted,ROWS(A$2:A56)),"")
)</f>
        <v>Shoprite Mini_Bredarsdorp_Tracker.xlsx</v>
      </c>
      <c r="B56" s="147" cm="1">
        <f t="array" ref="B56">_xlfn.LET(_xlpm.p,$A56,_xlfn.IFNA(
  INDEX(tblProjectInfo[InfoValue],
        MATCH(1,(tblProjectInfo[ProjectName]=_xlpm.p)*
                 (UPPER(TRIM(tblProjectInfo[Info]))="PROJECT SIZE (KWP)"),0)
), ""))</f>
        <v>250</v>
      </c>
      <c r="C56" s="147" t="str" cm="1">
        <f t="array" ref="C56">_xlfn.LET(_xlpm.p,$A56,_xlfn.IFNA(
  INDEX(tblProjectInfo[InfoValue],
        MATCH(1,(tblProjectInfo[ProjectName]=_xlpm.p)*
                 (UPPER(TRIM(tblProjectInfo[Info]))="PROJECT DEVELOPER"),0)
), ""))</f>
        <v>Peet Verreynne</v>
      </c>
      <c r="D56" s="148" t="str" cm="1">
        <f t="array" ref="D56">_xlfn.LET(_xlpm.p,$A56,_xlfn.IFNA(
  INDEX(tblProjectInfo[InfoValue],
        MATCH(1,(tblProjectInfo[ProjectName]=_xlpm.p)*
                 (UPPER(TRIM(tblProjectInfo[Info]))="PROJECT MANAGERS"),0)
), ""))</f>
        <v>Peet Verreynne</v>
      </c>
      <c r="E56" s="147"/>
      <c r="F56" s="147"/>
      <c r="G56" s="147"/>
      <c r="H56" s="162" t="str" cm="1">
        <f t="array" ref="H56">_xlfn.LET(_xlpm.p,$A56,_xlfn.IFNA(
  INDEX(tblProjectInfo[InfoValue],
        MATCH(1,(tblProjectInfo[ProjectName]=_xlpm.p)*
                 ISNUMBER(SEARCH("PHASE",UPPER(tblProjectInfo[Info]))),0)
), ""))</f>
        <v>Compliance Handover</v>
      </c>
      <c r="I56" s="149" cm="1">
        <f t="array" ref="I56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45932</v>
      </c>
      <c r="J56" s="149">
        <f>IFERROR(
  _xlfn.MAXIFS(
    tblProjectPlan[ActualEndDate],
    tblProjectPlan[ProjectName], tblProjects[[#This Row],[Project Name]],
    tblProjectPlan[TaskDescription], "*site establishment*"
  ),
  ""
)</f>
        <v>45968</v>
      </c>
      <c r="K56" s="169">
        <f>_xlfn.DAYS(tblProjects[[#This Row],[Client Handover Date]],tblProjects[[#This Row],[Construction Start date]])</f>
        <v>83</v>
      </c>
      <c r="L56" s="169">
        <f>tblProjects[[#This Row],[Size]]/(_xlfn.DAYS(tblProjects[[#This Row],[Commissioning Date]],tblProjects[[#This Row],[Construction Start date]]))*7</f>
        <v>64.81481481481481</v>
      </c>
      <c r="M56" s="149">
        <f>IFERROR(
  _xlfn.MAXIFS(
    tblProjectPlan[ActualEndDate],
    tblProjectPlan[ProjectName], tblProjects[[#This Row],[Project Name]],
    tblProjectPlan[TaskDescription], "*Commissioning*"
  ),
  ""
)</f>
        <v>45995</v>
      </c>
      <c r="N56" s="149">
        <f>IFERROR(
  _xlfn.MAXIFS(
    tblProjectPlan[ActualEndDate],
    tblProjectPlan[ProjectName], tblProjects[[#This Row],[Project Name]],
    tblProjectPlan[TaskDescription], "*Handover to Matriarch*"
  ),
  ""
)</f>
        <v>46048</v>
      </c>
      <c r="O56" s="149">
        <f>IFERROR(
  _xlfn.MAXIFS(
    tblProjectPlan[ActualEndDate],
    tblProjectPlan[ProjectName], tblProjects[[#This Row],[Project Name]],
    tblProjectPlan[TaskDescription], "*handover to client*"
  ),
  ""
)</f>
        <v>46051</v>
      </c>
      <c r="P56" s="150">
        <f>IFERROR(AVERAGEIF(tblProjectPlan[ProjectName],tblProjects[[#This Row],[Project Name]],tblProjectPlan[Actual%Complete]),0)</f>
        <v>1</v>
      </c>
      <c r="Q56" s="150">
        <f>IFERROR(AVERAGEIF(tblProjectPlan[ProjectName],tblProjects[[#This Row],[Project Name]],tblProjectPlan[Expected%Complete]),0)</f>
        <v>0.99999262786474907</v>
      </c>
      <c r="R56" s="151">
        <f>tblProjects[[#This Row],[Project % Complete]]-tblProjects[[#This Row],[Expected % Completed]]</f>
        <v>7.3721352509270588E-6</v>
      </c>
      <c r="S56" s="152">
        <f>_xlfn.LET(_xlpm.p,tblProjects[[#This Row],[Project Name]], SUMIFS(tblProgramInflows[MilstoneAmount], tblProgramInflows[ProjectName], _xlpm.p))</f>
        <v>2077436.28</v>
      </c>
      <c r="T56" s="152">
        <f>_xlfn.LET(_xlpm.p,tblProjects[[#This Row],[Project Name]], SUMIFS(tblProgramExpense[ExpenseActualTotal], tblProgramExpense[ProjectName], _xlpm.p))</f>
        <v>1501186.9010000003</v>
      </c>
      <c r="U56" s="150">
        <f>1-IF(tblProjects[[#This Row],[Actual Revenue]]=0,"",tblProjects[[#This Row],[Actual Expenses]]/tblProjects[[#This Row],[Actual Revenue]])</f>
        <v>0.27738486352033853</v>
      </c>
      <c r="V56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6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6" s="246"/>
      <c r="Y56" s="246"/>
      <c r="Z56"/>
      <c r="AA56"/>
      <c r="AB56"/>
      <c r="AC56"/>
      <c r="AD56"/>
      <c r="AE56"/>
      <c r="AF56"/>
      <c r="AG56"/>
      <c r="AH56"/>
      <c r="AI56"/>
      <c r="AJ56"/>
    </row>
    <row r="57" spans="1:36">
      <c r="A57" t="str" cm="1">
        <f t="array" ref="A5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IFERROR(INDEX(_xlpm.sorted,ROWS(A$2:A57)),"")
)</f>
        <v>Shoprite Mini_Citrusdal_Tracker.xlsx</v>
      </c>
      <c r="B57" s="147" cm="1">
        <f t="array" ref="B57">_xlfn.LET(_xlpm.p,$A57,_xlfn.IFNA(
  INDEX(tblProjectInfo[InfoValue],
        MATCH(1,(tblProjectInfo[ProjectName]=_xlpm.p)*
                 (UPPER(TRIM(tblProjectInfo[Info]))="PROJECT SIZE (KWP)"),0)
), ""))</f>
        <v>250</v>
      </c>
      <c r="C57" s="147" t="str" cm="1">
        <f t="array" ref="C57">_xlfn.LET(_xlpm.p,$A57,_xlfn.IFNA(
  INDEX(tblProjectInfo[InfoValue],
        MATCH(1,(tblProjectInfo[ProjectName]=_xlpm.p)*
                 (UPPER(TRIM(tblProjectInfo[Info]))="PROJECT DEVELOPER"),0)
), ""))</f>
        <v>Peet Verreynne</v>
      </c>
      <c r="D57" s="148" t="str" cm="1">
        <f t="array" ref="D57">_xlfn.LET(_xlpm.p,$A57,_xlfn.IFNA(
  INDEX(tblProjectInfo[InfoValue],
        MATCH(1,(tblProjectInfo[ProjectName]=_xlpm.p)*
                 (UPPER(TRIM(tblProjectInfo[Info]))="PROJECT MANAGERS"),0)
), ""))</f>
        <v>Peet Verreynne</v>
      </c>
      <c r="E57" s="147"/>
      <c r="F57" s="147"/>
      <c r="G57" s="147"/>
      <c r="H57" s="162" t="str" cm="1">
        <f t="array" ref="H57">_xlfn.LET(_xlpm.p,$A57,_xlfn.IFNA(
  INDEX(tblProjectInfo[InfoValue],
        MATCH(1,(tblProjectInfo[ProjectName]=_xlpm.p)*
                 ISNUMBER(SEARCH("PHASE",UPPER(tblProjectInfo[Info]))),0)
), ""))</f>
        <v>Compliance Handover</v>
      </c>
      <c r="I57" s="149" cm="1">
        <f t="array" ref="I57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>45910</v>
      </c>
      <c r="J57" s="149">
        <f>IFERROR(
  _xlfn.MAXIFS(
    tblProjectPlan[ActualEndDate],
    tblProjectPlan[ProjectName], tblProjects[[#This Row],[Project Name]],
    tblProjectPlan[TaskDescription], "*site establishment*"
  ),
  ""
)</f>
        <v>45968</v>
      </c>
      <c r="K57" s="169">
        <f>_xlfn.DAYS(tblProjects[[#This Row],[Client Handover Date]],tblProjects[[#This Row],[Construction Start date]])</f>
        <v>84</v>
      </c>
      <c r="L57" s="169">
        <f>tblProjects[[#This Row],[Size]]/(_xlfn.DAYS(tblProjects[[#This Row],[Commissioning Date]],tblProjects[[#This Row],[Construction Start date]]))*7</f>
        <v>50</v>
      </c>
      <c r="M57" s="149">
        <f>IFERROR(
  _xlfn.MAXIFS(
    tblProjectPlan[ActualEndDate],
    tblProjectPlan[ProjectName], tblProjects[[#This Row],[Project Name]],
    tblProjectPlan[TaskDescription], "*Commissioning*"
  ),
  ""
)</f>
        <v>46003</v>
      </c>
      <c r="N57" s="149">
        <f>IFERROR(
  _xlfn.MAXIFS(
    tblProjectPlan[ActualEndDate],
    tblProjectPlan[ProjectName], tblProjects[[#This Row],[Project Name]],
    tblProjectPlan[TaskDescription], "*Handover to Matriarch*"
  ),
  ""
)</f>
        <v>46048</v>
      </c>
      <c r="O57" s="149">
        <f>IFERROR(
  _xlfn.MAXIFS(
    tblProjectPlan[ActualEndDate],
    tblProjectPlan[ProjectName], tblProjects[[#This Row],[Project Name]],
    tblProjectPlan[TaskDescription], "*handover to client*"
  ),
  ""
)</f>
        <v>46052</v>
      </c>
      <c r="P57" s="150">
        <f>IFERROR(AVERAGEIF(tblProjectPlan[ProjectName],tblProjects[[#This Row],[Project Name]],tblProjectPlan[Actual%Complete]),0)</f>
        <v>0.99789915966386555</v>
      </c>
      <c r="Q57" s="150">
        <f>IFERROR(AVERAGEIF(tblProjectPlan[ProjectName],tblProjects[[#This Row],[Project Name]],tblProjectPlan[Expected%Complete]),0)</f>
        <v>1</v>
      </c>
      <c r="R57" s="151">
        <f>tblProjects[[#This Row],[Project % Complete]]-tblProjects[[#This Row],[Expected % Completed]]</f>
        <v>-2.1008403361344463E-3</v>
      </c>
      <c r="S57" s="152">
        <f>_xlfn.LET(_xlpm.p,tblProjects[[#This Row],[Project Name]], SUMIFS(tblProgramInflows[MilstoneAmount], tblProgramInflows[ProjectName], _xlpm.p))</f>
        <v>2004738.5754315904</v>
      </c>
      <c r="T57" s="152">
        <f>_xlfn.LET(_xlpm.p,tblProjects[[#This Row],[Project Name]], SUMIFS(tblProgramExpense[ExpenseActualTotal], tblProgramExpense[ProjectName], _xlpm.p))</f>
        <v>1378410.1240000005</v>
      </c>
      <c r="U57" s="150">
        <f>1-IF(tblProjects[[#This Row],[Actual Revenue]]=0,"",tblProjects[[#This Row],[Actual Expenses]]/tblProjects[[#This Row],[Actual Revenue]])</f>
        <v>0.31242400336250864</v>
      </c>
      <c r="V57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7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7" s="246"/>
      <c r="Y57" s="246"/>
      <c r="Z57"/>
      <c r="AA57"/>
      <c r="AB57"/>
      <c r="AC57"/>
      <c r="AD57"/>
      <c r="AE57"/>
      <c r="AF57"/>
      <c r="AG57"/>
      <c r="AH57"/>
      <c r="AI57"/>
      <c r="AJ57"/>
    </row>
    <row r="58" spans="1:36">
      <c r="A58" t="str" cm="1">
        <f t="array" ref="A5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IFERROR(INDEX(_xlpm.sorted,ROWS(A$2:A58)),"")
)</f>
        <v>FY 2026 Adhoc_Tracker.xlsx</v>
      </c>
      <c r="B58" s="147" cm="1">
        <f t="array" ref="B58">_xlfn.LET(_xlpm.p,$A58,_xlfn.IFNA(
  INDEX(tblProjectInfo[InfoValue],
        MATCH(1,(tblProjectInfo[ProjectName]=_xlpm.p)*
                 (UPPER(TRIM(tblProjectInfo[Info]))="PROJECT SIZE (KWP)"),0)
), ""))</f>
        <v>0</v>
      </c>
      <c r="C58" s="147" cm="1">
        <f t="array" ref="C58">_xlfn.LET(_xlpm.p,$A58,_xlfn.IFNA(
  INDEX(tblProjectInfo[InfoValue],
        MATCH(1,(tblProjectInfo[ProjectName]=_xlpm.p)*
                 (UPPER(TRIM(tblProjectInfo[Info]))="PROJECT DEVELOPER"),0)
), ""))</f>
        <v>0</v>
      </c>
      <c r="D58" s="148" cm="1">
        <f t="array" ref="D58">_xlfn.LET(_xlpm.p,$A58,_xlfn.IFNA(
  INDEX(tblProjectInfo[InfoValue],
        MATCH(1,(tblProjectInfo[ProjectName]=_xlpm.p)*
                 (UPPER(TRIM(tblProjectInfo[Info]))="PROJECT MANAGERS"),0)
), ""))</f>
        <v>0</v>
      </c>
      <c r="E58" s="147"/>
      <c r="F58" s="147"/>
      <c r="G58" s="147"/>
      <c r="H58" s="162" t="str" cm="1">
        <f t="array" ref="H58">_xlfn.LET(_xlpm.p,$A58,_xlfn.IFNA(
  INDEX(tblProjectInfo[InfoValue],
        MATCH(1,(tblProjectInfo[ProjectName]=_xlpm.p)*
                 ISNUMBER(SEARCH("PHASE",UPPER(tblProjectInfo[Info]))),0)
), ""))</f>
        <v/>
      </c>
      <c r="I58" s="149" t="str" cm="1">
        <f t="array" ref="I58">_xlfn.LET(
  _xlpm.p,tblProjects[[#This Row],[Project Name]],
  _xlpm.t,tblProjectPlan[TaskDescription],
  _xlpm.endd,tblProjectPlan[ActualEndDate],
  _xlpm.hit,_xlfn._xlws.FILTER(
        _xlpm.endd,
        (tblProjectPlan[ProjectName]=_xlpm.p)*
        ((ISNUMBER(SEARCH("BD handover",_xlpm.t))+ISNUMBER(SEARCH("Project charter handover",_xlpm.t)))&gt;0)
      ),
  IFERROR(MAX(_xlpm.hit),"")
)</f>
        <v/>
      </c>
      <c r="J58" s="149">
        <f>IFERROR(
  _xlfn.MAXIFS(
    tblProjectPlan[ActualEndDate],
    tblProjectPlan[ProjectName], tblProjects[[#This Row],[Project Name]],
    tblProjectPlan[TaskDescription], "*site establishment*"
  ),
  ""
)</f>
        <v>46079</v>
      </c>
      <c r="K58" s="169">
        <f>_xlfn.DAYS(tblProjects[[#This Row],[Client Handover Date]],tblProjects[[#This Row],[Construction Start date]])</f>
        <v>-46079</v>
      </c>
      <c r="L58" s="169">
        <f>tblProjects[[#This Row],[Size]]/(_xlfn.DAYS(tblProjects[[#This Row],[Commissioning Date]],tblProjects[[#This Row],[Construction Start date]]))*7</f>
        <v>0</v>
      </c>
      <c r="M58" s="149">
        <f>IFERROR(
  _xlfn.MAXIFS(
    tblProjectPlan[ActualEndDate],
    tblProjectPlan[ProjectName], tblProjects[[#This Row],[Project Name]],
    tblProjectPlan[TaskDescription], "*Commissioning*"
  ),
  ""
)</f>
        <v>0</v>
      </c>
      <c r="N58" s="149">
        <f>IFERROR(
  _xlfn.MAXIFS(
    tblProjectPlan[ActualEndDate],
    tblProjectPlan[ProjectName], tblProjects[[#This Row],[Project Name]],
    tblProjectPlan[TaskDescription], "*Handover to Matriarch*"
  ),
  ""
)</f>
        <v>0</v>
      </c>
      <c r="O58" s="149">
        <f>IFERROR(
  _xlfn.MAXIFS(
    tblProjectPlan[ActualEndDate],
    tblProjectPlan[ProjectName], tblProjects[[#This Row],[Project Name]],
    tblProjectPlan[TaskDescription], "*handover to client*"
  ),
  ""
)</f>
        <v>0</v>
      </c>
      <c r="P58" s="150">
        <f>IFERROR(AVERAGEIF(tblProjectPlan[ProjectName],tblProjects[[#This Row],[Project Name]],tblProjectPlan[Actual%Complete]),0)</f>
        <v>0</v>
      </c>
      <c r="Q58" s="150">
        <f>IFERROR(AVERAGEIF(tblProjectPlan[ProjectName],tblProjects[[#This Row],[Project Name]],tblProjectPlan[Expected%Complete]),0)</f>
        <v>0</v>
      </c>
      <c r="R58" s="151">
        <f>tblProjects[[#This Row],[Project % Complete]]-tblProjects[[#This Row],[Expected % Completed]]</f>
        <v>0</v>
      </c>
      <c r="S58" s="152">
        <f>_xlfn.LET(_xlpm.p,tblProjects[[#This Row],[Project Name]], SUMIFS(tblProgramInflows[MilstoneAmount], tblProgramInflows[ProjectName], _xlpm.p))</f>
        <v>12510</v>
      </c>
      <c r="T58" s="152">
        <f>_xlfn.LET(_xlpm.p,tblProjects[[#This Row],[Project Name]], SUMIFS(tblProgramExpense[ExpenseActualTotal], tblProgramExpense[ProjectName], _xlpm.p))</f>
        <v>5000</v>
      </c>
      <c r="U58" s="150">
        <f>1-IF(tblProjects[[#This Row],[Actual Revenue]]=0,"",tblProjects[[#This Row],[Actual Expenses]]/tblProjects[[#This Row],[Actual Revenue]])</f>
        <v>0.6003197442046363</v>
      </c>
      <c r="V58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8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2500</v>
      </c>
      <c r="X58" s="246"/>
      <c r="Y58" s="246"/>
      <c r="Z58"/>
      <c r="AA58"/>
      <c r="AB58"/>
      <c r="AC58"/>
      <c r="AD58"/>
      <c r="AE58"/>
      <c r="AF58"/>
      <c r="AG58"/>
      <c r="AH58"/>
      <c r="AI58"/>
      <c r="AJ58"/>
    </row>
    <row r="59" spans="1:36">
      <c r="A59" t="str" cm="1">
        <f t="array" ref="A5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IFERROR(INDEX(_xlpm.sorted,ROWS(A$2:A59)),"")
)</f>
        <v/>
      </c>
      <c r="B59" s="147" t="str" cm="1">
        <f t="array" ref="B59">_xlfn.LET(_xlpm.p,$A59,_xlfn.IFNA(
  INDEX(tblProjectInfo[InfoValue],
        MATCH(1,(tblProjectInfo[ProjectName]=_xlpm.p)*
                 (UPPER(TRIM(tblProjectInfo[Info]))="PROJECT SIZE (KWP)"),0)
), ""))</f>
        <v/>
      </c>
      <c r="C59" s="147" t="str" cm="1">
        <f t="array" ref="C59">_xlfn.LET(_xlpm.p,$A59,_xlfn.IFNA(
  INDEX(tblProjectInfo[InfoValue],
        MATCH(1,(tblProjectInfo[ProjectName]=_xlpm.p)*
                 (UPPER(TRIM(tblProjectInfo[Info]))="PROJECT DEVELOPER"),0)
), ""))</f>
        <v/>
      </c>
      <c r="D59" s="148" t="str" cm="1">
        <f t="array" ref="D59">_xlfn.LET(_xlpm.p,$A59,_xlfn.IFNA(
  INDEX(tblProjectInfo[InfoValue],
        MATCH(1,(tblProjectInfo[ProjectName]=_xlpm.p)*
                 (UPPER(TRIM(tblProjectInfo[Info]))="PROJECT MANAGERS"),0)
), ""))</f>
        <v/>
      </c>
      <c r="E59" s="147"/>
      <c r="F59" s="147"/>
      <c r="G59" s="147"/>
      <c r="H59" s="162" t="str" cm="1">
        <f t="array" ref="H59">_xlfn.LET(_xlpm.p,$A59,_xlfn.IFNA(
  INDEX(tblProjectInfo[InfoValue],
        MATCH(1,(tblProjectInfo[ProjectName]=_xlpm.p)*
                 ISNUMBER(SEARCH("PHASE",UPPER(tblProjectInfo[Info]))),0)
), ""))</f>
        <v/>
      </c>
      <c r="I59" s="149"/>
      <c r="J59" s="149"/>
      <c r="K59" s="169"/>
      <c r="L59" s="169"/>
      <c r="M59" s="149"/>
      <c r="N59" s="149"/>
      <c r="O59" s="149"/>
      <c r="P59" s="150"/>
      <c r="Q59" s="150"/>
      <c r="R59" s="151"/>
      <c r="S59" s="152">
        <f>_xlfn.LET(_xlpm.p,tblProjects[[#This Row],[Project Name]], SUMIFS(tblProgramInflows[MilstoneAmount], tblProgramInflows[ProjectName], _xlpm.p))</f>
        <v>0</v>
      </c>
      <c r="T59" s="152">
        <f>_xlfn.LET(_xlpm.p,tblProjects[[#This Row],[Project Name]], SUMIFS(tblProgramExpense[ExpenseActualTotal], tblProgramExpense[ProjectName], _xlpm.p))</f>
        <v>0</v>
      </c>
      <c r="U59" s="150" t="e">
        <f>1-IF(tblProjects[[#This Row],[Actual Revenue]]=0,"",tblProjects[[#This Row],[Actual Expenses]]/tblProjects[[#This Row],[Actual Revenue]])</f>
        <v>#VALUE!</v>
      </c>
      <c r="V59" s="152">
        <f ca="1">_xlfn.LET(_xlpm.p,tblProjects[[#This Row],[Project Name]], SUMIFS(tblProgramInflows[MilstoneAmount],tblProgramInflows[ProjectName], _xlpm.p,tblProgramInflows[PaymentRecievedDate], "&lt;="&amp;TODAY(),tblProgramInflows[MilestoneInvoiceNumber], "="))</f>
        <v>0</v>
      </c>
      <c r="W59" s="152">
        <f ca="1">_xlfn.LET(_xlpm.p,tblProjects[[#This Row],[Project Name]], SUMIFS(tblProgramExpense[ExpenseActualTotal], tblProgramExpense[ProjectName],_xlpm.p,tblProgramExpense[ExpensePaymentDate], "&lt;"&amp;TODAY(),tblProgramExpense[ExpenseInvoiceNumber], "="))</f>
        <v>0</v>
      </c>
      <c r="X59" s="246"/>
      <c r="Y59" s="246"/>
      <c r="Z59"/>
      <c r="AA59"/>
      <c r="AB59"/>
      <c r="AC59"/>
      <c r="AD59"/>
      <c r="AE59"/>
      <c r="AF59"/>
      <c r="AG59"/>
      <c r="AH59"/>
      <c r="AI59"/>
      <c r="AJ59"/>
    </row>
    <row r="60" spans="1:36">
      <c r="A60" t="str" cm="1">
        <f t="array" ref="A6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IFERROR(INDEX(_xlpm.sorted,ROWS(A$2:A60)),"")
)</f>
        <v/>
      </c>
      <c r="B60" s="147" t="str" cm="1">
        <f t="array" ref="B60">_xlfn.LET(_xlpm.p,$A60,_xlfn.IFNA(
  INDEX(tblProjectInfo[InfoValue],
        MATCH(1,(tblProjectInfo[ProjectName]=_xlpm.p)*
                 (UPPER(TRIM(tblProjectInfo[Info]))="PROJECT SIZE (KWP)"),0)
), ""))</f>
        <v/>
      </c>
      <c r="C60" s="147" t="str" cm="1">
        <f t="array" ref="C60">_xlfn.LET(_xlpm.p,$A60,_xlfn.IFNA(
  INDEX(tblProjectInfo[InfoValue],
        MATCH(1,(tblProjectInfo[ProjectName]=_xlpm.p)*
                 (UPPER(TRIM(tblProjectInfo[Info]))="PROJECT DEVELOPER"),0)
), ""))</f>
        <v/>
      </c>
      <c r="D60" s="148" t="str" cm="1">
        <f t="array" ref="D60">_xlfn.LET(_xlpm.p,$A60,_xlfn.IFNA(
  INDEX(tblProjectInfo[InfoValue],
        MATCH(1,(tblProjectInfo[ProjectName]=_xlpm.p)*
                 (UPPER(TRIM(tblProjectInfo[Info]))="PROJECT MANAGERS"),0)
), ""))</f>
        <v/>
      </c>
      <c r="E60" s="147"/>
      <c r="F60" s="147"/>
      <c r="G60" s="147"/>
      <c r="H60" s="162" t="str" cm="1">
        <f t="array" ref="H60">_xlfn.LET(_xlpm.p,$A60,_xlfn.IFNA(
  INDEX(tblProjectInfo[InfoValue],
        MATCH(1,(tblProjectInfo[ProjectName]=_xlpm.p)*
                 ISNUMBER(SEARCH("PHASE",UPPER(tblProjectInfo[Info]))),0)
), ""))</f>
        <v/>
      </c>
      <c r="I60" s="149"/>
      <c r="J60" s="149"/>
      <c r="K60" s="169"/>
      <c r="L60" s="169"/>
      <c r="M60" s="149"/>
      <c r="N60" s="149"/>
      <c r="O60" s="149"/>
      <c r="P60" s="150"/>
      <c r="Q60" s="150"/>
      <c r="R60" s="151"/>
      <c r="S60" s="152"/>
      <c r="T60" s="152"/>
      <c r="U60" s="150"/>
      <c r="V60" s="152"/>
      <c r="W60" s="152"/>
      <c r="X60" s="246"/>
      <c r="Y60" s="246"/>
      <c r="Z60"/>
      <c r="AA60"/>
      <c r="AB60"/>
      <c r="AC60"/>
      <c r="AD60"/>
      <c r="AE60"/>
      <c r="AF60"/>
      <c r="AG60"/>
      <c r="AH60"/>
      <c r="AI60"/>
      <c r="AJ60"/>
    </row>
    <row r="61" spans="1:36">
      <c r="A61" t="str" cm="1">
        <f t="array" ref="A6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IFERROR(INDEX(_xlpm.sorted,ROWS(A$2:A61)),"")
)</f>
        <v/>
      </c>
      <c r="B61" s="147" t="str" cm="1">
        <f t="array" ref="B61">_xlfn.LET(_xlpm.p,$A61,_xlfn.IFNA(
  INDEX(tblProjectInfo[InfoValue],
        MATCH(1,(tblProjectInfo[ProjectName]=_xlpm.p)*
                 (UPPER(TRIM(tblProjectInfo[Info]))="PROJECT SIZE (KWP)"),0)
), ""))</f>
        <v/>
      </c>
      <c r="C61" s="147" t="str" cm="1">
        <f t="array" ref="C61">_xlfn.LET(_xlpm.p,$A61,_xlfn.IFNA(
  INDEX(tblProjectInfo[InfoValue],
        MATCH(1,(tblProjectInfo[ProjectName]=_xlpm.p)*
                 (UPPER(TRIM(tblProjectInfo[Info]))="PROJECT DEVELOPER"),0)
), ""))</f>
        <v/>
      </c>
      <c r="D61" s="148" t="str" cm="1">
        <f t="array" ref="D61">_xlfn.LET(_xlpm.p,$A61,_xlfn.IFNA(
  INDEX(tblProjectInfo[InfoValue],
        MATCH(1,(tblProjectInfo[ProjectName]=_xlpm.p)*
                 (UPPER(TRIM(tblProjectInfo[Info]))="PROJECT MANAGERS"),0)
), ""))</f>
        <v/>
      </c>
      <c r="E61" s="147"/>
      <c r="F61" s="147"/>
      <c r="G61" s="147"/>
      <c r="H61" s="162" t="str" cm="1">
        <f t="array" ref="H61">_xlfn.LET(_xlpm.p,$A61,_xlfn.IFNA(
  INDEX(tblProjectInfo[InfoValue],
        MATCH(1,(tblProjectInfo[ProjectName]=_xlpm.p)*
                 ISNUMBER(SEARCH("PHASE",UPPER(tblProjectInfo[Info]))),0)
), ""))</f>
        <v/>
      </c>
      <c r="I61" s="149"/>
      <c r="J61" s="149"/>
      <c r="K61" s="169"/>
      <c r="L61" s="169"/>
      <c r="M61" s="149"/>
      <c r="N61" s="149"/>
      <c r="O61" s="149"/>
      <c r="P61" s="150"/>
      <c r="Q61" s="150"/>
      <c r="R61" s="151"/>
      <c r="S61" s="152"/>
      <c r="T61" s="152"/>
      <c r="U61" s="150"/>
      <c r="V61" s="152"/>
      <c r="W61" s="152"/>
      <c r="X61" s="246"/>
      <c r="Y61" s="246"/>
      <c r="Z61"/>
      <c r="AA61"/>
      <c r="AB61"/>
      <c r="AC61"/>
      <c r="AD61"/>
      <c r="AE61"/>
      <c r="AF61"/>
      <c r="AG61"/>
      <c r="AH61"/>
      <c r="AI61"/>
      <c r="AJ61"/>
    </row>
    <row r="62" spans="1:36">
      <c r="A62" t="str" cm="1">
        <f t="array" ref="A6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IFERROR(INDEX(_xlpm.sorted,ROWS(A$2:A62)),"")
)</f>
        <v/>
      </c>
      <c r="B62" s="147" t="str" cm="1">
        <f t="array" ref="B62">_xlfn.LET(_xlpm.p,$A62,_xlfn.IFNA(
  INDEX(tblProjectInfo[InfoValue],
        MATCH(1,(tblProjectInfo[ProjectName]=_xlpm.p)*
                 (UPPER(TRIM(tblProjectInfo[Info]))="PROJECT SIZE (KWP)"),0)
), ""))</f>
        <v/>
      </c>
      <c r="C62" s="147" t="str" cm="1">
        <f t="array" ref="C62">_xlfn.LET(_xlpm.p,$A62,_xlfn.IFNA(
  INDEX(tblProjectInfo[InfoValue],
        MATCH(1,(tblProjectInfo[ProjectName]=_xlpm.p)*
                 (UPPER(TRIM(tblProjectInfo[Info]))="PROJECT DEVELOPER"),0)
), ""))</f>
        <v/>
      </c>
      <c r="D62" s="148" t="str" cm="1">
        <f t="array" ref="D62">_xlfn.LET(_xlpm.p,$A62,_xlfn.IFNA(
  INDEX(tblProjectInfo[InfoValue],
        MATCH(1,(tblProjectInfo[ProjectName]=_xlpm.p)*
                 (UPPER(TRIM(tblProjectInfo[Info]))="PROJECT MANAGERS"),0)
), ""))</f>
        <v/>
      </c>
      <c r="E62" s="147"/>
      <c r="F62" s="147"/>
      <c r="G62" s="147"/>
      <c r="H62" s="162" t="str" cm="1">
        <f t="array" ref="H62">_xlfn.LET(_xlpm.p,$A62,_xlfn.IFNA(
  INDEX(tblProjectInfo[InfoValue],
        MATCH(1,(tblProjectInfo[ProjectName]=_xlpm.p)*
                 ISNUMBER(SEARCH("PHASE",UPPER(tblProjectInfo[Info]))),0)
), ""))</f>
        <v/>
      </c>
      <c r="I62" s="149"/>
      <c r="J62" s="149"/>
      <c r="K62" s="169"/>
      <c r="L62" s="169"/>
      <c r="M62" s="149"/>
      <c r="N62" s="149"/>
      <c r="O62" s="149"/>
      <c r="P62" s="150"/>
      <c r="Q62" s="150"/>
      <c r="R62" s="151"/>
      <c r="S62" s="152"/>
      <c r="T62" s="152"/>
      <c r="U62" s="150"/>
      <c r="V62" s="152"/>
      <c r="W62" s="152"/>
      <c r="X62" s="246"/>
      <c r="Y62" s="246"/>
      <c r="Z62"/>
      <c r="AA62"/>
      <c r="AB62"/>
      <c r="AC62"/>
      <c r="AD62"/>
      <c r="AE62"/>
      <c r="AF62"/>
      <c r="AG62"/>
      <c r="AH62"/>
      <c r="AI62"/>
      <c r="AJ62"/>
    </row>
    <row r="63" spans="1:36">
      <c r="A63" t="str" cm="1">
        <f t="array" ref="A6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IFERROR(INDEX(_xlpm.sorted,ROWS(A$2:A63)),"")
)</f>
        <v/>
      </c>
      <c r="B63" s="147" t="str" cm="1">
        <f t="array" ref="B63">_xlfn.LET(_xlpm.p,$A63,_xlfn.IFNA(
  INDEX(tblProjectInfo[InfoValue],
        MATCH(1,(tblProjectInfo[ProjectName]=_xlpm.p)*
                 (UPPER(TRIM(tblProjectInfo[Info]))="PROJECT SIZE (KWP)"),0)
), ""))</f>
        <v/>
      </c>
      <c r="C63" s="147" t="str" cm="1">
        <f t="array" ref="C63">_xlfn.LET(_xlpm.p,$A63,_xlfn.IFNA(
  INDEX(tblProjectInfo[InfoValue],
        MATCH(1,(tblProjectInfo[ProjectName]=_xlpm.p)*
                 (UPPER(TRIM(tblProjectInfo[Info]))="PROJECT DEVELOPER"),0)
), ""))</f>
        <v/>
      </c>
      <c r="D63" s="148" t="str" cm="1">
        <f t="array" ref="D63">_xlfn.LET(_xlpm.p,$A63,_xlfn.IFNA(
  INDEX(tblProjectInfo[InfoValue],
        MATCH(1,(tblProjectInfo[ProjectName]=_xlpm.p)*
                 (UPPER(TRIM(tblProjectInfo[Info]))="PROJECT MANAGERS"),0)
), ""))</f>
        <v/>
      </c>
      <c r="E63" s="147"/>
      <c r="F63" s="147"/>
      <c r="G63" s="147"/>
      <c r="H63" s="162" t="str" cm="1">
        <f t="array" ref="H63">_xlfn.LET(_xlpm.p,$A63,_xlfn.IFNA(
  INDEX(tblProjectInfo[InfoValue],
        MATCH(1,(tblProjectInfo[ProjectName]=_xlpm.p)*
                 ISNUMBER(SEARCH("PHASE",UPPER(tblProjectInfo[Info]))),0)
), ""))</f>
        <v/>
      </c>
      <c r="I63" s="149"/>
      <c r="J63" s="149"/>
      <c r="K63" s="169"/>
      <c r="L63" s="169"/>
      <c r="M63" s="149"/>
      <c r="N63" s="149"/>
      <c r="O63" s="149"/>
      <c r="P63" s="150"/>
      <c r="Q63" s="150"/>
      <c r="R63" s="151"/>
      <c r="S63" s="152"/>
      <c r="T63" s="152"/>
      <c r="U63" s="150"/>
      <c r="V63" s="152"/>
      <c r="W63" s="152"/>
      <c r="X63" s="246"/>
      <c r="Y63" s="246"/>
      <c r="Z63"/>
      <c r="AA63"/>
      <c r="AB63"/>
      <c r="AC63"/>
      <c r="AD63"/>
      <c r="AE63"/>
      <c r="AF63"/>
      <c r="AG63"/>
      <c r="AH63"/>
      <c r="AI63"/>
      <c r="AJ63"/>
    </row>
    <row r="64" spans="1:36">
      <c r="A64" t="str" cm="1">
        <f t="array" ref="A6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IFERROR(INDEX(_xlpm.sorted,ROWS(A$2:A64)),"")
)</f>
        <v/>
      </c>
      <c r="B64" s="147" t="str" cm="1">
        <f t="array" ref="B64">_xlfn.LET(_xlpm.p,$A64,_xlfn.IFNA(
  INDEX(tblProjectInfo[InfoValue],
        MATCH(1,(tblProjectInfo[ProjectName]=_xlpm.p)*
                 (UPPER(TRIM(tblProjectInfo[Info]))="PROJECT SIZE (KWP)"),0)
), ""))</f>
        <v/>
      </c>
      <c r="C64" s="147" t="str" cm="1">
        <f t="array" ref="C64">_xlfn.LET(_xlpm.p,$A64,_xlfn.IFNA(
  INDEX(tblProjectInfo[InfoValue],
        MATCH(1,(tblProjectInfo[ProjectName]=_xlpm.p)*
                 (UPPER(TRIM(tblProjectInfo[Info]))="PROJECT DEVELOPER"),0)
), ""))</f>
        <v/>
      </c>
      <c r="D64" s="148" t="str" cm="1">
        <f t="array" ref="D64">_xlfn.LET(_xlpm.p,$A64,_xlfn.IFNA(
  INDEX(tblProjectInfo[InfoValue],
        MATCH(1,(tblProjectInfo[ProjectName]=_xlpm.p)*
                 (UPPER(TRIM(tblProjectInfo[Info]))="PROJECT MANAGERS"),0)
), ""))</f>
        <v/>
      </c>
      <c r="E64" s="147"/>
      <c r="F64" s="147"/>
      <c r="G64" s="147"/>
      <c r="H64" s="162" t="str" cm="1">
        <f t="array" ref="H64">_xlfn.LET(_xlpm.p,$A64,_xlfn.IFNA(
  INDEX(tblProjectInfo[InfoValue],
        MATCH(1,(tblProjectInfo[ProjectName]=_xlpm.p)*
                 ISNUMBER(SEARCH("PHASE",UPPER(tblProjectInfo[Info]))),0)
), ""))</f>
        <v/>
      </c>
      <c r="I64" s="149"/>
      <c r="J64" s="149"/>
      <c r="K64" s="169"/>
      <c r="L64" s="169"/>
      <c r="M64" s="149"/>
      <c r="N64" s="149"/>
      <c r="O64" s="149"/>
      <c r="P64" s="150"/>
      <c r="Q64" s="150"/>
      <c r="R64" s="151"/>
      <c r="S64" s="152"/>
      <c r="T64" s="152"/>
      <c r="U64" s="150"/>
      <c r="V64" s="152"/>
      <c r="W64" s="152"/>
      <c r="X64" s="246"/>
      <c r="Y64" s="246"/>
      <c r="Z64"/>
      <c r="AA64"/>
      <c r="AB64"/>
      <c r="AC64"/>
      <c r="AD64"/>
      <c r="AE64"/>
      <c r="AF64"/>
      <c r="AG64"/>
      <c r="AH64"/>
      <c r="AI64"/>
      <c r="AJ64"/>
    </row>
    <row r="65" spans="1:36">
      <c r="A65" t="str" cm="1">
        <f t="array" ref="A6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IFERROR(INDEX(_xlpm.sorted,ROWS(A$2:A65)),"")
)</f>
        <v/>
      </c>
      <c r="B65" s="147" t="str" cm="1">
        <f t="array" ref="B65">_xlfn.LET(_xlpm.p,$A65,_xlfn.IFNA(
  INDEX(tblProjectInfo[InfoValue],
        MATCH(1,(tblProjectInfo[ProjectName]=_xlpm.p)*
                 (UPPER(TRIM(tblProjectInfo[Info]))="PROJECT SIZE (KWP)"),0)
), ""))</f>
        <v/>
      </c>
      <c r="C65" s="147" t="str" cm="1">
        <f t="array" ref="C65">_xlfn.LET(_xlpm.p,$A65,_xlfn.IFNA(
  INDEX(tblProjectInfo[InfoValue],
        MATCH(1,(tblProjectInfo[ProjectName]=_xlpm.p)*
                 (UPPER(TRIM(tblProjectInfo[Info]))="PROJECT DEVELOPER"),0)
), ""))</f>
        <v/>
      </c>
      <c r="D65" s="148" t="str" cm="1">
        <f t="array" ref="D65">_xlfn.LET(_xlpm.p,$A65,_xlfn.IFNA(
  INDEX(tblProjectInfo[InfoValue],
        MATCH(1,(tblProjectInfo[ProjectName]=_xlpm.p)*
                 (UPPER(TRIM(tblProjectInfo[Info]))="PROJECT MANAGERS"),0)
), ""))</f>
        <v/>
      </c>
      <c r="E65" s="147"/>
      <c r="F65" s="147"/>
      <c r="G65" s="147"/>
      <c r="H65" s="162" t="str" cm="1">
        <f t="array" ref="H65">_xlfn.LET(_xlpm.p,$A65,_xlfn.IFNA(
  INDEX(tblProjectInfo[InfoValue],
        MATCH(1,(tblProjectInfo[ProjectName]=_xlpm.p)*
                 ISNUMBER(SEARCH("PHASE",UPPER(tblProjectInfo[Info]))),0)
), ""))</f>
        <v/>
      </c>
      <c r="I65" s="149"/>
      <c r="J65" s="149"/>
      <c r="K65" s="169"/>
      <c r="L65" s="169"/>
      <c r="M65" s="149"/>
      <c r="N65" s="149"/>
      <c r="O65" s="149"/>
      <c r="P65" s="150"/>
      <c r="Q65" s="150"/>
      <c r="R65" s="151"/>
      <c r="S65" s="152"/>
      <c r="T65" s="152"/>
      <c r="U65" s="150"/>
      <c r="V65" s="152"/>
      <c r="W65" s="152"/>
      <c r="X65" s="246"/>
      <c r="Y65" s="246"/>
      <c r="Z65"/>
      <c r="AA65"/>
      <c r="AB65"/>
      <c r="AC65"/>
      <c r="AD65"/>
      <c r="AE65"/>
      <c r="AF65"/>
      <c r="AG65"/>
      <c r="AH65"/>
      <c r="AI65"/>
      <c r="AJ65"/>
    </row>
    <row r="66" spans="1:36">
      <c r="A66" t="str" cm="1">
        <f t="array" ref="A6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IFERROR(INDEX(_xlpm.sorted,ROWS(A$2:A66)),"")
)</f>
        <v/>
      </c>
      <c r="B66" s="147" t="str" cm="1">
        <f t="array" ref="B66">_xlfn.LET(_xlpm.p,$A66,_xlfn.IFNA(
  INDEX(tblProjectInfo[InfoValue],
        MATCH(1,(tblProjectInfo[ProjectName]=_xlpm.p)*
                 (UPPER(TRIM(tblProjectInfo[Info]))="PROJECT SIZE (KWP)"),0)
), ""))</f>
        <v/>
      </c>
      <c r="C66" s="147" t="str" cm="1">
        <f t="array" ref="C66">_xlfn.LET(_xlpm.p,$A66,_xlfn.IFNA(
  INDEX(tblProjectInfo[InfoValue],
        MATCH(1,(tblProjectInfo[ProjectName]=_xlpm.p)*
                 (UPPER(TRIM(tblProjectInfo[Info]))="PROJECT DEVELOPER"),0)
), ""))</f>
        <v/>
      </c>
      <c r="D66" s="148" t="str" cm="1">
        <f t="array" ref="D66">_xlfn.LET(_xlpm.p,$A66,_xlfn.IFNA(
  INDEX(tblProjectInfo[InfoValue],
        MATCH(1,(tblProjectInfo[ProjectName]=_xlpm.p)*
                 (UPPER(TRIM(tblProjectInfo[Info]))="PROJECT MANAGERS"),0)
), ""))</f>
        <v/>
      </c>
      <c r="E66" s="147"/>
      <c r="F66" s="147"/>
      <c r="G66" s="147"/>
      <c r="H66" s="162" t="str" cm="1">
        <f t="array" ref="H66">_xlfn.LET(_xlpm.p,$A66,_xlfn.IFNA(
  INDEX(tblProjectInfo[InfoValue],
        MATCH(1,(tblProjectInfo[ProjectName]=_xlpm.p)*
                 ISNUMBER(SEARCH("PHASE",UPPER(tblProjectInfo[Info]))),0)
), ""))</f>
        <v/>
      </c>
      <c r="I66" s="149"/>
      <c r="J66" s="149"/>
      <c r="K66" s="169"/>
      <c r="L66" s="169"/>
      <c r="M66" s="149"/>
      <c r="N66" s="149"/>
      <c r="O66" s="149"/>
      <c r="P66" s="150"/>
      <c r="Q66" s="150"/>
      <c r="R66" s="151"/>
      <c r="S66" s="152"/>
      <c r="T66" s="152"/>
      <c r="U66" s="150"/>
      <c r="V66" s="152"/>
      <c r="W66" s="152"/>
      <c r="X66" s="246"/>
      <c r="Y66" s="246"/>
      <c r="Z66"/>
      <c r="AA66"/>
      <c r="AB66"/>
      <c r="AC66"/>
      <c r="AD66"/>
      <c r="AE66"/>
      <c r="AF66"/>
      <c r="AG66"/>
      <c r="AH66"/>
      <c r="AI66"/>
      <c r="AJ66"/>
    </row>
    <row r="67" spans="1:36">
      <c r="A67" t="str" cm="1">
        <f t="array" ref="A6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IFERROR(INDEX(_xlpm.sorted,ROWS(A$2:A67)),"")
)</f>
        <v/>
      </c>
      <c r="B67" s="147" t="str" cm="1">
        <f t="array" ref="B67">_xlfn.LET(_xlpm.p,$A67,_xlfn.IFNA(
  INDEX(tblProjectInfo[InfoValue],
        MATCH(1,(tblProjectInfo[ProjectName]=_xlpm.p)*
                 (UPPER(TRIM(tblProjectInfo[Info]))="PROJECT SIZE (KWP)"),0)
), ""))</f>
        <v/>
      </c>
      <c r="C67" s="147" t="str" cm="1">
        <f t="array" ref="C67">_xlfn.LET(_xlpm.p,$A67,_xlfn.IFNA(
  INDEX(tblProjectInfo[InfoValue],
        MATCH(1,(tblProjectInfo[ProjectName]=_xlpm.p)*
                 (UPPER(TRIM(tblProjectInfo[Info]))="PROJECT DEVELOPER"),0)
), ""))</f>
        <v/>
      </c>
      <c r="D67" s="148" t="str" cm="1">
        <f t="array" ref="D67">_xlfn.LET(_xlpm.p,$A67,_xlfn.IFNA(
  INDEX(tblProjectInfo[InfoValue],
        MATCH(1,(tblProjectInfo[ProjectName]=_xlpm.p)*
                 (UPPER(TRIM(tblProjectInfo[Info]))="PROJECT MANAGERS"),0)
), ""))</f>
        <v/>
      </c>
      <c r="E67" s="147"/>
      <c r="F67" s="147"/>
      <c r="G67" s="147"/>
      <c r="H67" s="162" t="str" cm="1">
        <f t="array" ref="H67">_xlfn.LET(_xlpm.p,$A67,_xlfn.IFNA(
  INDEX(tblProjectInfo[InfoValue],
        MATCH(1,(tblProjectInfo[ProjectName]=_xlpm.p)*
                 ISNUMBER(SEARCH("PHASE",UPPER(tblProjectInfo[Info]))),0)
), ""))</f>
        <v/>
      </c>
      <c r="I67" s="149"/>
      <c r="J67" s="149"/>
      <c r="K67" s="169"/>
      <c r="L67" s="169"/>
      <c r="M67" s="149"/>
      <c r="N67" s="149"/>
      <c r="O67" s="149"/>
      <c r="P67" s="150"/>
      <c r="Q67" s="150"/>
      <c r="R67" s="151"/>
      <c r="S67" s="152"/>
      <c r="T67" s="152"/>
      <c r="U67" s="150"/>
      <c r="V67" s="152"/>
      <c r="W67" s="152"/>
      <c r="X67" s="246"/>
      <c r="Y67" s="246"/>
      <c r="Z67"/>
      <c r="AA67"/>
      <c r="AB67"/>
      <c r="AC67"/>
      <c r="AD67"/>
      <c r="AE67"/>
      <c r="AF67"/>
      <c r="AG67"/>
      <c r="AH67"/>
      <c r="AI67"/>
      <c r="AJ67"/>
    </row>
    <row r="68" spans="1:36">
      <c r="A68" t="str" cm="1">
        <f t="array" ref="A6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IFERROR(INDEX(_xlpm.sorted,ROWS(A$2:A68)),"")
)</f>
        <v/>
      </c>
      <c r="B68" s="147" t="str" cm="1">
        <f t="array" ref="B68">_xlfn.LET(_xlpm.p,$A68,_xlfn.IFNA(
  INDEX(tblProjectInfo[InfoValue],
        MATCH(1,(tblProjectInfo[ProjectName]=_xlpm.p)*
                 (UPPER(TRIM(tblProjectInfo[Info]))="PROJECT SIZE (KWP)"),0)
), ""))</f>
        <v/>
      </c>
      <c r="C68" s="147" t="str" cm="1">
        <f t="array" ref="C68">_xlfn.LET(_xlpm.p,$A68,_xlfn.IFNA(
  INDEX(tblProjectInfo[InfoValue],
        MATCH(1,(tblProjectInfo[ProjectName]=_xlpm.p)*
                 (UPPER(TRIM(tblProjectInfo[Info]))="PROJECT DEVELOPER"),0)
), ""))</f>
        <v/>
      </c>
      <c r="D68" s="148" t="str" cm="1">
        <f t="array" ref="D68">_xlfn.LET(_xlpm.p,$A68,_xlfn.IFNA(
  INDEX(tblProjectInfo[InfoValue],
        MATCH(1,(tblProjectInfo[ProjectName]=_xlpm.p)*
                 (UPPER(TRIM(tblProjectInfo[Info]))="PROJECT MANAGERS"),0)
), ""))</f>
        <v/>
      </c>
      <c r="E68" s="147"/>
      <c r="F68" s="147"/>
      <c r="G68" s="147"/>
      <c r="H68" s="162" t="str" cm="1">
        <f t="array" ref="H68">_xlfn.LET(_xlpm.p,$A68,_xlfn.IFNA(
  INDEX(tblProjectInfo[InfoValue],
        MATCH(1,(tblProjectInfo[ProjectName]=_xlpm.p)*
                 ISNUMBER(SEARCH("PHASE",UPPER(tblProjectInfo[Info]))),0)
), ""))</f>
        <v/>
      </c>
      <c r="I68" s="149"/>
      <c r="J68" s="149"/>
      <c r="K68" s="169"/>
      <c r="L68" s="169"/>
      <c r="M68" s="149"/>
      <c r="N68" s="149"/>
      <c r="O68" s="149"/>
      <c r="P68" s="150"/>
      <c r="Q68" s="150"/>
      <c r="R68" s="151"/>
      <c r="S68" s="152"/>
      <c r="T68" s="152"/>
      <c r="U68" s="150"/>
      <c r="V68" s="152"/>
      <c r="W68" s="152"/>
      <c r="X68" s="246"/>
      <c r="Y68" s="246"/>
      <c r="Z68"/>
      <c r="AA68"/>
      <c r="AB68"/>
      <c r="AC68"/>
      <c r="AD68"/>
      <c r="AE68"/>
      <c r="AF68"/>
      <c r="AG68"/>
      <c r="AH68"/>
      <c r="AI68"/>
      <c r="AJ68"/>
    </row>
    <row r="69" spans="1:36">
      <c r="A69" t="str" cm="1">
        <f t="array" ref="A6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IFERROR(INDEX(_xlpm.sorted,ROWS(A$2:A69)),"")
)</f>
        <v/>
      </c>
      <c r="B69" s="147" t="str" cm="1">
        <f t="array" ref="B69">_xlfn.LET(_xlpm.p,$A69,_xlfn.IFNA(
  INDEX(tblProjectInfo[InfoValue],
        MATCH(1,(tblProjectInfo[ProjectName]=_xlpm.p)*
                 (UPPER(TRIM(tblProjectInfo[Info]))="PROJECT SIZE (KWP)"),0)
), ""))</f>
        <v/>
      </c>
      <c r="C69" s="147" t="str" cm="1">
        <f t="array" ref="C69">_xlfn.LET(_xlpm.p,$A69,_xlfn.IFNA(
  INDEX(tblProjectInfo[InfoValue],
        MATCH(1,(tblProjectInfo[ProjectName]=_xlpm.p)*
                 (UPPER(TRIM(tblProjectInfo[Info]))="PROJECT DEVELOPER"),0)
), ""))</f>
        <v/>
      </c>
      <c r="D69" s="148" t="str" cm="1">
        <f t="array" ref="D69">_xlfn.LET(_xlpm.p,$A69,_xlfn.IFNA(
  INDEX(tblProjectInfo[InfoValue],
        MATCH(1,(tblProjectInfo[ProjectName]=_xlpm.p)*
                 (UPPER(TRIM(tblProjectInfo[Info]))="PROJECT MANAGERS"),0)
), ""))</f>
        <v/>
      </c>
      <c r="E69" s="147"/>
      <c r="F69" s="147"/>
      <c r="G69" s="147"/>
      <c r="H69" s="162" t="str" cm="1">
        <f t="array" ref="H69">_xlfn.LET(_xlpm.p,$A69,_xlfn.IFNA(
  INDEX(tblProjectInfo[InfoValue],
        MATCH(1,(tblProjectInfo[ProjectName]=_xlpm.p)*
                 ISNUMBER(SEARCH("PHASE",UPPER(tblProjectInfo[Info]))),0)
), ""))</f>
        <v/>
      </c>
      <c r="I69" s="149"/>
      <c r="J69" s="149"/>
      <c r="K69" s="169"/>
      <c r="L69" s="169"/>
      <c r="M69" s="149"/>
      <c r="N69" s="149"/>
      <c r="O69" s="149"/>
      <c r="P69" s="150"/>
      <c r="Q69" s="150"/>
      <c r="R69" s="151"/>
      <c r="S69" s="152"/>
      <c r="T69" s="152"/>
      <c r="U69" s="150"/>
      <c r="V69" s="152"/>
      <c r="W69" s="152"/>
      <c r="X69" s="246"/>
      <c r="Y69" s="246"/>
      <c r="Z69"/>
      <c r="AA69"/>
      <c r="AB69"/>
      <c r="AC69"/>
      <c r="AD69"/>
      <c r="AE69"/>
      <c r="AF69"/>
      <c r="AG69"/>
      <c r="AH69"/>
      <c r="AI69"/>
      <c r="AJ69"/>
    </row>
    <row r="70" spans="1:36">
      <c r="A70" t="str" cm="1">
        <f t="array" ref="A7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IFERROR(INDEX(_xlpm.sorted,ROWS(A$2:A70)),"")
)</f>
        <v/>
      </c>
      <c r="B70" s="147" t="str" cm="1">
        <f t="array" ref="B70">_xlfn.LET(_xlpm.p,$A70,_xlfn.IFNA(
  INDEX(tblProjectInfo[InfoValue],
        MATCH(1,(tblProjectInfo[ProjectName]=_xlpm.p)*
                 (UPPER(TRIM(tblProjectInfo[Info]))="PROJECT SIZE (KWP)"),0)
), ""))</f>
        <v/>
      </c>
      <c r="C70" s="147" t="str" cm="1">
        <f t="array" ref="C70">_xlfn.LET(_xlpm.p,$A70,_xlfn.IFNA(
  INDEX(tblProjectInfo[InfoValue],
        MATCH(1,(tblProjectInfo[ProjectName]=_xlpm.p)*
                 (UPPER(TRIM(tblProjectInfo[Info]))="PROJECT DEVELOPER"),0)
), ""))</f>
        <v/>
      </c>
      <c r="D70" s="148" t="str" cm="1">
        <f t="array" ref="D70">_xlfn.LET(_xlpm.p,$A70,_xlfn.IFNA(
  INDEX(tblProjectInfo[InfoValue],
        MATCH(1,(tblProjectInfo[ProjectName]=_xlpm.p)*
                 (UPPER(TRIM(tblProjectInfo[Info]))="PROJECT MANAGERS"),0)
), ""))</f>
        <v/>
      </c>
      <c r="E70" s="147"/>
      <c r="F70" s="147"/>
      <c r="G70" s="147"/>
      <c r="H70" s="162" t="str" cm="1">
        <f t="array" ref="H70">_xlfn.LET(_xlpm.p,$A70,_xlfn.IFNA(
  INDEX(tblProjectInfo[InfoValue],
        MATCH(1,(tblProjectInfo[ProjectName]=_xlpm.p)*
                 ISNUMBER(SEARCH("PHASE",UPPER(tblProjectInfo[Info]))),0)
), ""))</f>
        <v/>
      </c>
      <c r="I70" s="149"/>
      <c r="J70" s="149"/>
      <c r="K70" s="169"/>
      <c r="L70" s="169"/>
      <c r="M70" s="149"/>
      <c r="N70" s="149"/>
      <c r="O70" s="149"/>
      <c r="P70" s="150"/>
      <c r="Q70" s="150"/>
      <c r="R70" s="151"/>
      <c r="S70" s="152"/>
      <c r="T70" s="152"/>
      <c r="U70" s="150"/>
      <c r="V70" s="152"/>
      <c r="W70" s="152"/>
      <c r="X70" s="246"/>
      <c r="Y70" s="246"/>
      <c r="Z70"/>
      <c r="AA70"/>
      <c r="AB70"/>
      <c r="AC70"/>
      <c r="AD70"/>
      <c r="AE70"/>
      <c r="AF70"/>
      <c r="AG70"/>
      <c r="AH70"/>
      <c r="AI70"/>
      <c r="AJ70"/>
    </row>
    <row r="71" spans="1:36">
      <c r="A71" t="str" cm="1">
        <f t="array" ref="A7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IFERROR(INDEX(_xlpm.sorted,ROWS(A$2:A71)),"")
)</f>
        <v/>
      </c>
      <c r="B71" s="147" t="str" cm="1">
        <f t="array" ref="B71">_xlfn.LET(_xlpm.p,$A71,_xlfn.IFNA(
  INDEX(tblProjectInfo[InfoValue],
        MATCH(1,(tblProjectInfo[ProjectName]=_xlpm.p)*
                 (UPPER(TRIM(tblProjectInfo[Info]))="PROJECT SIZE (KWP)"),0)
), ""))</f>
        <v/>
      </c>
      <c r="C71" s="147" t="str" cm="1">
        <f t="array" ref="C71">_xlfn.LET(_xlpm.p,$A71,_xlfn.IFNA(
  INDEX(tblProjectInfo[InfoValue],
        MATCH(1,(tblProjectInfo[ProjectName]=_xlpm.p)*
                 (UPPER(TRIM(tblProjectInfo[Info]))="PROJECT DEVELOPER"),0)
), ""))</f>
        <v/>
      </c>
      <c r="D71" s="148" t="str" cm="1">
        <f t="array" ref="D71">_xlfn.LET(_xlpm.p,$A71,_xlfn.IFNA(
  INDEX(tblProjectInfo[InfoValue],
        MATCH(1,(tblProjectInfo[ProjectName]=_xlpm.p)*
                 (UPPER(TRIM(tblProjectInfo[Info]))="PROJECT MANAGERS"),0)
), ""))</f>
        <v/>
      </c>
      <c r="E71" s="147"/>
      <c r="F71" s="147"/>
      <c r="G71" s="147"/>
      <c r="H71" s="162" t="str" cm="1">
        <f t="array" ref="H71">_xlfn.LET(_xlpm.p,$A71,_xlfn.IFNA(
  INDEX(tblProjectInfo[InfoValue],
        MATCH(1,(tblProjectInfo[ProjectName]=_xlpm.p)*
                 ISNUMBER(SEARCH("PHASE",UPPER(tblProjectInfo[Info]))),0)
), ""))</f>
        <v/>
      </c>
      <c r="I71" s="149"/>
      <c r="J71" s="149"/>
      <c r="K71" s="169"/>
      <c r="L71" s="169"/>
      <c r="M71" s="149"/>
      <c r="N71" s="149"/>
      <c r="O71" s="149"/>
      <c r="P71" s="150"/>
      <c r="Q71" s="150"/>
      <c r="R71" s="151"/>
      <c r="S71" s="152"/>
      <c r="T71" s="152"/>
      <c r="U71" s="150"/>
      <c r="V71" s="152"/>
      <c r="W71" s="152"/>
      <c r="X71" s="246"/>
      <c r="Y71" s="246"/>
      <c r="Z71"/>
      <c r="AA71"/>
      <c r="AB71"/>
      <c r="AC71"/>
      <c r="AD71"/>
      <c r="AE71"/>
      <c r="AF71"/>
      <c r="AG71"/>
      <c r="AH71"/>
      <c r="AI71"/>
      <c r="AJ71"/>
    </row>
    <row r="72" spans="1:36">
      <c r="A72" t="str" cm="1">
        <f t="array" ref="A7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IFERROR(INDEX(_xlpm.sorted,ROWS(A$2:A72)),"")
)</f>
        <v/>
      </c>
      <c r="B72" s="147" t="str" cm="1">
        <f t="array" ref="B72">_xlfn.LET(_xlpm.p,$A72,_xlfn.IFNA(
  INDEX(tblProjectInfo[InfoValue],
        MATCH(1,(tblProjectInfo[ProjectName]=_xlpm.p)*
                 (UPPER(TRIM(tblProjectInfo[Info]))="PROJECT SIZE (KWP)"),0)
), ""))</f>
        <v/>
      </c>
      <c r="C72" s="147" t="str" cm="1">
        <f t="array" ref="C72">_xlfn.LET(_xlpm.p,$A72,_xlfn.IFNA(
  INDEX(tblProjectInfo[InfoValue],
        MATCH(1,(tblProjectInfo[ProjectName]=_xlpm.p)*
                 (UPPER(TRIM(tblProjectInfo[Info]))="PROJECT DEVELOPER"),0)
), ""))</f>
        <v/>
      </c>
      <c r="D72" s="148" t="str" cm="1">
        <f t="array" ref="D72">_xlfn.LET(_xlpm.p,$A72,_xlfn.IFNA(
  INDEX(tblProjectInfo[InfoValue],
        MATCH(1,(tblProjectInfo[ProjectName]=_xlpm.p)*
                 (UPPER(TRIM(tblProjectInfo[Info]))="PROJECT MANAGERS"),0)
), ""))</f>
        <v/>
      </c>
      <c r="E72" s="147"/>
      <c r="F72" s="147"/>
      <c r="G72" s="147"/>
      <c r="H72" s="162" t="str" cm="1">
        <f t="array" ref="H72">_xlfn.LET(_xlpm.p,$A72,_xlfn.IFNA(
  INDEX(tblProjectInfo[InfoValue],
        MATCH(1,(tblProjectInfo[ProjectName]=_xlpm.p)*
                 ISNUMBER(SEARCH("PHASE",UPPER(tblProjectInfo[Info]))),0)
), ""))</f>
        <v/>
      </c>
      <c r="I72" s="149"/>
      <c r="J72" s="149"/>
      <c r="K72" s="169"/>
      <c r="L72" s="169"/>
      <c r="M72" s="149"/>
      <c r="N72" s="149"/>
      <c r="O72" s="149"/>
      <c r="P72" s="150"/>
      <c r="Q72" s="150"/>
      <c r="R72" s="151"/>
      <c r="S72" s="152"/>
      <c r="T72" s="152"/>
      <c r="U72" s="150"/>
      <c r="V72" s="152"/>
      <c r="W72" s="152"/>
      <c r="X72" s="246"/>
      <c r="Y72" s="246"/>
      <c r="Z72"/>
      <c r="AA72"/>
      <c r="AB72"/>
      <c r="AC72"/>
      <c r="AD72"/>
      <c r="AE72"/>
      <c r="AF72"/>
      <c r="AG72"/>
      <c r="AH72"/>
      <c r="AI72"/>
      <c r="AJ72"/>
    </row>
    <row r="73" spans="1:36">
      <c r="A73" t="str" cm="1">
        <f t="array" ref="A7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IFERROR(INDEX(_xlpm.sorted,ROWS(A$2:A73)),"")
)</f>
        <v/>
      </c>
      <c r="B73" s="147" t="str" cm="1">
        <f t="array" ref="B73">_xlfn.LET(_xlpm.p,$A73,_xlfn.IFNA(
  INDEX(tblProjectInfo[InfoValue],
        MATCH(1,(tblProjectInfo[ProjectName]=_xlpm.p)*
                 (UPPER(TRIM(tblProjectInfo[Info]))="PROJECT SIZE (KWP)"),0)
), ""))</f>
        <v/>
      </c>
      <c r="C73" s="147" t="str" cm="1">
        <f t="array" ref="C73">_xlfn.LET(_xlpm.p,$A73,_xlfn.IFNA(
  INDEX(tblProjectInfo[InfoValue],
        MATCH(1,(tblProjectInfo[ProjectName]=_xlpm.p)*
                 (UPPER(TRIM(tblProjectInfo[Info]))="PROJECT DEVELOPER"),0)
), ""))</f>
        <v/>
      </c>
      <c r="D73" s="148" t="str" cm="1">
        <f t="array" ref="D73">_xlfn.LET(_xlpm.p,$A73,_xlfn.IFNA(
  INDEX(tblProjectInfo[InfoValue],
        MATCH(1,(tblProjectInfo[ProjectName]=_xlpm.p)*
                 (UPPER(TRIM(tblProjectInfo[Info]))="PROJECT MANAGERS"),0)
), ""))</f>
        <v/>
      </c>
      <c r="E73" s="147"/>
      <c r="F73" s="147"/>
      <c r="G73" s="147"/>
      <c r="H73" s="162" t="str" cm="1">
        <f t="array" ref="H73">_xlfn.LET(_xlpm.p,$A73,_xlfn.IFNA(
  INDEX(tblProjectInfo[InfoValue],
        MATCH(1,(tblProjectInfo[ProjectName]=_xlpm.p)*
                 ISNUMBER(SEARCH("PHASE",UPPER(tblProjectInfo[Info]))),0)
), ""))</f>
        <v/>
      </c>
      <c r="I73" s="149"/>
      <c r="J73" s="149"/>
      <c r="K73" s="169"/>
      <c r="L73" s="169"/>
      <c r="M73" s="149"/>
      <c r="N73" s="149"/>
      <c r="O73" s="149"/>
      <c r="P73" s="150"/>
      <c r="Q73" s="150"/>
      <c r="R73" s="151"/>
      <c r="S73" s="152"/>
      <c r="T73" s="152"/>
      <c r="U73" s="150"/>
      <c r="V73" s="152"/>
      <c r="W73" s="152"/>
      <c r="X73" s="246"/>
      <c r="Y73" s="246"/>
      <c r="Z73"/>
      <c r="AA73"/>
      <c r="AB73"/>
      <c r="AC73"/>
      <c r="AD73"/>
      <c r="AE73"/>
      <c r="AF73"/>
      <c r="AG73"/>
      <c r="AH73"/>
      <c r="AI73"/>
      <c r="AJ73"/>
    </row>
    <row r="74" spans="1:36">
      <c r="A74" t="str" cm="1">
        <f t="array" ref="A7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IFERROR(INDEX(_xlpm.sorted,ROWS(A$2:A74)),"")
)</f>
        <v/>
      </c>
      <c r="B74" s="147" t="str" cm="1">
        <f t="array" ref="B74">_xlfn.LET(_xlpm.p,$A74,_xlfn.IFNA(
  INDEX(tblProjectInfo[InfoValue],
        MATCH(1,(tblProjectInfo[ProjectName]=_xlpm.p)*
                 (UPPER(TRIM(tblProjectInfo[Info]))="PROJECT SIZE (KWP)"),0)
), ""))</f>
        <v/>
      </c>
      <c r="C74" s="147" t="str" cm="1">
        <f t="array" ref="C74">_xlfn.LET(_xlpm.p,$A74,_xlfn.IFNA(
  INDEX(tblProjectInfo[InfoValue],
        MATCH(1,(tblProjectInfo[ProjectName]=_xlpm.p)*
                 (UPPER(TRIM(tblProjectInfo[Info]))="PROJECT DEVELOPER"),0)
), ""))</f>
        <v/>
      </c>
      <c r="D74" s="148" t="str" cm="1">
        <f t="array" ref="D74">_xlfn.LET(_xlpm.p,$A74,_xlfn.IFNA(
  INDEX(tblProjectInfo[InfoValue],
        MATCH(1,(tblProjectInfo[ProjectName]=_xlpm.p)*
                 (UPPER(TRIM(tblProjectInfo[Info]))="PROJECT MANAGERS"),0)
), ""))</f>
        <v/>
      </c>
      <c r="E74" s="147"/>
      <c r="F74" s="147"/>
      <c r="G74" s="147"/>
      <c r="H74" s="162" t="str" cm="1">
        <f t="array" ref="H74">_xlfn.LET(_xlpm.p,$A74,_xlfn.IFNA(
  INDEX(tblProjectInfo[InfoValue],
        MATCH(1,(tblProjectInfo[ProjectName]=_xlpm.p)*
                 ISNUMBER(SEARCH("PHASE",UPPER(tblProjectInfo[Info]))),0)
), ""))</f>
        <v/>
      </c>
      <c r="I74" s="149"/>
      <c r="J74" s="149"/>
      <c r="K74" s="169"/>
      <c r="L74" s="169"/>
      <c r="M74" s="149"/>
      <c r="N74" s="149"/>
      <c r="O74" s="149"/>
      <c r="P74" s="150"/>
      <c r="Q74" s="150"/>
      <c r="R74" s="151"/>
      <c r="S74" s="152"/>
      <c r="T74" s="152"/>
      <c r="U74" s="150"/>
      <c r="V74" s="152"/>
      <c r="W74" s="152"/>
      <c r="X74" s="246"/>
      <c r="Y74" s="246"/>
      <c r="Z74"/>
      <c r="AA74"/>
      <c r="AB74"/>
      <c r="AC74"/>
      <c r="AD74"/>
      <c r="AE74"/>
      <c r="AF74"/>
      <c r="AG74"/>
      <c r="AH74"/>
      <c r="AI74"/>
      <c r="AJ74"/>
    </row>
    <row r="75" spans="1:36">
      <c r="A75" t="str" cm="1">
        <f t="array" ref="A7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IFERROR(INDEX(_xlpm.sorted,ROWS(A$2:A75)),"")
)</f>
        <v/>
      </c>
      <c r="B75" s="147" t="str" cm="1">
        <f t="array" ref="B75">_xlfn.LET(_xlpm.p,$A75,_xlfn.IFNA(
  INDEX(tblProjectInfo[InfoValue],
        MATCH(1,(tblProjectInfo[ProjectName]=_xlpm.p)*
                 (UPPER(TRIM(tblProjectInfo[Info]))="PROJECT SIZE (KWP)"),0)
), ""))</f>
        <v/>
      </c>
      <c r="C75" s="147" t="str" cm="1">
        <f t="array" ref="C75">_xlfn.LET(_xlpm.p,$A75,_xlfn.IFNA(
  INDEX(tblProjectInfo[InfoValue],
        MATCH(1,(tblProjectInfo[ProjectName]=_xlpm.p)*
                 (UPPER(TRIM(tblProjectInfo[Info]))="PROJECT DEVELOPER"),0)
), ""))</f>
        <v/>
      </c>
      <c r="D75" s="148" t="str" cm="1">
        <f t="array" ref="D75">_xlfn.LET(_xlpm.p,$A75,_xlfn.IFNA(
  INDEX(tblProjectInfo[InfoValue],
        MATCH(1,(tblProjectInfo[ProjectName]=_xlpm.p)*
                 (UPPER(TRIM(tblProjectInfo[Info]))="PROJECT MANAGERS"),0)
), ""))</f>
        <v/>
      </c>
      <c r="E75" s="147"/>
      <c r="F75" s="147"/>
      <c r="G75" s="147"/>
      <c r="H75" s="162" t="str" cm="1">
        <f t="array" ref="H75">_xlfn.LET(_xlpm.p,$A75,_xlfn.IFNA(
  INDEX(tblProjectInfo[InfoValue],
        MATCH(1,(tblProjectInfo[ProjectName]=_xlpm.p)*
                 ISNUMBER(SEARCH("PHASE",UPPER(tblProjectInfo[Info]))),0)
), ""))</f>
        <v/>
      </c>
      <c r="I75" s="149"/>
      <c r="J75" s="149"/>
      <c r="K75" s="169"/>
      <c r="L75" s="169"/>
      <c r="M75" s="149"/>
      <c r="N75" s="149"/>
      <c r="O75" s="149"/>
      <c r="P75" s="150"/>
      <c r="Q75" s="150"/>
      <c r="R75" s="151"/>
      <c r="S75" s="152"/>
      <c r="T75" s="152"/>
      <c r="U75" s="150"/>
      <c r="V75" s="152"/>
      <c r="W75" s="152"/>
      <c r="X75" s="246"/>
      <c r="Y75" s="246"/>
      <c r="Z75"/>
      <c r="AA75"/>
      <c r="AB75"/>
      <c r="AC75"/>
      <c r="AD75"/>
      <c r="AE75"/>
      <c r="AF75"/>
      <c r="AG75"/>
      <c r="AH75"/>
      <c r="AI75"/>
      <c r="AJ75"/>
    </row>
    <row r="76" spans="1:36">
      <c r="A76" t="str" cm="1">
        <f t="array" ref="A7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IFERROR(INDEX(_xlpm.sorted,ROWS(A$2:A76)),"")
)</f>
        <v/>
      </c>
      <c r="B76" s="147" t="str" cm="1">
        <f t="array" ref="B76">_xlfn.LET(_xlpm.p,$A76,_xlfn.IFNA(
  INDEX(tblProjectInfo[InfoValue],
        MATCH(1,(tblProjectInfo[ProjectName]=_xlpm.p)*
                 (UPPER(TRIM(tblProjectInfo[Info]))="PROJECT SIZE (KWP)"),0)
), ""))</f>
        <v/>
      </c>
      <c r="C76" s="147" t="str" cm="1">
        <f t="array" ref="C76">_xlfn.LET(_xlpm.p,$A76,_xlfn.IFNA(
  INDEX(tblProjectInfo[InfoValue],
        MATCH(1,(tblProjectInfo[ProjectName]=_xlpm.p)*
                 (UPPER(TRIM(tblProjectInfo[Info]))="PROJECT DEVELOPER"),0)
), ""))</f>
        <v/>
      </c>
      <c r="D76" s="148" t="str" cm="1">
        <f t="array" ref="D76">_xlfn.LET(_xlpm.p,$A76,_xlfn.IFNA(
  INDEX(tblProjectInfo[InfoValue],
        MATCH(1,(tblProjectInfo[ProjectName]=_xlpm.p)*
                 (UPPER(TRIM(tblProjectInfo[Info]))="PROJECT MANAGERS"),0)
), ""))</f>
        <v/>
      </c>
      <c r="E76" s="147"/>
      <c r="F76" s="147"/>
      <c r="G76" s="147"/>
      <c r="H76" s="162" t="str" cm="1">
        <f t="array" ref="H76">_xlfn.LET(_xlpm.p,$A76,_xlfn.IFNA(
  INDEX(tblProjectInfo[InfoValue],
        MATCH(1,(tblProjectInfo[ProjectName]=_xlpm.p)*
                 ISNUMBER(SEARCH("PHASE",UPPER(tblProjectInfo[Info]))),0)
), ""))</f>
        <v/>
      </c>
      <c r="I76" s="149"/>
      <c r="J76" s="149"/>
      <c r="K76" s="169"/>
      <c r="L76" s="169"/>
      <c r="M76" s="149"/>
      <c r="N76" s="149"/>
      <c r="O76" s="149"/>
      <c r="P76" s="150"/>
      <c r="Q76" s="150"/>
      <c r="R76" s="151"/>
      <c r="S76" s="152"/>
      <c r="T76" s="152"/>
      <c r="U76" s="150"/>
      <c r="V76" s="152"/>
      <c r="W76" s="152"/>
      <c r="X76" s="246"/>
      <c r="Y76" s="246"/>
      <c r="Z76"/>
      <c r="AA76"/>
      <c r="AB76"/>
      <c r="AC76"/>
      <c r="AD76"/>
      <c r="AE76"/>
      <c r="AF76"/>
      <c r="AG76"/>
      <c r="AH76"/>
      <c r="AI76"/>
      <c r="AJ76"/>
    </row>
    <row r="77" spans="1:36">
      <c r="A77" t="str" cm="1">
        <f t="array" ref="A7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IFERROR(INDEX(_xlpm.sorted,ROWS(A$2:A77)),"")
)</f>
        <v/>
      </c>
      <c r="B77" s="147" t="str" cm="1">
        <f t="array" ref="B77">_xlfn.LET(_xlpm.p,$A77,_xlfn.IFNA(
  INDEX(tblProjectInfo[InfoValue],
        MATCH(1,(tblProjectInfo[ProjectName]=_xlpm.p)*
                 (UPPER(TRIM(tblProjectInfo[Info]))="PROJECT SIZE (KWP)"),0)
), ""))</f>
        <v/>
      </c>
      <c r="C77" s="147" t="str" cm="1">
        <f t="array" ref="C77">_xlfn.LET(_xlpm.p,$A77,_xlfn.IFNA(
  INDEX(tblProjectInfo[InfoValue],
        MATCH(1,(tblProjectInfo[ProjectName]=_xlpm.p)*
                 (UPPER(TRIM(tblProjectInfo[Info]))="PROJECT DEVELOPER"),0)
), ""))</f>
        <v/>
      </c>
      <c r="D77" s="148" t="str" cm="1">
        <f t="array" ref="D77">_xlfn.LET(_xlpm.p,$A77,_xlfn.IFNA(
  INDEX(tblProjectInfo[InfoValue],
        MATCH(1,(tblProjectInfo[ProjectName]=_xlpm.p)*
                 (UPPER(TRIM(tblProjectInfo[Info]))="PROJECT MANAGERS"),0)
), ""))</f>
        <v/>
      </c>
      <c r="E77" s="147"/>
      <c r="F77" s="147"/>
      <c r="G77" s="147"/>
      <c r="H77" s="162" t="str" cm="1">
        <f t="array" ref="H77">_xlfn.LET(_xlpm.p,$A77,_xlfn.IFNA(
  INDEX(tblProjectInfo[InfoValue],
        MATCH(1,(tblProjectInfo[ProjectName]=_xlpm.p)*
                 ISNUMBER(SEARCH("PHASE",UPPER(tblProjectInfo[Info]))),0)
), ""))</f>
        <v/>
      </c>
      <c r="I77" s="149"/>
      <c r="J77" s="149"/>
      <c r="K77" s="169"/>
      <c r="L77" s="169"/>
      <c r="M77" s="149"/>
      <c r="N77" s="149"/>
      <c r="O77" s="149"/>
      <c r="P77" s="150"/>
      <c r="Q77" s="150"/>
      <c r="R77" s="151"/>
      <c r="S77" s="152"/>
      <c r="T77" s="152"/>
      <c r="U77" s="150"/>
      <c r="V77" s="152"/>
      <c r="W77" s="152"/>
      <c r="X77" s="246"/>
      <c r="Y77" s="246"/>
      <c r="Z77"/>
      <c r="AA77"/>
      <c r="AB77"/>
      <c r="AC77"/>
      <c r="AD77"/>
      <c r="AE77"/>
      <c r="AF77"/>
      <c r="AG77"/>
      <c r="AH77"/>
      <c r="AI77"/>
      <c r="AJ77"/>
    </row>
    <row r="78" spans="1:36">
      <c r="A78" t="str" cm="1">
        <f t="array" ref="A7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IFERROR(INDEX(_xlpm.sorted,ROWS(A$2:A78)),"")
)</f>
        <v/>
      </c>
      <c r="B78" s="147" t="str" cm="1">
        <f t="array" ref="B78">_xlfn.LET(_xlpm.p,$A78,_xlfn.IFNA(
  INDEX(tblProjectInfo[InfoValue],
        MATCH(1,(tblProjectInfo[ProjectName]=_xlpm.p)*
                 (UPPER(TRIM(tblProjectInfo[Info]))="PROJECT SIZE (KWP)"),0)
), ""))</f>
        <v/>
      </c>
      <c r="C78" s="147" t="str" cm="1">
        <f t="array" ref="C78">_xlfn.LET(_xlpm.p,$A78,_xlfn.IFNA(
  INDEX(tblProjectInfo[InfoValue],
        MATCH(1,(tblProjectInfo[ProjectName]=_xlpm.p)*
                 (UPPER(TRIM(tblProjectInfo[Info]))="PROJECT DEVELOPER"),0)
), ""))</f>
        <v/>
      </c>
      <c r="D78" s="148" t="str" cm="1">
        <f t="array" ref="D78">_xlfn.LET(_xlpm.p,$A78,_xlfn.IFNA(
  INDEX(tblProjectInfo[InfoValue],
        MATCH(1,(tblProjectInfo[ProjectName]=_xlpm.p)*
                 (UPPER(TRIM(tblProjectInfo[Info]))="PROJECT MANAGERS"),0)
), ""))</f>
        <v/>
      </c>
      <c r="E78" s="147"/>
      <c r="F78" s="147"/>
      <c r="G78" s="147"/>
      <c r="H78" s="162" t="str" cm="1">
        <f t="array" ref="H78">_xlfn.LET(_xlpm.p,$A78,_xlfn.IFNA(
  INDEX(tblProjectInfo[InfoValue],
        MATCH(1,(tblProjectInfo[ProjectName]=_xlpm.p)*
                 ISNUMBER(SEARCH("PHASE",UPPER(tblProjectInfo[Info]))),0)
), ""))</f>
        <v/>
      </c>
      <c r="I78" s="149"/>
      <c r="J78" s="149"/>
      <c r="K78" s="169"/>
      <c r="L78" s="169"/>
      <c r="M78" s="149"/>
      <c r="N78" s="149"/>
      <c r="O78" s="149"/>
      <c r="P78" s="150"/>
      <c r="Q78" s="150"/>
      <c r="R78" s="151"/>
      <c r="S78" s="152"/>
      <c r="T78" s="152"/>
      <c r="U78" s="150"/>
      <c r="V78" s="152"/>
      <c r="W78" s="152"/>
      <c r="X78" s="246"/>
      <c r="Y78" s="246"/>
      <c r="Z78"/>
      <c r="AA78"/>
      <c r="AB78"/>
      <c r="AC78"/>
      <c r="AD78"/>
      <c r="AE78"/>
      <c r="AF78"/>
      <c r="AG78"/>
      <c r="AH78"/>
      <c r="AI78"/>
      <c r="AJ78"/>
    </row>
    <row r="79" spans="1:36">
      <c r="A79" t="str" cm="1">
        <f t="array" ref="A7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IFERROR(INDEX(_xlpm.sorted,ROWS(A$2:A79)),"")
)</f>
        <v/>
      </c>
      <c r="B79" s="147" t="str" cm="1">
        <f t="array" ref="B79">_xlfn.LET(_xlpm.p,$A79,_xlfn.IFNA(
  INDEX(tblProjectInfo[InfoValue],
        MATCH(1,(tblProjectInfo[ProjectName]=_xlpm.p)*
                 (UPPER(TRIM(tblProjectInfo[Info]))="PROJECT SIZE (KWP)"),0)
), ""))</f>
        <v/>
      </c>
      <c r="C79" s="147" t="str" cm="1">
        <f t="array" ref="C79">_xlfn.LET(_xlpm.p,$A79,_xlfn.IFNA(
  INDEX(tblProjectInfo[InfoValue],
        MATCH(1,(tblProjectInfo[ProjectName]=_xlpm.p)*
                 (UPPER(TRIM(tblProjectInfo[Info]))="PROJECT DEVELOPER"),0)
), ""))</f>
        <v/>
      </c>
      <c r="D79" s="148" t="str" cm="1">
        <f t="array" ref="D79">_xlfn.LET(_xlpm.p,$A79,_xlfn.IFNA(
  INDEX(tblProjectInfo[InfoValue],
        MATCH(1,(tblProjectInfo[ProjectName]=_xlpm.p)*
                 (UPPER(TRIM(tblProjectInfo[Info]))="PROJECT MANAGERS"),0)
), ""))</f>
        <v/>
      </c>
      <c r="E79" s="147"/>
      <c r="F79" s="147"/>
      <c r="G79" s="147"/>
      <c r="H79" s="162" t="str" cm="1">
        <f t="array" ref="H79">_xlfn.LET(_xlpm.p,$A79,_xlfn.IFNA(
  INDEX(tblProjectInfo[InfoValue],
        MATCH(1,(tblProjectInfo[ProjectName]=_xlpm.p)*
                 ISNUMBER(SEARCH("PHASE",UPPER(tblProjectInfo[Info]))),0)
), ""))</f>
        <v/>
      </c>
      <c r="I79" s="149"/>
      <c r="J79" s="149"/>
      <c r="K79" s="169"/>
      <c r="L79" s="169"/>
      <c r="M79" s="149"/>
      <c r="N79" s="149"/>
      <c r="O79" s="149"/>
      <c r="P79" s="150"/>
      <c r="Q79" s="150"/>
      <c r="R79" s="151"/>
      <c r="S79" s="152"/>
      <c r="T79" s="152"/>
      <c r="U79" s="150"/>
      <c r="V79" s="152"/>
      <c r="W79" s="152"/>
      <c r="X79" s="246"/>
      <c r="Y79" s="246"/>
      <c r="Z79"/>
      <c r="AA79"/>
      <c r="AB79"/>
      <c r="AC79"/>
      <c r="AD79"/>
      <c r="AE79"/>
      <c r="AF79"/>
      <c r="AG79"/>
      <c r="AH79"/>
      <c r="AI79"/>
      <c r="AJ79"/>
    </row>
    <row r="80" spans="1:36">
      <c r="A80" t="str" cm="1">
        <f t="array" ref="A8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IFERROR(INDEX(_xlpm.sorted,ROWS(A$2:A80)),"")
)</f>
        <v/>
      </c>
      <c r="B80" s="147" t="str" cm="1">
        <f t="array" ref="B80">_xlfn.LET(_xlpm.p,$A80,_xlfn.IFNA(
  INDEX(tblProjectInfo[InfoValue],
        MATCH(1,(tblProjectInfo[ProjectName]=_xlpm.p)*
                 (UPPER(TRIM(tblProjectInfo[Info]))="PROJECT SIZE (KWP)"),0)
), ""))</f>
        <v/>
      </c>
      <c r="C80" s="147" t="str" cm="1">
        <f t="array" ref="C80">_xlfn.LET(_xlpm.p,$A80,_xlfn.IFNA(
  INDEX(tblProjectInfo[InfoValue],
        MATCH(1,(tblProjectInfo[ProjectName]=_xlpm.p)*
                 (UPPER(TRIM(tblProjectInfo[Info]))="PROJECT DEVELOPER"),0)
), ""))</f>
        <v/>
      </c>
      <c r="D80" s="148" t="str" cm="1">
        <f t="array" ref="D80">_xlfn.LET(_xlpm.p,$A80,_xlfn.IFNA(
  INDEX(tblProjectInfo[InfoValue],
        MATCH(1,(tblProjectInfo[ProjectName]=_xlpm.p)*
                 (UPPER(TRIM(tblProjectInfo[Info]))="PROJECT MANAGERS"),0)
), ""))</f>
        <v/>
      </c>
      <c r="E80" s="147"/>
      <c r="F80" s="147"/>
      <c r="G80" s="147"/>
      <c r="H80" s="162" t="str" cm="1">
        <f t="array" ref="H80">_xlfn.LET(_xlpm.p,$A80,_xlfn.IFNA(
  INDEX(tblProjectInfo[InfoValue],
        MATCH(1,(tblProjectInfo[ProjectName]=_xlpm.p)*
                 ISNUMBER(SEARCH("PHASE",UPPER(tblProjectInfo[Info]))),0)
), ""))</f>
        <v/>
      </c>
      <c r="I80" s="149"/>
      <c r="J80" s="149"/>
      <c r="K80" s="169"/>
      <c r="L80" s="169"/>
      <c r="M80" s="149"/>
      <c r="N80" s="149"/>
      <c r="O80" s="149"/>
      <c r="P80" s="150"/>
      <c r="Q80" s="150"/>
      <c r="R80" s="151"/>
      <c r="S80" s="152"/>
      <c r="T80" s="152"/>
      <c r="U80" s="150"/>
      <c r="V80" s="152"/>
      <c r="W80" s="152"/>
      <c r="X80" s="246"/>
      <c r="Y80" s="246"/>
      <c r="Z80"/>
      <c r="AA80"/>
      <c r="AB80"/>
      <c r="AC80"/>
      <c r="AD80"/>
      <c r="AE80"/>
      <c r="AF80"/>
      <c r="AG80"/>
      <c r="AH80"/>
      <c r="AI80"/>
      <c r="AJ80"/>
    </row>
    <row r="81" spans="1:36">
      <c r="A81" t="str" cm="1">
        <f t="array" ref="A8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IFERROR(INDEX(_xlpm.sorted,ROWS(A$2:A81)),"")
)</f>
        <v/>
      </c>
      <c r="B81" s="147" t="str" cm="1">
        <f t="array" ref="B81">_xlfn.LET(_xlpm.p,$A81,_xlfn.IFNA(
  INDEX(tblProjectInfo[InfoValue],
        MATCH(1,(tblProjectInfo[ProjectName]=_xlpm.p)*
                 (UPPER(TRIM(tblProjectInfo[Info]))="PROJECT SIZE (KWP)"),0)
), ""))</f>
        <v/>
      </c>
      <c r="C81" s="147" t="str" cm="1">
        <f t="array" ref="C81">_xlfn.LET(_xlpm.p,$A81,_xlfn.IFNA(
  INDEX(tblProjectInfo[InfoValue],
        MATCH(1,(tblProjectInfo[ProjectName]=_xlpm.p)*
                 (UPPER(TRIM(tblProjectInfo[Info]))="PROJECT DEVELOPER"),0)
), ""))</f>
        <v/>
      </c>
      <c r="D81" s="148" t="str" cm="1">
        <f t="array" ref="D81">_xlfn.LET(_xlpm.p,$A81,_xlfn.IFNA(
  INDEX(tblProjectInfo[InfoValue],
        MATCH(1,(tblProjectInfo[ProjectName]=_xlpm.p)*
                 (UPPER(TRIM(tblProjectInfo[Info]))="PROJECT MANAGERS"),0)
), ""))</f>
        <v/>
      </c>
      <c r="E81" s="147"/>
      <c r="F81" s="147"/>
      <c r="G81" s="147"/>
      <c r="H81" s="162" t="str" cm="1">
        <f t="array" ref="H81">_xlfn.LET(_xlpm.p,$A81,_xlfn.IFNA(
  INDEX(tblProjectInfo[InfoValue],
        MATCH(1,(tblProjectInfo[ProjectName]=_xlpm.p)*
                 ISNUMBER(SEARCH("PHASE",UPPER(tblProjectInfo[Info]))),0)
), ""))</f>
        <v/>
      </c>
      <c r="I81" s="149"/>
      <c r="J81" s="149"/>
      <c r="K81" s="169"/>
      <c r="L81" s="169"/>
      <c r="M81" s="149"/>
      <c r="N81" s="149"/>
      <c r="O81" s="149"/>
      <c r="P81" s="150"/>
      <c r="Q81" s="150"/>
      <c r="R81" s="151"/>
      <c r="S81" s="152"/>
      <c r="T81" s="152"/>
      <c r="U81" s="150"/>
      <c r="V81" s="152"/>
      <c r="W81" s="152"/>
      <c r="X81" s="246"/>
      <c r="Y81" s="246"/>
      <c r="Z81"/>
      <c r="AA81"/>
      <c r="AB81"/>
      <c r="AC81"/>
      <c r="AD81"/>
      <c r="AE81"/>
      <c r="AF81"/>
      <c r="AG81"/>
      <c r="AH81"/>
      <c r="AI81"/>
      <c r="AJ81"/>
    </row>
    <row r="82" spans="1:36">
      <c r="A82" t="str" cm="1">
        <f t="array" ref="A8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IFERROR(INDEX(_xlpm.sorted,ROWS(A$2:A82)),"")
)</f>
        <v/>
      </c>
      <c r="B82" s="147" t="str" cm="1">
        <f t="array" ref="B82">_xlfn.LET(_xlpm.p,$A82,_xlfn.IFNA(
  INDEX(tblProjectInfo[InfoValue],
        MATCH(1,(tblProjectInfo[ProjectName]=_xlpm.p)*
                 (UPPER(TRIM(tblProjectInfo[Info]))="PROJECT SIZE (KWP)"),0)
), ""))</f>
        <v/>
      </c>
      <c r="C82" s="147" t="str" cm="1">
        <f t="array" ref="C82">_xlfn.LET(_xlpm.p,$A82,_xlfn.IFNA(
  INDEX(tblProjectInfo[InfoValue],
        MATCH(1,(tblProjectInfo[ProjectName]=_xlpm.p)*
                 (UPPER(TRIM(tblProjectInfo[Info]))="PROJECT DEVELOPER"),0)
), ""))</f>
        <v/>
      </c>
      <c r="D82" s="148" t="str" cm="1">
        <f t="array" ref="D82">_xlfn.LET(_xlpm.p,$A82,_xlfn.IFNA(
  INDEX(tblProjectInfo[InfoValue],
        MATCH(1,(tblProjectInfo[ProjectName]=_xlpm.p)*
                 (UPPER(TRIM(tblProjectInfo[Info]))="PROJECT MANAGERS"),0)
), ""))</f>
        <v/>
      </c>
      <c r="E82" s="147"/>
      <c r="F82" s="147"/>
      <c r="G82" s="147"/>
      <c r="H82" s="162" t="str" cm="1">
        <f t="array" ref="H82">_xlfn.LET(_xlpm.p,$A82,_xlfn.IFNA(
  INDEX(tblProjectInfo[InfoValue],
        MATCH(1,(tblProjectInfo[ProjectName]=_xlpm.p)*
                 ISNUMBER(SEARCH("PHASE",UPPER(tblProjectInfo[Info]))),0)
), ""))</f>
        <v/>
      </c>
      <c r="I82" s="149"/>
      <c r="J82" s="149"/>
      <c r="K82" s="169"/>
      <c r="L82" s="169"/>
      <c r="M82" s="149"/>
      <c r="N82" s="149"/>
      <c r="O82" s="149"/>
      <c r="P82" s="150"/>
      <c r="Q82" s="150"/>
      <c r="R82" s="151"/>
      <c r="S82" s="152"/>
      <c r="T82" s="152"/>
      <c r="U82" s="150"/>
      <c r="V82" s="152"/>
      <c r="W82" s="152"/>
      <c r="X82" s="246"/>
      <c r="Y82" s="246"/>
      <c r="Z82"/>
      <c r="AA82"/>
      <c r="AB82"/>
      <c r="AC82"/>
      <c r="AD82"/>
      <c r="AE82"/>
      <c r="AF82"/>
      <c r="AG82"/>
      <c r="AH82"/>
      <c r="AI82"/>
      <c r="AJ82"/>
    </row>
    <row r="83" spans="1:36">
      <c r="A83" t="str" cm="1">
        <f t="array" ref="A8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IFERROR(INDEX(_xlpm.sorted,ROWS(A$2:A83)),"")
)</f>
        <v/>
      </c>
      <c r="B83" s="147" t="str" cm="1">
        <f t="array" ref="B83">_xlfn.LET(_xlpm.p,$A83,_xlfn.IFNA(
  INDEX(tblProjectInfo[InfoValue],
        MATCH(1,(tblProjectInfo[ProjectName]=_xlpm.p)*
                 (UPPER(TRIM(tblProjectInfo[Info]))="PROJECT SIZE (KWP)"),0)
), ""))</f>
        <v/>
      </c>
      <c r="C83" s="147" t="str" cm="1">
        <f t="array" ref="C83">_xlfn.LET(_xlpm.p,$A83,_xlfn.IFNA(
  INDEX(tblProjectInfo[InfoValue],
        MATCH(1,(tblProjectInfo[ProjectName]=_xlpm.p)*
                 (UPPER(TRIM(tblProjectInfo[Info]))="PROJECT DEVELOPER"),0)
), ""))</f>
        <v/>
      </c>
      <c r="D83" s="148" t="str" cm="1">
        <f t="array" ref="D83">_xlfn.LET(_xlpm.p,$A83,_xlfn.IFNA(
  INDEX(tblProjectInfo[InfoValue],
        MATCH(1,(tblProjectInfo[ProjectName]=_xlpm.p)*
                 (UPPER(TRIM(tblProjectInfo[Info]))="PROJECT MANAGERS"),0)
), ""))</f>
        <v/>
      </c>
      <c r="E83" s="147"/>
      <c r="F83" s="147"/>
      <c r="G83" s="147"/>
      <c r="H83" s="162" t="str" cm="1">
        <f t="array" ref="H83">_xlfn.LET(_xlpm.p,$A83,_xlfn.IFNA(
  INDEX(tblProjectInfo[InfoValue],
        MATCH(1,(tblProjectInfo[ProjectName]=_xlpm.p)*
                 ISNUMBER(SEARCH("PHASE",UPPER(tblProjectInfo[Info]))),0)
), ""))</f>
        <v/>
      </c>
      <c r="I83" s="149"/>
      <c r="J83" s="149"/>
      <c r="K83" s="169"/>
      <c r="L83" s="169"/>
      <c r="M83" s="149"/>
      <c r="N83" s="149"/>
      <c r="O83" s="149"/>
      <c r="P83" s="150"/>
      <c r="Q83" s="150"/>
      <c r="R83" s="151"/>
      <c r="S83" s="152"/>
      <c r="T83" s="152"/>
      <c r="U83" s="150"/>
      <c r="V83" s="152"/>
      <c r="W83" s="152"/>
      <c r="X83" s="246"/>
      <c r="Y83" s="246"/>
      <c r="Z83"/>
      <c r="AA83"/>
      <c r="AB83"/>
      <c r="AC83"/>
      <c r="AD83"/>
      <c r="AE83"/>
      <c r="AF83"/>
      <c r="AG83"/>
      <c r="AH83"/>
      <c r="AI83"/>
      <c r="AJ83"/>
    </row>
    <row r="84" spans="1:36">
      <c r="A84" t="str" cm="1">
        <f t="array" ref="A8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IFERROR(INDEX(_xlpm.sorted,ROWS(A$2:A84)),"")
)</f>
        <v/>
      </c>
      <c r="B84" s="147" t="str" cm="1">
        <f t="array" ref="B84">_xlfn.LET(_xlpm.p,$A84,_xlfn.IFNA(
  INDEX(tblProjectInfo[InfoValue],
        MATCH(1,(tblProjectInfo[ProjectName]=_xlpm.p)*
                 (UPPER(TRIM(tblProjectInfo[Info]))="PROJECT SIZE (KWP)"),0)
), ""))</f>
        <v/>
      </c>
      <c r="C84" s="147" t="str" cm="1">
        <f t="array" ref="C84">_xlfn.LET(_xlpm.p,$A84,_xlfn.IFNA(
  INDEX(tblProjectInfo[InfoValue],
        MATCH(1,(tblProjectInfo[ProjectName]=_xlpm.p)*
                 (UPPER(TRIM(tblProjectInfo[Info]))="PROJECT DEVELOPER"),0)
), ""))</f>
        <v/>
      </c>
      <c r="D84" s="148" t="str" cm="1">
        <f t="array" ref="D84">_xlfn.LET(_xlpm.p,$A84,_xlfn.IFNA(
  INDEX(tblProjectInfo[InfoValue],
        MATCH(1,(tblProjectInfo[ProjectName]=_xlpm.p)*
                 (UPPER(TRIM(tblProjectInfo[Info]))="PROJECT MANAGERS"),0)
), ""))</f>
        <v/>
      </c>
      <c r="E84" s="147"/>
      <c r="F84" s="147"/>
      <c r="G84" s="147"/>
      <c r="H84" s="162" t="str" cm="1">
        <f t="array" ref="H84">_xlfn.LET(_xlpm.p,$A84,_xlfn.IFNA(
  INDEX(tblProjectInfo[InfoValue],
        MATCH(1,(tblProjectInfo[ProjectName]=_xlpm.p)*
                 ISNUMBER(SEARCH("PHASE",UPPER(tblProjectInfo[Info]))),0)
), ""))</f>
        <v/>
      </c>
      <c r="I84" s="149"/>
      <c r="J84" s="149"/>
      <c r="K84" s="169"/>
      <c r="L84" s="169"/>
      <c r="M84" s="149"/>
      <c r="N84" s="149"/>
      <c r="O84" s="149"/>
      <c r="P84" s="150"/>
      <c r="Q84" s="150"/>
      <c r="R84" s="151"/>
      <c r="S84" s="152"/>
      <c r="T84" s="152"/>
      <c r="U84" s="150"/>
      <c r="V84" s="152"/>
      <c r="W84" s="152"/>
      <c r="X84" s="246"/>
      <c r="Y84" s="246"/>
      <c r="Z84"/>
      <c r="AA84"/>
      <c r="AB84"/>
      <c r="AC84"/>
      <c r="AD84"/>
      <c r="AE84"/>
      <c r="AF84"/>
      <c r="AG84"/>
      <c r="AH84"/>
      <c r="AI84"/>
      <c r="AJ84"/>
    </row>
    <row r="85" spans="1:36">
      <c r="A85" t="str" cm="1">
        <f t="array" ref="A8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IFERROR(INDEX(_xlpm.sorted,ROWS(A$2:A85)),"")
)</f>
        <v/>
      </c>
      <c r="B85" s="147" t="str" cm="1">
        <f t="array" ref="B85">_xlfn.LET(_xlpm.p,$A85,_xlfn.IFNA(
  INDEX(tblProjectInfo[InfoValue],
        MATCH(1,(tblProjectInfo[ProjectName]=_xlpm.p)*
                 (UPPER(TRIM(tblProjectInfo[Info]))="PROJECT SIZE (KWP)"),0)
), ""))</f>
        <v/>
      </c>
      <c r="C85" s="147" t="str" cm="1">
        <f t="array" ref="C85">_xlfn.LET(_xlpm.p,$A85,_xlfn.IFNA(
  INDEX(tblProjectInfo[InfoValue],
        MATCH(1,(tblProjectInfo[ProjectName]=_xlpm.p)*
                 (UPPER(TRIM(tblProjectInfo[Info]))="PROJECT DEVELOPER"),0)
), ""))</f>
        <v/>
      </c>
      <c r="D85" s="148" t="str" cm="1">
        <f t="array" ref="D85">_xlfn.LET(_xlpm.p,$A85,_xlfn.IFNA(
  INDEX(tblProjectInfo[InfoValue],
        MATCH(1,(tblProjectInfo[ProjectName]=_xlpm.p)*
                 (UPPER(TRIM(tblProjectInfo[Info]))="PROJECT MANAGERS"),0)
), ""))</f>
        <v/>
      </c>
      <c r="E85" s="147"/>
      <c r="F85" s="147"/>
      <c r="G85" s="147"/>
      <c r="H85" s="162" t="str" cm="1">
        <f t="array" ref="H85">_xlfn.LET(_xlpm.p,$A85,_xlfn.IFNA(
  INDEX(tblProjectInfo[InfoValue],
        MATCH(1,(tblProjectInfo[ProjectName]=_xlpm.p)*
                 ISNUMBER(SEARCH("PHASE",UPPER(tblProjectInfo[Info]))),0)
), ""))</f>
        <v/>
      </c>
      <c r="I85" s="149"/>
      <c r="J85" s="149"/>
      <c r="K85" s="169"/>
      <c r="L85" s="169"/>
      <c r="M85" s="149"/>
      <c r="N85" s="149"/>
      <c r="O85" s="149"/>
      <c r="P85" s="150"/>
      <c r="Q85" s="150"/>
      <c r="R85" s="151"/>
      <c r="S85" s="152"/>
      <c r="T85" s="152"/>
      <c r="U85" s="150"/>
      <c r="V85" s="152"/>
      <c r="W85" s="152"/>
      <c r="X85" s="246"/>
      <c r="Y85" s="246"/>
      <c r="Z85"/>
      <c r="AA85"/>
      <c r="AB85"/>
      <c r="AC85"/>
      <c r="AD85"/>
      <c r="AE85"/>
      <c r="AF85"/>
      <c r="AG85"/>
      <c r="AH85"/>
      <c r="AI85"/>
      <c r="AJ85"/>
    </row>
    <row r="86" spans="1:36">
      <c r="A86" t="str" cm="1">
        <f t="array" ref="A8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IFERROR(INDEX(_xlpm.sorted,ROWS(A$2:A86)),"")
)</f>
        <v/>
      </c>
      <c r="B86" s="147" t="str" cm="1">
        <f t="array" ref="B86">_xlfn.LET(_xlpm.p,$A86,_xlfn.IFNA(
  INDEX(tblProjectInfo[InfoValue],
        MATCH(1,(tblProjectInfo[ProjectName]=_xlpm.p)*
                 (UPPER(TRIM(tblProjectInfo[Info]))="PROJECT SIZE (KWP)"),0)
), ""))</f>
        <v/>
      </c>
      <c r="C86" s="147" t="str" cm="1">
        <f t="array" ref="C86">_xlfn.LET(_xlpm.p,$A86,_xlfn.IFNA(
  INDEX(tblProjectInfo[InfoValue],
        MATCH(1,(tblProjectInfo[ProjectName]=_xlpm.p)*
                 (UPPER(TRIM(tblProjectInfo[Info]))="PROJECT DEVELOPER"),0)
), ""))</f>
        <v/>
      </c>
      <c r="D86" s="148" t="str" cm="1">
        <f t="array" ref="D86">_xlfn.LET(_xlpm.p,$A86,_xlfn.IFNA(
  INDEX(tblProjectInfo[InfoValue],
        MATCH(1,(tblProjectInfo[ProjectName]=_xlpm.p)*
                 (UPPER(TRIM(tblProjectInfo[Info]))="PROJECT MANAGERS"),0)
), ""))</f>
        <v/>
      </c>
      <c r="E86" s="147"/>
      <c r="F86" s="147"/>
      <c r="G86" s="147"/>
      <c r="H86" s="162" t="str" cm="1">
        <f t="array" ref="H86">_xlfn.LET(_xlpm.p,$A86,_xlfn.IFNA(
  INDEX(tblProjectInfo[InfoValue],
        MATCH(1,(tblProjectInfo[ProjectName]=_xlpm.p)*
                 ISNUMBER(SEARCH("PHASE",UPPER(tblProjectInfo[Info]))),0)
), ""))</f>
        <v/>
      </c>
      <c r="I86" s="149"/>
      <c r="J86" s="149"/>
      <c r="K86" s="169"/>
      <c r="L86" s="169"/>
      <c r="M86" s="149"/>
      <c r="N86" s="149"/>
      <c r="O86" s="149"/>
      <c r="P86" s="150"/>
      <c r="Q86" s="150"/>
      <c r="R86" s="151"/>
      <c r="S86" s="152"/>
      <c r="T86" s="152"/>
      <c r="U86" s="150"/>
      <c r="V86" s="152"/>
      <c r="W86" s="152"/>
      <c r="X86" s="246"/>
      <c r="Y86" s="246"/>
      <c r="Z86"/>
      <c r="AA86"/>
      <c r="AB86"/>
      <c r="AC86"/>
      <c r="AD86"/>
      <c r="AE86"/>
      <c r="AF86"/>
      <c r="AG86"/>
      <c r="AH86"/>
      <c r="AI86"/>
      <c r="AJ86"/>
    </row>
    <row r="87" spans="1:36">
      <c r="A87" t="str" cm="1">
        <f t="array" ref="A8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IFERROR(INDEX(_xlpm.sorted,ROWS(A$2:A87)),"")
)</f>
        <v/>
      </c>
      <c r="B87" s="147" t="str" cm="1">
        <f t="array" ref="B87">_xlfn.LET(_xlpm.p,$A87,_xlfn.IFNA(
  INDEX(tblProjectInfo[InfoValue],
        MATCH(1,(tblProjectInfo[ProjectName]=_xlpm.p)*
                 (UPPER(TRIM(tblProjectInfo[Info]))="PROJECT SIZE (KWP)"),0)
), ""))</f>
        <v/>
      </c>
      <c r="C87" s="147" t="str" cm="1">
        <f t="array" ref="C87">_xlfn.LET(_xlpm.p,$A87,_xlfn.IFNA(
  INDEX(tblProjectInfo[InfoValue],
        MATCH(1,(tblProjectInfo[ProjectName]=_xlpm.p)*
                 (UPPER(TRIM(tblProjectInfo[Info]))="PROJECT DEVELOPER"),0)
), ""))</f>
        <v/>
      </c>
      <c r="D87" s="148" t="str" cm="1">
        <f t="array" ref="D87">_xlfn.LET(_xlpm.p,$A87,_xlfn.IFNA(
  INDEX(tblProjectInfo[InfoValue],
        MATCH(1,(tblProjectInfo[ProjectName]=_xlpm.p)*
                 (UPPER(TRIM(tblProjectInfo[Info]))="PROJECT MANAGERS"),0)
), ""))</f>
        <v/>
      </c>
      <c r="E87" s="147"/>
      <c r="F87" s="147"/>
      <c r="G87" s="147"/>
      <c r="H87" s="162" t="str" cm="1">
        <f t="array" ref="H87">_xlfn.LET(_xlpm.p,$A87,_xlfn.IFNA(
  INDEX(tblProjectInfo[InfoValue],
        MATCH(1,(tblProjectInfo[ProjectName]=_xlpm.p)*
                 ISNUMBER(SEARCH("PHASE",UPPER(tblProjectInfo[Info]))),0)
), ""))</f>
        <v/>
      </c>
      <c r="I87" s="149"/>
      <c r="J87" s="149"/>
      <c r="K87" s="169"/>
      <c r="L87" s="169"/>
      <c r="M87" s="149"/>
      <c r="N87" s="149"/>
      <c r="O87" s="149"/>
      <c r="P87" s="150"/>
      <c r="Q87" s="150"/>
      <c r="R87" s="151"/>
      <c r="S87" s="152"/>
      <c r="T87" s="152"/>
      <c r="U87" s="150"/>
      <c r="V87" s="152"/>
      <c r="W87" s="152"/>
      <c r="X87" s="246"/>
      <c r="Y87" s="246"/>
      <c r="Z87"/>
      <c r="AA87"/>
      <c r="AB87"/>
      <c r="AC87"/>
      <c r="AD87"/>
      <c r="AE87"/>
      <c r="AF87"/>
      <c r="AG87"/>
      <c r="AH87"/>
      <c r="AI87"/>
      <c r="AJ87"/>
    </row>
    <row r="88" spans="1:36">
      <c r="A88" t="str" cm="1">
        <f t="array" ref="A8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IFERROR(INDEX(_xlpm.sorted,ROWS(A$2:A88)),"")
)</f>
        <v/>
      </c>
      <c r="B88" s="147" t="str" cm="1">
        <f t="array" ref="B88">_xlfn.LET(_xlpm.p,$A88,_xlfn.IFNA(
  INDEX(tblProjectInfo[InfoValue],
        MATCH(1,(tblProjectInfo[ProjectName]=_xlpm.p)*
                 (UPPER(TRIM(tblProjectInfo[Info]))="PROJECT SIZE (KWP)"),0)
), ""))</f>
        <v/>
      </c>
      <c r="C88" s="147" t="str" cm="1">
        <f t="array" ref="C88">_xlfn.LET(_xlpm.p,$A88,_xlfn.IFNA(
  INDEX(tblProjectInfo[InfoValue],
        MATCH(1,(tblProjectInfo[ProjectName]=_xlpm.p)*
                 (UPPER(TRIM(tblProjectInfo[Info]))="PROJECT DEVELOPER"),0)
), ""))</f>
        <v/>
      </c>
      <c r="D88" s="148" t="str" cm="1">
        <f t="array" ref="D88">_xlfn.LET(_xlpm.p,$A88,_xlfn.IFNA(
  INDEX(tblProjectInfo[InfoValue],
        MATCH(1,(tblProjectInfo[ProjectName]=_xlpm.p)*
                 (UPPER(TRIM(tblProjectInfo[Info]))="PROJECT MANAGERS"),0)
), ""))</f>
        <v/>
      </c>
      <c r="E88" s="147"/>
      <c r="F88" s="147"/>
      <c r="G88" s="147"/>
      <c r="H88" s="162" t="str" cm="1">
        <f t="array" ref="H88">_xlfn.LET(_xlpm.p,$A88,_xlfn.IFNA(
  INDEX(tblProjectInfo[InfoValue],
        MATCH(1,(tblProjectInfo[ProjectName]=_xlpm.p)*
                 ISNUMBER(SEARCH("PHASE",UPPER(tblProjectInfo[Info]))),0)
), ""))</f>
        <v/>
      </c>
      <c r="I88" s="149"/>
      <c r="J88" s="149"/>
      <c r="K88" s="169"/>
      <c r="L88" s="169"/>
      <c r="M88" s="149"/>
      <c r="N88" s="149"/>
      <c r="O88" s="149"/>
      <c r="P88" s="150"/>
      <c r="Q88" s="150"/>
      <c r="R88" s="151"/>
      <c r="S88" s="152"/>
      <c r="T88" s="152"/>
      <c r="U88" s="150"/>
      <c r="V88" s="152"/>
      <c r="W88" s="152"/>
      <c r="X88" s="246"/>
      <c r="Y88" s="246"/>
      <c r="Z88"/>
      <c r="AA88"/>
      <c r="AB88"/>
      <c r="AC88"/>
      <c r="AD88"/>
      <c r="AE88"/>
      <c r="AF88"/>
      <c r="AG88"/>
      <c r="AH88"/>
      <c r="AI88"/>
      <c r="AJ88"/>
    </row>
    <row r="89" spans="1:36">
      <c r="A89" t="str" cm="1">
        <f t="array" ref="A8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IFERROR(INDEX(_xlpm.sorted,ROWS(A$2:A89)),"")
)</f>
        <v/>
      </c>
      <c r="B89" s="147" t="str" cm="1">
        <f t="array" ref="B89">_xlfn.LET(_xlpm.p,$A89,_xlfn.IFNA(
  INDEX(tblProjectInfo[InfoValue],
        MATCH(1,(tblProjectInfo[ProjectName]=_xlpm.p)*
                 (UPPER(TRIM(tblProjectInfo[Info]))="PROJECT SIZE (KWP)"),0)
), ""))</f>
        <v/>
      </c>
      <c r="C89" s="147" t="str" cm="1">
        <f t="array" ref="C89">_xlfn.LET(_xlpm.p,$A89,_xlfn.IFNA(
  INDEX(tblProjectInfo[InfoValue],
        MATCH(1,(tblProjectInfo[ProjectName]=_xlpm.p)*
                 (UPPER(TRIM(tblProjectInfo[Info]))="PROJECT DEVELOPER"),0)
), ""))</f>
        <v/>
      </c>
      <c r="D89" s="148" t="str" cm="1">
        <f t="array" ref="D89">_xlfn.LET(_xlpm.p,$A89,_xlfn.IFNA(
  INDEX(tblProjectInfo[InfoValue],
        MATCH(1,(tblProjectInfo[ProjectName]=_xlpm.p)*
                 (UPPER(TRIM(tblProjectInfo[Info]))="PROJECT MANAGERS"),0)
), ""))</f>
        <v/>
      </c>
      <c r="E89" s="147"/>
      <c r="F89" s="147"/>
      <c r="G89" s="147"/>
      <c r="H89" s="162" t="str" cm="1">
        <f t="array" ref="H89">_xlfn.LET(_xlpm.p,$A89,_xlfn.IFNA(
  INDEX(tblProjectInfo[InfoValue],
        MATCH(1,(tblProjectInfo[ProjectName]=_xlpm.p)*
                 ISNUMBER(SEARCH("PHASE",UPPER(tblProjectInfo[Info]))),0)
), ""))</f>
        <v/>
      </c>
      <c r="I89" s="149"/>
      <c r="J89" s="149"/>
      <c r="K89" s="169"/>
      <c r="L89" s="169"/>
      <c r="M89" s="149"/>
      <c r="N89" s="149"/>
      <c r="O89" s="149"/>
      <c r="P89" s="150"/>
      <c r="Q89" s="150"/>
      <c r="R89" s="151"/>
      <c r="S89" s="152"/>
      <c r="T89" s="152"/>
      <c r="U89" s="150"/>
      <c r="V89" s="152"/>
      <c r="W89" s="152"/>
      <c r="X89" s="246"/>
      <c r="Y89" s="246"/>
      <c r="Z89"/>
      <c r="AA89"/>
      <c r="AB89"/>
      <c r="AC89"/>
      <c r="AD89"/>
      <c r="AE89"/>
      <c r="AF89"/>
      <c r="AG89"/>
      <c r="AH89"/>
      <c r="AI89"/>
      <c r="AJ89"/>
    </row>
    <row r="90" spans="1:36">
      <c r="A90" t="str" cm="1">
        <f t="array" ref="A9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IFERROR(INDEX(_xlpm.sorted,ROWS(A$2:A90)),"")
)</f>
        <v/>
      </c>
      <c r="B90" s="147" t="str" cm="1">
        <f t="array" ref="B90">_xlfn.LET(_xlpm.p,$A90,_xlfn.IFNA(
  INDEX(tblProjectInfo[InfoValue],
        MATCH(1,(tblProjectInfo[ProjectName]=_xlpm.p)*
                 (UPPER(TRIM(tblProjectInfo[Info]))="PROJECT SIZE (KWP)"),0)
), ""))</f>
        <v/>
      </c>
      <c r="C90" s="147" t="str" cm="1">
        <f t="array" ref="C90">_xlfn.LET(_xlpm.p,$A90,_xlfn.IFNA(
  INDEX(tblProjectInfo[InfoValue],
        MATCH(1,(tblProjectInfo[ProjectName]=_xlpm.p)*
                 (UPPER(TRIM(tblProjectInfo[Info]))="PROJECT DEVELOPER"),0)
), ""))</f>
        <v/>
      </c>
      <c r="D90" s="148" t="str" cm="1">
        <f t="array" ref="D90">_xlfn.LET(_xlpm.p,$A90,_xlfn.IFNA(
  INDEX(tblProjectInfo[InfoValue],
        MATCH(1,(tblProjectInfo[ProjectName]=_xlpm.p)*
                 (UPPER(TRIM(tblProjectInfo[Info]))="PROJECT MANAGERS"),0)
), ""))</f>
        <v/>
      </c>
      <c r="E90" s="147"/>
      <c r="F90" s="147"/>
      <c r="G90" s="147"/>
      <c r="H90" s="162" t="str" cm="1">
        <f t="array" ref="H90">_xlfn.LET(_xlpm.p,$A90,_xlfn.IFNA(
  INDEX(tblProjectInfo[InfoValue],
        MATCH(1,(tblProjectInfo[ProjectName]=_xlpm.p)*
                 ISNUMBER(SEARCH("PHASE",UPPER(tblProjectInfo[Info]))),0)
), ""))</f>
        <v/>
      </c>
      <c r="I90" s="149"/>
      <c r="J90" s="149"/>
      <c r="K90" s="169"/>
      <c r="L90" s="169"/>
      <c r="M90" s="149"/>
      <c r="N90" s="149"/>
      <c r="O90" s="149"/>
      <c r="P90" s="150"/>
      <c r="Q90" s="150"/>
      <c r="R90" s="151"/>
      <c r="S90" s="152"/>
      <c r="T90" s="152"/>
      <c r="U90" s="150"/>
      <c r="V90" s="152"/>
      <c r="W90" s="152"/>
      <c r="X90" s="246"/>
      <c r="Y90" s="246"/>
      <c r="Z90"/>
      <c r="AA90"/>
      <c r="AB90"/>
      <c r="AC90"/>
      <c r="AD90"/>
      <c r="AE90"/>
      <c r="AF90"/>
      <c r="AG90"/>
      <c r="AH90"/>
      <c r="AI90"/>
      <c r="AJ90"/>
    </row>
    <row r="91" spans="1:36">
      <c r="A91" t="str" cm="1">
        <f t="array" ref="A9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IFERROR(INDEX(_xlpm.sorted,ROWS(A$2:A91)),"")
)</f>
        <v/>
      </c>
      <c r="B91" s="147" t="str" cm="1">
        <f t="array" ref="B91">_xlfn.LET(_xlpm.p,$A91,_xlfn.IFNA(
  INDEX(tblProjectInfo[InfoValue],
        MATCH(1,(tblProjectInfo[ProjectName]=_xlpm.p)*
                 (UPPER(TRIM(tblProjectInfo[Info]))="PROJECT SIZE (KWP)"),0)
), ""))</f>
        <v/>
      </c>
      <c r="C91" s="147" t="str" cm="1">
        <f t="array" ref="C91">_xlfn.LET(_xlpm.p,$A91,_xlfn.IFNA(
  INDEX(tblProjectInfo[InfoValue],
        MATCH(1,(tblProjectInfo[ProjectName]=_xlpm.p)*
                 (UPPER(TRIM(tblProjectInfo[Info]))="PROJECT DEVELOPER"),0)
), ""))</f>
        <v/>
      </c>
      <c r="D91" s="148" t="str" cm="1">
        <f t="array" ref="D91">_xlfn.LET(_xlpm.p,$A91,_xlfn.IFNA(
  INDEX(tblProjectInfo[InfoValue],
        MATCH(1,(tblProjectInfo[ProjectName]=_xlpm.p)*
                 (UPPER(TRIM(tblProjectInfo[Info]))="PROJECT MANAGERS"),0)
), ""))</f>
        <v/>
      </c>
      <c r="E91" s="147"/>
      <c r="F91" s="147"/>
      <c r="G91" s="147"/>
      <c r="H91" s="162" t="str" cm="1">
        <f t="array" ref="H91">_xlfn.LET(_xlpm.p,$A91,_xlfn.IFNA(
  INDEX(tblProjectInfo[InfoValue],
        MATCH(1,(tblProjectInfo[ProjectName]=_xlpm.p)*
                 ISNUMBER(SEARCH("PHASE",UPPER(tblProjectInfo[Info]))),0)
), ""))</f>
        <v/>
      </c>
      <c r="I91" s="149"/>
      <c r="J91" s="149"/>
      <c r="K91" s="169"/>
      <c r="L91" s="169"/>
      <c r="M91" s="149"/>
      <c r="N91" s="149"/>
      <c r="O91" s="149"/>
      <c r="P91" s="150"/>
      <c r="Q91" s="150"/>
      <c r="R91" s="151"/>
      <c r="S91" s="152"/>
      <c r="T91" s="152"/>
      <c r="U91" s="150"/>
      <c r="V91" s="152"/>
      <c r="W91" s="152"/>
      <c r="X91" s="246"/>
      <c r="Y91" s="246"/>
      <c r="Z91"/>
      <c r="AA91"/>
      <c r="AB91"/>
      <c r="AC91"/>
      <c r="AD91"/>
      <c r="AE91"/>
      <c r="AF91"/>
      <c r="AG91"/>
      <c r="AH91"/>
      <c r="AI91"/>
      <c r="AJ91"/>
    </row>
    <row r="92" spans="1:36">
      <c r="A92" t="str" cm="1">
        <f t="array" ref="A9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IFERROR(INDEX(_xlpm.sorted,ROWS(A$2:A92)),"")
)</f>
        <v/>
      </c>
      <c r="B92" s="147" t="str" cm="1">
        <f t="array" ref="B92">_xlfn.LET(_xlpm.p,$A92,_xlfn.IFNA(
  INDEX(tblProjectInfo[InfoValue],
        MATCH(1,(tblProjectInfo[ProjectName]=_xlpm.p)*
                 (UPPER(TRIM(tblProjectInfo[Info]))="PROJECT SIZE (KWP)"),0)
), ""))</f>
        <v/>
      </c>
      <c r="C92" s="147" t="str" cm="1">
        <f t="array" ref="C92">_xlfn.LET(_xlpm.p,$A92,_xlfn.IFNA(
  INDEX(tblProjectInfo[InfoValue],
        MATCH(1,(tblProjectInfo[ProjectName]=_xlpm.p)*
                 (UPPER(TRIM(tblProjectInfo[Info]))="PROJECT DEVELOPER"),0)
), ""))</f>
        <v/>
      </c>
      <c r="D92" s="148" t="str" cm="1">
        <f t="array" ref="D92">_xlfn.LET(_xlpm.p,$A92,_xlfn.IFNA(
  INDEX(tblProjectInfo[InfoValue],
        MATCH(1,(tblProjectInfo[ProjectName]=_xlpm.p)*
                 (UPPER(TRIM(tblProjectInfo[Info]))="PROJECT MANAGERS"),0)
), ""))</f>
        <v/>
      </c>
      <c r="E92" s="147"/>
      <c r="F92" s="147"/>
      <c r="G92" s="147"/>
      <c r="H92" s="162" t="str" cm="1">
        <f t="array" ref="H92">_xlfn.LET(_xlpm.p,$A92,_xlfn.IFNA(
  INDEX(tblProjectInfo[InfoValue],
        MATCH(1,(tblProjectInfo[ProjectName]=_xlpm.p)*
                 ISNUMBER(SEARCH("PHASE",UPPER(tblProjectInfo[Info]))),0)
), ""))</f>
        <v/>
      </c>
      <c r="I92" s="149"/>
      <c r="J92" s="149"/>
      <c r="K92" s="169"/>
      <c r="L92" s="169"/>
      <c r="M92" s="149"/>
      <c r="N92" s="149"/>
      <c r="O92" s="149"/>
      <c r="P92" s="150"/>
      <c r="Q92" s="150"/>
      <c r="R92" s="151"/>
      <c r="S92" s="152"/>
      <c r="T92" s="152"/>
      <c r="U92" s="150"/>
      <c r="V92" s="152"/>
      <c r="W92" s="152"/>
      <c r="X92" s="246"/>
      <c r="Y92" s="246"/>
      <c r="Z92"/>
      <c r="AA92"/>
      <c r="AB92"/>
      <c r="AC92"/>
      <c r="AD92"/>
      <c r="AE92"/>
      <c r="AF92"/>
      <c r="AG92"/>
      <c r="AH92"/>
      <c r="AI92"/>
      <c r="AJ92"/>
    </row>
    <row r="93" spans="1:36">
      <c r="A93" t="str" cm="1">
        <f t="array" ref="A9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IFERROR(INDEX(_xlpm.sorted,ROWS(A$2:A93)),"")
)</f>
        <v/>
      </c>
      <c r="B93" s="147" t="str" cm="1">
        <f t="array" ref="B93">_xlfn.LET(_xlpm.p,$A93,_xlfn.IFNA(
  INDEX(tblProjectInfo[InfoValue],
        MATCH(1,(tblProjectInfo[ProjectName]=_xlpm.p)*
                 (UPPER(TRIM(tblProjectInfo[Info]))="PROJECT SIZE (KWP)"),0)
), ""))</f>
        <v/>
      </c>
      <c r="C93" s="147" t="str" cm="1">
        <f t="array" ref="C93">_xlfn.LET(_xlpm.p,$A93,_xlfn.IFNA(
  INDEX(tblProjectInfo[InfoValue],
        MATCH(1,(tblProjectInfo[ProjectName]=_xlpm.p)*
                 (UPPER(TRIM(tblProjectInfo[Info]))="PROJECT DEVELOPER"),0)
), ""))</f>
        <v/>
      </c>
      <c r="D93" s="148" t="str" cm="1">
        <f t="array" ref="D93">_xlfn.LET(_xlpm.p,$A93,_xlfn.IFNA(
  INDEX(tblProjectInfo[InfoValue],
        MATCH(1,(tblProjectInfo[ProjectName]=_xlpm.p)*
                 (UPPER(TRIM(tblProjectInfo[Info]))="PROJECT MANAGERS"),0)
), ""))</f>
        <v/>
      </c>
      <c r="E93" s="147"/>
      <c r="F93" s="147"/>
      <c r="G93" s="147"/>
      <c r="H93" s="162" t="str" cm="1">
        <f t="array" ref="H93">_xlfn.LET(_xlpm.p,$A93,_xlfn.IFNA(
  INDEX(tblProjectInfo[InfoValue],
        MATCH(1,(tblProjectInfo[ProjectName]=_xlpm.p)*
                 ISNUMBER(SEARCH("PHASE",UPPER(tblProjectInfo[Info]))),0)
), ""))</f>
        <v/>
      </c>
      <c r="I93" s="149"/>
      <c r="J93" s="149"/>
      <c r="K93" s="169"/>
      <c r="L93" s="169"/>
      <c r="M93" s="149"/>
      <c r="N93" s="149"/>
      <c r="O93" s="149"/>
      <c r="P93" s="150"/>
      <c r="Q93" s="150"/>
      <c r="R93" s="151"/>
      <c r="S93" s="152"/>
      <c r="T93" s="152"/>
      <c r="U93" s="150"/>
      <c r="V93" s="152"/>
      <c r="W93" s="152"/>
      <c r="X93" s="246"/>
      <c r="Y93" s="246"/>
      <c r="Z93"/>
      <c r="AA93"/>
      <c r="AB93"/>
      <c r="AC93"/>
      <c r="AD93"/>
      <c r="AE93"/>
      <c r="AF93"/>
      <c r="AG93"/>
      <c r="AH93"/>
      <c r="AI93"/>
      <c r="AJ93"/>
    </row>
    <row r="94" spans="1:36">
      <c r="A94" t="str" cm="1">
        <f t="array" ref="A9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IFERROR(INDEX(_xlpm.sorted,ROWS(A$2:A94)),"")
)</f>
        <v/>
      </c>
      <c r="B94" s="147" t="str" cm="1">
        <f t="array" ref="B94">_xlfn.LET(_xlpm.p,$A94,_xlfn.IFNA(
  INDEX(tblProjectInfo[InfoValue],
        MATCH(1,(tblProjectInfo[ProjectName]=_xlpm.p)*
                 (UPPER(TRIM(tblProjectInfo[Info]))="PROJECT SIZE (KWP)"),0)
), ""))</f>
        <v/>
      </c>
      <c r="C94" s="147" t="str" cm="1">
        <f t="array" ref="C94">_xlfn.LET(_xlpm.p,$A94,_xlfn.IFNA(
  INDEX(tblProjectInfo[InfoValue],
        MATCH(1,(tblProjectInfo[ProjectName]=_xlpm.p)*
                 (UPPER(TRIM(tblProjectInfo[Info]))="PROJECT DEVELOPER"),0)
), ""))</f>
        <v/>
      </c>
      <c r="D94" s="148" t="str" cm="1">
        <f t="array" ref="D94">_xlfn.LET(_xlpm.p,$A94,_xlfn.IFNA(
  INDEX(tblProjectInfo[InfoValue],
        MATCH(1,(tblProjectInfo[ProjectName]=_xlpm.p)*
                 (UPPER(TRIM(tblProjectInfo[Info]))="PROJECT MANAGERS"),0)
), ""))</f>
        <v/>
      </c>
      <c r="E94" s="147"/>
      <c r="F94" s="147"/>
      <c r="G94" s="147"/>
      <c r="H94" s="162" t="str" cm="1">
        <f t="array" ref="H94">_xlfn.LET(_xlpm.p,$A94,_xlfn.IFNA(
  INDEX(tblProjectInfo[InfoValue],
        MATCH(1,(tblProjectInfo[ProjectName]=_xlpm.p)*
                 ISNUMBER(SEARCH("PHASE",UPPER(tblProjectInfo[Info]))),0)
), ""))</f>
        <v/>
      </c>
      <c r="I94" s="149"/>
      <c r="J94" s="149"/>
      <c r="K94" s="169"/>
      <c r="L94" s="169"/>
      <c r="M94" s="149"/>
      <c r="N94" s="149"/>
      <c r="O94" s="149"/>
      <c r="P94" s="150"/>
      <c r="Q94" s="150"/>
      <c r="R94" s="151"/>
      <c r="S94" s="152"/>
      <c r="T94" s="152"/>
      <c r="U94" s="150"/>
      <c r="V94" s="152"/>
      <c r="W94" s="152"/>
      <c r="X94" s="246"/>
      <c r="Y94" s="246"/>
      <c r="Z94"/>
      <c r="AA94"/>
      <c r="AB94"/>
      <c r="AC94"/>
      <c r="AD94"/>
      <c r="AE94"/>
      <c r="AF94"/>
      <c r="AG94"/>
      <c r="AH94"/>
      <c r="AI94"/>
      <c r="AJ94"/>
    </row>
    <row r="95" spans="1:36">
      <c r="A95" t="str" cm="1">
        <f t="array" ref="A9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IFERROR(INDEX(_xlpm.sorted,ROWS(A$2:A95)),"")
)</f>
        <v/>
      </c>
      <c r="B95" s="147" t="str" cm="1">
        <f t="array" ref="B95">_xlfn.LET(_xlpm.p,$A95,_xlfn.IFNA(
  INDEX(tblProjectInfo[InfoValue],
        MATCH(1,(tblProjectInfo[ProjectName]=_xlpm.p)*
                 (UPPER(TRIM(tblProjectInfo[Info]))="PROJECT SIZE (KWP)"),0)
), ""))</f>
        <v/>
      </c>
      <c r="C95" s="147" t="str" cm="1">
        <f t="array" ref="C95">_xlfn.LET(_xlpm.p,$A95,_xlfn.IFNA(
  INDEX(tblProjectInfo[InfoValue],
        MATCH(1,(tblProjectInfo[ProjectName]=_xlpm.p)*
                 (UPPER(TRIM(tblProjectInfo[Info]))="PROJECT DEVELOPER"),0)
), ""))</f>
        <v/>
      </c>
      <c r="D95" s="148" t="str" cm="1">
        <f t="array" ref="D95">_xlfn.LET(_xlpm.p,$A95,_xlfn.IFNA(
  INDEX(tblProjectInfo[InfoValue],
        MATCH(1,(tblProjectInfo[ProjectName]=_xlpm.p)*
                 (UPPER(TRIM(tblProjectInfo[Info]))="PROJECT MANAGERS"),0)
), ""))</f>
        <v/>
      </c>
      <c r="E95" s="147"/>
      <c r="F95" s="147"/>
      <c r="G95" s="147"/>
      <c r="H95" s="162" t="str" cm="1">
        <f t="array" ref="H95">_xlfn.LET(_xlpm.p,$A95,_xlfn.IFNA(
  INDEX(tblProjectInfo[InfoValue],
        MATCH(1,(tblProjectInfo[ProjectName]=_xlpm.p)*
                 ISNUMBER(SEARCH("PHASE",UPPER(tblProjectInfo[Info]))),0)
), ""))</f>
        <v/>
      </c>
      <c r="I95" s="149"/>
      <c r="J95" s="149"/>
      <c r="K95" s="169"/>
      <c r="L95" s="169"/>
      <c r="M95" s="149"/>
      <c r="N95" s="149"/>
      <c r="O95" s="149"/>
      <c r="P95" s="150"/>
      <c r="Q95" s="150"/>
      <c r="R95" s="151"/>
      <c r="S95" s="152"/>
      <c r="T95" s="152"/>
      <c r="U95" s="150"/>
      <c r="V95" s="152"/>
      <c r="W95" s="152"/>
      <c r="X95" s="246"/>
      <c r="Y95" s="246"/>
      <c r="Z95"/>
      <c r="AA95"/>
      <c r="AB95"/>
      <c r="AC95"/>
      <c r="AD95"/>
      <c r="AE95"/>
      <c r="AF95"/>
      <c r="AG95"/>
      <c r="AH95"/>
      <c r="AI95"/>
      <c r="AJ95"/>
    </row>
    <row r="96" spans="1:36">
      <c r="A96" t="str" cm="1">
        <f t="array" ref="A9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IFERROR(INDEX(_xlpm.sorted,ROWS(A$2:A96)),"")
)</f>
        <v/>
      </c>
      <c r="B96" s="147" t="str" cm="1">
        <f t="array" ref="B96">_xlfn.LET(_xlpm.p,$A96,_xlfn.IFNA(
  INDEX(tblProjectInfo[InfoValue],
        MATCH(1,(tblProjectInfo[ProjectName]=_xlpm.p)*
                 (UPPER(TRIM(tblProjectInfo[Info]))="PROJECT SIZE (KWP)"),0)
), ""))</f>
        <v/>
      </c>
      <c r="C96" s="147" t="str" cm="1">
        <f t="array" ref="C96">_xlfn.LET(_xlpm.p,$A96,_xlfn.IFNA(
  INDEX(tblProjectInfo[InfoValue],
        MATCH(1,(tblProjectInfo[ProjectName]=_xlpm.p)*
                 (UPPER(TRIM(tblProjectInfo[Info]))="PROJECT DEVELOPER"),0)
), ""))</f>
        <v/>
      </c>
      <c r="D96" s="148" t="str" cm="1">
        <f t="array" ref="D96">_xlfn.LET(_xlpm.p,$A96,_xlfn.IFNA(
  INDEX(tblProjectInfo[InfoValue],
        MATCH(1,(tblProjectInfo[ProjectName]=_xlpm.p)*
                 (UPPER(TRIM(tblProjectInfo[Info]))="PROJECT MANAGERS"),0)
), ""))</f>
        <v/>
      </c>
      <c r="E96" s="147"/>
      <c r="F96" s="147"/>
      <c r="G96" s="147"/>
      <c r="H96" s="162" t="str" cm="1">
        <f t="array" ref="H96">_xlfn.LET(_xlpm.p,$A96,_xlfn.IFNA(
  INDEX(tblProjectInfo[InfoValue],
        MATCH(1,(tblProjectInfo[ProjectName]=_xlpm.p)*
                 ISNUMBER(SEARCH("PHASE",UPPER(tblProjectInfo[Info]))),0)
), ""))</f>
        <v/>
      </c>
      <c r="I96" s="149"/>
      <c r="J96" s="149"/>
      <c r="K96" s="169"/>
      <c r="L96" s="169"/>
      <c r="M96" s="149"/>
      <c r="N96" s="149"/>
      <c r="O96" s="149"/>
      <c r="P96" s="150"/>
      <c r="Q96" s="150"/>
      <c r="R96" s="151"/>
      <c r="S96" s="152"/>
      <c r="T96" s="152"/>
      <c r="U96" s="150"/>
      <c r="V96" s="152"/>
      <c r="W96" s="152"/>
      <c r="X96" s="246"/>
      <c r="Y96" s="246"/>
      <c r="Z96"/>
      <c r="AA96"/>
      <c r="AB96"/>
      <c r="AC96"/>
      <c r="AD96"/>
      <c r="AE96"/>
      <c r="AF96"/>
      <c r="AG96"/>
      <c r="AH96"/>
      <c r="AI96"/>
      <c r="AJ96"/>
    </row>
    <row r="97" spans="1:36">
      <c r="A97" t="str" cm="1">
        <f t="array" ref="A9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IFERROR(INDEX(_xlpm.sorted,ROWS(A$2:A97)),"")
)</f>
        <v/>
      </c>
      <c r="B97" s="147" t="str" cm="1">
        <f t="array" ref="B97">_xlfn.LET(_xlpm.p,$A97,_xlfn.IFNA(
  INDEX(tblProjectInfo[InfoValue],
        MATCH(1,(tblProjectInfo[ProjectName]=_xlpm.p)*
                 (UPPER(TRIM(tblProjectInfo[Info]))="PROJECT SIZE (KWP)"),0)
), ""))</f>
        <v/>
      </c>
      <c r="C97" s="147" t="str" cm="1">
        <f t="array" ref="C97">_xlfn.LET(_xlpm.p,$A97,_xlfn.IFNA(
  INDEX(tblProjectInfo[InfoValue],
        MATCH(1,(tblProjectInfo[ProjectName]=_xlpm.p)*
                 (UPPER(TRIM(tblProjectInfo[Info]))="PROJECT DEVELOPER"),0)
), ""))</f>
        <v/>
      </c>
      <c r="D97" s="148" t="str" cm="1">
        <f t="array" ref="D97">_xlfn.LET(_xlpm.p,$A97,_xlfn.IFNA(
  INDEX(tblProjectInfo[InfoValue],
        MATCH(1,(tblProjectInfo[ProjectName]=_xlpm.p)*
                 (UPPER(TRIM(tblProjectInfo[Info]))="PROJECT MANAGERS"),0)
), ""))</f>
        <v/>
      </c>
      <c r="E97" s="147"/>
      <c r="F97" s="147"/>
      <c r="G97" s="147"/>
      <c r="H97" s="162" t="str" cm="1">
        <f t="array" ref="H97">_xlfn.LET(_xlpm.p,$A97,_xlfn.IFNA(
  INDEX(tblProjectInfo[InfoValue],
        MATCH(1,(tblProjectInfo[ProjectName]=_xlpm.p)*
                 ISNUMBER(SEARCH("PHASE",UPPER(tblProjectInfo[Info]))),0)
), ""))</f>
        <v/>
      </c>
      <c r="I97" s="149"/>
      <c r="J97" s="149"/>
      <c r="K97" s="169"/>
      <c r="L97" s="169"/>
      <c r="M97" s="149"/>
      <c r="N97" s="149"/>
      <c r="O97" s="149"/>
      <c r="P97" s="150"/>
      <c r="Q97" s="150"/>
      <c r="R97" s="151"/>
      <c r="S97" s="152"/>
      <c r="T97" s="152"/>
      <c r="U97" s="150"/>
      <c r="V97" s="152"/>
      <c r="W97" s="152"/>
      <c r="X97" s="246"/>
      <c r="Y97" s="246"/>
      <c r="Z97"/>
      <c r="AA97"/>
      <c r="AB97"/>
      <c r="AC97"/>
      <c r="AD97"/>
      <c r="AE97"/>
      <c r="AF97"/>
      <c r="AG97"/>
      <c r="AH97"/>
      <c r="AI97"/>
      <c r="AJ97"/>
    </row>
    <row r="98" spans="1:36">
      <c r="A98" t="str" cm="1">
        <f t="array" ref="A9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IFERROR(INDEX(_xlpm.sorted,ROWS(A$2:A98)),"")
)</f>
        <v/>
      </c>
      <c r="B98" s="147" t="str" cm="1">
        <f t="array" ref="B98">_xlfn.LET(_xlpm.p,$A98,_xlfn.IFNA(
  INDEX(tblProjectInfo[InfoValue],
        MATCH(1,(tblProjectInfo[ProjectName]=_xlpm.p)*
                 (UPPER(TRIM(tblProjectInfo[Info]))="PROJECT SIZE (KWP)"),0)
), ""))</f>
        <v/>
      </c>
      <c r="C98" s="147" t="str" cm="1">
        <f t="array" ref="C98">_xlfn.LET(_xlpm.p,$A98,_xlfn.IFNA(
  INDEX(tblProjectInfo[InfoValue],
        MATCH(1,(tblProjectInfo[ProjectName]=_xlpm.p)*
                 (UPPER(TRIM(tblProjectInfo[Info]))="PROJECT DEVELOPER"),0)
), ""))</f>
        <v/>
      </c>
      <c r="D98" s="148" t="str" cm="1">
        <f t="array" ref="D98">_xlfn.LET(_xlpm.p,$A98,_xlfn.IFNA(
  INDEX(tblProjectInfo[InfoValue],
        MATCH(1,(tblProjectInfo[ProjectName]=_xlpm.p)*
                 (UPPER(TRIM(tblProjectInfo[Info]))="PROJECT MANAGERS"),0)
), ""))</f>
        <v/>
      </c>
      <c r="E98" s="147"/>
      <c r="F98" s="147"/>
      <c r="G98" s="147"/>
      <c r="H98" s="162" t="str" cm="1">
        <f t="array" ref="H98">_xlfn.LET(_xlpm.p,$A98,_xlfn.IFNA(
  INDEX(tblProjectInfo[InfoValue],
        MATCH(1,(tblProjectInfo[ProjectName]=_xlpm.p)*
                 ISNUMBER(SEARCH("PHASE",UPPER(tblProjectInfo[Info]))),0)
), ""))</f>
        <v/>
      </c>
      <c r="I98" s="149"/>
      <c r="J98" s="149"/>
      <c r="K98" s="169"/>
      <c r="L98" s="169"/>
      <c r="M98" s="149"/>
      <c r="N98" s="149"/>
      <c r="O98" s="149"/>
      <c r="P98" s="150"/>
      <c r="Q98" s="150"/>
      <c r="R98" s="151"/>
      <c r="S98" s="152"/>
      <c r="T98" s="152"/>
      <c r="U98" s="150"/>
      <c r="V98" s="152"/>
      <c r="W98" s="152"/>
      <c r="X98" s="246"/>
      <c r="Y98" s="246"/>
      <c r="Z98"/>
      <c r="AA98"/>
      <c r="AB98"/>
      <c r="AC98"/>
      <c r="AD98"/>
      <c r="AE98"/>
      <c r="AF98"/>
      <c r="AG98"/>
      <c r="AH98"/>
      <c r="AI98"/>
      <c r="AJ98"/>
    </row>
    <row r="99" spans="1:36">
      <c r="A99" t="str" cm="1">
        <f t="array" ref="A9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IFERROR(INDEX(_xlpm.sorted,ROWS(A$2:A99)),"")
)</f>
        <v/>
      </c>
      <c r="B99" s="147" t="str" cm="1">
        <f t="array" ref="B99">_xlfn.LET(_xlpm.p,$A99,_xlfn.IFNA(
  INDEX(tblProjectInfo[InfoValue],
        MATCH(1,(tblProjectInfo[ProjectName]=_xlpm.p)*
                 (UPPER(TRIM(tblProjectInfo[Info]))="PROJECT SIZE (KWP)"),0)
), ""))</f>
        <v/>
      </c>
      <c r="C99" s="147" t="str" cm="1">
        <f t="array" ref="C99">_xlfn.LET(_xlpm.p,$A99,_xlfn.IFNA(
  INDEX(tblProjectInfo[InfoValue],
        MATCH(1,(tblProjectInfo[ProjectName]=_xlpm.p)*
                 (UPPER(TRIM(tblProjectInfo[Info]))="PROJECT DEVELOPER"),0)
), ""))</f>
        <v/>
      </c>
      <c r="D99" s="148" t="str" cm="1">
        <f t="array" ref="D99">_xlfn.LET(_xlpm.p,$A99,_xlfn.IFNA(
  INDEX(tblProjectInfo[InfoValue],
        MATCH(1,(tblProjectInfo[ProjectName]=_xlpm.p)*
                 (UPPER(TRIM(tblProjectInfo[Info]))="PROJECT MANAGERS"),0)
), ""))</f>
        <v/>
      </c>
      <c r="E99" s="147"/>
      <c r="F99" s="147"/>
      <c r="G99" s="147"/>
      <c r="H99" s="162" t="str" cm="1">
        <f t="array" ref="H99">_xlfn.LET(_xlpm.p,$A99,_xlfn.IFNA(
  INDEX(tblProjectInfo[InfoValue],
        MATCH(1,(tblProjectInfo[ProjectName]=_xlpm.p)*
                 ISNUMBER(SEARCH("PHASE",UPPER(tblProjectInfo[Info]))),0)
), ""))</f>
        <v/>
      </c>
      <c r="I99" s="149"/>
      <c r="J99" s="149"/>
      <c r="K99" s="169"/>
      <c r="L99" s="169"/>
      <c r="M99" s="149"/>
      <c r="N99" s="149"/>
      <c r="O99" s="149"/>
      <c r="P99" s="150"/>
      <c r="Q99" s="150"/>
      <c r="R99" s="151"/>
      <c r="S99" s="152"/>
      <c r="T99" s="152"/>
      <c r="U99" s="150"/>
      <c r="V99" s="152"/>
      <c r="W99" s="152"/>
      <c r="X99" s="246"/>
      <c r="Y99" s="246"/>
      <c r="Z99"/>
      <c r="AA99"/>
      <c r="AB99"/>
      <c r="AC99"/>
      <c r="AD99"/>
      <c r="AE99"/>
      <c r="AF99"/>
      <c r="AG99"/>
      <c r="AH99"/>
      <c r="AI99"/>
      <c r="AJ99"/>
    </row>
    <row r="100" spans="1:36">
      <c r="A100" t="str" cm="1">
        <f t="array" ref="A10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IFERROR(INDEX(_xlpm.sorted,ROWS(A$2:A100)),"")
)</f>
        <v/>
      </c>
      <c r="B100" s="147" t="str" cm="1">
        <f t="array" ref="B100">_xlfn.LET(_xlpm.p,$A100,_xlfn.IFNA(
  INDEX(tblProjectInfo[InfoValue],
        MATCH(1,(tblProjectInfo[ProjectName]=_xlpm.p)*
                 (UPPER(TRIM(tblProjectInfo[Info]))="PROJECT SIZE (KWP)"),0)
), ""))</f>
        <v/>
      </c>
      <c r="C100" s="147" t="str" cm="1">
        <f t="array" ref="C100">_xlfn.LET(_xlpm.p,$A100,_xlfn.IFNA(
  INDEX(tblProjectInfo[InfoValue],
        MATCH(1,(tblProjectInfo[ProjectName]=_xlpm.p)*
                 (UPPER(TRIM(tblProjectInfo[Info]))="PROJECT DEVELOPER"),0)
), ""))</f>
        <v/>
      </c>
      <c r="D100" s="148" t="str" cm="1">
        <f t="array" ref="D100">_xlfn.LET(_xlpm.p,$A100,_xlfn.IFNA(
  INDEX(tblProjectInfo[InfoValue],
        MATCH(1,(tblProjectInfo[ProjectName]=_xlpm.p)*
                 (UPPER(TRIM(tblProjectInfo[Info]))="PROJECT MANAGERS"),0)
), ""))</f>
        <v/>
      </c>
      <c r="E100" s="147"/>
      <c r="F100" s="147"/>
      <c r="G100" s="147"/>
      <c r="H100" s="162" t="str" cm="1">
        <f t="array" ref="H100">_xlfn.LET(_xlpm.p,$A100,_xlfn.IFNA(
  INDEX(tblProjectInfo[InfoValue],
        MATCH(1,(tblProjectInfo[ProjectName]=_xlpm.p)*
                 ISNUMBER(SEARCH("PHASE",UPPER(tblProjectInfo[Info]))),0)
), ""))</f>
        <v/>
      </c>
      <c r="I100" s="149"/>
      <c r="J100" s="149"/>
      <c r="K100" s="169"/>
      <c r="L100" s="169"/>
      <c r="M100" s="149"/>
      <c r="N100" s="149"/>
      <c r="O100" s="149"/>
      <c r="P100" s="150"/>
      <c r="Q100" s="150"/>
      <c r="R100" s="151"/>
      <c r="S100" s="152"/>
      <c r="T100" s="152"/>
      <c r="U100" s="150"/>
      <c r="V100" s="152"/>
      <c r="W100" s="152"/>
      <c r="X100" s="246"/>
      <c r="Y100" s="246"/>
      <c r="Z100"/>
      <c r="AA100"/>
      <c r="AB100"/>
      <c r="AC100"/>
      <c r="AD100"/>
      <c r="AE100"/>
      <c r="AF100"/>
      <c r="AG100"/>
      <c r="AH100"/>
      <c r="AI100"/>
      <c r="AJ100"/>
    </row>
    <row r="101" spans="1:36">
      <c r="A101" t="str" cm="1">
        <f t="array" ref="A10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IFERROR(INDEX(_xlpm.sorted,ROWS(A$2:A101)),"")
)</f>
        <v/>
      </c>
      <c r="B101" s="147" t="str" cm="1">
        <f t="array" ref="B101">_xlfn.LET(_xlpm.p,$A101,_xlfn.IFNA(
  INDEX(tblProjectInfo[InfoValue],
        MATCH(1,(tblProjectInfo[ProjectName]=_xlpm.p)*
                 (UPPER(TRIM(tblProjectInfo[Info]))="PROJECT SIZE (KWP)"),0)
), ""))</f>
        <v/>
      </c>
      <c r="C101" s="147" t="str" cm="1">
        <f t="array" ref="C101">_xlfn.LET(_xlpm.p,$A101,_xlfn.IFNA(
  INDEX(tblProjectInfo[InfoValue],
        MATCH(1,(tblProjectInfo[ProjectName]=_xlpm.p)*
                 (UPPER(TRIM(tblProjectInfo[Info]))="PROJECT DEVELOPER"),0)
), ""))</f>
        <v/>
      </c>
      <c r="D101" s="148" t="str" cm="1">
        <f t="array" ref="D101">_xlfn.LET(_xlpm.p,$A101,_xlfn.IFNA(
  INDEX(tblProjectInfo[InfoValue],
        MATCH(1,(tblProjectInfo[ProjectName]=_xlpm.p)*
                 (UPPER(TRIM(tblProjectInfo[Info]))="PROJECT MANAGERS"),0)
), ""))</f>
        <v/>
      </c>
      <c r="E101" s="147"/>
      <c r="F101" s="147"/>
      <c r="G101" s="147"/>
      <c r="H101" s="162" t="str" cm="1">
        <f t="array" ref="H101">_xlfn.LET(_xlpm.p,$A101,_xlfn.IFNA(
  INDEX(tblProjectInfo[InfoValue],
        MATCH(1,(tblProjectInfo[ProjectName]=_xlpm.p)*
                 ISNUMBER(SEARCH("PHASE",UPPER(tblProjectInfo[Info]))),0)
), ""))</f>
        <v/>
      </c>
      <c r="I101" s="149"/>
      <c r="J101" s="149"/>
      <c r="K101" s="169"/>
      <c r="L101" s="169"/>
      <c r="M101" s="149"/>
      <c r="N101" s="149"/>
      <c r="O101" s="149"/>
      <c r="P101" s="150"/>
      <c r="Q101" s="150"/>
      <c r="R101" s="151"/>
      <c r="S101" s="152"/>
      <c r="T101" s="152"/>
      <c r="U101" s="150"/>
      <c r="V101" s="152"/>
      <c r="W101" s="152"/>
      <c r="X101" s="246"/>
      <c r="Y101" s="246"/>
      <c r="Z101"/>
      <c r="AA101"/>
      <c r="AB101"/>
      <c r="AC101"/>
      <c r="AD101"/>
      <c r="AE101"/>
      <c r="AF101"/>
      <c r="AG101"/>
      <c r="AH101"/>
      <c r="AI101"/>
      <c r="AJ101"/>
    </row>
    <row r="102" spans="1:36">
      <c r="A102" t="str" cm="1">
        <f t="array" ref="A10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IFERROR(INDEX(_xlpm.sorted,ROWS(A$2:A102)),"")
)</f>
        <v/>
      </c>
      <c r="B102" s="147" t="str" cm="1">
        <f t="array" ref="B102">_xlfn.LET(_xlpm.p,$A102,_xlfn.IFNA(
  INDEX(tblProjectInfo[InfoValue],
        MATCH(1,(tblProjectInfo[ProjectName]=_xlpm.p)*
                 (UPPER(TRIM(tblProjectInfo[Info]))="PROJECT SIZE (KWP)"),0)
), ""))</f>
        <v/>
      </c>
      <c r="C102" s="147" t="str" cm="1">
        <f t="array" ref="C102">_xlfn.LET(_xlpm.p,$A102,_xlfn.IFNA(
  INDEX(tblProjectInfo[InfoValue],
        MATCH(1,(tblProjectInfo[ProjectName]=_xlpm.p)*
                 (UPPER(TRIM(tblProjectInfo[Info]))="PROJECT DEVELOPER"),0)
), ""))</f>
        <v/>
      </c>
      <c r="D102" s="148" t="str" cm="1">
        <f t="array" ref="D102">_xlfn.LET(_xlpm.p,$A102,_xlfn.IFNA(
  INDEX(tblProjectInfo[InfoValue],
        MATCH(1,(tblProjectInfo[ProjectName]=_xlpm.p)*
                 (UPPER(TRIM(tblProjectInfo[Info]))="PROJECT MANAGERS"),0)
), ""))</f>
        <v/>
      </c>
      <c r="E102" s="147"/>
      <c r="F102" s="147"/>
      <c r="G102" s="147"/>
      <c r="H102" s="162" t="str" cm="1">
        <f t="array" ref="H102">_xlfn.LET(_xlpm.p,$A102,_xlfn.IFNA(
  INDEX(tblProjectInfo[InfoValue],
        MATCH(1,(tblProjectInfo[ProjectName]=_xlpm.p)*
                 ISNUMBER(SEARCH("PHASE",UPPER(tblProjectInfo[Info]))),0)
), ""))</f>
        <v/>
      </c>
      <c r="I102" s="149"/>
      <c r="J102" s="149"/>
      <c r="K102" s="169"/>
      <c r="L102" s="169"/>
      <c r="M102" s="149"/>
      <c r="N102" s="149"/>
      <c r="O102" s="149"/>
      <c r="P102" s="150"/>
      <c r="Q102" s="150"/>
      <c r="R102" s="151"/>
      <c r="S102" s="152"/>
      <c r="T102" s="152"/>
      <c r="U102" s="150"/>
      <c r="V102" s="152"/>
      <c r="W102" s="152"/>
      <c r="X102" s="246"/>
      <c r="Y102" s="246"/>
      <c r="Z102"/>
      <c r="AA102"/>
      <c r="AB102"/>
      <c r="AC102"/>
      <c r="AD102"/>
      <c r="AE102"/>
      <c r="AF102"/>
      <c r="AG102"/>
      <c r="AH102"/>
      <c r="AI102"/>
      <c r="AJ102"/>
    </row>
    <row r="103" spans="1:36">
      <c r="A103" t="str" cm="1">
        <f t="array" ref="A10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IFERROR(INDEX(_xlpm.sorted,ROWS(A$2:A103)),"")
)</f>
        <v/>
      </c>
      <c r="B103" s="147" t="str" cm="1">
        <f t="array" ref="B103">_xlfn.LET(_xlpm.p,$A103,_xlfn.IFNA(
  INDEX(tblProjectInfo[InfoValue],
        MATCH(1,(tblProjectInfo[ProjectName]=_xlpm.p)*
                 (UPPER(TRIM(tblProjectInfo[Info]))="PROJECT SIZE (KWP)"),0)
), ""))</f>
        <v/>
      </c>
      <c r="C103" s="147" t="str" cm="1">
        <f t="array" ref="C103">_xlfn.LET(_xlpm.p,$A103,_xlfn.IFNA(
  INDEX(tblProjectInfo[InfoValue],
        MATCH(1,(tblProjectInfo[ProjectName]=_xlpm.p)*
                 (UPPER(TRIM(tblProjectInfo[Info]))="PROJECT DEVELOPER"),0)
), ""))</f>
        <v/>
      </c>
      <c r="D103" s="148" t="str" cm="1">
        <f t="array" ref="D103">_xlfn.LET(_xlpm.p,$A103,_xlfn.IFNA(
  INDEX(tblProjectInfo[InfoValue],
        MATCH(1,(tblProjectInfo[ProjectName]=_xlpm.p)*
                 (UPPER(TRIM(tblProjectInfo[Info]))="PROJECT MANAGERS"),0)
), ""))</f>
        <v/>
      </c>
      <c r="E103" s="147"/>
      <c r="F103" s="147"/>
      <c r="G103" s="147"/>
      <c r="H103" s="162" t="str" cm="1">
        <f t="array" ref="H103">_xlfn.LET(_xlpm.p,$A103,_xlfn.IFNA(
  INDEX(tblProjectInfo[InfoValue],
        MATCH(1,(tblProjectInfo[ProjectName]=_xlpm.p)*
                 ISNUMBER(SEARCH("PHASE",UPPER(tblProjectInfo[Info]))),0)
), ""))</f>
        <v/>
      </c>
      <c r="I103" s="149"/>
      <c r="J103" s="149"/>
      <c r="K103" s="169"/>
      <c r="L103" s="169"/>
      <c r="M103" s="149"/>
      <c r="N103" s="149"/>
      <c r="O103" s="149"/>
      <c r="P103" s="150"/>
      <c r="Q103" s="150"/>
      <c r="R103" s="151"/>
      <c r="S103" s="152"/>
      <c r="T103" s="152"/>
      <c r="U103" s="150"/>
      <c r="V103" s="152"/>
      <c r="W103" s="152"/>
      <c r="X103" s="246"/>
      <c r="Y103" s="246"/>
      <c r="Z103"/>
      <c r="AA103"/>
      <c r="AB103"/>
      <c r="AC103"/>
      <c r="AD103"/>
      <c r="AE103"/>
      <c r="AF103"/>
      <c r="AG103"/>
      <c r="AH103"/>
      <c r="AI103"/>
      <c r="AJ103"/>
    </row>
    <row r="104" spans="1:36">
      <c r="A104" t="str" cm="1">
        <f t="array" ref="A10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IFERROR(INDEX(_xlpm.sorted,ROWS(A$2:A104)),"")
)</f>
        <v/>
      </c>
      <c r="B104" s="147" t="str" cm="1">
        <f t="array" ref="B104">_xlfn.LET(_xlpm.p,$A104,_xlfn.IFNA(
  INDEX(tblProjectInfo[InfoValue],
        MATCH(1,(tblProjectInfo[ProjectName]=_xlpm.p)*
                 (UPPER(TRIM(tblProjectInfo[Info]))="PROJECT SIZE (KWP)"),0)
), ""))</f>
        <v/>
      </c>
      <c r="C104" s="147" t="str" cm="1">
        <f t="array" ref="C104">_xlfn.LET(_xlpm.p,$A104,_xlfn.IFNA(
  INDEX(tblProjectInfo[InfoValue],
        MATCH(1,(tblProjectInfo[ProjectName]=_xlpm.p)*
                 (UPPER(TRIM(tblProjectInfo[Info]))="PROJECT DEVELOPER"),0)
), ""))</f>
        <v/>
      </c>
      <c r="D104" s="148" t="str" cm="1">
        <f t="array" ref="D104">_xlfn.LET(_xlpm.p,$A104,_xlfn.IFNA(
  INDEX(tblProjectInfo[InfoValue],
        MATCH(1,(tblProjectInfo[ProjectName]=_xlpm.p)*
                 (UPPER(TRIM(tblProjectInfo[Info]))="PROJECT MANAGERS"),0)
), ""))</f>
        <v/>
      </c>
      <c r="E104" s="147"/>
      <c r="F104" s="147"/>
      <c r="G104" s="147"/>
      <c r="H104" s="162" t="str" cm="1">
        <f t="array" ref="H104">_xlfn.LET(_xlpm.p,$A104,_xlfn.IFNA(
  INDEX(tblProjectInfo[InfoValue],
        MATCH(1,(tblProjectInfo[ProjectName]=_xlpm.p)*
                 ISNUMBER(SEARCH("PHASE",UPPER(tblProjectInfo[Info]))),0)
), ""))</f>
        <v/>
      </c>
      <c r="I104" s="149"/>
      <c r="J104" s="149"/>
      <c r="K104" s="169"/>
      <c r="L104" s="169"/>
      <c r="M104" s="149"/>
      <c r="N104" s="149"/>
      <c r="O104" s="149"/>
      <c r="P104" s="150"/>
      <c r="Q104" s="150"/>
      <c r="R104" s="151"/>
      <c r="S104" s="152"/>
      <c r="T104" s="152"/>
      <c r="U104" s="150"/>
      <c r="V104" s="152"/>
      <c r="W104" s="152"/>
      <c r="X104" s="246"/>
      <c r="Y104" s="246"/>
      <c r="Z104"/>
      <c r="AA104"/>
      <c r="AB104"/>
      <c r="AC104"/>
      <c r="AD104"/>
      <c r="AE104"/>
      <c r="AF104"/>
      <c r="AG104"/>
      <c r="AH104"/>
      <c r="AI104"/>
      <c r="AJ104"/>
    </row>
    <row r="105" spans="1:36">
      <c r="A105" t="str" cm="1">
        <f t="array" ref="A10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IFERROR(INDEX(_xlpm.sorted,ROWS(A$2:A105)),"")
)</f>
        <v/>
      </c>
      <c r="B105" s="147" t="str" cm="1">
        <f t="array" ref="B105">_xlfn.LET(_xlpm.p,$A105,_xlfn.IFNA(
  INDEX(tblProjectInfo[InfoValue],
        MATCH(1,(tblProjectInfo[ProjectName]=_xlpm.p)*
                 (UPPER(TRIM(tblProjectInfo[Info]))="PROJECT SIZE (KWP)"),0)
), ""))</f>
        <v/>
      </c>
      <c r="C105" s="147" t="str" cm="1">
        <f t="array" ref="C105">_xlfn.LET(_xlpm.p,$A105,_xlfn.IFNA(
  INDEX(tblProjectInfo[InfoValue],
        MATCH(1,(tblProjectInfo[ProjectName]=_xlpm.p)*
                 (UPPER(TRIM(tblProjectInfo[Info]))="PROJECT DEVELOPER"),0)
), ""))</f>
        <v/>
      </c>
      <c r="D105" s="148" t="str" cm="1">
        <f t="array" ref="D105">_xlfn.LET(_xlpm.p,$A105,_xlfn.IFNA(
  INDEX(tblProjectInfo[InfoValue],
        MATCH(1,(tblProjectInfo[ProjectName]=_xlpm.p)*
                 (UPPER(TRIM(tblProjectInfo[Info]))="PROJECT MANAGERS"),0)
), ""))</f>
        <v/>
      </c>
      <c r="E105" s="147"/>
      <c r="F105" s="147"/>
      <c r="G105" s="147"/>
      <c r="H105" s="162" t="str" cm="1">
        <f t="array" ref="H105">_xlfn.LET(_xlpm.p,$A105,_xlfn.IFNA(
  INDEX(tblProjectInfo[InfoValue],
        MATCH(1,(tblProjectInfo[ProjectName]=_xlpm.p)*
                 ISNUMBER(SEARCH("PHASE",UPPER(tblProjectInfo[Info]))),0)
), ""))</f>
        <v/>
      </c>
      <c r="I105" s="149"/>
      <c r="J105" s="149"/>
      <c r="K105" s="169"/>
      <c r="L105" s="169"/>
      <c r="M105" s="149"/>
      <c r="N105" s="149"/>
      <c r="O105" s="149"/>
      <c r="P105" s="150"/>
      <c r="Q105" s="150"/>
      <c r="R105" s="151"/>
      <c r="S105" s="152"/>
      <c r="T105" s="152"/>
      <c r="U105" s="150"/>
      <c r="V105" s="152"/>
      <c r="W105" s="152"/>
      <c r="X105" s="246"/>
      <c r="Y105" s="246"/>
      <c r="Z105"/>
      <c r="AA105"/>
      <c r="AB105"/>
      <c r="AC105"/>
      <c r="AD105"/>
      <c r="AE105"/>
      <c r="AF105"/>
      <c r="AG105"/>
      <c r="AH105"/>
      <c r="AI105"/>
      <c r="AJ105"/>
    </row>
    <row r="106" spans="1:36">
      <c r="A106" t="str" cm="1">
        <f t="array" ref="A10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IFERROR(INDEX(_xlpm.sorted,ROWS(A$2:A106)),"")
)</f>
        <v/>
      </c>
      <c r="B106" s="147" t="str" cm="1">
        <f t="array" ref="B106">_xlfn.LET(_xlpm.p,$A106,_xlfn.IFNA(
  INDEX(tblProjectInfo[InfoValue],
        MATCH(1,(tblProjectInfo[ProjectName]=_xlpm.p)*
                 (UPPER(TRIM(tblProjectInfo[Info]))="PROJECT SIZE (KWP)"),0)
), ""))</f>
        <v/>
      </c>
      <c r="C106" s="147" t="str" cm="1">
        <f t="array" ref="C106">_xlfn.LET(_xlpm.p,$A106,_xlfn.IFNA(
  INDEX(tblProjectInfo[InfoValue],
        MATCH(1,(tblProjectInfo[ProjectName]=_xlpm.p)*
                 (UPPER(TRIM(tblProjectInfo[Info]))="PROJECT DEVELOPER"),0)
), ""))</f>
        <v/>
      </c>
      <c r="D106" s="148" t="str" cm="1">
        <f t="array" ref="D106">_xlfn.LET(_xlpm.p,$A106,_xlfn.IFNA(
  INDEX(tblProjectInfo[InfoValue],
        MATCH(1,(tblProjectInfo[ProjectName]=_xlpm.p)*
                 (UPPER(TRIM(tblProjectInfo[Info]))="PROJECT MANAGERS"),0)
), ""))</f>
        <v/>
      </c>
      <c r="E106" s="147"/>
      <c r="F106" s="147"/>
      <c r="G106" s="147"/>
      <c r="H106" s="162" t="str" cm="1">
        <f t="array" ref="H106">_xlfn.LET(_xlpm.p,$A106,_xlfn.IFNA(
  INDEX(tblProjectInfo[InfoValue],
        MATCH(1,(tblProjectInfo[ProjectName]=_xlpm.p)*
                 ISNUMBER(SEARCH("PHASE",UPPER(tblProjectInfo[Info]))),0)
), ""))</f>
        <v/>
      </c>
      <c r="I106" s="149"/>
      <c r="J106" s="149"/>
      <c r="K106" s="169"/>
      <c r="L106" s="169"/>
      <c r="M106" s="149"/>
      <c r="N106" s="149"/>
      <c r="O106" s="149"/>
      <c r="P106" s="150"/>
      <c r="Q106" s="150"/>
      <c r="R106" s="151"/>
      <c r="S106" s="152"/>
      <c r="T106" s="152"/>
      <c r="U106" s="150"/>
      <c r="V106" s="152"/>
      <c r="W106" s="152"/>
      <c r="X106" s="246"/>
      <c r="Y106" s="246"/>
      <c r="Z106"/>
      <c r="AA106"/>
      <c r="AB106"/>
      <c r="AC106"/>
      <c r="AD106"/>
      <c r="AE106"/>
      <c r="AF106"/>
      <c r="AG106"/>
      <c r="AH106"/>
      <c r="AI106"/>
      <c r="AJ106"/>
    </row>
    <row r="107" spans="1:36">
      <c r="A107" t="str" cm="1">
        <f t="array" ref="A10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IFERROR(INDEX(_xlpm.sorted,ROWS(A$2:A107)),"")
)</f>
        <v/>
      </c>
      <c r="B107" s="147" t="str" cm="1">
        <f t="array" ref="B107">_xlfn.LET(_xlpm.p,$A107,_xlfn.IFNA(
  INDEX(tblProjectInfo[InfoValue],
        MATCH(1,(tblProjectInfo[ProjectName]=_xlpm.p)*
                 (UPPER(TRIM(tblProjectInfo[Info]))="PROJECT SIZE (KWP)"),0)
), ""))</f>
        <v/>
      </c>
      <c r="C107" s="147" t="str" cm="1">
        <f t="array" ref="C107">_xlfn.LET(_xlpm.p,$A107,_xlfn.IFNA(
  INDEX(tblProjectInfo[InfoValue],
        MATCH(1,(tblProjectInfo[ProjectName]=_xlpm.p)*
                 (UPPER(TRIM(tblProjectInfo[Info]))="PROJECT DEVELOPER"),0)
), ""))</f>
        <v/>
      </c>
      <c r="D107" s="148" t="str" cm="1">
        <f t="array" ref="D107">_xlfn.LET(_xlpm.p,$A107,_xlfn.IFNA(
  INDEX(tblProjectInfo[InfoValue],
        MATCH(1,(tblProjectInfo[ProjectName]=_xlpm.p)*
                 (UPPER(TRIM(tblProjectInfo[Info]))="PROJECT MANAGERS"),0)
), ""))</f>
        <v/>
      </c>
      <c r="E107" s="147"/>
      <c r="F107" s="147"/>
      <c r="G107" s="147"/>
      <c r="H107" s="162" t="str" cm="1">
        <f t="array" ref="H107">_xlfn.LET(_xlpm.p,$A107,_xlfn.IFNA(
  INDEX(tblProjectInfo[InfoValue],
        MATCH(1,(tblProjectInfo[ProjectName]=_xlpm.p)*
                 ISNUMBER(SEARCH("PHASE",UPPER(tblProjectInfo[Info]))),0)
), ""))</f>
        <v/>
      </c>
      <c r="I107" s="149"/>
      <c r="J107" s="149"/>
      <c r="K107" s="169"/>
      <c r="L107" s="169"/>
      <c r="M107" s="149"/>
      <c r="N107" s="149"/>
      <c r="O107" s="149"/>
      <c r="P107" s="150"/>
      <c r="Q107" s="150"/>
      <c r="R107" s="151"/>
      <c r="S107" s="152"/>
      <c r="T107" s="152"/>
      <c r="U107" s="150"/>
      <c r="V107" s="152"/>
      <c r="W107" s="152"/>
      <c r="X107" s="246"/>
      <c r="Y107" s="246"/>
      <c r="Z107"/>
      <c r="AA107"/>
      <c r="AB107"/>
      <c r="AC107"/>
      <c r="AD107"/>
      <c r="AE107"/>
      <c r="AF107"/>
      <c r="AG107"/>
      <c r="AH107"/>
      <c r="AI107"/>
      <c r="AJ107"/>
    </row>
    <row r="108" spans="1:36">
      <c r="A108" t="str" cm="1">
        <f t="array" ref="A10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IFERROR(INDEX(_xlpm.sorted,ROWS(A$2:A108)),"")
)</f>
        <v/>
      </c>
      <c r="B108" s="147" t="str" cm="1">
        <f t="array" ref="B108">_xlfn.LET(_xlpm.p,$A108,_xlfn.IFNA(
  INDEX(tblProjectInfo[InfoValue],
        MATCH(1,(tblProjectInfo[ProjectName]=_xlpm.p)*
                 (UPPER(TRIM(tblProjectInfo[Info]))="PROJECT SIZE (KWP)"),0)
), ""))</f>
        <v/>
      </c>
      <c r="C108" s="147" t="str" cm="1">
        <f t="array" ref="C108">_xlfn.LET(_xlpm.p,$A108,_xlfn.IFNA(
  INDEX(tblProjectInfo[InfoValue],
        MATCH(1,(tblProjectInfo[ProjectName]=_xlpm.p)*
                 (UPPER(TRIM(tblProjectInfo[Info]))="PROJECT DEVELOPER"),0)
), ""))</f>
        <v/>
      </c>
      <c r="D108" s="148" t="str" cm="1">
        <f t="array" ref="D108">_xlfn.LET(_xlpm.p,$A108,_xlfn.IFNA(
  INDEX(tblProjectInfo[InfoValue],
        MATCH(1,(tblProjectInfo[ProjectName]=_xlpm.p)*
                 (UPPER(TRIM(tblProjectInfo[Info]))="PROJECT MANAGERS"),0)
), ""))</f>
        <v/>
      </c>
      <c r="E108" s="147"/>
      <c r="F108" s="147"/>
      <c r="G108" s="147"/>
      <c r="H108" s="162" t="str" cm="1">
        <f t="array" ref="H108">_xlfn.LET(_xlpm.p,$A108,_xlfn.IFNA(
  INDEX(tblProjectInfo[InfoValue],
        MATCH(1,(tblProjectInfo[ProjectName]=_xlpm.p)*
                 ISNUMBER(SEARCH("PHASE",UPPER(tblProjectInfo[Info]))),0)
), ""))</f>
        <v/>
      </c>
      <c r="I108" s="149"/>
      <c r="J108" s="149"/>
      <c r="K108" s="169"/>
      <c r="L108" s="169"/>
      <c r="M108" s="149"/>
      <c r="N108" s="149"/>
      <c r="O108" s="149"/>
      <c r="P108" s="150"/>
      <c r="Q108" s="150"/>
      <c r="R108" s="151"/>
      <c r="S108" s="152"/>
      <c r="T108" s="152"/>
      <c r="U108" s="150"/>
      <c r="V108" s="152"/>
      <c r="W108" s="152"/>
      <c r="X108" s="246"/>
      <c r="Y108" s="246"/>
      <c r="Z108"/>
      <c r="AA108"/>
      <c r="AB108"/>
      <c r="AC108"/>
      <c r="AD108"/>
      <c r="AE108"/>
      <c r="AF108"/>
      <c r="AG108"/>
      <c r="AH108"/>
      <c r="AI108"/>
      <c r="AJ108"/>
    </row>
    <row r="109" spans="1:36">
      <c r="A109" t="str" cm="1">
        <f t="array" ref="A10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IFERROR(INDEX(_xlpm.sorted,ROWS(A$2:A109)),"")
)</f>
        <v/>
      </c>
      <c r="B109" s="147" t="str" cm="1">
        <f t="array" ref="B109">_xlfn.LET(_xlpm.p,$A109,_xlfn.IFNA(
  INDEX(tblProjectInfo[InfoValue],
        MATCH(1,(tblProjectInfo[ProjectName]=_xlpm.p)*
                 (UPPER(TRIM(tblProjectInfo[Info]))="PROJECT SIZE (KWP)"),0)
), ""))</f>
        <v/>
      </c>
      <c r="C109" s="147" t="str" cm="1">
        <f t="array" ref="C109">_xlfn.LET(_xlpm.p,$A109,_xlfn.IFNA(
  INDEX(tblProjectInfo[InfoValue],
        MATCH(1,(tblProjectInfo[ProjectName]=_xlpm.p)*
                 (UPPER(TRIM(tblProjectInfo[Info]))="PROJECT DEVELOPER"),0)
), ""))</f>
        <v/>
      </c>
      <c r="D109" s="148" t="str" cm="1">
        <f t="array" ref="D109">_xlfn.LET(_xlpm.p,$A109,_xlfn.IFNA(
  INDEX(tblProjectInfo[InfoValue],
        MATCH(1,(tblProjectInfo[ProjectName]=_xlpm.p)*
                 (UPPER(TRIM(tblProjectInfo[Info]))="PROJECT MANAGERS"),0)
), ""))</f>
        <v/>
      </c>
      <c r="E109" s="147"/>
      <c r="F109" s="147"/>
      <c r="G109" s="147"/>
      <c r="H109" s="162" t="str" cm="1">
        <f t="array" ref="H109">_xlfn.LET(_xlpm.p,$A109,_xlfn.IFNA(
  INDEX(tblProjectInfo[InfoValue],
        MATCH(1,(tblProjectInfo[ProjectName]=_xlpm.p)*
                 ISNUMBER(SEARCH("PHASE",UPPER(tblProjectInfo[Info]))),0)
), ""))</f>
        <v/>
      </c>
      <c r="I109" s="149"/>
      <c r="J109" s="149"/>
      <c r="K109" s="169"/>
      <c r="L109" s="169"/>
      <c r="M109" s="149"/>
      <c r="N109" s="149"/>
      <c r="O109" s="149"/>
      <c r="P109" s="150"/>
      <c r="Q109" s="150"/>
      <c r="R109" s="151"/>
      <c r="S109" s="152"/>
      <c r="T109" s="152"/>
      <c r="U109" s="150"/>
      <c r="V109" s="152"/>
      <c r="W109" s="152"/>
      <c r="X109" s="246"/>
      <c r="Y109" s="246"/>
      <c r="Z109"/>
      <c r="AA109"/>
      <c r="AB109"/>
      <c r="AC109"/>
      <c r="AD109"/>
      <c r="AE109"/>
      <c r="AF109"/>
      <c r="AG109"/>
      <c r="AH109"/>
      <c r="AI109"/>
      <c r="AJ109"/>
    </row>
    <row r="110" spans="1:36">
      <c r="A110" t="str" cm="1">
        <f t="array" ref="A11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IFERROR(INDEX(_xlpm.sorted,ROWS(A$2:A110)),"")
)</f>
        <v/>
      </c>
      <c r="B110" s="147" t="str" cm="1">
        <f t="array" ref="B110">_xlfn.LET(_xlpm.p,$A110,_xlfn.IFNA(
  INDEX(tblProjectInfo[InfoValue],
        MATCH(1,(tblProjectInfo[ProjectName]=_xlpm.p)*
                 (UPPER(TRIM(tblProjectInfo[Info]))="PROJECT SIZE (KWP)"),0)
), ""))</f>
        <v/>
      </c>
      <c r="C110" s="147" t="str" cm="1">
        <f t="array" ref="C110">_xlfn.LET(_xlpm.p,$A110,_xlfn.IFNA(
  INDEX(tblProjectInfo[InfoValue],
        MATCH(1,(tblProjectInfo[ProjectName]=_xlpm.p)*
                 (UPPER(TRIM(tblProjectInfo[Info]))="PROJECT DEVELOPER"),0)
), ""))</f>
        <v/>
      </c>
      <c r="D110" s="148" t="str" cm="1">
        <f t="array" ref="D110">_xlfn.LET(_xlpm.p,$A110,_xlfn.IFNA(
  INDEX(tblProjectInfo[InfoValue],
        MATCH(1,(tblProjectInfo[ProjectName]=_xlpm.p)*
                 (UPPER(TRIM(tblProjectInfo[Info]))="PROJECT MANAGERS"),0)
), ""))</f>
        <v/>
      </c>
      <c r="E110" s="147"/>
      <c r="F110" s="147"/>
      <c r="G110" s="147"/>
      <c r="H110" s="162" t="str" cm="1">
        <f t="array" ref="H110">_xlfn.LET(_xlpm.p,$A110,_xlfn.IFNA(
  INDEX(tblProjectInfo[InfoValue],
        MATCH(1,(tblProjectInfo[ProjectName]=_xlpm.p)*
                 ISNUMBER(SEARCH("PHASE",UPPER(tblProjectInfo[Info]))),0)
), ""))</f>
        <v/>
      </c>
      <c r="I110" s="149"/>
      <c r="J110" s="149"/>
      <c r="K110" s="169"/>
      <c r="L110" s="169"/>
      <c r="M110" s="149"/>
      <c r="N110" s="149"/>
      <c r="O110" s="149"/>
      <c r="P110" s="150"/>
      <c r="Q110" s="150"/>
      <c r="R110" s="151"/>
      <c r="S110" s="152"/>
      <c r="T110" s="152"/>
      <c r="U110" s="150"/>
      <c r="V110" s="152"/>
      <c r="W110" s="152"/>
      <c r="X110" s="246"/>
      <c r="Y110" s="246"/>
      <c r="Z110"/>
      <c r="AA110"/>
      <c r="AB110"/>
      <c r="AC110"/>
      <c r="AD110"/>
      <c r="AE110"/>
      <c r="AF110"/>
      <c r="AG110"/>
      <c r="AH110"/>
      <c r="AI110"/>
      <c r="AJ110"/>
    </row>
    <row r="111" spans="1:36" s="107" customFormat="1">
      <c r="A111" t="str" cm="1">
        <f t="array" ref="A11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IFERROR(INDEX(_xlpm.sorted,ROWS(A$2:A111)),"")
)</f>
        <v/>
      </c>
      <c r="B111" s="147" t="str" cm="1">
        <f t="array" ref="B111">_xlfn.LET(_xlpm.p,$A111,_xlfn.IFNA(
  INDEX(tblProjectInfo[InfoValue],
        MATCH(1,(tblProjectInfo[ProjectName]=_xlpm.p)*
                 (UPPER(TRIM(tblProjectInfo[Info]))="PROJECT SIZE (KWP)"),0)
), ""))</f>
        <v/>
      </c>
      <c r="C111" s="147" t="str" cm="1">
        <f t="array" ref="C111">_xlfn.LET(_xlpm.p,$A111,_xlfn.IFNA(
  INDEX(tblProjectInfo[InfoValue],
        MATCH(1,(tblProjectInfo[ProjectName]=_xlpm.p)*
                 (UPPER(TRIM(tblProjectInfo[Info]))="PROJECT DEVELOPER"),0)
), ""))</f>
        <v/>
      </c>
      <c r="D111" s="148" t="str" cm="1">
        <f t="array" ref="D111">_xlfn.LET(_xlpm.p,$A111,_xlfn.IFNA(
  INDEX(tblProjectInfo[InfoValue],
        MATCH(1,(tblProjectInfo[ProjectName]=_xlpm.p)*
                 (UPPER(TRIM(tblProjectInfo[Info]))="PROJECT MANAGERS"),0)
), ""))</f>
        <v/>
      </c>
      <c r="E111" s="147"/>
      <c r="F111" s="147"/>
      <c r="G111" s="147"/>
      <c r="H111" s="162" t="str" cm="1">
        <f t="array" ref="H111">_xlfn.LET(_xlpm.p,$A111,_xlfn.IFNA(
  INDEX(tblProjectInfo[InfoValue],
        MATCH(1,(tblProjectInfo[ProjectName]=_xlpm.p)*
                 ISNUMBER(SEARCH("PHASE",UPPER(tblProjectInfo[Info]))),0)
), ""))</f>
        <v/>
      </c>
      <c r="I111" s="149"/>
      <c r="J111" s="149"/>
      <c r="K111" s="169"/>
      <c r="L111" s="169"/>
      <c r="M111" s="149"/>
      <c r="N111" s="149"/>
      <c r="O111" s="149"/>
      <c r="P111" s="150"/>
      <c r="Q111" s="150"/>
      <c r="R111" s="151"/>
      <c r="S111" s="152"/>
      <c r="T111" s="152"/>
      <c r="U111" s="150"/>
      <c r="V111" s="152"/>
      <c r="W111" s="152"/>
      <c r="X111" s="246"/>
      <c r="Y111" s="246"/>
      <c r="Z111"/>
      <c r="AA111"/>
      <c r="AB111"/>
      <c r="AC111"/>
      <c r="AD111"/>
      <c r="AE111"/>
      <c r="AF111"/>
      <c r="AG111"/>
      <c r="AH111"/>
      <c r="AI111"/>
      <c r="AJ111"/>
    </row>
    <row r="112" spans="1:36">
      <c r="A112" t="str" cm="1">
        <f t="array" ref="A11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IFERROR(INDEX(_xlpm.sorted,ROWS(A$2:A112)),"")
)</f>
        <v/>
      </c>
      <c r="B112" s="147" t="str" cm="1">
        <f t="array" ref="B112">_xlfn.LET(_xlpm.p,$A112,_xlfn.IFNA(
  INDEX(tblProjectInfo[InfoValue],
        MATCH(1,(tblProjectInfo[ProjectName]=_xlpm.p)*
                 (UPPER(TRIM(tblProjectInfo[Info]))="PROJECT SIZE (KWP)"),0)
), ""))</f>
        <v/>
      </c>
      <c r="C112" s="147" t="str" cm="1">
        <f t="array" ref="C112">_xlfn.LET(_xlpm.p,$A112,_xlfn.IFNA(
  INDEX(tblProjectInfo[InfoValue],
        MATCH(1,(tblProjectInfo[ProjectName]=_xlpm.p)*
                 (UPPER(TRIM(tblProjectInfo[Info]))="PROJECT DEVELOPER"),0)
), ""))</f>
        <v/>
      </c>
      <c r="D112" s="148" t="str" cm="1">
        <f t="array" ref="D112">_xlfn.LET(_xlpm.p,$A112,_xlfn.IFNA(
  INDEX(tblProjectInfo[InfoValue],
        MATCH(1,(tblProjectInfo[ProjectName]=_xlpm.p)*
                 (UPPER(TRIM(tblProjectInfo[Info]))="PROJECT MANAGERS"),0)
), ""))</f>
        <v/>
      </c>
      <c r="E112" s="147"/>
      <c r="F112" s="147"/>
      <c r="G112" s="147"/>
      <c r="H112" s="162" t="str" cm="1">
        <f t="array" ref="H112">_xlfn.LET(_xlpm.p,$A112,_xlfn.IFNA(
  INDEX(tblProjectInfo[InfoValue],
        MATCH(1,(tblProjectInfo[ProjectName]=_xlpm.p)*
                 ISNUMBER(SEARCH("PHASE",UPPER(tblProjectInfo[Info]))),0)
), ""))</f>
        <v/>
      </c>
      <c r="I112" s="149"/>
      <c r="J112" s="149"/>
      <c r="K112" s="169"/>
      <c r="L112" s="169"/>
      <c r="M112" s="149"/>
      <c r="N112" s="149"/>
      <c r="O112" s="149"/>
      <c r="P112" s="150"/>
      <c r="Q112" s="150"/>
      <c r="R112" s="151"/>
      <c r="S112" s="152"/>
      <c r="T112" s="152"/>
      <c r="U112" s="150"/>
      <c r="V112" s="152"/>
      <c r="W112" s="152"/>
      <c r="X112" s="246"/>
      <c r="Y112" s="246"/>
      <c r="Z112"/>
      <c r="AA112"/>
      <c r="AB112"/>
      <c r="AC112"/>
      <c r="AD112"/>
      <c r="AE112"/>
      <c r="AF112"/>
      <c r="AG112"/>
      <c r="AH112"/>
      <c r="AI112"/>
      <c r="AJ112"/>
    </row>
    <row r="113" spans="1:36">
      <c r="A113" t="str" cm="1">
        <f t="array" ref="A11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IFERROR(INDEX(_xlpm.sorted,ROWS(A$2:A113)),"")
)</f>
        <v/>
      </c>
      <c r="B113" s="147" t="str" cm="1">
        <f t="array" ref="B113">_xlfn.LET(_xlpm.p,$A113,_xlfn.IFNA(
  INDEX(tblProjectInfo[InfoValue],
        MATCH(1,(tblProjectInfo[ProjectName]=_xlpm.p)*
                 (UPPER(TRIM(tblProjectInfo[Info]))="PROJECT SIZE (KWP)"),0)
), ""))</f>
        <v/>
      </c>
      <c r="C113" s="147" t="str" cm="1">
        <f t="array" ref="C113">_xlfn.LET(_xlpm.p,$A113,_xlfn.IFNA(
  INDEX(tblProjectInfo[InfoValue],
        MATCH(1,(tblProjectInfo[ProjectName]=_xlpm.p)*
                 (UPPER(TRIM(tblProjectInfo[Info]))="PROJECT DEVELOPER"),0)
), ""))</f>
        <v/>
      </c>
      <c r="D113" s="148" t="str" cm="1">
        <f t="array" ref="D113">_xlfn.LET(_xlpm.p,$A113,_xlfn.IFNA(
  INDEX(tblProjectInfo[InfoValue],
        MATCH(1,(tblProjectInfo[ProjectName]=_xlpm.p)*
                 (UPPER(TRIM(tblProjectInfo[Info]))="PROJECT MANAGERS"),0)
), ""))</f>
        <v/>
      </c>
      <c r="E113" s="147"/>
      <c r="F113" s="147"/>
      <c r="G113" s="147"/>
      <c r="H113" s="162" t="str" cm="1">
        <f t="array" ref="H113">_xlfn.LET(_xlpm.p,$A113,_xlfn.IFNA(
  INDEX(tblProjectInfo[InfoValue],
        MATCH(1,(tblProjectInfo[ProjectName]=_xlpm.p)*
                 ISNUMBER(SEARCH("PHASE",UPPER(tblProjectInfo[Info]))),0)
), ""))</f>
        <v/>
      </c>
      <c r="I113" s="149"/>
      <c r="J113" s="149"/>
      <c r="K113" s="169"/>
      <c r="L113" s="169"/>
      <c r="M113" s="149"/>
      <c r="N113" s="149"/>
      <c r="O113" s="149"/>
      <c r="P113" s="150"/>
      <c r="Q113" s="150"/>
      <c r="R113" s="151"/>
      <c r="S113" s="152"/>
      <c r="T113" s="152"/>
      <c r="U113" s="150"/>
      <c r="V113" s="152"/>
      <c r="W113" s="152"/>
      <c r="X113" s="246"/>
      <c r="Y113" s="246"/>
      <c r="Z113"/>
      <c r="AA113"/>
      <c r="AB113"/>
      <c r="AC113"/>
      <c r="AD113"/>
      <c r="AE113"/>
      <c r="AF113"/>
      <c r="AG113"/>
      <c r="AH113"/>
      <c r="AI113"/>
      <c r="AJ113"/>
    </row>
    <row r="114" spans="1:36">
      <c r="A114" t="str" cm="1">
        <f t="array" ref="A11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IFERROR(INDEX(_xlpm.sorted,ROWS(A$2:A114)),"")
)</f>
        <v/>
      </c>
      <c r="B114" s="147" t="str" cm="1">
        <f t="array" ref="B114">_xlfn.LET(_xlpm.p,$A114,_xlfn.IFNA(
  INDEX(tblProjectInfo[InfoValue],
        MATCH(1,(tblProjectInfo[ProjectName]=_xlpm.p)*
                 (UPPER(TRIM(tblProjectInfo[Info]))="PROJECT SIZE (KWP)"),0)
), ""))</f>
        <v/>
      </c>
      <c r="C114" s="147" t="str" cm="1">
        <f t="array" ref="C114">_xlfn.LET(_xlpm.p,$A114,_xlfn.IFNA(
  INDEX(tblProjectInfo[InfoValue],
        MATCH(1,(tblProjectInfo[ProjectName]=_xlpm.p)*
                 (UPPER(TRIM(tblProjectInfo[Info]))="PROJECT DEVELOPER"),0)
), ""))</f>
        <v/>
      </c>
      <c r="D114" s="148" t="str" cm="1">
        <f t="array" ref="D114">_xlfn.LET(_xlpm.p,$A114,_xlfn.IFNA(
  INDEX(tblProjectInfo[InfoValue],
        MATCH(1,(tblProjectInfo[ProjectName]=_xlpm.p)*
                 (UPPER(TRIM(tblProjectInfo[Info]))="PROJECT MANAGERS"),0)
), ""))</f>
        <v/>
      </c>
      <c r="E114" s="147"/>
      <c r="F114" s="147"/>
      <c r="G114" s="147"/>
      <c r="H114" s="162" t="str" cm="1">
        <f t="array" ref="H114">_xlfn.LET(_xlpm.p,$A114,_xlfn.IFNA(
  INDEX(tblProjectInfo[InfoValue],
        MATCH(1,(tblProjectInfo[ProjectName]=_xlpm.p)*
                 ISNUMBER(SEARCH("PHASE",UPPER(tblProjectInfo[Info]))),0)
), ""))</f>
        <v/>
      </c>
      <c r="I114" s="149"/>
      <c r="J114" s="149"/>
      <c r="K114" s="169"/>
      <c r="L114" s="169"/>
      <c r="M114" s="149"/>
      <c r="N114" s="149"/>
      <c r="O114" s="149"/>
      <c r="P114" s="150"/>
      <c r="Q114" s="150"/>
      <c r="R114" s="151"/>
      <c r="S114" s="152"/>
      <c r="T114" s="152"/>
      <c r="U114" s="150"/>
      <c r="V114" s="152"/>
      <c r="W114" s="152"/>
      <c r="X114" s="246"/>
      <c r="Y114" s="246"/>
      <c r="Z114"/>
      <c r="AA114"/>
      <c r="AB114"/>
      <c r="AC114"/>
      <c r="AD114"/>
      <c r="AE114"/>
      <c r="AF114"/>
      <c r="AG114"/>
      <c r="AH114"/>
      <c r="AI114"/>
      <c r="AJ114"/>
    </row>
    <row r="115" spans="1:36">
      <c r="A115" t="str" cm="1">
        <f t="array" ref="A11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IFERROR(INDEX(_xlpm.sorted,ROWS(A$2:A115)),"")
)</f>
        <v/>
      </c>
      <c r="B115" s="147" t="str" cm="1">
        <f t="array" ref="B115">_xlfn.LET(_xlpm.p,$A115,_xlfn.IFNA(
  INDEX(tblProjectInfo[InfoValue],
        MATCH(1,(tblProjectInfo[ProjectName]=_xlpm.p)*
                 (UPPER(TRIM(tblProjectInfo[Info]))="PROJECT SIZE (KWP)"),0)
), ""))</f>
        <v/>
      </c>
      <c r="C115" s="147" t="str" cm="1">
        <f t="array" ref="C115">_xlfn.LET(_xlpm.p,$A115,_xlfn.IFNA(
  INDEX(tblProjectInfo[InfoValue],
        MATCH(1,(tblProjectInfo[ProjectName]=_xlpm.p)*
                 (UPPER(TRIM(tblProjectInfo[Info]))="PROJECT DEVELOPER"),0)
), ""))</f>
        <v/>
      </c>
      <c r="D115" s="148" t="str" cm="1">
        <f t="array" ref="D115">_xlfn.LET(_xlpm.p,$A115,_xlfn.IFNA(
  INDEX(tblProjectInfo[InfoValue],
        MATCH(1,(tblProjectInfo[ProjectName]=_xlpm.p)*
                 (UPPER(TRIM(tblProjectInfo[Info]))="PROJECT MANAGERS"),0)
), ""))</f>
        <v/>
      </c>
      <c r="E115" s="147"/>
      <c r="F115" s="147"/>
      <c r="G115" s="147"/>
      <c r="H115" s="162" t="str" cm="1">
        <f t="array" ref="H115">_xlfn.LET(_xlpm.p,$A115,_xlfn.IFNA(
  INDEX(tblProjectInfo[InfoValue],
        MATCH(1,(tblProjectInfo[ProjectName]=_xlpm.p)*
                 ISNUMBER(SEARCH("PHASE",UPPER(tblProjectInfo[Info]))),0)
), ""))</f>
        <v/>
      </c>
      <c r="I115" s="149"/>
      <c r="J115" s="149"/>
      <c r="K115" s="169"/>
      <c r="L115" s="169"/>
      <c r="M115" s="149"/>
      <c r="N115" s="149"/>
      <c r="O115" s="149"/>
      <c r="P115" s="150"/>
      <c r="Q115" s="150"/>
      <c r="R115" s="151"/>
      <c r="S115" s="152"/>
      <c r="T115" s="152"/>
      <c r="U115" s="150"/>
      <c r="V115" s="152"/>
      <c r="W115" s="152"/>
      <c r="X115" s="246"/>
      <c r="Y115" s="246"/>
      <c r="Z115"/>
      <c r="AA115"/>
      <c r="AB115"/>
      <c r="AC115"/>
      <c r="AD115"/>
      <c r="AE115"/>
      <c r="AF115"/>
      <c r="AG115"/>
      <c r="AH115"/>
      <c r="AI115"/>
      <c r="AJ115"/>
    </row>
    <row r="116" spans="1:36">
      <c r="A116" t="str" cm="1">
        <f t="array" ref="A11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IFERROR(INDEX(_xlpm.sorted,ROWS(A$2:A116)),"")
)</f>
        <v/>
      </c>
      <c r="B116" s="147" t="str" cm="1">
        <f t="array" ref="B116">_xlfn.LET(_xlpm.p,$A116,_xlfn.IFNA(
  INDEX(tblProjectInfo[InfoValue],
        MATCH(1,(tblProjectInfo[ProjectName]=_xlpm.p)*
                 (UPPER(TRIM(tblProjectInfo[Info]))="PROJECT SIZE (KWP)"),0)
), ""))</f>
        <v/>
      </c>
      <c r="C116" s="147" t="str" cm="1">
        <f t="array" ref="C116">_xlfn.LET(_xlpm.p,$A116,_xlfn.IFNA(
  INDEX(tblProjectInfo[InfoValue],
        MATCH(1,(tblProjectInfo[ProjectName]=_xlpm.p)*
                 (UPPER(TRIM(tblProjectInfo[Info]))="PROJECT DEVELOPER"),0)
), ""))</f>
        <v/>
      </c>
      <c r="D116" s="148" t="str" cm="1">
        <f t="array" ref="D116">_xlfn.LET(_xlpm.p,$A116,_xlfn.IFNA(
  INDEX(tblProjectInfo[InfoValue],
        MATCH(1,(tblProjectInfo[ProjectName]=_xlpm.p)*
                 (UPPER(TRIM(tblProjectInfo[Info]))="PROJECT MANAGERS"),0)
), ""))</f>
        <v/>
      </c>
      <c r="E116" s="147"/>
      <c r="F116" s="147"/>
      <c r="G116" s="147"/>
      <c r="H116" s="162" t="str" cm="1">
        <f t="array" ref="H116">_xlfn.LET(_xlpm.p,$A116,_xlfn.IFNA(
  INDEX(tblProjectInfo[InfoValue],
        MATCH(1,(tblProjectInfo[ProjectName]=_xlpm.p)*
                 ISNUMBER(SEARCH("PHASE",UPPER(tblProjectInfo[Info]))),0)
), ""))</f>
        <v/>
      </c>
      <c r="I116" s="149"/>
      <c r="J116" s="149"/>
      <c r="K116" s="169"/>
      <c r="L116" s="169"/>
      <c r="M116" s="149"/>
      <c r="N116" s="149"/>
      <c r="O116" s="149"/>
      <c r="P116" s="150"/>
      <c r="Q116" s="150"/>
      <c r="R116" s="151"/>
      <c r="S116" s="152"/>
      <c r="T116" s="152"/>
      <c r="U116" s="150"/>
      <c r="V116" s="152"/>
      <c r="W116" s="152"/>
      <c r="X116" s="246"/>
      <c r="Y116" s="246"/>
      <c r="Z116"/>
      <c r="AA116"/>
      <c r="AB116"/>
      <c r="AC116"/>
      <c r="AD116"/>
      <c r="AE116"/>
      <c r="AF116"/>
      <c r="AG116"/>
      <c r="AH116"/>
      <c r="AI116"/>
      <c r="AJ116"/>
    </row>
    <row r="117" spans="1:36">
      <c r="A117" t="str" cm="1">
        <f t="array" ref="A11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IFERROR(INDEX(_xlpm.sorted,ROWS(A$2:A117)),"")
)</f>
        <v/>
      </c>
      <c r="B117" s="147" t="str" cm="1">
        <f t="array" ref="B117">_xlfn.LET(_xlpm.p,$A117,_xlfn.IFNA(
  INDEX(tblProjectInfo[InfoValue],
        MATCH(1,(tblProjectInfo[ProjectName]=_xlpm.p)*
                 (UPPER(TRIM(tblProjectInfo[Info]))="PROJECT SIZE (KWP)"),0)
), ""))</f>
        <v/>
      </c>
      <c r="C117" s="147" t="str" cm="1">
        <f t="array" ref="C117">_xlfn.LET(_xlpm.p,$A117,_xlfn.IFNA(
  INDEX(tblProjectInfo[InfoValue],
        MATCH(1,(tblProjectInfo[ProjectName]=_xlpm.p)*
                 (UPPER(TRIM(tblProjectInfo[Info]))="PROJECT DEVELOPER"),0)
), ""))</f>
        <v/>
      </c>
      <c r="D117" s="148" t="str" cm="1">
        <f t="array" ref="D117">_xlfn.LET(_xlpm.p,$A117,_xlfn.IFNA(
  INDEX(tblProjectInfo[InfoValue],
        MATCH(1,(tblProjectInfo[ProjectName]=_xlpm.p)*
                 (UPPER(TRIM(tblProjectInfo[Info]))="PROJECT MANAGERS"),0)
), ""))</f>
        <v/>
      </c>
      <c r="E117" s="147"/>
      <c r="F117" s="147"/>
      <c r="G117" s="147"/>
      <c r="H117" s="162" t="str" cm="1">
        <f t="array" ref="H117">_xlfn.LET(_xlpm.p,$A117,_xlfn.IFNA(
  INDEX(tblProjectInfo[InfoValue],
        MATCH(1,(tblProjectInfo[ProjectName]=_xlpm.p)*
                 ISNUMBER(SEARCH("PHASE",UPPER(tblProjectInfo[Info]))),0)
), ""))</f>
        <v/>
      </c>
      <c r="I117" s="149"/>
      <c r="J117" s="149"/>
      <c r="K117" s="169"/>
      <c r="L117" s="169"/>
      <c r="M117" s="149"/>
      <c r="N117" s="149"/>
      <c r="O117" s="149"/>
      <c r="P117" s="150"/>
      <c r="Q117" s="150"/>
      <c r="R117" s="151"/>
      <c r="S117" s="152"/>
      <c r="T117" s="152"/>
      <c r="U117" s="150"/>
      <c r="V117" s="152"/>
      <c r="W117" s="152"/>
      <c r="X117" s="246"/>
      <c r="Y117" s="246"/>
      <c r="Z117"/>
      <c r="AA117"/>
      <c r="AB117"/>
      <c r="AC117"/>
      <c r="AD117"/>
      <c r="AE117"/>
      <c r="AF117"/>
      <c r="AG117"/>
      <c r="AH117"/>
      <c r="AI117"/>
      <c r="AJ117"/>
    </row>
    <row r="118" spans="1:36">
      <c r="A118" t="str" cm="1">
        <f t="array" ref="A11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IFERROR(INDEX(_xlpm.sorted,ROWS(A$2:A118)),"")
)</f>
        <v/>
      </c>
      <c r="B118" s="147" t="str" cm="1">
        <f t="array" ref="B118">_xlfn.LET(_xlpm.p,$A118,_xlfn.IFNA(
  INDEX(tblProjectInfo[InfoValue],
        MATCH(1,(tblProjectInfo[ProjectName]=_xlpm.p)*
                 (UPPER(TRIM(tblProjectInfo[Info]))="PROJECT SIZE (KWP)"),0)
), ""))</f>
        <v/>
      </c>
      <c r="C118" s="147" t="str" cm="1">
        <f t="array" ref="C118">_xlfn.LET(_xlpm.p,$A118,_xlfn.IFNA(
  INDEX(tblProjectInfo[InfoValue],
        MATCH(1,(tblProjectInfo[ProjectName]=_xlpm.p)*
                 (UPPER(TRIM(tblProjectInfo[Info]))="PROJECT DEVELOPER"),0)
), ""))</f>
        <v/>
      </c>
      <c r="D118" s="148" t="str" cm="1">
        <f t="array" ref="D118">_xlfn.LET(_xlpm.p,$A118,_xlfn.IFNA(
  INDEX(tblProjectInfo[InfoValue],
        MATCH(1,(tblProjectInfo[ProjectName]=_xlpm.p)*
                 (UPPER(TRIM(tblProjectInfo[Info]))="PROJECT MANAGERS"),0)
), ""))</f>
        <v/>
      </c>
      <c r="E118" s="147"/>
      <c r="F118" s="147"/>
      <c r="G118" s="147"/>
      <c r="H118" s="162" t="str" cm="1">
        <f t="array" ref="H118">_xlfn.LET(_xlpm.p,$A118,_xlfn.IFNA(
  INDEX(tblProjectInfo[InfoValue],
        MATCH(1,(tblProjectInfo[ProjectName]=_xlpm.p)*
                 ISNUMBER(SEARCH("PHASE",UPPER(tblProjectInfo[Info]))),0)
), ""))</f>
        <v/>
      </c>
      <c r="I118" s="149"/>
      <c r="J118" s="149"/>
      <c r="K118" s="169"/>
      <c r="L118" s="169"/>
      <c r="M118" s="149"/>
      <c r="N118" s="149"/>
      <c r="O118" s="149"/>
      <c r="P118" s="150"/>
      <c r="Q118" s="150"/>
      <c r="R118" s="151"/>
      <c r="S118" s="152"/>
      <c r="T118" s="152"/>
      <c r="U118" s="150"/>
      <c r="V118" s="152"/>
      <c r="W118" s="152"/>
      <c r="X118" s="246"/>
      <c r="Y118" s="246"/>
      <c r="Z118"/>
      <c r="AA118"/>
      <c r="AB118"/>
      <c r="AC118"/>
      <c r="AD118"/>
      <c r="AE118"/>
      <c r="AF118"/>
      <c r="AG118"/>
      <c r="AH118"/>
      <c r="AI118"/>
      <c r="AJ118"/>
    </row>
    <row r="119" spans="1:36">
      <c r="A119" t="str" cm="1">
        <f t="array" ref="A11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IFERROR(INDEX(_xlpm.sorted,ROWS(A$2:A119)),"")
)</f>
        <v/>
      </c>
      <c r="B119" s="147" t="str" cm="1">
        <f t="array" ref="B119">_xlfn.LET(_xlpm.p,$A119,_xlfn.IFNA(
  INDEX(tblProjectInfo[InfoValue],
        MATCH(1,(tblProjectInfo[ProjectName]=_xlpm.p)*
                 (UPPER(TRIM(tblProjectInfo[Info]))="PROJECT SIZE (KWP)"),0)
), ""))</f>
        <v/>
      </c>
      <c r="C119" s="147" t="str" cm="1">
        <f t="array" ref="C119">_xlfn.LET(_xlpm.p,$A119,_xlfn.IFNA(
  INDEX(tblProjectInfo[InfoValue],
        MATCH(1,(tblProjectInfo[ProjectName]=_xlpm.p)*
                 (UPPER(TRIM(tblProjectInfo[Info]))="PROJECT DEVELOPER"),0)
), ""))</f>
        <v/>
      </c>
      <c r="D119" s="148" t="str" cm="1">
        <f t="array" ref="D119">_xlfn.LET(_xlpm.p,$A119,_xlfn.IFNA(
  INDEX(tblProjectInfo[InfoValue],
        MATCH(1,(tblProjectInfo[ProjectName]=_xlpm.p)*
                 (UPPER(TRIM(tblProjectInfo[Info]))="PROJECT MANAGERS"),0)
), ""))</f>
        <v/>
      </c>
      <c r="E119" s="147"/>
      <c r="F119" s="147"/>
      <c r="G119" s="147"/>
      <c r="H119" s="162" t="str" cm="1">
        <f t="array" ref="H119">_xlfn.LET(_xlpm.p,$A119,_xlfn.IFNA(
  INDEX(tblProjectInfo[InfoValue],
        MATCH(1,(tblProjectInfo[ProjectName]=_xlpm.p)*
                 ISNUMBER(SEARCH("PHASE",UPPER(tblProjectInfo[Info]))),0)
), ""))</f>
        <v/>
      </c>
      <c r="I119" s="149"/>
      <c r="J119" s="149"/>
      <c r="K119" s="169"/>
      <c r="L119" s="169"/>
      <c r="M119" s="149"/>
      <c r="N119" s="149"/>
      <c r="O119" s="149"/>
      <c r="P119" s="150"/>
      <c r="Q119" s="150"/>
      <c r="R119" s="151"/>
      <c r="S119" s="152"/>
      <c r="T119" s="152"/>
      <c r="U119" s="150"/>
      <c r="V119" s="152"/>
      <c r="W119" s="152"/>
      <c r="X119" s="246"/>
      <c r="Y119" s="246"/>
      <c r="Z119"/>
      <c r="AA119"/>
      <c r="AB119"/>
      <c r="AC119"/>
      <c r="AD119"/>
      <c r="AE119"/>
      <c r="AF119"/>
      <c r="AG119"/>
      <c r="AH119"/>
      <c r="AI119"/>
      <c r="AJ119"/>
    </row>
    <row r="120" spans="1:36">
      <c r="A120" t="str" cm="1">
        <f t="array" ref="A12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IFERROR(INDEX(_xlpm.sorted,ROWS(A$2:A120)),"")
)</f>
        <v/>
      </c>
      <c r="B120" s="147" t="str" cm="1">
        <f t="array" ref="B120">_xlfn.LET(_xlpm.p,$A120,_xlfn.IFNA(
  INDEX(tblProjectInfo[InfoValue],
        MATCH(1,(tblProjectInfo[ProjectName]=_xlpm.p)*
                 (UPPER(TRIM(tblProjectInfo[Info]))="PROJECT SIZE (KWP)"),0)
), ""))</f>
        <v/>
      </c>
      <c r="C120" s="147" t="str" cm="1">
        <f t="array" ref="C120">_xlfn.LET(_xlpm.p,$A120,_xlfn.IFNA(
  INDEX(tblProjectInfo[InfoValue],
        MATCH(1,(tblProjectInfo[ProjectName]=_xlpm.p)*
                 (UPPER(TRIM(tblProjectInfo[Info]))="PROJECT DEVELOPER"),0)
), ""))</f>
        <v/>
      </c>
      <c r="D120" s="148" t="str" cm="1">
        <f t="array" ref="D120">_xlfn.LET(_xlpm.p,$A120,_xlfn.IFNA(
  INDEX(tblProjectInfo[InfoValue],
        MATCH(1,(tblProjectInfo[ProjectName]=_xlpm.p)*
                 (UPPER(TRIM(tblProjectInfo[Info]))="PROJECT MANAGERS"),0)
), ""))</f>
        <v/>
      </c>
      <c r="E120" s="147"/>
      <c r="F120" s="147"/>
      <c r="G120" s="147"/>
      <c r="H120" s="162" t="str" cm="1">
        <f t="array" ref="H120">_xlfn.LET(_xlpm.p,$A120,_xlfn.IFNA(
  INDEX(tblProjectInfo[InfoValue],
        MATCH(1,(tblProjectInfo[ProjectName]=_xlpm.p)*
                 ISNUMBER(SEARCH("PHASE",UPPER(tblProjectInfo[Info]))),0)
), ""))</f>
        <v/>
      </c>
      <c r="I120" s="149"/>
      <c r="J120" s="149"/>
      <c r="K120" s="169"/>
      <c r="L120" s="169"/>
      <c r="M120" s="149"/>
      <c r="N120" s="149"/>
      <c r="O120" s="149"/>
      <c r="P120" s="150"/>
      <c r="Q120" s="150"/>
      <c r="R120" s="151"/>
      <c r="S120" s="152"/>
      <c r="T120" s="152"/>
      <c r="U120" s="150"/>
      <c r="V120" s="152"/>
      <c r="W120" s="152"/>
      <c r="X120" s="246"/>
      <c r="Y120" s="246"/>
      <c r="Z120"/>
      <c r="AA120"/>
      <c r="AB120"/>
      <c r="AC120"/>
      <c r="AD120"/>
      <c r="AE120"/>
      <c r="AF120"/>
      <c r="AG120"/>
      <c r="AH120"/>
      <c r="AI120"/>
      <c r="AJ120"/>
    </row>
    <row r="121" spans="1:36">
      <c r="A121" t="str" cm="1">
        <f t="array" ref="A12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IFERROR(INDEX(_xlpm.sorted,ROWS(A$2:A121)),"")
)</f>
        <v/>
      </c>
      <c r="B121" s="147" t="str" cm="1">
        <f t="array" ref="B121">_xlfn.LET(_xlpm.p,$A121,_xlfn.IFNA(
  INDEX(tblProjectInfo[InfoValue],
        MATCH(1,(tblProjectInfo[ProjectName]=_xlpm.p)*
                 (UPPER(TRIM(tblProjectInfo[Info]))="PROJECT SIZE (KWP)"),0)
), ""))</f>
        <v/>
      </c>
      <c r="C121" s="147" t="str" cm="1">
        <f t="array" ref="C121">_xlfn.LET(_xlpm.p,$A121,_xlfn.IFNA(
  INDEX(tblProjectInfo[InfoValue],
        MATCH(1,(tblProjectInfo[ProjectName]=_xlpm.p)*
                 (UPPER(TRIM(tblProjectInfo[Info]))="PROJECT DEVELOPER"),0)
), ""))</f>
        <v/>
      </c>
      <c r="D121" s="148" t="str" cm="1">
        <f t="array" ref="D121">_xlfn.LET(_xlpm.p,$A121,_xlfn.IFNA(
  INDEX(tblProjectInfo[InfoValue],
        MATCH(1,(tblProjectInfo[ProjectName]=_xlpm.p)*
                 (UPPER(TRIM(tblProjectInfo[Info]))="PROJECT MANAGERS"),0)
), ""))</f>
        <v/>
      </c>
      <c r="E121" s="147"/>
      <c r="F121" s="147"/>
      <c r="G121" s="147"/>
      <c r="H121" s="162" t="str" cm="1">
        <f t="array" ref="H121">_xlfn.LET(_xlpm.p,$A121,_xlfn.IFNA(
  INDEX(tblProjectInfo[InfoValue],
        MATCH(1,(tblProjectInfo[ProjectName]=_xlpm.p)*
                 ISNUMBER(SEARCH("PHASE",UPPER(tblProjectInfo[Info]))),0)
), ""))</f>
        <v/>
      </c>
      <c r="I121" s="149"/>
      <c r="J121" s="149"/>
      <c r="K121" s="169"/>
      <c r="L121" s="169"/>
      <c r="M121" s="149"/>
      <c r="N121" s="149"/>
      <c r="O121" s="149"/>
      <c r="P121" s="150"/>
      <c r="Q121" s="150"/>
      <c r="R121" s="151"/>
      <c r="S121" s="152"/>
      <c r="T121" s="152"/>
      <c r="U121" s="150"/>
      <c r="V121" s="152"/>
      <c r="W121" s="152"/>
      <c r="X121" s="246"/>
      <c r="Y121" s="246"/>
      <c r="Z121"/>
      <c r="AA121"/>
      <c r="AB121"/>
      <c r="AC121"/>
      <c r="AD121"/>
      <c r="AE121"/>
      <c r="AF121"/>
      <c r="AG121"/>
      <c r="AH121"/>
      <c r="AI121"/>
      <c r="AJ121"/>
    </row>
    <row r="122" spans="1:36">
      <c r="A122" t="str" cm="1">
        <f t="array" ref="A12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IFERROR(INDEX(_xlpm.sorted,ROWS(A$2:A122)),"")
)</f>
        <v/>
      </c>
      <c r="B122" s="147" t="str" cm="1">
        <f t="array" ref="B122">_xlfn.LET(_xlpm.p,$A122,_xlfn.IFNA(
  INDEX(tblProjectInfo[InfoValue],
        MATCH(1,(tblProjectInfo[ProjectName]=_xlpm.p)*
                 (UPPER(TRIM(tblProjectInfo[Info]))="PROJECT SIZE (KWP)"),0)
), ""))</f>
        <v/>
      </c>
      <c r="C122" s="147" t="str" cm="1">
        <f t="array" ref="C122">_xlfn.LET(_xlpm.p,$A122,_xlfn.IFNA(
  INDEX(tblProjectInfo[InfoValue],
        MATCH(1,(tblProjectInfo[ProjectName]=_xlpm.p)*
                 (UPPER(TRIM(tblProjectInfo[Info]))="PROJECT DEVELOPER"),0)
), ""))</f>
        <v/>
      </c>
      <c r="D122" s="148" t="str" cm="1">
        <f t="array" ref="D122">_xlfn.LET(_xlpm.p,$A122,_xlfn.IFNA(
  INDEX(tblProjectInfo[InfoValue],
        MATCH(1,(tblProjectInfo[ProjectName]=_xlpm.p)*
                 (UPPER(TRIM(tblProjectInfo[Info]))="PROJECT MANAGERS"),0)
), ""))</f>
        <v/>
      </c>
      <c r="E122" s="147"/>
      <c r="F122" s="147"/>
      <c r="G122" s="147"/>
      <c r="H122" s="162" t="str" cm="1">
        <f t="array" ref="H122">_xlfn.LET(_xlpm.p,$A122,_xlfn.IFNA(
  INDEX(tblProjectInfo[InfoValue],
        MATCH(1,(tblProjectInfo[ProjectName]=_xlpm.p)*
                 ISNUMBER(SEARCH("PHASE",UPPER(tblProjectInfo[Info]))),0)
), ""))</f>
        <v/>
      </c>
      <c r="I122" s="149"/>
      <c r="J122" s="149"/>
      <c r="K122" s="169"/>
      <c r="L122" s="169"/>
      <c r="M122" s="149"/>
      <c r="N122" s="149"/>
      <c r="O122" s="149"/>
      <c r="P122" s="150"/>
      <c r="Q122" s="150"/>
      <c r="R122" s="151"/>
      <c r="S122" s="152"/>
      <c r="T122" s="152"/>
      <c r="U122" s="150"/>
      <c r="V122" s="152"/>
      <c r="W122" s="152"/>
      <c r="X122" s="246"/>
      <c r="Y122" s="246"/>
      <c r="Z122"/>
      <c r="AA122"/>
      <c r="AB122"/>
      <c r="AC122"/>
      <c r="AD122"/>
      <c r="AE122"/>
      <c r="AF122"/>
      <c r="AG122"/>
      <c r="AH122"/>
      <c r="AI122"/>
      <c r="AJ122"/>
    </row>
    <row r="123" spans="1:36">
      <c r="A123" t="str" cm="1">
        <f t="array" ref="A12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IFERROR(INDEX(_xlpm.sorted,ROWS(A$2:A123)),"")
)</f>
        <v/>
      </c>
      <c r="B123" s="147" t="str" cm="1">
        <f t="array" ref="B123">_xlfn.LET(_xlpm.p,$A123,_xlfn.IFNA(
  INDEX(tblProjectInfo[InfoValue],
        MATCH(1,(tblProjectInfo[ProjectName]=_xlpm.p)*
                 (UPPER(TRIM(tblProjectInfo[Info]))="PROJECT SIZE (KWP)"),0)
), ""))</f>
        <v/>
      </c>
      <c r="C123" s="147" t="str" cm="1">
        <f t="array" ref="C123">_xlfn.LET(_xlpm.p,$A123,_xlfn.IFNA(
  INDEX(tblProjectInfo[InfoValue],
        MATCH(1,(tblProjectInfo[ProjectName]=_xlpm.p)*
                 (UPPER(TRIM(tblProjectInfo[Info]))="PROJECT DEVELOPER"),0)
), ""))</f>
        <v/>
      </c>
      <c r="D123" s="148" t="str" cm="1">
        <f t="array" ref="D123">_xlfn.LET(_xlpm.p,$A123,_xlfn.IFNA(
  INDEX(tblProjectInfo[InfoValue],
        MATCH(1,(tblProjectInfo[ProjectName]=_xlpm.p)*
                 (UPPER(TRIM(tblProjectInfo[Info]))="PROJECT MANAGERS"),0)
), ""))</f>
        <v/>
      </c>
      <c r="E123" s="147"/>
      <c r="F123" s="147"/>
      <c r="G123" s="147"/>
      <c r="H123" s="162" t="str" cm="1">
        <f t="array" ref="H123">_xlfn.LET(_xlpm.p,$A123,_xlfn.IFNA(
  INDEX(tblProjectInfo[InfoValue],
        MATCH(1,(tblProjectInfo[ProjectName]=_xlpm.p)*
                 ISNUMBER(SEARCH("PHASE",UPPER(tblProjectInfo[Info]))),0)
), ""))</f>
        <v/>
      </c>
      <c r="I123" s="149"/>
      <c r="J123" s="149"/>
      <c r="K123" s="169"/>
      <c r="L123" s="169"/>
      <c r="M123" s="149"/>
      <c r="N123" s="149"/>
      <c r="O123" s="149"/>
      <c r="P123" s="150"/>
      <c r="Q123" s="150"/>
      <c r="R123" s="151"/>
      <c r="S123" s="152"/>
      <c r="T123" s="152"/>
      <c r="U123" s="150"/>
      <c r="V123" s="152"/>
      <c r="W123" s="152"/>
      <c r="X123" s="246"/>
      <c r="Y123" s="246"/>
      <c r="Z123"/>
      <c r="AA123"/>
      <c r="AB123"/>
      <c r="AC123"/>
      <c r="AD123"/>
      <c r="AE123"/>
      <c r="AF123"/>
      <c r="AG123"/>
      <c r="AH123"/>
      <c r="AI123"/>
      <c r="AJ123"/>
    </row>
    <row r="124" spans="1:36">
      <c r="A124" t="str" cm="1">
        <f t="array" ref="A12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IFERROR(INDEX(_xlpm.sorted,ROWS(A$2:A124)),"")
)</f>
        <v/>
      </c>
      <c r="B124" s="147" t="str" cm="1">
        <f t="array" ref="B124">_xlfn.LET(_xlpm.p,$A124,_xlfn.IFNA(
  INDEX(tblProjectInfo[InfoValue],
        MATCH(1,(tblProjectInfo[ProjectName]=_xlpm.p)*
                 (UPPER(TRIM(tblProjectInfo[Info]))="PROJECT SIZE (KWP)"),0)
), ""))</f>
        <v/>
      </c>
      <c r="C124" s="147" t="str" cm="1">
        <f t="array" ref="C124">_xlfn.LET(_xlpm.p,$A124,_xlfn.IFNA(
  INDEX(tblProjectInfo[InfoValue],
        MATCH(1,(tblProjectInfo[ProjectName]=_xlpm.p)*
                 (UPPER(TRIM(tblProjectInfo[Info]))="PROJECT DEVELOPER"),0)
), ""))</f>
        <v/>
      </c>
      <c r="D124" s="148" t="str" cm="1">
        <f t="array" ref="D124">_xlfn.LET(_xlpm.p,$A124,_xlfn.IFNA(
  INDEX(tblProjectInfo[InfoValue],
        MATCH(1,(tblProjectInfo[ProjectName]=_xlpm.p)*
                 (UPPER(TRIM(tblProjectInfo[Info]))="PROJECT MANAGERS"),0)
), ""))</f>
        <v/>
      </c>
      <c r="E124" s="147"/>
      <c r="F124" s="147"/>
      <c r="G124" s="147"/>
      <c r="H124" s="162" t="str" cm="1">
        <f t="array" ref="H124">_xlfn.LET(_xlpm.p,$A124,_xlfn.IFNA(
  INDEX(tblProjectInfo[InfoValue],
        MATCH(1,(tblProjectInfo[ProjectName]=_xlpm.p)*
                 ISNUMBER(SEARCH("PHASE",UPPER(tblProjectInfo[Info]))),0)
), ""))</f>
        <v/>
      </c>
      <c r="I124" s="149"/>
      <c r="J124" s="149"/>
      <c r="K124" s="169"/>
      <c r="L124" s="169"/>
      <c r="M124" s="149"/>
      <c r="N124" s="149"/>
      <c r="O124" s="149"/>
      <c r="P124" s="150"/>
      <c r="Q124" s="150"/>
      <c r="R124" s="151"/>
      <c r="S124" s="152"/>
      <c r="T124" s="152"/>
      <c r="U124" s="150"/>
      <c r="V124" s="152"/>
      <c r="W124" s="152"/>
      <c r="X124" s="246"/>
      <c r="Y124" s="246"/>
      <c r="Z124"/>
      <c r="AA124"/>
      <c r="AB124"/>
      <c r="AC124"/>
      <c r="AD124"/>
      <c r="AE124"/>
      <c r="AF124"/>
      <c r="AG124"/>
      <c r="AH124"/>
      <c r="AI124"/>
      <c r="AJ124"/>
    </row>
    <row r="125" spans="1:36">
      <c r="A125" t="str" cm="1">
        <f t="array" ref="A12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IFERROR(INDEX(_xlpm.sorted,ROWS(A$2:A125)),"")
)</f>
        <v/>
      </c>
      <c r="B125" s="147" t="str" cm="1">
        <f t="array" ref="B125">_xlfn.LET(_xlpm.p,$A125,_xlfn.IFNA(
  INDEX(tblProjectInfo[InfoValue],
        MATCH(1,(tblProjectInfo[ProjectName]=_xlpm.p)*
                 (UPPER(TRIM(tblProjectInfo[Info]))="PROJECT SIZE (KWP)"),0)
), ""))</f>
        <v/>
      </c>
      <c r="C125" s="147" t="str" cm="1">
        <f t="array" ref="C125">_xlfn.LET(_xlpm.p,$A125,_xlfn.IFNA(
  INDEX(tblProjectInfo[InfoValue],
        MATCH(1,(tblProjectInfo[ProjectName]=_xlpm.p)*
                 (UPPER(TRIM(tblProjectInfo[Info]))="PROJECT DEVELOPER"),0)
), ""))</f>
        <v/>
      </c>
      <c r="D125" s="148" t="str" cm="1">
        <f t="array" ref="D125">_xlfn.LET(_xlpm.p,$A125,_xlfn.IFNA(
  INDEX(tblProjectInfo[InfoValue],
        MATCH(1,(tblProjectInfo[ProjectName]=_xlpm.p)*
                 (UPPER(TRIM(tblProjectInfo[Info]))="PROJECT MANAGERS"),0)
), ""))</f>
        <v/>
      </c>
      <c r="E125" s="147"/>
      <c r="F125" s="147"/>
      <c r="G125" s="147"/>
      <c r="H125" s="162" t="str" cm="1">
        <f t="array" ref="H125">_xlfn.LET(_xlpm.p,$A125,_xlfn.IFNA(
  INDEX(tblProjectInfo[InfoValue],
        MATCH(1,(tblProjectInfo[ProjectName]=_xlpm.p)*
                 ISNUMBER(SEARCH("PHASE",UPPER(tblProjectInfo[Info]))),0)
), ""))</f>
        <v/>
      </c>
      <c r="I125" s="149"/>
      <c r="J125" s="149"/>
      <c r="K125" s="169"/>
      <c r="L125" s="169"/>
      <c r="M125" s="149"/>
      <c r="N125" s="149"/>
      <c r="O125" s="149"/>
      <c r="P125" s="150"/>
      <c r="Q125" s="150"/>
      <c r="R125" s="151"/>
      <c r="S125" s="152"/>
      <c r="T125" s="152"/>
      <c r="U125" s="150"/>
      <c r="V125" s="152"/>
      <c r="W125" s="152"/>
      <c r="X125" s="246"/>
      <c r="Y125" s="246"/>
      <c r="Z125"/>
      <c r="AA125"/>
      <c r="AB125"/>
      <c r="AC125"/>
      <c r="AD125"/>
      <c r="AE125"/>
      <c r="AF125"/>
      <c r="AG125"/>
      <c r="AH125"/>
      <c r="AI125"/>
      <c r="AJ125"/>
    </row>
    <row r="126" spans="1:36">
      <c r="A126" t="str" cm="1">
        <f t="array" ref="A12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IFERROR(INDEX(_xlpm.sorted,ROWS(A$2:A126)),"")
)</f>
        <v/>
      </c>
      <c r="B126" s="147" t="str" cm="1">
        <f t="array" ref="B126">_xlfn.LET(_xlpm.p,$A126,_xlfn.IFNA(
  INDEX(tblProjectInfo[InfoValue],
        MATCH(1,(tblProjectInfo[ProjectName]=_xlpm.p)*
                 (UPPER(TRIM(tblProjectInfo[Info]))="PROJECT SIZE (KWP)"),0)
), ""))</f>
        <v/>
      </c>
      <c r="C126" s="147" t="str" cm="1">
        <f t="array" ref="C126">_xlfn.LET(_xlpm.p,$A126,_xlfn.IFNA(
  INDEX(tblProjectInfo[InfoValue],
        MATCH(1,(tblProjectInfo[ProjectName]=_xlpm.p)*
                 (UPPER(TRIM(tblProjectInfo[Info]))="PROJECT DEVELOPER"),0)
), ""))</f>
        <v/>
      </c>
      <c r="D126" s="148" t="str" cm="1">
        <f t="array" ref="D126">_xlfn.LET(_xlpm.p,$A126,_xlfn.IFNA(
  INDEX(tblProjectInfo[InfoValue],
        MATCH(1,(tblProjectInfo[ProjectName]=_xlpm.p)*
                 (UPPER(TRIM(tblProjectInfo[Info]))="PROJECT MANAGERS"),0)
), ""))</f>
        <v/>
      </c>
      <c r="E126" s="147"/>
      <c r="F126" s="147"/>
      <c r="G126" s="147"/>
      <c r="H126" s="162" t="str" cm="1">
        <f t="array" ref="H126">_xlfn.LET(_xlpm.p,$A126,_xlfn.IFNA(
  INDEX(tblProjectInfo[InfoValue],
        MATCH(1,(tblProjectInfo[ProjectName]=_xlpm.p)*
                 ISNUMBER(SEARCH("PHASE",UPPER(tblProjectInfo[Info]))),0)
), ""))</f>
        <v/>
      </c>
      <c r="I126" s="149"/>
      <c r="J126" s="149"/>
      <c r="K126" s="169"/>
      <c r="L126" s="169"/>
      <c r="M126" s="149"/>
      <c r="N126" s="149"/>
      <c r="O126" s="149"/>
      <c r="P126" s="150"/>
      <c r="Q126" s="150"/>
      <c r="R126" s="151"/>
      <c r="S126" s="152"/>
      <c r="T126" s="152"/>
      <c r="U126" s="150"/>
      <c r="V126" s="152"/>
      <c r="W126" s="152"/>
      <c r="X126" s="246"/>
      <c r="Y126" s="246"/>
      <c r="Z126"/>
      <c r="AA126"/>
      <c r="AB126"/>
      <c r="AC126"/>
      <c r="AD126"/>
      <c r="AE126"/>
      <c r="AF126"/>
      <c r="AG126"/>
      <c r="AH126"/>
      <c r="AI126"/>
      <c r="AJ126"/>
    </row>
    <row r="127" spans="1:36">
      <c r="A127" t="str" cm="1">
        <f t="array" ref="A12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IFERROR(INDEX(_xlpm.sorted,ROWS(A$2:A127)),"")
)</f>
        <v/>
      </c>
      <c r="B127" s="147" t="str" cm="1">
        <f t="array" ref="B127">_xlfn.LET(_xlpm.p,$A127,_xlfn.IFNA(
  INDEX(tblProjectInfo[InfoValue],
        MATCH(1,(tblProjectInfo[ProjectName]=_xlpm.p)*
                 (UPPER(TRIM(tblProjectInfo[Info]))="PROJECT SIZE (KWP)"),0)
), ""))</f>
        <v/>
      </c>
      <c r="C127" s="147" t="str" cm="1">
        <f t="array" ref="C127">_xlfn.LET(_xlpm.p,$A127,_xlfn.IFNA(
  INDEX(tblProjectInfo[InfoValue],
        MATCH(1,(tblProjectInfo[ProjectName]=_xlpm.p)*
                 (UPPER(TRIM(tblProjectInfo[Info]))="PROJECT DEVELOPER"),0)
), ""))</f>
        <v/>
      </c>
      <c r="D127" s="148" t="str" cm="1">
        <f t="array" ref="D127">_xlfn.LET(_xlpm.p,$A127,_xlfn.IFNA(
  INDEX(tblProjectInfo[InfoValue],
        MATCH(1,(tblProjectInfo[ProjectName]=_xlpm.p)*
                 (UPPER(TRIM(tblProjectInfo[Info]))="PROJECT MANAGERS"),0)
), ""))</f>
        <v/>
      </c>
      <c r="E127" s="147"/>
      <c r="F127" s="147"/>
      <c r="G127" s="147"/>
      <c r="H127" s="162" t="str" cm="1">
        <f t="array" ref="H127">_xlfn.LET(_xlpm.p,$A127,_xlfn.IFNA(
  INDEX(tblProjectInfo[InfoValue],
        MATCH(1,(tblProjectInfo[ProjectName]=_xlpm.p)*
                 ISNUMBER(SEARCH("PHASE",UPPER(tblProjectInfo[Info]))),0)
), ""))</f>
        <v/>
      </c>
      <c r="I127" s="149"/>
      <c r="J127" s="149"/>
      <c r="K127" s="169"/>
      <c r="L127" s="169"/>
      <c r="M127" s="149"/>
      <c r="N127" s="149"/>
      <c r="O127" s="149"/>
      <c r="P127" s="150"/>
      <c r="Q127" s="150"/>
      <c r="R127" s="151"/>
      <c r="S127" s="152"/>
      <c r="T127" s="152"/>
      <c r="U127" s="150"/>
      <c r="V127" s="152"/>
      <c r="W127" s="152"/>
      <c r="X127" s="246"/>
      <c r="Y127" s="246"/>
      <c r="Z127"/>
      <c r="AA127"/>
      <c r="AB127"/>
      <c r="AC127"/>
      <c r="AD127"/>
      <c r="AE127"/>
      <c r="AF127"/>
      <c r="AG127"/>
      <c r="AH127"/>
      <c r="AI127"/>
      <c r="AJ127"/>
    </row>
    <row r="128" spans="1:36">
      <c r="A128" t="str" cm="1">
        <f t="array" ref="A12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IFERROR(INDEX(_xlpm.sorted,ROWS(A$2:A128)),"")
)</f>
        <v/>
      </c>
      <c r="B128" s="147" t="str" cm="1">
        <f t="array" ref="B128">_xlfn.LET(_xlpm.p,$A128,_xlfn.IFNA(
  INDEX(tblProjectInfo[InfoValue],
        MATCH(1,(tblProjectInfo[ProjectName]=_xlpm.p)*
                 (UPPER(TRIM(tblProjectInfo[Info]))="PROJECT SIZE (KWP)"),0)
), ""))</f>
        <v/>
      </c>
      <c r="C128" s="147" t="str" cm="1">
        <f t="array" ref="C128">_xlfn.LET(_xlpm.p,$A128,_xlfn.IFNA(
  INDEX(tblProjectInfo[InfoValue],
        MATCH(1,(tblProjectInfo[ProjectName]=_xlpm.p)*
                 (UPPER(TRIM(tblProjectInfo[Info]))="PROJECT DEVELOPER"),0)
), ""))</f>
        <v/>
      </c>
      <c r="D128" s="148" t="str" cm="1">
        <f t="array" ref="D128">_xlfn.LET(_xlpm.p,$A128,_xlfn.IFNA(
  INDEX(tblProjectInfo[InfoValue],
        MATCH(1,(tblProjectInfo[ProjectName]=_xlpm.p)*
                 (UPPER(TRIM(tblProjectInfo[Info]))="PROJECT MANAGERS"),0)
), ""))</f>
        <v/>
      </c>
      <c r="E128" s="147"/>
      <c r="F128" s="147"/>
      <c r="G128" s="147"/>
      <c r="H128" s="162" t="str" cm="1">
        <f t="array" ref="H128">_xlfn.LET(_xlpm.p,$A128,_xlfn.IFNA(
  INDEX(tblProjectInfo[InfoValue],
        MATCH(1,(tblProjectInfo[ProjectName]=_xlpm.p)*
                 ISNUMBER(SEARCH("PHASE",UPPER(tblProjectInfo[Info]))),0)
), ""))</f>
        <v/>
      </c>
      <c r="I128" s="149"/>
      <c r="J128" s="149"/>
      <c r="K128" s="169"/>
      <c r="L128" s="169"/>
      <c r="M128" s="149"/>
      <c r="N128" s="149"/>
      <c r="O128" s="149"/>
      <c r="P128" s="150"/>
      <c r="Q128" s="150"/>
      <c r="R128" s="151"/>
      <c r="S128" s="152"/>
      <c r="T128" s="152"/>
      <c r="U128" s="150"/>
      <c r="V128" s="152"/>
      <c r="W128" s="152"/>
      <c r="X128" s="246"/>
      <c r="Y128" s="246"/>
      <c r="Z128"/>
      <c r="AA128"/>
      <c r="AB128"/>
      <c r="AC128"/>
      <c r="AD128"/>
      <c r="AE128"/>
      <c r="AF128"/>
      <c r="AG128"/>
      <c r="AH128"/>
      <c r="AI128"/>
      <c r="AJ128"/>
    </row>
    <row r="129" spans="1:36">
      <c r="A129" t="str" cm="1">
        <f t="array" ref="A12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IFERROR(INDEX(_xlpm.sorted,ROWS(A$2:A129)),"")
)</f>
        <v/>
      </c>
      <c r="B129" s="147" t="str" cm="1">
        <f t="array" ref="B129">_xlfn.LET(_xlpm.p,$A129,_xlfn.IFNA(
  INDEX(tblProjectInfo[InfoValue],
        MATCH(1,(tblProjectInfo[ProjectName]=_xlpm.p)*
                 (UPPER(TRIM(tblProjectInfo[Info]))="PROJECT SIZE (KWP)"),0)
), ""))</f>
        <v/>
      </c>
      <c r="C129" s="147" t="str" cm="1">
        <f t="array" ref="C129">_xlfn.LET(_xlpm.p,$A129,_xlfn.IFNA(
  INDEX(tblProjectInfo[InfoValue],
        MATCH(1,(tblProjectInfo[ProjectName]=_xlpm.p)*
                 (UPPER(TRIM(tblProjectInfo[Info]))="PROJECT DEVELOPER"),0)
), ""))</f>
        <v/>
      </c>
      <c r="D129" s="148" t="str" cm="1">
        <f t="array" ref="D129">_xlfn.LET(_xlpm.p,$A129,_xlfn.IFNA(
  INDEX(tblProjectInfo[InfoValue],
        MATCH(1,(tblProjectInfo[ProjectName]=_xlpm.p)*
                 (UPPER(TRIM(tblProjectInfo[Info]))="PROJECT MANAGERS"),0)
), ""))</f>
        <v/>
      </c>
      <c r="E129" s="147"/>
      <c r="F129" s="147"/>
      <c r="G129" s="147"/>
      <c r="H129" s="162" t="str" cm="1">
        <f t="array" ref="H129">_xlfn.LET(_xlpm.p,$A129,_xlfn.IFNA(
  INDEX(tblProjectInfo[InfoValue],
        MATCH(1,(tblProjectInfo[ProjectName]=_xlpm.p)*
                 ISNUMBER(SEARCH("PHASE",UPPER(tblProjectInfo[Info]))),0)
), ""))</f>
        <v/>
      </c>
      <c r="I129" s="149"/>
      <c r="J129" s="149"/>
      <c r="K129" s="169"/>
      <c r="L129" s="169"/>
      <c r="M129" s="149"/>
      <c r="N129" s="149"/>
      <c r="O129" s="149"/>
      <c r="P129" s="150"/>
      <c r="Q129" s="150"/>
      <c r="R129" s="151"/>
      <c r="S129" s="152"/>
      <c r="T129" s="152"/>
      <c r="U129" s="150"/>
      <c r="V129" s="152"/>
      <c r="W129" s="152"/>
      <c r="X129" s="246"/>
      <c r="Y129" s="246"/>
      <c r="Z129"/>
      <c r="AA129"/>
      <c r="AB129"/>
      <c r="AC129"/>
      <c r="AD129"/>
      <c r="AE129"/>
      <c r="AF129"/>
      <c r="AG129"/>
      <c r="AH129"/>
      <c r="AI129"/>
      <c r="AJ129"/>
    </row>
    <row r="130" spans="1:36">
      <c r="A130" t="str" cm="1">
        <f t="array" ref="A13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IFERROR(INDEX(_xlpm.sorted,ROWS(A$2:A130)),"")
)</f>
        <v/>
      </c>
      <c r="B130" s="147" t="str" cm="1">
        <f t="array" ref="B130">_xlfn.LET(_xlpm.p,$A130,_xlfn.IFNA(
  INDEX(tblProjectInfo[InfoValue],
        MATCH(1,(tblProjectInfo[ProjectName]=_xlpm.p)*
                 (UPPER(TRIM(tblProjectInfo[Info]))="PROJECT SIZE (KWP)"),0)
), ""))</f>
        <v/>
      </c>
      <c r="C130" s="147" t="str" cm="1">
        <f t="array" ref="C130">_xlfn.LET(_xlpm.p,$A130,_xlfn.IFNA(
  INDEX(tblProjectInfo[InfoValue],
        MATCH(1,(tblProjectInfo[ProjectName]=_xlpm.p)*
                 (UPPER(TRIM(tblProjectInfo[Info]))="PROJECT DEVELOPER"),0)
), ""))</f>
        <v/>
      </c>
      <c r="D130" s="148" t="str" cm="1">
        <f t="array" ref="D130">_xlfn.LET(_xlpm.p,$A130,_xlfn.IFNA(
  INDEX(tblProjectInfo[InfoValue],
        MATCH(1,(tblProjectInfo[ProjectName]=_xlpm.p)*
                 (UPPER(TRIM(tblProjectInfo[Info]))="PROJECT MANAGERS"),0)
), ""))</f>
        <v/>
      </c>
      <c r="E130" s="147"/>
      <c r="F130" s="147"/>
      <c r="G130" s="147"/>
      <c r="H130" s="162" t="str" cm="1">
        <f t="array" ref="H130">_xlfn.LET(_xlpm.p,$A130,_xlfn.IFNA(
  INDEX(tblProjectInfo[InfoValue],
        MATCH(1,(tblProjectInfo[ProjectName]=_xlpm.p)*
                 ISNUMBER(SEARCH("PHASE",UPPER(tblProjectInfo[Info]))),0)
), ""))</f>
        <v/>
      </c>
      <c r="I130" s="149"/>
      <c r="J130" s="149"/>
      <c r="K130" s="169"/>
      <c r="L130" s="169"/>
      <c r="M130" s="149"/>
      <c r="N130" s="149"/>
      <c r="O130" s="149"/>
      <c r="P130" s="150"/>
      <c r="Q130" s="150"/>
      <c r="R130" s="151"/>
      <c r="S130" s="152"/>
      <c r="T130" s="152"/>
      <c r="U130" s="150"/>
      <c r="V130" s="152"/>
      <c r="W130" s="152"/>
      <c r="X130" s="246"/>
      <c r="Y130" s="246"/>
      <c r="Z130"/>
      <c r="AA130"/>
      <c r="AB130"/>
      <c r="AC130"/>
      <c r="AD130"/>
      <c r="AE130"/>
      <c r="AF130"/>
      <c r="AG130"/>
      <c r="AH130"/>
      <c r="AI130"/>
      <c r="AJ130"/>
    </row>
    <row r="131" spans="1:36">
      <c r="A131" t="str" cm="1">
        <f t="array" ref="A13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IFERROR(INDEX(_xlpm.sorted,ROWS(A$2:A131)),"")
)</f>
        <v/>
      </c>
      <c r="B131" s="147" t="str" cm="1">
        <f t="array" ref="B131">_xlfn.LET(_xlpm.p,$A131,_xlfn.IFNA(
  INDEX(tblProjectInfo[InfoValue],
        MATCH(1,(tblProjectInfo[ProjectName]=_xlpm.p)*
                 (UPPER(TRIM(tblProjectInfo[Info]))="PROJECT SIZE (KWP)"),0)
), ""))</f>
        <v/>
      </c>
      <c r="C131" s="147" t="str" cm="1">
        <f t="array" ref="C131">_xlfn.LET(_xlpm.p,$A131,_xlfn.IFNA(
  INDEX(tblProjectInfo[InfoValue],
        MATCH(1,(tblProjectInfo[ProjectName]=_xlpm.p)*
                 (UPPER(TRIM(tblProjectInfo[Info]))="PROJECT DEVELOPER"),0)
), ""))</f>
        <v/>
      </c>
      <c r="D131" s="148" t="str" cm="1">
        <f t="array" ref="D131">_xlfn.LET(_xlpm.p,$A131,_xlfn.IFNA(
  INDEX(tblProjectInfo[InfoValue],
        MATCH(1,(tblProjectInfo[ProjectName]=_xlpm.p)*
                 (UPPER(TRIM(tblProjectInfo[Info]))="PROJECT MANAGERS"),0)
), ""))</f>
        <v/>
      </c>
      <c r="E131" s="147"/>
      <c r="F131" s="147"/>
      <c r="G131" s="147"/>
      <c r="H131" s="162" t="str" cm="1">
        <f t="array" ref="H131">_xlfn.LET(_xlpm.p,$A131,_xlfn.IFNA(
  INDEX(tblProjectInfo[InfoValue],
        MATCH(1,(tblProjectInfo[ProjectName]=_xlpm.p)*
                 ISNUMBER(SEARCH("PHASE",UPPER(tblProjectInfo[Info]))),0)
), ""))</f>
        <v/>
      </c>
      <c r="I131" s="149"/>
      <c r="J131" s="149"/>
      <c r="K131" s="169"/>
      <c r="L131" s="169"/>
      <c r="M131" s="149"/>
      <c r="N131" s="149"/>
      <c r="O131" s="149"/>
      <c r="P131" s="150"/>
      <c r="Q131" s="150"/>
      <c r="R131" s="151"/>
      <c r="S131" s="152"/>
      <c r="T131" s="152"/>
      <c r="U131" s="150"/>
      <c r="V131" s="152"/>
      <c r="W131" s="152"/>
      <c r="X131" s="246"/>
      <c r="Y131" s="246"/>
      <c r="Z131"/>
      <c r="AA131"/>
      <c r="AB131"/>
      <c r="AC131"/>
      <c r="AD131"/>
      <c r="AE131"/>
      <c r="AF131"/>
      <c r="AG131"/>
      <c r="AH131"/>
      <c r="AI131"/>
      <c r="AJ131"/>
    </row>
    <row r="132" spans="1:36">
      <c r="A132" t="str" cm="1">
        <f t="array" ref="A13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IFERROR(INDEX(_xlpm.sorted,ROWS(A$2:A132)),"")
)</f>
        <v/>
      </c>
      <c r="B132" s="147" t="str" cm="1">
        <f t="array" ref="B132">_xlfn.LET(_xlpm.p,$A132,_xlfn.IFNA(
  INDEX(tblProjectInfo[InfoValue],
        MATCH(1,(tblProjectInfo[ProjectName]=_xlpm.p)*
                 (UPPER(TRIM(tblProjectInfo[Info]))="PROJECT SIZE (KWP)"),0)
), ""))</f>
        <v/>
      </c>
      <c r="C132" s="147" t="str" cm="1">
        <f t="array" ref="C132">_xlfn.LET(_xlpm.p,$A132,_xlfn.IFNA(
  INDEX(tblProjectInfo[InfoValue],
        MATCH(1,(tblProjectInfo[ProjectName]=_xlpm.p)*
                 (UPPER(TRIM(tblProjectInfo[Info]))="PROJECT DEVELOPER"),0)
), ""))</f>
        <v/>
      </c>
      <c r="D132" s="148" t="str" cm="1">
        <f t="array" ref="D132">_xlfn.LET(_xlpm.p,$A132,_xlfn.IFNA(
  INDEX(tblProjectInfo[InfoValue],
        MATCH(1,(tblProjectInfo[ProjectName]=_xlpm.p)*
                 (UPPER(TRIM(tblProjectInfo[Info]))="PROJECT MANAGERS"),0)
), ""))</f>
        <v/>
      </c>
      <c r="E132" s="147"/>
      <c r="F132" s="147"/>
      <c r="G132" s="147"/>
      <c r="H132" s="162" t="str" cm="1">
        <f t="array" ref="H132">_xlfn.LET(_xlpm.p,$A132,_xlfn.IFNA(
  INDEX(tblProjectInfo[InfoValue],
        MATCH(1,(tblProjectInfo[ProjectName]=_xlpm.p)*
                 ISNUMBER(SEARCH("PHASE",UPPER(tblProjectInfo[Info]))),0)
), ""))</f>
        <v/>
      </c>
      <c r="I132" s="149"/>
      <c r="J132" s="149"/>
      <c r="K132" s="169"/>
      <c r="L132" s="169"/>
      <c r="M132" s="149"/>
      <c r="N132" s="149"/>
      <c r="O132" s="149"/>
      <c r="P132" s="150"/>
      <c r="Q132" s="150"/>
      <c r="R132" s="151"/>
      <c r="S132" s="152"/>
      <c r="T132" s="152"/>
      <c r="U132" s="150"/>
      <c r="V132" s="152"/>
      <c r="W132" s="152"/>
      <c r="X132" s="246"/>
      <c r="Y132" s="246"/>
      <c r="Z132"/>
      <c r="AA132"/>
      <c r="AB132"/>
      <c r="AC132"/>
      <c r="AD132"/>
      <c r="AE132"/>
      <c r="AF132"/>
      <c r="AG132"/>
      <c r="AH132"/>
      <c r="AI132"/>
      <c r="AJ132"/>
    </row>
    <row r="133" spans="1:36">
      <c r="A133" t="str" cm="1">
        <f t="array" ref="A13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IFERROR(INDEX(_xlpm.sorted,ROWS(A$2:A133)),"")
)</f>
        <v/>
      </c>
      <c r="B133" s="147" t="str" cm="1">
        <f t="array" ref="B133">_xlfn.LET(_xlpm.p,$A133,_xlfn.IFNA(
  INDEX(tblProjectInfo[InfoValue],
        MATCH(1,(tblProjectInfo[ProjectName]=_xlpm.p)*
                 (UPPER(TRIM(tblProjectInfo[Info]))="PROJECT SIZE (KWP)"),0)
), ""))</f>
        <v/>
      </c>
      <c r="C133" s="147" t="str" cm="1">
        <f t="array" ref="C133">_xlfn.LET(_xlpm.p,$A133,_xlfn.IFNA(
  INDEX(tblProjectInfo[InfoValue],
        MATCH(1,(tblProjectInfo[ProjectName]=_xlpm.p)*
                 (UPPER(TRIM(tblProjectInfo[Info]))="PROJECT DEVELOPER"),0)
), ""))</f>
        <v/>
      </c>
      <c r="D133" s="148" t="str" cm="1">
        <f t="array" ref="D133">_xlfn.LET(_xlpm.p,$A133,_xlfn.IFNA(
  INDEX(tblProjectInfo[InfoValue],
        MATCH(1,(tblProjectInfo[ProjectName]=_xlpm.p)*
                 (UPPER(TRIM(tblProjectInfo[Info]))="PROJECT MANAGERS"),0)
), ""))</f>
        <v/>
      </c>
      <c r="E133" s="147"/>
      <c r="F133" s="147"/>
      <c r="G133" s="147"/>
      <c r="H133" s="162" t="str" cm="1">
        <f t="array" ref="H133">_xlfn.LET(_xlpm.p,$A133,_xlfn.IFNA(
  INDEX(tblProjectInfo[InfoValue],
        MATCH(1,(tblProjectInfo[ProjectName]=_xlpm.p)*
                 ISNUMBER(SEARCH("PHASE",UPPER(tblProjectInfo[Info]))),0)
), ""))</f>
        <v/>
      </c>
      <c r="I133" s="149"/>
      <c r="J133" s="149"/>
      <c r="K133" s="169"/>
      <c r="L133" s="169"/>
      <c r="M133" s="149"/>
      <c r="N133" s="149"/>
      <c r="O133" s="149"/>
      <c r="P133" s="150"/>
      <c r="Q133" s="150"/>
      <c r="R133" s="151"/>
      <c r="S133" s="152"/>
      <c r="T133" s="152"/>
      <c r="U133" s="150"/>
      <c r="V133" s="152"/>
      <c r="W133" s="152"/>
      <c r="X133" s="246"/>
      <c r="Y133" s="246"/>
      <c r="Z133"/>
      <c r="AA133"/>
      <c r="AB133"/>
      <c r="AC133"/>
      <c r="AD133"/>
      <c r="AE133"/>
      <c r="AF133"/>
      <c r="AG133"/>
      <c r="AH133"/>
      <c r="AI133"/>
      <c r="AJ133"/>
    </row>
    <row r="134" spans="1:36">
      <c r="A134" t="str" cm="1">
        <f t="array" ref="A13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IFERROR(INDEX(_xlpm.sorted,ROWS(A$2:A134)),"")
)</f>
        <v/>
      </c>
      <c r="B134" s="147" t="str" cm="1">
        <f t="array" ref="B134">_xlfn.LET(_xlpm.p,$A134,_xlfn.IFNA(
  INDEX(tblProjectInfo[InfoValue],
        MATCH(1,(tblProjectInfo[ProjectName]=_xlpm.p)*
                 (UPPER(TRIM(tblProjectInfo[Info]))="PROJECT SIZE (KWP)"),0)
), ""))</f>
        <v/>
      </c>
      <c r="C134" s="147" t="str" cm="1">
        <f t="array" ref="C134">_xlfn.LET(_xlpm.p,$A134,_xlfn.IFNA(
  INDEX(tblProjectInfo[InfoValue],
        MATCH(1,(tblProjectInfo[ProjectName]=_xlpm.p)*
                 (UPPER(TRIM(tblProjectInfo[Info]))="PROJECT DEVELOPER"),0)
), ""))</f>
        <v/>
      </c>
      <c r="D134" s="148" t="str" cm="1">
        <f t="array" ref="D134">_xlfn.LET(_xlpm.p,$A134,_xlfn.IFNA(
  INDEX(tblProjectInfo[InfoValue],
        MATCH(1,(tblProjectInfo[ProjectName]=_xlpm.p)*
                 (UPPER(TRIM(tblProjectInfo[Info]))="PROJECT MANAGERS"),0)
), ""))</f>
        <v/>
      </c>
      <c r="E134" s="147"/>
      <c r="F134" s="147"/>
      <c r="G134" s="147"/>
      <c r="H134" s="162" t="str" cm="1">
        <f t="array" ref="H134">_xlfn.LET(_xlpm.p,$A134,_xlfn.IFNA(
  INDEX(tblProjectInfo[InfoValue],
        MATCH(1,(tblProjectInfo[ProjectName]=_xlpm.p)*
                 ISNUMBER(SEARCH("PHASE",UPPER(tblProjectInfo[Info]))),0)
), ""))</f>
        <v/>
      </c>
      <c r="I134" s="149"/>
      <c r="J134" s="149"/>
      <c r="K134" s="169"/>
      <c r="L134" s="169"/>
      <c r="M134" s="149"/>
      <c r="N134" s="149"/>
      <c r="O134" s="149"/>
      <c r="P134" s="150"/>
      <c r="Q134" s="150"/>
      <c r="R134" s="151"/>
      <c r="S134" s="152"/>
      <c r="T134" s="152"/>
      <c r="U134" s="150"/>
      <c r="V134" s="152"/>
      <c r="W134" s="152"/>
      <c r="X134" s="246"/>
      <c r="Y134" s="246"/>
      <c r="Z134"/>
      <c r="AA134"/>
      <c r="AB134"/>
      <c r="AC134"/>
      <c r="AD134"/>
      <c r="AE134"/>
      <c r="AF134"/>
      <c r="AG134"/>
      <c r="AH134"/>
      <c r="AI134"/>
      <c r="AJ134"/>
    </row>
    <row r="135" spans="1:36">
      <c r="A135" t="str" cm="1">
        <f t="array" ref="A13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IFERROR(INDEX(_xlpm.sorted,ROWS(A$2:A135)),"")
)</f>
        <v/>
      </c>
      <c r="B135" s="147" t="str" cm="1">
        <f t="array" ref="B135">_xlfn.LET(_xlpm.p,$A135,_xlfn.IFNA(
  INDEX(tblProjectInfo[InfoValue],
        MATCH(1,(tblProjectInfo[ProjectName]=_xlpm.p)*
                 (UPPER(TRIM(tblProjectInfo[Info]))="PROJECT SIZE (KWP)"),0)
), ""))</f>
        <v/>
      </c>
      <c r="C135" s="147" t="str" cm="1">
        <f t="array" ref="C135">_xlfn.LET(_xlpm.p,$A135,_xlfn.IFNA(
  INDEX(tblProjectInfo[InfoValue],
        MATCH(1,(tblProjectInfo[ProjectName]=_xlpm.p)*
                 (UPPER(TRIM(tblProjectInfo[Info]))="PROJECT DEVELOPER"),0)
), ""))</f>
        <v/>
      </c>
      <c r="D135" s="148" t="str" cm="1">
        <f t="array" ref="D135">_xlfn.LET(_xlpm.p,$A135,_xlfn.IFNA(
  INDEX(tblProjectInfo[InfoValue],
        MATCH(1,(tblProjectInfo[ProjectName]=_xlpm.p)*
                 (UPPER(TRIM(tblProjectInfo[Info]))="PROJECT MANAGERS"),0)
), ""))</f>
        <v/>
      </c>
      <c r="E135" s="147"/>
      <c r="F135" s="147"/>
      <c r="G135" s="147"/>
      <c r="H135" s="162" t="str" cm="1">
        <f t="array" ref="H135">_xlfn.LET(_xlpm.p,$A135,_xlfn.IFNA(
  INDEX(tblProjectInfo[InfoValue],
        MATCH(1,(tblProjectInfo[ProjectName]=_xlpm.p)*
                 ISNUMBER(SEARCH("PHASE",UPPER(tblProjectInfo[Info]))),0)
), ""))</f>
        <v/>
      </c>
      <c r="I135" s="149"/>
      <c r="J135" s="149"/>
      <c r="K135" s="169"/>
      <c r="L135" s="169"/>
      <c r="M135" s="149"/>
      <c r="N135" s="149"/>
      <c r="O135" s="149"/>
      <c r="P135" s="150"/>
      <c r="Q135" s="150"/>
      <c r="R135" s="151"/>
      <c r="S135" s="152"/>
      <c r="T135" s="152"/>
      <c r="U135" s="150"/>
      <c r="V135" s="152"/>
      <c r="W135" s="152"/>
      <c r="X135" s="246"/>
      <c r="Y135" s="246"/>
      <c r="Z135"/>
      <c r="AA135"/>
      <c r="AB135"/>
      <c r="AC135"/>
      <c r="AD135"/>
      <c r="AE135"/>
      <c r="AF135"/>
      <c r="AG135"/>
      <c r="AH135"/>
      <c r="AI135"/>
      <c r="AJ135"/>
    </row>
    <row r="136" spans="1:36">
      <c r="A136" t="str" cm="1">
        <f t="array" ref="A13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IFERROR(INDEX(_xlpm.sorted,ROWS(A$2:A136)),"")
)</f>
        <v/>
      </c>
      <c r="B136" s="147" t="str" cm="1">
        <f t="array" ref="B136">_xlfn.LET(_xlpm.p,$A136,_xlfn.IFNA(
  INDEX(tblProjectInfo[InfoValue],
        MATCH(1,(tblProjectInfo[ProjectName]=_xlpm.p)*
                 (UPPER(TRIM(tblProjectInfo[Info]))="PROJECT SIZE (KWP)"),0)
), ""))</f>
        <v/>
      </c>
      <c r="C136" s="147" t="str" cm="1">
        <f t="array" ref="C136">_xlfn.LET(_xlpm.p,$A136,_xlfn.IFNA(
  INDEX(tblProjectInfo[InfoValue],
        MATCH(1,(tblProjectInfo[ProjectName]=_xlpm.p)*
                 (UPPER(TRIM(tblProjectInfo[Info]))="PROJECT DEVELOPER"),0)
), ""))</f>
        <v/>
      </c>
      <c r="D136" s="148" t="str" cm="1">
        <f t="array" ref="D136">_xlfn.LET(_xlpm.p,$A136,_xlfn.IFNA(
  INDEX(tblProjectInfo[InfoValue],
        MATCH(1,(tblProjectInfo[ProjectName]=_xlpm.p)*
                 (UPPER(TRIM(tblProjectInfo[Info]))="PROJECT MANAGERS"),0)
), ""))</f>
        <v/>
      </c>
      <c r="E136" s="147"/>
      <c r="F136" s="147"/>
      <c r="G136" s="147"/>
      <c r="H136" s="162" t="str" cm="1">
        <f t="array" ref="H136">_xlfn.LET(_xlpm.p,$A136,_xlfn.IFNA(
  INDEX(tblProjectInfo[InfoValue],
        MATCH(1,(tblProjectInfo[ProjectName]=_xlpm.p)*
                 ISNUMBER(SEARCH("PHASE",UPPER(tblProjectInfo[Info]))),0)
), ""))</f>
        <v/>
      </c>
      <c r="I136" s="149"/>
      <c r="J136" s="149"/>
      <c r="K136" s="169"/>
      <c r="L136" s="169"/>
      <c r="M136" s="149"/>
      <c r="N136" s="149"/>
      <c r="O136" s="149"/>
      <c r="P136" s="150"/>
      <c r="Q136" s="150"/>
      <c r="R136" s="151"/>
      <c r="S136" s="152"/>
      <c r="T136" s="152"/>
      <c r="U136" s="150"/>
      <c r="V136" s="152"/>
      <c r="W136" s="152"/>
      <c r="X136" s="246"/>
      <c r="Y136" s="246"/>
      <c r="Z136"/>
      <c r="AA136"/>
      <c r="AB136"/>
      <c r="AC136"/>
      <c r="AD136"/>
      <c r="AE136"/>
      <c r="AF136"/>
      <c r="AG136"/>
      <c r="AH136"/>
      <c r="AI136"/>
      <c r="AJ136"/>
    </row>
    <row r="137" spans="1:36">
      <c r="A137" t="str" cm="1">
        <f t="array" ref="A13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IFERROR(INDEX(_xlpm.sorted,ROWS(A$2:A137)),"")
)</f>
        <v/>
      </c>
      <c r="B137" s="147" t="str" cm="1">
        <f t="array" ref="B137">_xlfn.LET(_xlpm.p,$A137,_xlfn.IFNA(
  INDEX(tblProjectInfo[InfoValue],
        MATCH(1,(tblProjectInfo[ProjectName]=_xlpm.p)*
                 (UPPER(TRIM(tblProjectInfo[Info]))="PROJECT SIZE (KWP)"),0)
), ""))</f>
        <v/>
      </c>
      <c r="C137" s="147" t="str" cm="1">
        <f t="array" ref="C137">_xlfn.LET(_xlpm.p,$A137,_xlfn.IFNA(
  INDEX(tblProjectInfo[InfoValue],
        MATCH(1,(tblProjectInfo[ProjectName]=_xlpm.p)*
                 (UPPER(TRIM(tblProjectInfo[Info]))="PROJECT DEVELOPER"),0)
), ""))</f>
        <v/>
      </c>
      <c r="D137" s="148" t="str" cm="1">
        <f t="array" ref="D137">_xlfn.LET(_xlpm.p,$A137,_xlfn.IFNA(
  INDEX(tblProjectInfo[InfoValue],
        MATCH(1,(tblProjectInfo[ProjectName]=_xlpm.p)*
                 (UPPER(TRIM(tblProjectInfo[Info]))="PROJECT MANAGERS"),0)
), ""))</f>
        <v/>
      </c>
      <c r="E137" s="147"/>
      <c r="F137" s="147"/>
      <c r="G137" s="147"/>
      <c r="H137" s="162" t="str" cm="1">
        <f t="array" ref="H137">_xlfn.LET(_xlpm.p,$A137,_xlfn.IFNA(
  INDEX(tblProjectInfo[InfoValue],
        MATCH(1,(tblProjectInfo[ProjectName]=_xlpm.p)*
                 ISNUMBER(SEARCH("PHASE",UPPER(tblProjectInfo[Info]))),0)
), ""))</f>
        <v/>
      </c>
      <c r="I137" s="149"/>
      <c r="J137" s="149"/>
      <c r="K137" s="169"/>
      <c r="L137" s="169"/>
      <c r="M137" s="149"/>
      <c r="N137" s="149"/>
      <c r="O137" s="149"/>
      <c r="P137" s="150"/>
      <c r="Q137" s="150"/>
      <c r="R137" s="151"/>
      <c r="S137" s="152"/>
      <c r="T137" s="152"/>
      <c r="U137" s="150"/>
      <c r="V137" s="152"/>
      <c r="W137" s="152"/>
      <c r="X137" s="246"/>
      <c r="Y137" s="246"/>
      <c r="Z137"/>
      <c r="AA137"/>
      <c r="AB137"/>
      <c r="AC137"/>
      <c r="AD137"/>
      <c r="AE137"/>
      <c r="AF137"/>
      <c r="AG137"/>
      <c r="AH137"/>
      <c r="AI137"/>
      <c r="AJ137"/>
    </row>
    <row r="138" spans="1:36">
      <c r="A138" t="str" cm="1">
        <f t="array" ref="A13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IFERROR(INDEX(_xlpm.sorted,ROWS(A$2:A138)),"")
)</f>
        <v/>
      </c>
      <c r="B138" s="147" t="str" cm="1">
        <f t="array" ref="B138">_xlfn.LET(_xlpm.p,$A138,_xlfn.IFNA(
  INDEX(tblProjectInfo[InfoValue],
        MATCH(1,(tblProjectInfo[ProjectName]=_xlpm.p)*
                 (UPPER(TRIM(tblProjectInfo[Info]))="PROJECT SIZE (KWP)"),0)
), ""))</f>
        <v/>
      </c>
      <c r="C138" s="147" t="str" cm="1">
        <f t="array" ref="C138">_xlfn.LET(_xlpm.p,$A138,_xlfn.IFNA(
  INDEX(tblProjectInfo[InfoValue],
        MATCH(1,(tblProjectInfo[ProjectName]=_xlpm.p)*
                 (UPPER(TRIM(tblProjectInfo[Info]))="PROJECT DEVELOPER"),0)
), ""))</f>
        <v/>
      </c>
      <c r="D138" s="148" t="str" cm="1">
        <f t="array" ref="D138">_xlfn.LET(_xlpm.p,$A138,_xlfn.IFNA(
  INDEX(tblProjectInfo[InfoValue],
        MATCH(1,(tblProjectInfo[ProjectName]=_xlpm.p)*
                 (UPPER(TRIM(tblProjectInfo[Info]))="PROJECT MANAGERS"),0)
), ""))</f>
        <v/>
      </c>
      <c r="E138" s="147"/>
      <c r="F138" s="147"/>
      <c r="G138" s="147"/>
      <c r="H138" s="162" t="str" cm="1">
        <f t="array" ref="H138">_xlfn.LET(_xlpm.p,$A138,_xlfn.IFNA(
  INDEX(tblProjectInfo[InfoValue],
        MATCH(1,(tblProjectInfo[ProjectName]=_xlpm.p)*
                 ISNUMBER(SEARCH("PHASE",UPPER(tblProjectInfo[Info]))),0)
), ""))</f>
        <v/>
      </c>
      <c r="I138" s="149"/>
      <c r="J138" s="149"/>
      <c r="K138" s="169"/>
      <c r="L138" s="169"/>
      <c r="M138" s="149"/>
      <c r="N138" s="149"/>
      <c r="O138" s="149"/>
      <c r="P138" s="150"/>
      <c r="Q138" s="150"/>
      <c r="R138" s="151"/>
      <c r="S138" s="152"/>
      <c r="T138" s="152"/>
      <c r="U138" s="150"/>
      <c r="V138" s="152"/>
      <c r="W138" s="152"/>
      <c r="X138" s="246"/>
      <c r="Y138" s="246"/>
      <c r="Z138"/>
      <c r="AA138"/>
      <c r="AB138"/>
      <c r="AC138"/>
      <c r="AD138"/>
      <c r="AE138"/>
      <c r="AF138"/>
      <c r="AG138"/>
      <c r="AH138"/>
      <c r="AI138"/>
      <c r="AJ138"/>
    </row>
    <row r="139" spans="1:36">
      <c r="A139" t="str" cm="1">
        <f t="array" ref="A13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IFERROR(INDEX(_xlpm.sorted,ROWS(A$2:A139)),"")
)</f>
        <v/>
      </c>
      <c r="B139" s="147" t="str" cm="1">
        <f t="array" ref="B139">_xlfn.LET(_xlpm.p,$A139,_xlfn.IFNA(
  INDEX(tblProjectInfo[InfoValue],
        MATCH(1,(tblProjectInfo[ProjectName]=_xlpm.p)*
                 (UPPER(TRIM(tblProjectInfo[Info]))="PROJECT SIZE (KWP)"),0)
), ""))</f>
        <v/>
      </c>
      <c r="C139" s="147" t="str" cm="1">
        <f t="array" ref="C139">_xlfn.LET(_xlpm.p,$A139,_xlfn.IFNA(
  INDEX(tblProjectInfo[InfoValue],
        MATCH(1,(tblProjectInfo[ProjectName]=_xlpm.p)*
                 (UPPER(TRIM(tblProjectInfo[Info]))="PROJECT DEVELOPER"),0)
), ""))</f>
        <v/>
      </c>
      <c r="D139" s="148" t="str" cm="1">
        <f t="array" ref="D139">_xlfn.LET(_xlpm.p,$A139,_xlfn.IFNA(
  INDEX(tblProjectInfo[InfoValue],
        MATCH(1,(tblProjectInfo[ProjectName]=_xlpm.p)*
                 (UPPER(TRIM(tblProjectInfo[Info]))="PROJECT MANAGERS"),0)
), ""))</f>
        <v/>
      </c>
      <c r="E139" s="147"/>
      <c r="F139" s="147"/>
      <c r="G139" s="147"/>
      <c r="H139" s="162" t="str" cm="1">
        <f t="array" ref="H139">_xlfn.LET(_xlpm.p,$A139,_xlfn.IFNA(
  INDEX(tblProjectInfo[InfoValue],
        MATCH(1,(tblProjectInfo[ProjectName]=_xlpm.p)*
                 ISNUMBER(SEARCH("PHASE",UPPER(tblProjectInfo[Info]))),0)
), ""))</f>
        <v/>
      </c>
      <c r="I139" s="149"/>
      <c r="J139" s="149"/>
      <c r="K139" s="169"/>
      <c r="L139" s="169"/>
      <c r="M139" s="149"/>
      <c r="N139" s="149"/>
      <c r="O139" s="149"/>
      <c r="P139" s="150"/>
      <c r="Q139" s="150"/>
      <c r="R139" s="151"/>
      <c r="S139" s="152"/>
      <c r="T139" s="152"/>
      <c r="U139" s="150"/>
      <c r="V139" s="152"/>
      <c r="W139" s="152"/>
      <c r="X139" s="246"/>
      <c r="Y139" s="246"/>
      <c r="Z139"/>
      <c r="AA139"/>
      <c r="AB139"/>
      <c r="AC139"/>
      <c r="AD139"/>
      <c r="AE139"/>
      <c r="AF139"/>
      <c r="AG139"/>
      <c r="AH139"/>
      <c r="AI139"/>
      <c r="AJ139"/>
    </row>
    <row r="140" spans="1:36">
      <c r="A140" t="str" cm="1">
        <f t="array" ref="A14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IFERROR(INDEX(_xlpm.sorted,ROWS(A$2:A140)),"")
)</f>
        <v/>
      </c>
      <c r="B140" s="147" t="str" cm="1">
        <f t="array" ref="B140">_xlfn.LET(_xlpm.p,$A140,_xlfn.IFNA(
  INDEX(tblProjectInfo[InfoValue],
        MATCH(1,(tblProjectInfo[ProjectName]=_xlpm.p)*
                 (UPPER(TRIM(tblProjectInfo[Info]))="PROJECT SIZE (KWP)"),0)
), ""))</f>
        <v/>
      </c>
      <c r="C140" s="147" t="str" cm="1">
        <f t="array" ref="C140">_xlfn.LET(_xlpm.p,$A140,_xlfn.IFNA(
  INDEX(tblProjectInfo[InfoValue],
        MATCH(1,(tblProjectInfo[ProjectName]=_xlpm.p)*
                 (UPPER(TRIM(tblProjectInfo[Info]))="PROJECT DEVELOPER"),0)
), ""))</f>
        <v/>
      </c>
      <c r="D140" s="148" t="str" cm="1">
        <f t="array" ref="D140">_xlfn.LET(_xlpm.p,$A140,_xlfn.IFNA(
  INDEX(tblProjectInfo[InfoValue],
        MATCH(1,(tblProjectInfo[ProjectName]=_xlpm.p)*
                 (UPPER(TRIM(tblProjectInfo[Info]))="PROJECT MANAGERS"),0)
), ""))</f>
        <v/>
      </c>
      <c r="E140" s="147"/>
      <c r="F140" s="147"/>
      <c r="G140" s="147"/>
      <c r="H140" s="162" t="str" cm="1">
        <f t="array" ref="H140">_xlfn.LET(_xlpm.p,$A140,_xlfn.IFNA(
  INDEX(tblProjectInfo[InfoValue],
        MATCH(1,(tblProjectInfo[ProjectName]=_xlpm.p)*
                 ISNUMBER(SEARCH("PHASE",UPPER(tblProjectInfo[Info]))),0)
), ""))</f>
        <v/>
      </c>
      <c r="I140" s="149"/>
      <c r="J140" s="149"/>
      <c r="K140" s="169"/>
      <c r="L140" s="169"/>
      <c r="M140" s="149"/>
      <c r="N140" s="149"/>
      <c r="O140" s="149"/>
      <c r="P140" s="150"/>
      <c r="Q140" s="150"/>
      <c r="R140" s="151"/>
      <c r="S140" s="152"/>
      <c r="T140" s="152"/>
      <c r="U140" s="150"/>
      <c r="V140" s="152"/>
      <c r="W140" s="152"/>
      <c r="X140" s="246"/>
      <c r="Y140" s="246"/>
      <c r="Z140"/>
      <c r="AA140"/>
      <c r="AB140"/>
      <c r="AC140"/>
      <c r="AD140"/>
      <c r="AE140"/>
      <c r="AF140"/>
      <c r="AG140"/>
      <c r="AH140"/>
      <c r="AI140"/>
      <c r="AJ140"/>
    </row>
    <row r="141" spans="1:36">
      <c r="A141" t="str" cm="1">
        <f t="array" ref="A14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IFERROR(INDEX(_xlpm.sorted,ROWS(A$2:A141)),"")
)</f>
        <v/>
      </c>
      <c r="B141" s="147" t="str" cm="1">
        <f t="array" ref="B141">_xlfn.LET(_xlpm.p,$A141,_xlfn.IFNA(
  INDEX(tblProjectInfo[InfoValue],
        MATCH(1,(tblProjectInfo[ProjectName]=_xlpm.p)*
                 (UPPER(TRIM(tblProjectInfo[Info]))="PROJECT SIZE (KWP)"),0)
), ""))</f>
        <v/>
      </c>
      <c r="C141" s="147" t="str" cm="1">
        <f t="array" ref="C141">_xlfn.LET(_xlpm.p,$A141,_xlfn.IFNA(
  INDEX(tblProjectInfo[InfoValue],
        MATCH(1,(tblProjectInfo[ProjectName]=_xlpm.p)*
                 (UPPER(TRIM(tblProjectInfo[Info]))="PROJECT DEVELOPER"),0)
), ""))</f>
        <v/>
      </c>
      <c r="D141" s="148" t="str" cm="1">
        <f t="array" ref="D141">_xlfn.LET(_xlpm.p,$A141,_xlfn.IFNA(
  INDEX(tblProjectInfo[InfoValue],
        MATCH(1,(tblProjectInfo[ProjectName]=_xlpm.p)*
                 (UPPER(TRIM(tblProjectInfo[Info]))="PROJECT MANAGERS"),0)
), ""))</f>
        <v/>
      </c>
      <c r="E141" s="147"/>
      <c r="F141" s="147"/>
      <c r="G141" s="147"/>
      <c r="H141" s="162" t="str" cm="1">
        <f t="array" ref="H141">_xlfn.LET(_xlpm.p,$A141,_xlfn.IFNA(
  INDEX(tblProjectInfo[InfoValue],
        MATCH(1,(tblProjectInfo[ProjectName]=_xlpm.p)*
                 ISNUMBER(SEARCH("PHASE",UPPER(tblProjectInfo[Info]))),0)
), ""))</f>
        <v/>
      </c>
      <c r="I141" s="149"/>
      <c r="J141" s="149"/>
      <c r="K141" s="169"/>
      <c r="L141" s="169"/>
      <c r="M141" s="149"/>
      <c r="N141" s="149"/>
      <c r="O141" s="149"/>
      <c r="P141" s="150"/>
      <c r="Q141" s="150"/>
      <c r="R141" s="151"/>
      <c r="S141" s="152"/>
      <c r="T141" s="152"/>
      <c r="U141" s="150"/>
      <c r="V141" s="152"/>
      <c r="W141" s="152"/>
      <c r="X141" s="246"/>
      <c r="Y141" s="246"/>
      <c r="Z141"/>
      <c r="AA141"/>
      <c r="AB141"/>
      <c r="AC141"/>
      <c r="AD141"/>
      <c r="AE141"/>
      <c r="AF141"/>
      <c r="AG141"/>
      <c r="AH141"/>
      <c r="AI141"/>
      <c r="AJ141"/>
    </row>
    <row r="142" spans="1:36">
      <c r="A142" t="str" cm="1">
        <f t="array" ref="A14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IFERROR(INDEX(_xlpm.sorted,ROWS(A$2:A142)),"")
)</f>
        <v/>
      </c>
      <c r="B142" s="147" t="str" cm="1">
        <f t="array" ref="B142">_xlfn.LET(_xlpm.p,$A142,_xlfn.IFNA(
  INDEX(tblProjectInfo[InfoValue],
        MATCH(1,(tblProjectInfo[ProjectName]=_xlpm.p)*
                 (UPPER(TRIM(tblProjectInfo[Info]))="PROJECT SIZE (KWP)"),0)
), ""))</f>
        <v/>
      </c>
      <c r="C142" s="147" t="str" cm="1">
        <f t="array" ref="C142">_xlfn.LET(_xlpm.p,$A142,_xlfn.IFNA(
  INDEX(tblProjectInfo[InfoValue],
        MATCH(1,(tblProjectInfo[ProjectName]=_xlpm.p)*
                 (UPPER(TRIM(tblProjectInfo[Info]))="PROJECT DEVELOPER"),0)
), ""))</f>
        <v/>
      </c>
      <c r="D142" s="148" t="str" cm="1">
        <f t="array" ref="D142">_xlfn.LET(_xlpm.p,$A142,_xlfn.IFNA(
  INDEX(tblProjectInfo[InfoValue],
        MATCH(1,(tblProjectInfo[ProjectName]=_xlpm.p)*
                 (UPPER(TRIM(tblProjectInfo[Info]))="PROJECT MANAGERS"),0)
), ""))</f>
        <v/>
      </c>
      <c r="E142" s="147"/>
      <c r="F142" s="147"/>
      <c r="G142" s="147"/>
      <c r="H142" s="162" t="str" cm="1">
        <f t="array" ref="H142">_xlfn.LET(_xlpm.p,$A142,_xlfn.IFNA(
  INDEX(tblProjectInfo[InfoValue],
        MATCH(1,(tblProjectInfo[ProjectName]=_xlpm.p)*
                 ISNUMBER(SEARCH("PHASE",UPPER(tblProjectInfo[Info]))),0)
), ""))</f>
        <v/>
      </c>
      <c r="I142" s="149"/>
      <c r="J142" s="149"/>
      <c r="K142" s="169"/>
      <c r="L142" s="169"/>
      <c r="M142" s="149"/>
      <c r="N142" s="149"/>
      <c r="O142" s="149"/>
      <c r="P142" s="150"/>
      <c r="Q142" s="150"/>
      <c r="R142" s="151"/>
      <c r="S142" s="152"/>
      <c r="T142" s="152"/>
      <c r="U142" s="150"/>
      <c r="V142" s="152"/>
      <c r="W142" s="152"/>
      <c r="X142" s="246"/>
      <c r="Y142" s="246"/>
      <c r="Z142"/>
      <c r="AA142"/>
      <c r="AB142"/>
      <c r="AC142"/>
      <c r="AD142"/>
      <c r="AE142"/>
      <c r="AF142"/>
      <c r="AG142"/>
      <c r="AH142"/>
      <c r="AI142"/>
      <c r="AJ142"/>
    </row>
    <row r="143" spans="1:36">
      <c r="A143" t="str" cm="1">
        <f t="array" ref="A14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IFERROR(INDEX(_xlpm.sorted,ROWS(A$2:A143)),"")
)</f>
        <v/>
      </c>
      <c r="B143" s="147" t="str" cm="1">
        <f t="array" ref="B143">_xlfn.LET(_xlpm.p,$A143,_xlfn.IFNA(
  INDEX(tblProjectInfo[InfoValue],
        MATCH(1,(tblProjectInfo[ProjectName]=_xlpm.p)*
                 (UPPER(TRIM(tblProjectInfo[Info]))="PROJECT SIZE (KWP)"),0)
), ""))</f>
        <v/>
      </c>
      <c r="C143" s="147" t="str" cm="1">
        <f t="array" ref="C143">_xlfn.LET(_xlpm.p,$A143,_xlfn.IFNA(
  INDEX(tblProjectInfo[InfoValue],
        MATCH(1,(tblProjectInfo[ProjectName]=_xlpm.p)*
                 (UPPER(TRIM(tblProjectInfo[Info]))="PROJECT DEVELOPER"),0)
), ""))</f>
        <v/>
      </c>
      <c r="D143" s="148" t="str" cm="1">
        <f t="array" ref="D143">_xlfn.LET(_xlpm.p,$A143,_xlfn.IFNA(
  INDEX(tblProjectInfo[InfoValue],
        MATCH(1,(tblProjectInfo[ProjectName]=_xlpm.p)*
                 (UPPER(TRIM(tblProjectInfo[Info]))="PROJECT MANAGERS"),0)
), ""))</f>
        <v/>
      </c>
      <c r="E143" s="147"/>
      <c r="F143" s="147"/>
      <c r="G143" s="147"/>
      <c r="H143" s="162" t="str" cm="1">
        <f t="array" ref="H143">_xlfn.LET(_xlpm.p,$A143,_xlfn.IFNA(
  INDEX(tblProjectInfo[InfoValue],
        MATCH(1,(tblProjectInfo[ProjectName]=_xlpm.p)*
                 ISNUMBER(SEARCH("PHASE",UPPER(tblProjectInfo[Info]))),0)
), ""))</f>
        <v/>
      </c>
      <c r="I143" s="149"/>
      <c r="J143" s="149"/>
      <c r="K143" s="169"/>
      <c r="L143" s="169"/>
      <c r="M143" s="149"/>
      <c r="N143" s="149"/>
      <c r="O143" s="149"/>
      <c r="P143" s="150"/>
      <c r="Q143" s="150"/>
      <c r="R143" s="151"/>
      <c r="S143" s="152"/>
      <c r="T143" s="152"/>
      <c r="U143" s="150"/>
      <c r="V143" s="152"/>
      <c r="W143" s="152"/>
      <c r="X143" s="246"/>
      <c r="Y143" s="246"/>
      <c r="Z143"/>
      <c r="AA143"/>
      <c r="AB143"/>
      <c r="AC143"/>
      <c r="AD143"/>
      <c r="AE143"/>
      <c r="AF143"/>
      <c r="AG143"/>
      <c r="AH143"/>
      <c r="AI143"/>
      <c r="AJ143"/>
    </row>
    <row r="144" spans="1:36">
      <c r="A144" t="str" cm="1">
        <f t="array" ref="A14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IFERROR(INDEX(_xlpm.sorted,ROWS(A$2:A144)),"")
)</f>
        <v/>
      </c>
      <c r="B144" s="147" t="str" cm="1">
        <f t="array" ref="B144">_xlfn.LET(_xlpm.p,$A144,_xlfn.IFNA(
  INDEX(tblProjectInfo[InfoValue],
        MATCH(1,(tblProjectInfo[ProjectName]=_xlpm.p)*
                 (UPPER(TRIM(tblProjectInfo[Info]))="PROJECT SIZE (KWP)"),0)
), ""))</f>
        <v/>
      </c>
      <c r="C144" s="147" t="str" cm="1">
        <f t="array" ref="C144">_xlfn.LET(_xlpm.p,$A144,_xlfn.IFNA(
  INDEX(tblProjectInfo[InfoValue],
        MATCH(1,(tblProjectInfo[ProjectName]=_xlpm.p)*
                 (UPPER(TRIM(tblProjectInfo[Info]))="PROJECT DEVELOPER"),0)
), ""))</f>
        <v/>
      </c>
      <c r="D144" s="148" t="str" cm="1">
        <f t="array" ref="D144">_xlfn.LET(_xlpm.p,$A144,_xlfn.IFNA(
  INDEX(tblProjectInfo[InfoValue],
        MATCH(1,(tblProjectInfo[ProjectName]=_xlpm.p)*
                 (UPPER(TRIM(tblProjectInfo[Info]))="PROJECT MANAGERS"),0)
), ""))</f>
        <v/>
      </c>
      <c r="E144" s="147"/>
      <c r="F144" s="147"/>
      <c r="G144" s="147"/>
      <c r="H144" s="162" t="str" cm="1">
        <f t="array" ref="H144">_xlfn.LET(_xlpm.p,$A144,_xlfn.IFNA(
  INDEX(tblProjectInfo[InfoValue],
        MATCH(1,(tblProjectInfo[ProjectName]=_xlpm.p)*
                 ISNUMBER(SEARCH("PHASE",UPPER(tblProjectInfo[Info]))),0)
), ""))</f>
        <v/>
      </c>
      <c r="I144" s="149"/>
      <c r="J144" s="149"/>
      <c r="K144" s="169"/>
      <c r="L144" s="169"/>
      <c r="M144" s="149"/>
      <c r="N144" s="149"/>
      <c r="O144" s="149"/>
      <c r="P144" s="150"/>
      <c r="Q144" s="150"/>
      <c r="R144" s="151"/>
      <c r="S144" s="152"/>
      <c r="T144" s="152"/>
      <c r="U144" s="150"/>
      <c r="V144" s="152"/>
      <c r="W144" s="152"/>
      <c r="X144" s="246"/>
      <c r="Y144" s="246"/>
      <c r="Z144"/>
      <c r="AA144"/>
      <c r="AB144"/>
      <c r="AC144"/>
      <c r="AD144"/>
      <c r="AE144"/>
      <c r="AF144"/>
      <c r="AG144"/>
      <c r="AH144"/>
      <c r="AI144"/>
      <c r="AJ144"/>
    </row>
    <row r="145" spans="1:36">
      <c r="A145" t="str" cm="1">
        <f t="array" ref="A14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IFERROR(INDEX(_xlpm.sorted,ROWS(A$2:A145)),"")
)</f>
        <v/>
      </c>
      <c r="B145" s="147" t="str" cm="1">
        <f t="array" ref="B145">_xlfn.LET(_xlpm.p,$A145,_xlfn.IFNA(
  INDEX(tblProjectInfo[InfoValue],
        MATCH(1,(tblProjectInfo[ProjectName]=_xlpm.p)*
                 (UPPER(TRIM(tblProjectInfo[Info]))="PROJECT SIZE (KWP)"),0)
), ""))</f>
        <v/>
      </c>
      <c r="C145" s="147" t="str" cm="1">
        <f t="array" ref="C145">_xlfn.LET(_xlpm.p,$A145,_xlfn.IFNA(
  INDEX(tblProjectInfo[InfoValue],
        MATCH(1,(tblProjectInfo[ProjectName]=_xlpm.p)*
                 (UPPER(TRIM(tblProjectInfo[Info]))="PROJECT DEVELOPER"),0)
), ""))</f>
        <v/>
      </c>
      <c r="D145" s="148" t="str" cm="1">
        <f t="array" ref="D145">_xlfn.LET(_xlpm.p,$A145,_xlfn.IFNA(
  INDEX(tblProjectInfo[InfoValue],
        MATCH(1,(tblProjectInfo[ProjectName]=_xlpm.p)*
                 (UPPER(TRIM(tblProjectInfo[Info]))="PROJECT MANAGERS"),0)
), ""))</f>
        <v/>
      </c>
      <c r="E145" s="147"/>
      <c r="F145" s="147"/>
      <c r="G145" s="147"/>
      <c r="H145" s="162" t="str" cm="1">
        <f t="array" ref="H145">_xlfn.LET(_xlpm.p,$A145,_xlfn.IFNA(
  INDEX(tblProjectInfo[InfoValue],
        MATCH(1,(tblProjectInfo[ProjectName]=_xlpm.p)*
                 ISNUMBER(SEARCH("PHASE",UPPER(tblProjectInfo[Info]))),0)
), ""))</f>
        <v/>
      </c>
      <c r="I145" s="149"/>
      <c r="J145" s="149"/>
      <c r="K145" s="169"/>
      <c r="L145" s="169"/>
      <c r="M145" s="149"/>
      <c r="N145" s="149"/>
      <c r="O145" s="149"/>
      <c r="P145" s="150"/>
      <c r="Q145" s="150"/>
      <c r="R145" s="151"/>
      <c r="S145" s="152"/>
      <c r="T145" s="152"/>
      <c r="U145" s="150"/>
      <c r="V145" s="152"/>
      <c r="W145" s="152"/>
      <c r="X145" s="246"/>
      <c r="Y145" s="246"/>
      <c r="Z145"/>
      <c r="AA145"/>
      <c r="AB145"/>
      <c r="AC145"/>
      <c r="AD145"/>
      <c r="AE145"/>
      <c r="AF145"/>
      <c r="AG145"/>
      <c r="AH145"/>
      <c r="AI145"/>
      <c r="AJ145"/>
    </row>
    <row r="146" spans="1:36">
      <c r="A146" t="str" cm="1">
        <f t="array" ref="A14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IFERROR(INDEX(_xlpm.sorted,ROWS(A$2:A146)),"")
)</f>
        <v/>
      </c>
      <c r="B146" s="147" t="str" cm="1">
        <f t="array" ref="B146">_xlfn.LET(_xlpm.p,$A146,_xlfn.IFNA(
  INDEX(tblProjectInfo[InfoValue],
        MATCH(1,(tblProjectInfo[ProjectName]=_xlpm.p)*
                 (UPPER(TRIM(tblProjectInfo[Info]))="PROJECT SIZE (KWP)"),0)
), ""))</f>
        <v/>
      </c>
      <c r="C146" s="147" t="str" cm="1">
        <f t="array" ref="C146">_xlfn.LET(_xlpm.p,$A146,_xlfn.IFNA(
  INDEX(tblProjectInfo[InfoValue],
        MATCH(1,(tblProjectInfo[ProjectName]=_xlpm.p)*
                 (UPPER(TRIM(tblProjectInfo[Info]))="PROJECT DEVELOPER"),0)
), ""))</f>
        <v/>
      </c>
      <c r="D146" s="148" t="str" cm="1">
        <f t="array" ref="D146">_xlfn.LET(_xlpm.p,$A146,_xlfn.IFNA(
  INDEX(tblProjectInfo[InfoValue],
        MATCH(1,(tblProjectInfo[ProjectName]=_xlpm.p)*
                 (UPPER(TRIM(tblProjectInfo[Info]))="PROJECT MANAGERS"),0)
), ""))</f>
        <v/>
      </c>
      <c r="E146" s="147"/>
      <c r="F146" s="147"/>
      <c r="G146" s="147"/>
      <c r="H146" s="162" t="str" cm="1">
        <f t="array" ref="H146">_xlfn.LET(_xlpm.p,$A146,_xlfn.IFNA(
  INDEX(tblProjectInfo[InfoValue],
        MATCH(1,(tblProjectInfo[ProjectName]=_xlpm.p)*
                 ISNUMBER(SEARCH("PHASE",UPPER(tblProjectInfo[Info]))),0)
), ""))</f>
        <v/>
      </c>
      <c r="I146" s="149"/>
      <c r="J146" s="149"/>
      <c r="K146" s="169"/>
      <c r="L146" s="169"/>
      <c r="M146" s="149"/>
      <c r="N146" s="149"/>
      <c r="O146" s="149"/>
      <c r="P146" s="150"/>
      <c r="Q146" s="150"/>
      <c r="R146" s="151"/>
      <c r="S146" s="152"/>
      <c r="T146" s="152"/>
      <c r="U146" s="150"/>
      <c r="V146" s="152"/>
      <c r="W146" s="152"/>
      <c r="X146" s="246"/>
      <c r="Y146" s="246"/>
      <c r="Z146"/>
      <c r="AA146"/>
      <c r="AB146"/>
      <c r="AC146"/>
      <c r="AD146"/>
      <c r="AE146"/>
      <c r="AF146"/>
      <c r="AG146"/>
      <c r="AH146"/>
      <c r="AI146"/>
      <c r="AJ146"/>
    </row>
    <row r="147" spans="1:36">
      <c r="A147" t="str" cm="1">
        <f t="array" ref="A14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IFERROR(INDEX(_xlpm.sorted,ROWS(A$2:A147)),"")
)</f>
        <v/>
      </c>
      <c r="B147" s="147" t="str" cm="1">
        <f t="array" ref="B147">_xlfn.LET(_xlpm.p,$A147,_xlfn.IFNA(
  INDEX(tblProjectInfo[InfoValue],
        MATCH(1,(tblProjectInfo[ProjectName]=_xlpm.p)*
                 (UPPER(TRIM(tblProjectInfo[Info]))="PROJECT SIZE (KWP)"),0)
), ""))</f>
        <v/>
      </c>
      <c r="C147" s="147" t="str" cm="1">
        <f t="array" ref="C147">_xlfn.LET(_xlpm.p,$A147,_xlfn.IFNA(
  INDEX(tblProjectInfo[InfoValue],
        MATCH(1,(tblProjectInfo[ProjectName]=_xlpm.p)*
                 (UPPER(TRIM(tblProjectInfo[Info]))="PROJECT DEVELOPER"),0)
), ""))</f>
        <v/>
      </c>
      <c r="D147" s="148" t="str" cm="1">
        <f t="array" ref="D147">_xlfn.LET(_xlpm.p,$A147,_xlfn.IFNA(
  INDEX(tblProjectInfo[InfoValue],
        MATCH(1,(tblProjectInfo[ProjectName]=_xlpm.p)*
                 (UPPER(TRIM(tblProjectInfo[Info]))="PROJECT MANAGERS"),0)
), ""))</f>
        <v/>
      </c>
      <c r="E147" s="147"/>
      <c r="F147" s="147"/>
      <c r="G147" s="147"/>
      <c r="H147" s="162" t="str" cm="1">
        <f t="array" ref="H147">_xlfn.LET(_xlpm.p,$A147,_xlfn.IFNA(
  INDEX(tblProjectInfo[InfoValue],
        MATCH(1,(tblProjectInfo[ProjectName]=_xlpm.p)*
                 ISNUMBER(SEARCH("PHASE",UPPER(tblProjectInfo[Info]))),0)
), ""))</f>
        <v/>
      </c>
      <c r="I147" s="149"/>
      <c r="J147" s="149"/>
      <c r="K147" s="169"/>
      <c r="L147" s="169"/>
      <c r="M147" s="149"/>
      <c r="N147" s="149"/>
      <c r="O147" s="149"/>
      <c r="P147" s="150"/>
      <c r="Q147" s="150"/>
      <c r="R147" s="151"/>
      <c r="S147" s="152"/>
      <c r="T147" s="152"/>
      <c r="U147" s="150"/>
      <c r="V147" s="152"/>
      <c r="W147" s="152"/>
      <c r="X147" s="246"/>
      <c r="Y147" s="246"/>
      <c r="Z147"/>
      <c r="AA147"/>
      <c r="AB147"/>
      <c r="AC147"/>
      <c r="AD147"/>
      <c r="AE147"/>
      <c r="AF147"/>
      <c r="AG147"/>
      <c r="AH147"/>
      <c r="AI147"/>
      <c r="AJ147"/>
    </row>
    <row r="148" spans="1:36">
      <c r="A148" t="str" cm="1">
        <f t="array" ref="A14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IFERROR(INDEX(_xlpm.sorted,ROWS(A$2:A148)),"")
)</f>
        <v/>
      </c>
      <c r="B148" s="147" t="str" cm="1">
        <f t="array" ref="B148">_xlfn.LET(_xlpm.p,$A148,_xlfn.IFNA(
  INDEX(tblProjectInfo[InfoValue],
        MATCH(1,(tblProjectInfo[ProjectName]=_xlpm.p)*
                 (UPPER(TRIM(tblProjectInfo[Info]))="PROJECT SIZE (KWP)"),0)
), ""))</f>
        <v/>
      </c>
      <c r="C148" s="147" t="str" cm="1">
        <f t="array" ref="C148">_xlfn.LET(_xlpm.p,$A148,_xlfn.IFNA(
  INDEX(tblProjectInfo[InfoValue],
        MATCH(1,(tblProjectInfo[ProjectName]=_xlpm.p)*
                 (UPPER(TRIM(tblProjectInfo[Info]))="PROJECT DEVELOPER"),0)
), ""))</f>
        <v/>
      </c>
      <c r="D148" s="148" t="str" cm="1">
        <f t="array" ref="D148">_xlfn.LET(_xlpm.p,$A148,_xlfn.IFNA(
  INDEX(tblProjectInfo[InfoValue],
        MATCH(1,(tblProjectInfo[ProjectName]=_xlpm.p)*
                 (UPPER(TRIM(tblProjectInfo[Info]))="PROJECT MANAGERS"),0)
), ""))</f>
        <v/>
      </c>
      <c r="E148" s="147"/>
      <c r="F148" s="147"/>
      <c r="G148" s="147"/>
      <c r="H148" s="162" t="str" cm="1">
        <f t="array" ref="H148">_xlfn.LET(_xlpm.p,$A148,_xlfn.IFNA(
  INDEX(tblProjectInfo[InfoValue],
        MATCH(1,(tblProjectInfo[ProjectName]=_xlpm.p)*
                 ISNUMBER(SEARCH("PHASE",UPPER(tblProjectInfo[Info]))),0)
), ""))</f>
        <v/>
      </c>
      <c r="I148" s="149"/>
      <c r="J148" s="149"/>
      <c r="K148" s="169"/>
      <c r="L148" s="169"/>
      <c r="M148" s="149"/>
      <c r="N148" s="149"/>
      <c r="O148" s="149"/>
      <c r="P148" s="150"/>
      <c r="Q148" s="150"/>
      <c r="R148" s="151"/>
      <c r="S148" s="152"/>
      <c r="T148" s="152"/>
      <c r="U148" s="150"/>
      <c r="V148" s="152"/>
      <c r="W148" s="152"/>
      <c r="X148" s="246"/>
      <c r="Y148" s="246"/>
      <c r="Z148"/>
      <c r="AA148"/>
      <c r="AB148"/>
      <c r="AC148"/>
      <c r="AD148"/>
      <c r="AE148"/>
      <c r="AF148"/>
      <c r="AG148"/>
      <c r="AH148"/>
      <c r="AI148"/>
      <c r="AJ148"/>
    </row>
    <row r="149" spans="1:36">
      <c r="A149" t="str" cm="1">
        <f t="array" ref="A14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IFERROR(INDEX(_xlpm.sorted,ROWS(A$2:A149)),"")
)</f>
        <v/>
      </c>
      <c r="B149" s="147" t="str" cm="1">
        <f t="array" ref="B149">_xlfn.LET(_xlpm.p,$A149,_xlfn.IFNA(
  INDEX(tblProjectInfo[InfoValue],
        MATCH(1,(tblProjectInfo[ProjectName]=_xlpm.p)*
                 (UPPER(TRIM(tblProjectInfo[Info]))="PROJECT SIZE (KWP)"),0)
), ""))</f>
        <v/>
      </c>
      <c r="C149" s="147" t="str" cm="1">
        <f t="array" ref="C149">_xlfn.LET(_xlpm.p,$A149,_xlfn.IFNA(
  INDEX(tblProjectInfo[InfoValue],
        MATCH(1,(tblProjectInfo[ProjectName]=_xlpm.p)*
                 (UPPER(TRIM(tblProjectInfo[Info]))="PROJECT DEVELOPER"),0)
), ""))</f>
        <v/>
      </c>
      <c r="D149" s="148" t="str" cm="1">
        <f t="array" ref="D149">_xlfn.LET(_xlpm.p,$A149,_xlfn.IFNA(
  INDEX(tblProjectInfo[InfoValue],
        MATCH(1,(tblProjectInfo[ProjectName]=_xlpm.p)*
                 (UPPER(TRIM(tblProjectInfo[Info]))="PROJECT MANAGERS"),0)
), ""))</f>
        <v/>
      </c>
      <c r="E149" s="147"/>
      <c r="F149" s="147"/>
      <c r="G149" s="147"/>
      <c r="H149" s="162" t="str" cm="1">
        <f t="array" ref="H149">_xlfn.LET(_xlpm.p,$A149,_xlfn.IFNA(
  INDEX(tblProjectInfo[InfoValue],
        MATCH(1,(tblProjectInfo[ProjectName]=_xlpm.p)*
                 ISNUMBER(SEARCH("PHASE",UPPER(tblProjectInfo[Info]))),0)
), ""))</f>
        <v/>
      </c>
      <c r="I149" s="149"/>
      <c r="J149" s="149"/>
      <c r="K149" s="169"/>
      <c r="L149" s="169"/>
      <c r="M149" s="149"/>
      <c r="N149" s="149"/>
      <c r="O149" s="149"/>
      <c r="P149" s="150"/>
      <c r="Q149" s="150"/>
      <c r="R149" s="151"/>
      <c r="S149" s="152"/>
      <c r="T149" s="152"/>
      <c r="U149" s="150"/>
      <c r="V149" s="152"/>
      <c r="W149" s="152"/>
      <c r="X149" s="246"/>
      <c r="Y149" s="246"/>
      <c r="Z149"/>
      <c r="AA149"/>
      <c r="AB149"/>
      <c r="AC149"/>
      <c r="AD149"/>
      <c r="AE149"/>
      <c r="AF149"/>
      <c r="AG149"/>
      <c r="AH149"/>
      <c r="AI149"/>
      <c r="AJ149"/>
    </row>
    <row r="150" spans="1:36">
      <c r="A150" t="str" cm="1">
        <f t="array" ref="A15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IFERROR(INDEX(_xlpm.sorted,ROWS(A$2:A150)),"")
)</f>
        <v/>
      </c>
      <c r="B150" s="147" t="str" cm="1">
        <f t="array" ref="B150">_xlfn.LET(_xlpm.p,$A150,_xlfn.IFNA(
  INDEX(tblProjectInfo[InfoValue],
        MATCH(1,(tblProjectInfo[ProjectName]=_xlpm.p)*
                 (UPPER(TRIM(tblProjectInfo[Info]))="PROJECT SIZE (KWP)"),0)
), ""))</f>
        <v/>
      </c>
      <c r="C150" s="147" t="str" cm="1">
        <f t="array" ref="C150">_xlfn.LET(_xlpm.p,$A150,_xlfn.IFNA(
  INDEX(tblProjectInfo[InfoValue],
        MATCH(1,(tblProjectInfo[ProjectName]=_xlpm.p)*
                 (UPPER(TRIM(tblProjectInfo[Info]))="PROJECT DEVELOPER"),0)
), ""))</f>
        <v/>
      </c>
      <c r="D150" s="148" t="str" cm="1">
        <f t="array" ref="D150">_xlfn.LET(_xlpm.p,$A150,_xlfn.IFNA(
  INDEX(tblProjectInfo[InfoValue],
        MATCH(1,(tblProjectInfo[ProjectName]=_xlpm.p)*
                 (UPPER(TRIM(tblProjectInfo[Info]))="PROJECT MANAGERS"),0)
), ""))</f>
        <v/>
      </c>
      <c r="E150" s="147"/>
      <c r="F150" s="147"/>
      <c r="G150" s="147"/>
      <c r="H150" s="162" t="str" cm="1">
        <f t="array" ref="H150">_xlfn.LET(_xlpm.p,$A150,_xlfn.IFNA(
  INDEX(tblProjectInfo[InfoValue],
        MATCH(1,(tblProjectInfo[ProjectName]=_xlpm.p)*
                 ISNUMBER(SEARCH("PHASE",UPPER(tblProjectInfo[Info]))),0)
), ""))</f>
        <v/>
      </c>
      <c r="I150" s="149"/>
      <c r="J150" s="149"/>
      <c r="K150" s="169"/>
      <c r="L150" s="169"/>
      <c r="M150" s="149"/>
      <c r="N150" s="149"/>
      <c r="O150" s="149"/>
      <c r="P150" s="150"/>
      <c r="Q150" s="150"/>
      <c r="R150" s="151"/>
      <c r="S150" s="152"/>
      <c r="T150" s="152"/>
      <c r="U150" s="150"/>
      <c r="V150" s="152"/>
      <c r="W150" s="152"/>
      <c r="X150" s="246"/>
      <c r="Y150" s="246"/>
      <c r="Z150"/>
      <c r="AA150"/>
      <c r="AB150"/>
      <c r="AC150"/>
      <c r="AD150"/>
      <c r="AE150"/>
      <c r="AF150"/>
      <c r="AG150"/>
      <c r="AH150"/>
      <c r="AI150"/>
      <c r="AJ150"/>
    </row>
    <row r="151" spans="1:36">
      <c r="A151" t="str" cm="1">
        <f t="array" ref="A15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IFERROR(INDEX(_xlpm.sorted,ROWS(A$2:A151)),"")
)</f>
        <v/>
      </c>
      <c r="B151" s="147" t="str" cm="1">
        <f t="array" ref="B151">_xlfn.LET(_xlpm.p,$A151,_xlfn.IFNA(
  INDEX(tblProjectInfo[InfoValue],
        MATCH(1,(tblProjectInfo[ProjectName]=_xlpm.p)*
                 (UPPER(TRIM(tblProjectInfo[Info]))="PROJECT SIZE (KWP)"),0)
), ""))</f>
        <v/>
      </c>
      <c r="C151" s="147" t="str" cm="1">
        <f t="array" ref="C151">_xlfn.LET(_xlpm.p,$A151,_xlfn.IFNA(
  INDEX(tblProjectInfo[InfoValue],
        MATCH(1,(tblProjectInfo[ProjectName]=_xlpm.p)*
                 (UPPER(TRIM(tblProjectInfo[Info]))="PROJECT DEVELOPER"),0)
), ""))</f>
        <v/>
      </c>
      <c r="D151" s="148" t="str" cm="1">
        <f t="array" ref="D151">_xlfn.LET(_xlpm.p,$A151,_xlfn.IFNA(
  INDEX(tblProjectInfo[InfoValue],
        MATCH(1,(tblProjectInfo[ProjectName]=_xlpm.p)*
                 (UPPER(TRIM(tblProjectInfo[Info]))="PROJECT MANAGERS"),0)
), ""))</f>
        <v/>
      </c>
      <c r="E151" s="147"/>
      <c r="F151" s="147"/>
      <c r="G151" s="147"/>
      <c r="H151" s="162" t="str" cm="1">
        <f t="array" ref="H151">_xlfn.LET(_xlpm.p,$A151,_xlfn.IFNA(
  INDEX(tblProjectInfo[InfoValue],
        MATCH(1,(tblProjectInfo[ProjectName]=_xlpm.p)*
                 ISNUMBER(SEARCH("PHASE",UPPER(tblProjectInfo[Info]))),0)
), ""))</f>
        <v/>
      </c>
      <c r="I151" s="149"/>
      <c r="J151" s="149"/>
      <c r="K151" s="169"/>
      <c r="L151" s="169"/>
      <c r="M151" s="149"/>
      <c r="N151" s="149"/>
      <c r="O151" s="149"/>
      <c r="P151" s="150"/>
      <c r="Q151" s="150"/>
      <c r="R151" s="151"/>
      <c r="S151" s="152"/>
      <c r="T151" s="152"/>
      <c r="U151" s="150"/>
      <c r="V151" s="152"/>
      <c r="W151" s="152"/>
      <c r="X151" s="246"/>
      <c r="Y151" s="246"/>
      <c r="Z151"/>
      <c r="AA151"/>
      <c r="AB151"/>
      <c r="AC151"/>
      <c r="AD151"/>
      <c r="AE151"/>
      <c r="AF151"/>
      <c r="AG151"/>
      <c r="AH151"/>
      <c r="AI151"/>
      <c r="AJ151"/>
    </row>
    <row r="152" spans="1:36">
      <c r="A152" t="str" cm="1">
        <f t="array" ref="A15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IFERROR(INDEX(_xlpm.sorted,ROWS(A$2:A152)),"")
)</f>
        <v/>
      </c>
      <c r="B152" s="147" t="str" cm="1">
        <f t="array" ref="B152">_xlfn.LET(_xlpm.p,$A152,_xlfn.IFNA(
  INDEX(tblProjectInfo[InfoValue],
        MATCH(1,(tblProjectInfo[ProjectName]=_xlpm.p)*
                 (UPPER(TRIM(tblProjectInfo[Info]))="PROJECT SIZE (KWP)"),0)
), ""))</f>
        <v/>
      </c>
      <c r="C152" s="147" t="str" cm="1">
        <f t="array" ref="C152">_xlfn.LET(_xlpm.p,$A152,_xlfn.IFNA(
  INDEX(tblProjectInfo[InfoValue],
        MATCH(1,(tblProjectInfo[ProjectName]=_xlpm.p)*
                 (UPPER(TRIM(tblProjectInfo[Info]))="PROJECT DEVELOPER"),0)
), ""))</f>
        <v/>
      </c>
      <c r="D152" s="148" t="str" cm="1">
        <f t="array" ref="D152">_xlfn.LET(_xlpm.p,$A152,_xlfn.IFNA(
  INDEX(tblProjectInfo[InfoValue],
        MATCH(1,(tblProjectInfo[ProjectName]=_xlpm.p)*
                 (UPPER(TRIM(tblProjectInfo[Info]))="PROJECT MANAGERS"),0)
), ""))</f>
        <v/>
      </c>
      <c r="E152" s="147"/>
      <c r="F152" s="147"/>
      <c r="G152" s="147"/>
      <c r="H152" s="162" t="str" cm="1">
        <f t="array" ref="H152">_xlfn.LET(_xlpm.p,$A152,_xlfn.IFNA(
  INDEX(tblProjectInfo[InfoValue],
        MATCH(1,(tblProjectInfo[ProjectName]=_xlpm.p)*
                 ISNUMBER(SEARCH("PHASE",UPPER(tblProjectInfo[Info]))),0)
), ""))</f>
        <v/>
      </c>
      <c r="I152" s="149"/>
      <c r="J152" s="149"/>
      <c r="K152" s="169"/>
      <c r="L152" s="169"/>
      <c r="M152" s="149"/>
      <c r="N152" s="149"/>
      <c r="O152" s="149"/>
      <c r="P152" s="150"/>
      <c r="Q152" s="150"/>
      <c r="R152" s="151"/>
      <c r="S152" s="152"/>
      <c r="T152" s="152"/>
      <c r="U152" s="150"/>
      <c r="V152" s="152"/>
      <c r="W152" s="152"/>
      <c r="X152" s="246"/>
      <c r="Y152" s="246"/>
      <c r="Z152"/>
      <c r="AA152"/>
      <c r="AB152"/>
      <c r="AC152"/>
      <c r="AD152"/>
      <c r="AE152"/>
      <c r="AF152"/>
      <c r="AG152"/>
      <c r="AH152"/>
      <c r="AI152"/>
      <c r="AJ152"/>
    </row>
    <row r="153" spans="1:36">
      <c r="A153" t="str" cm="1">
        <f t="array" ref="A15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IFERROR(INDEX(_xlpm.sorted,ROWS(A$2:A153)),"")
)</f>
        <v/>
      </c>
      <c r="B153" s="147" t="str" cm="1">
        <f t="array" ref="B153">_xlfn.LET(_xlpm.p,$A153,_xlfn.IFNA(
  INDEX(tblProjectInfo[InfoValue],
        MATCH(1,(tblProjectInfo[ProjectName]=_xlpm.p)*
                 (UPPER(TRIM(tblProjectInfo[Info]))="PROJECT SIZE (KWP)"),0)
), ""))</f>
        <v/>
      </c>
      <c r="C153" s="147" t="str" cm="1">
        <f t="array" ref="C153">_xlfn.LET(_xlpm.p,$A153,_xlfn.IFNA(
  INDEX(tblProjectInfo[InfoValue],
        MATCH(1,(tblProjectInfo[ProjectName]=_xlpm.p)*
                 (UPPER(TRIM(tblProjectInfo[Info]))="PROJECT DEVELOPER"),0)
), ""))</f>
        <v/>
      </c>
      <c r="D153" s="148" t="str" cm="1">
        <f t="array" ref="D153">_xlfn.LET(_xlpm.p,$A153,_xlfn.IFNA(
  INDEX(tblProjectInfo[InfoValue],
        MATCH(1,(tblProjectInfo[ProjectName]=_xlpm.p)*
                 (UPPER(TRIM(tblProjectInfo[Info]))="PROJECT MANAGERS"),0)
), ""))</f>
        <v/>
      </c>
      <c r="E153" s="147"/>
      <c r="F153" s="147"/>
      <c r="G153" s="147"/>
      <c r="H153" s="162" t="str" cm="1">
        <f t="array" ref="H153">_xlfn.LET(_xlpm.p,$A153,_xlfn.IFNA(
  INDEX(tblProjectInfo[InfoValue],
        MATCH(1,(tblProjectInfo[ProjectName]=_xlpm.p)*
                 ISNUMBER(SEARCH("PHASE",UPPER(tblProjectInfo[Info]))),0)
), ""))</f>
        <v/>
      </c>
      <c r="I153" s="149"/>
      <c r="J153" s="149"/>
      <c r="K153" s="169"/>
      <c r="L153" s="169"/>
      <c r="M153" s="149"/>
      <c r="N153" s="149"/>
      <c r="O153" s="149"/>
      <c r="P153" s="150"/>
      <c r="Q153" s="150"/>
      <c r="R153" s="151"/>
      <c r="S153" s="152"/>
      <c r="T153" s="152"/>
      <c r="U153" s="150"/>
      <c r="V153" s="152"/>
      <c r="W153" s="152"/>
      <c r="X153" s="246"/>
      <c r="Y153" s="246"/>
      <c r="Z153"/>
      <c r="AA153"/>
      <c r="AB153"/>
      <c r="AC153"/>
      <c r="AD153"/>
      <c r="AE153"/>
      <c r="AF153"/>
      <c r="AG153"/>
      <c r="AH153"/>
      <c r="AI153"/>
      <c r="AJ153"/>
    </row>
    <row r="154" spans="1:36">
      <c r="A154" t="str" cm="1">
        <f t="array" ref="A15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IFERROR(INDEX(_xlpm.sorted,ROWS(A$2:A154)),"")
)</f>
        <v/>
      </c>
      <c r="B154" s="147" t="str" cm="1">
        <f t="array" ref="B154">_xlfn.LET(_xlpm.p,$A154,_xlfn.IFNA(
  INDEX(tblProjectInfo[InfoValue],
        MATCH(1,(tblProjectInfo[ProjectName]=_xlpm.p)*
                 (UPPER(TRIM(tblProjectInfo[Info]))="PROJECT SIZE (KWP)"),0)
), ""))</f>
        <v/>
      </c>
      <c r="C154" s="147" t="str" cm="1">
        <f t="array" ref="C154">_xlfn.LET(_xlpm.p,$A154,_xlfn.IFNA(
  INDEX(tblProjectInfo[InfoValue],
        MATCH(1,(tblProjectInfo[ProjectName]=_xlpm.p)*
                 (UPPER(TRIM(tblProjectInfo[Info]))="PROJECT DEVELOPER"),0)
), ""))</f>
        <v/>
      </c>
      <c r="D154" s="148" t="str" cm="1">
        <f t="array" ref="D154">_xlfn.LET(_xlpm.p,$A154,_xlfn.IFNA(
  INDEX(tblProjectInfo[InfoValue],
        MATCH(1,(tblProjectInfo[ProjectName]=_xlpm.p)*
                 (UPPER(TRIM(tblProjectInfo[Info]))="PROJECT MANAGERS"),0)
), ""))</f>
        <v/>
      </c>
      <c r="E154" s="147"/>
      <c r="F154" s="147"/>
      <c r="G154" s="147"/>
      <c r="H154" s="162" t="str" cm="1">
        <f t="array" ref="H154">_xlfn.LET(_xlpm.p,$A154,_xlfn.IFNA(
  INDEX(tblProjectInfo[InfoValue],
        MATCH(1,(tblProjectInfo[ProjectName]=_xlpm.p)*
                 ISNUMBER(SEARCH("PHASE",UPPER(tblProjectInfo[Info]))),0)
), ""))</f>
        <v/>
      </c>
      <c r="I154" s="149"/>
      <c r="J154" s="149"/>
      <c r="K154" s="169"/>
      <c r="L154" s="169"/>
      <c r="M154" s="149"/>
      <c r="N154" s="149"/>
      <c r="O154" s="149"/>
      <c r="P154" s="150"/>
      <c r="Q154" s="150"/>
      <c r="R154" s="151"/>
      <c r="S154" s="152"/>
      <c r="T154" s="152"/>
      <c r="U154" s="150"/>
      <c r="V154" s="152"/>
      <c r="W154" s="152"/>
      <c r="X154" s="246"/>
      <c r="Y154" s="246"/>
      <c r="Z154"/>
      <c r="AA154"/>
      <c r="AB154"/>
      <c r="AC154"/>
      <c r="AD154"/>
      <c r="AE154"/>
      <c r="AF154"/>
      <c r="AG154"/>
      <c r="AH154"/>
      <c r="AI154"/>
      <c r="AJ154"/>
    </row>
    <row r="155" spans="1:36">
      <c r="A155" t="str" cm="1">
        <f t="array" ref="A15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IFERROR(INDEX(_xlpm.sorted,ROWS(A$2:A155)),"")
)</f>
        <v/>
      </c>
      <c r="B155" s="147" t="str" cm="1">
        <f t="array" ref="B155">_xlfn.LET(_xlpm.p,$A155,_xlfn.IFNA(
  INDEX(tblProjectInfo[InfoValue],
        MATCH(1,(tblProjectInfo[ProjectName]=_xlpm.p)*
                 (UPPER(TRIM(tblProjectInfo[Info]))="PROJECT SIZE (KWP)"),0)
), ""))</f>
        <v/>
      </c>
      <c r="C155" s="147" t="str" cm="1">
        <f t="array" ref="C155">_xlfn.LET(_xlpm.p,$A155,_xlfn.IFNA(
  INDEX(tblProjectInfo[InfoValue],
        MATCH(1,(tblProjectInfo[ProjectName]=_xlpm.p)*
                 (UPPER(TRIM(tblProjectInfo[Info]))="PROJECT DEVELOPER"),0)
), ""))</f>
        <v/>
      </c>
      <c r="D155" s="148" t="str" cm="1">
        <f t="array" ref="D155">_xlfn.LET(_xlpm.p,$A155,_xlfn.IFNA(
  INDEX(tblProjectInfo[InfoValue],
        MATCH(1,(tblProjectInfo[ProjectName]=_xlpm.p)*
                 (UPPER(TRIM(tblProjectInfo[Info]))="PROJECT MANAGERS"),0)
), ""))</f>
        <v/>
      </c>
      <c r="E155" s="147"/>
      <c r="F155" s="147"/>
      <c r="G155" s="147"/>
      <c r="H155" s="162" t="str" cm="1">
        <f t="array" ref="H155">_xlfn.LET(_xlpm.p,$A155,_xlfn.IFNA(
  INDEX(tblProjectInfo[InfoValue],
        MATCH(1,(tblProjectInfo[ProjectName]=_xlpm.p)*
                 ISNUMBER(SEARCH("PHASE",UPPER(tblProjectInfo[Info]))),0)
), ""))</f>
        <v/>
      </c>
      <c r="I155" s="149"/>
      <c r="J155" s="149"/>
      <c r="K155" s="169"/>
      <c r="L155" s="169"/>
      <c r="M155" s="149"/>
      <c r="N155" s="149"/>
      <c r="O155" s="149"/>
      <c r="P155" s="150"/>
      <c r="Q155" s="150"/>
      <c r="R155" s="151"/>
      <c r="S155" s="152"/>
      <c r="T155" s="152"/>
      <c r="U155" s="150"/>
      <c r="V155" s="152"/>
      <c r="W155" s="152"/>
      <c r="X155" s="246"/>
      <c r="Y155" s="246"/>
      <c r="Z155"/>
      <c r="AA155"/>
      <c r="AB155"/>
      <c r="AC155"/>
      <c r="AD155"/>
      <c r="AE155"/>
      <c r="AF155"/>
      <c r="AG155"/>
      <c r="AH155"/>
      <c r="AI155"/>
      <c r="AJ155"/>
    </row>
    <row r="156" spans="1:36">
      <c r="A156" t="str" cm="1">
        <f t="array" ref="A15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IFERROR(INDEX(_xlpm.sorted,ROWS(A$2:A156)),"")
)</f>
        <v/>
      </c>
      <c r="B156" s="147" t="str" cm="1">
        <f t="array" ref="B156">_xlfn.LET(_xlpm.p,$A156,_xlfn.IFNA(
  INDEX(tblProjectInfo[InfoValue],
        MATCH(1,(tblProjectInfo[ProjectName]=_xlpm.p)*
                 (UPPER(TRIM(tblProjectInfo[Info]))="PROJECT SIZE (KWP)"),0)
), ""))</f>
        <v/>
      </c>
      <c r="C156" s="147" t="str" cm="1">
        <f t="array" ref="C156">_xlfn.LET(_xlpm.p,$A156,_xlfn.IFNA(
  INDEX(tblProjectInfo[InfoValue],
        MATCH(1,(tblProjectInfo[ProjectName]=_xlpm.p)*
                 (UPPER(TRIM(tblProjectInfo[Info]))="PROJECT DEVELOPER"),0)
), ""))</f>
        <v/>
      </c>
      <c r="D156" s="148" t="str" cm="1">
        <f t="array" ref="D156">_xlfn.LET(_xlpm.p,$A156,_xlfn.IFNA(
  INDEX(tblProjectInfo[InfoValue],
        MATCH(1,(tblProjectInfo[ProjectName]=_xlpm.p)*
                 (UPPER(TRIM(tblProjectInfo[Info]))="PROJECT MANAGERS"),0)
), ""))</f>
        <v/>
      </c>
      <c r="E156" s="147"/>
      <c r="F156" s="147"/>
      <c r="G156" s="147"/>
      <c r="H156" s="162" t="str" cm="1">
        <f t="array" ref="H156">_xlfn.LET(_xlpm.p,$A156,_xlfn.IFNA(
  INDEX(tblProjectInfo[InfoValue],
        MATCH(1,(tblProjectInfo[ProjectName]=_xlpm.p)*
                 ISNUMBER(SEARCH("PHASE",UPPER(tblProjectInfo[Info]))),0)
), ""))</f>
        <v/>
      </c>
      <c r="I156" s="149"/>
      <c r="J156" s="149"/>
      <c r="K156" s="169"/>
      <c r="L156" s="169"/>
      <c r="M156" s="149"/>
      <c r="N156" s="149"/>
      <c r="O156" s="149"/>
      <c r="P156" s="150"/>
      <c r="Q156" s="150"/>
      <c r="R156" s="151"/>
      <c r="S156" s="152"/>
      <c r="T156" s="152"/>
      <c r="U156" s="150"/>
      <c r="V156" s="152"/>
      <c r="W156" s="152"/>
      <c r="X156" s="246"/>
      <c r="Y156" s="246"/>
      <c r="Z156"/>
      <c r="AA156"/>
      <c r="AB156"/>
      <c r="AC156"/>
      <c r="AD156"/>
      <c r="AE156"/>
      <c r="AF156"/>
      <c r="AG156"/>
      <c r="AH156"/>
      <c r="AI156"/>
      <c r="AJ156"/>
    </row>
    <row r="157" spans="1:36">
      <c r="A157" t="str" cm="1">
        <f t="array" ref="A15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IFERROR(INDEX(_xlpm.sorted,ROWS(A$2:A157)),"")
)</f>
        <v/>
      </c>
      <c r="B157" s="147" t="str" cm="1">
        <f t="array" ref="B157">_xlfn.LET(_xlpm.p,$A157,_xlfn.IFNA(
  INDEX(tblProjectInfo[InfoValue],
        MATCH(1,(tblProjectInfo[ProjectName]=_xlpm.p)*
                 (UPPER(TRIM(tblProjectInfo[Info]))="PROJECT SIZE (KWP)"),0)
), ""))</f>
        <v/>
      </c>
      <c r="C157" s="147" t="str" cm="1">
        <f t="array" ref="C157">_xlfn.LET(_xlpm.p,$A157,_xlfn.IFNA(
  INDEX(tblProjectInfo[InfoValue],
        MATCH(1,(tblProjectInfo[ProjectName]=_xlpm.p)*
                 (UPPER(TRIM(tblProjectInfo[Info]))="PROJECT DEVELOPER"),0)
), ""))</f>
        <v/>
      </c>
      <c r="D157" s="148" t="str" cm="1">
        <f t="array" ref="D157">_xlfn.LET(_xlpm.p,$A157,_xlfn.IFNA(
  INDEX(tblProjectInfo[InfoValue],
        MATCH(1,(tblProjectInfo[ProjectName]=_xlpm.p)*
                 (UPPER(TRIM(tblProjectInfo[Info]))="PROJECT MANAGERS"),0)
), ""))</f>
        <v/>
      </c>
      <c r="E157" s="147"/>
      <c r="F157" s="147"/>
      <c r="G157" s="147"/>
      <c r="H157" s="162" t="str" cm="1">
        <f t="array" ref="H157">_xlfn.LET(_xlpm.p,$A157,_xlfn.IFNA(
  INDEX(tblProjectInfo[InfoValue],
        MATCH(1,(tblProjectInfo[ProjectName]=_xlpm.p)*
                 ISNUMBER(SEARCH("PHASE",UPPER(tblProjectInfo[Info]))),0)
), ""))</f>
        <v/>
      </c>
      <c r="I157" s="149"/>
      <c r="J157" s="149"/>
      <c r="K157" s="169"/>
      <c r="L157" s="169"/>
      <c r="M157" s="149"/>
      <c r="N157" s="149"/>
      <c r="O157" s="149"/>
      <c r="P157" s="150"/>
      <c r="Q157" s="150"/>
      <c r="R157" s="151"/>
      <c r="S157" s="152"/>
      <c r="T157" s="152"/>
      <c r="U157" s="150"/>
      <c r="V157" s="152"/>
      <c r="W157" s="152"/>
      <c r="X157" s="246"/>
      <c r="Y157" s="246"/>
      <c r="Z157"/>
      <c r="AA157"/>
      <c r="AB157"/>
      <c r="AC157"/>
      <c r="AD157"/>
      <c r="AE157"/>
      <c r="AF157"/>
      <c r="AG157"/>
      <c r="AH157"/>
      <c r="AI157"/>
      <c r="AJ157"/>
    </row>
    <row r="158" spans="1:36">
      <c r="A158" t="str" cm="1">
        <f t="array" ref="A15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IFERROR(INDEX(_xlpm.sorted,ROWS(A$2:A158)),"")
)</f>
        <v/>
      </c>
      <c r="B158" s="147" t="str" cm="1">
        <f t="array" ref="B158">_xlfn.LET(_xlpm.p,$A158,_xlfn.IFNA(
  INDEX(tblProjectInfo[InfoValue],
        MATCH(1,(tblProjectInfo[ProjectName]=_xlpm.p)*
                 (UPPER(TRIM(tblProjectInfo[Info]))="PROJECT SIZE (KWP)"),0)
), ""))</f>
        <v/>
      </c>
      <c r="C158" s="147" t="str" cm="1">
        <f t="array" ref="C158">_xlfn.LET(_xlpm.p,$A158,_xlfn.IFNA(
  INDEX(tblProjectInfo[InfoValue],
        MATCH(1,(tblProjectInfo[ProjectName]=_xlpm.p)*
                 (UPPER(TRIM(tblProjectInfo[Info]))="PROJECT DEVELOPER"),0)
), ""))</f>
        <v/>
      </c>
      <c r="D158" s="148" t="str" cm="1">
        <f t="array" ref="D158">_xlfn.LET(_xlpm.p,$A158,_xlfn.IFNA(
  INDEX(tblProjectInfo[InfoValue],
        MATCH(1,(tblProjectInfo[ProjectName]=_xlpm.p)*
                 (UPPER(TRIM(tblProjectInfo[Info]))="PROJECT MANAGERS"),0)
), ""))</f>
        <v/>
      </c>
      <c r="E158" s="147"/>
      <c r="F158" s="147"/>
      <c r="G158" s="147"/>
      <c r="H158" s="162" t="str" cm="1">
        <f t="array" ref="H158">_xlfn.LET(_xlpm.p,$A158,_xlfn.IFNA(
  INDEX(tblProjectInfo[InfoValue],
        MATCH(1,(tblProjectInfo[ProjectName]=_xlpm.p)*
                 ISNUMBER(SEARCH("PHASE",UPPER(tblProjectInfo[Info]))),0)
), ""))</f>
        <v/>
      </c>
      <c r="I158" s="149"/>
      <c r="J158" s="149"/>
      <c r="K158" s="169"/>
      <c r="L158" s="169"/>
      <c r="M158" s="149"/>
      <c r="N158" s="149"/>
      <c r="O158" s="149"/>
      <c r="P158" s="150"/>
      <c r="Q158" s="150"/>
      <c r="R158" s="151"/>
      <c r="S158" s="152"/>
      <c r="T158" s="152"/>
      <c r="U158" s="150"/>
      <c r="V158" s="152"/>
      <c r="W158" s="152"/>
      <c r="X158" s="246"/>
      <c r="Y158" s="246"/>
      <c r="Z158"/>
      <c r="AA158"/>
      <c r="AB158"/>
      <c r="AC158"/>
      <c r="AD158"/>
      <c r="AE158"/>
      <c r="AF158"/>
      <c r="AG158"/>
      <c r="AH158"/>
      <c r="AI158"/>
      <c r="AJ158"/>
    </row>
    <row r="159" spans="1:36">
      <c r="A159" t="str" cm="1">
        <f t="array" ref="A15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IFERROR(INDEX(_xlpm.sorted,ROWS(A$2:A159)),"")
)</f>
        <v/>
      </c>
      <c r="B159" s="147" t="str" cm="1">
        <f t="array" ref="B159">_xlfn.LET(_xlpm.p,$A159,_xlfn.IFNA(
  INDEX(tblProjectInfo[InfoValue],
        MATCH(1,(tblProjectInfo[ProjectName]=_xlpm.p)*
                 (UPPER(TRIM(tblProjectInfo[Info]))="PROJECT SIZE (KWP)"),0)
), ""))</f>
        <v/>
      </c>
      <c r="C159" s="147" t="str" cm="1">
        <f t="array" ref="C159">_xlfn.LET(_xlpm.p,$A159,_xlfn.IFNA(
  INDEX(tblProjectInfo[InfoValue],
        MATCH(1,(tblProjectInfo[ProjectName]=_xlpm.p)*
                 (UPPER(TRIM(tblProjectInfo[Info]))="PROJECT DEVELOPER"),0)
), ""))</f>
        <v/>
      </c>
      <c r="D159" s="148" t="str" cm="1">
        <f t="array" ref="D159">_xlfn.LET(_xlpm.p,$A159,_xlfn.IFNA(
  INDEX(tblProjectInfo[InfoValue],
        MATCH(1,(tblProjectInfo[ProjectName]=_xlpm.p)*
                 (UPPER(TRIM(tblProjectInfo[Info]))="PROJECT MANAGERS"),0)
), ""))</f>
        <v/>
      </c>
      <c r="E159" s="147"/>
      <c r="F159" s="147"/>
      <c r="G159" s="147"/>
      <c r="H159" s="162" t="str" cm="1">
        <f t="array" ref="H159">_xlfn.LET(_xlpm.p,$A159,_xlfn.IFNA(
  INDEX(tblProjectInfo[InfoValue],
        MATCH(1,(tblProjectInfo[ProjectName]=_xlpm.p)*
                 ISNUMBER(SEARCH("PHASE",UPPER(tblProjectInfo[Info]))),0)
), ""))</f>
        <v/>
      </c>
      <c r="I159" s="149"/>
      <c r="J159" s="149"/>
      <c r="K159" s="169"/>
      <c r="L159" s="169"/>
      <c r="M159" s="149"/>
      <c r="N159" s="149"/>
      <c r="O159" s="149"/>
      <c r="P159" s="150"/>
      <c r="Q159" s="150"/>
      <c r="R159" s="151"/>
      <c r="S159" s="152"/>
      <c r="T159" s="152"/>
      <c r="U159" s="150"/>
      <c r="V159" s="152"/>
      <c r="W159" s="152"/>
      <c r="X159" s="246"/>
      <c r="Y159" s="246"/>
      <c r="Z159"/>
      <c r="AA159"/>
      <c r="AB159"/>
      <c r="AC159"/>
      <c r="AD159"/>
      <c r="AE159"/>
      <c r="AF159"/>
      <c r="AG159"/>
      <c r="AH159"/>
      <c r="AI159"/>
      <c r="AJ159"/>
    </row>
    <row r="160" spans="1:36">
      <c r="A160" t="str" cm="1">
        <f t="array" ref="A16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IFERROR(INDEX(_xlpm.sorted,ROWS(A$2:A160)),"")
)</f>
        <v/>
      </c>
      <c r="B160" s="147" t="str" cm="1">
        <f t="array" ref="B160">_xlfn.LET(_xlpm.p,$A160,_xlfn.IFNA(
  INDEX(tblProjectInfo[InfoValue],
        MATCH(1,(tblProjectInfo[ProjectName]=_xlpm.p)*
                 (UPPER(TRIM(tblProjectInfo[Info]))="PROJECT SIZE (KWP)"),0)
), ""))</f>
        <v/>
      </c>
      <c r="C160" s="147" t="str" cm="1">
        <f t="array" ref="C160">_xlfn.LET(_xlpm.p,$A160,_xlfn.IFNA(
  INDEX(tblProjectInfo[InfoValue],
        MATCH(1,(tblProjectInfo[ProjectName]=_xlpm.p)*
                 (UPPER(TRIM(tblProjectInfo[Info]))="PROJECT DEVELOPER"),0)
), ""))</f>
        <v/>
      </c>
      <c r="D160" s="148" t="str" cm="1">
        <f t="array" ref="D160">_xlfn.LET(_xlpm.p,$A160,_xlfn.IFNA(
  INDEX(tblProjectInfo[InfoValue],
        MATCH(1,(tblProjectInfo[ProjectName]=_xlpm.p)*
                 (UPPER(TRIM(tblProjectInfo[Info]))="PROJECT MANAGERS"),0)
), ""))</f>
        <v/>
      </c>
      <c r="E160" s="147"/>
      <c r="F160" s="147"/>
      <c r="G160" s="147"/>
      <c r="H160" s="162" t="str" cm="1">
        <f t="array" ref="H160">_xlfn.LET(_xlpm.p,$A160,_xlfn.IFNA(
  INDEX(tblProjectInfo[InfoValue],
        MATCH(1,(tblProjectInfo[ProjectName]=_xlpm.p)*
                 ISNUMBER(SEARCH("PHASE",UPPER(tblProjectInfo[Info]))),0)
), ""))</f>
        <v/>
      </c>
      <c r="I160" s="149"/>
      <c r="J160" s="149"/>
      <c r="K160" s="169"/>
      <c r="L160" s="169"/>
      <c r="M160" s="149"/>
      <c r="N160" s="149"/>
      <c r="O160" s="149"/>
      <c r="P160" s="150"/>
      <c r="Q160" s="150"/>
      <c r="R160" s="151"/>
      <c r="S160" s="152"/>
      <c r="T160" s="152"/>
      <c r="U160" s="150"/>
      <c r="V160" s="152"/>
      <c r="W160" s="152"/>
      <c r="X160" s="246"/>
      <c r="Y160" s="246"/>
      <c r="Z160"/>
      <c r="AA160"/>
      <c r="AB160"/>
      <c r="AC160"/>
      <c r="AD160"/>
      <c r="AE160"/>
      <c r="AF160"/>
      <c r="AG160"/>
      <c r="AH160"/>
      <c r="AI160"/>
      <c r="AJ160"/>
    </row>
    <row r="161" spans="1:36">
      <c r="A161" t="str" cm="1">
        <f t="array" ref="A16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IFERROR(INDEX(_xlpm.sorted,ROWS(A$2:A161)),"")
)</f>
        <v/>
      </c>
      <c r="B161" s="147" t="str" cm="1">
        <f t="array" ref="B161">_xlfn.LET(_xlpm.p,$A161,_xlfn.IFNA(
  INDEX(tblProjectInfo[InfoValue],
        MATCH(1,(tblProjectInfo[ProjectName]=_xlpm.p)*
                 (UPPER(TRIM(tblProjectInfo[Info]))="PROJECT SIZE (KWP)"),0)
), ""))</f>
        <v/>
      </c>
      <c r="C161" s="147" t="str" cm="1">
        <f t="array" ref="C161">_xlfn.LET(_xlpm.p,$A161,_xlfn.IFNA(
  INDEX(tblProjectInfo[InfoValue],
        MATCH(1,(tblProjectInfo[ProjectName]=_xlpm.p)*
                 (UPPER(TRIM(tblProjectInfo[Info]))="PROJECT DEVELOPER"),0)
), ""))</f>
        <v/>
      </c>
      <c r="D161" s="148" t="str" cm="1">
        <f t="array" ref="D161">_xlfn.LET(_xlpm.p,$A161,_xlfn.IFNA(
  INDEX(tblProjectInfo[InfoValue],
        MATCH(1,(tblProjectInfo[ProjectName]=_xlpm.p)*
                 (UPPER(TRIM(tblProjectInfo[Info]))="PROJECT MANAGERS"),0)
), ""))</f>
        <v/>
      </c>
      <c r="E161" s="147"/>
      <c r="F161" s="147"/>
      <c r="G161" s="147"/>
      <c r="H161" s="162" t="str" cm="1">
        <f t="array" ref="H161">_xlfn.LET(_xlpm.p,$A161,_xlfn.IFNA(
  INDEX(tblProjectInfo[InfoValue],
        MATCH(1,(tblProjectInfo[ProjectName]=_xlpm.p)*
                 ISNUMBER(SEARCH("PHASE",UPPER(tblProjectInfo[Info]))),0)
), ""))</f>
        <v/>
      </c>
      <c r="I161" s="149"/>
      <c r="J161" s="149"/>
      <c r="K161" s="169"/>
      <c r="L161" s="169"/>
      <c r="M161" s="149"/>
      <c r="N161" s="149"/>
      <c r="O161" s="149"/>
      <c r="P161" s="150"/>
      <c r="Q161" s="150"/>
      <c r="R161" s="151"/>
      <c r="S161" s="152"/>
      <c r="T161" s="152"/>
      <c r="U161" s="150"/>
      <c r="V161" s="152"/>
      <c r="W161" s="152"/>
      <c r="X161" s="246"/>
      <c r="Y161" s="246"/>
      <c r="Z161"/>
      <c r="AA161"/>
      <c r="AB161"/>
      <c r="AC161"/>
      <c r="AD161"/>
      <c r="AE161"/>
      <c r="AF161"/>
      <c r="AG161"/>
      <c r="AH161"/>
      <c r="AI161"/>
      <c r="AJ161"/>
    </row>
    <row r="162" spans="1:36">
      <c r="A162" t="str" cm="1">
        <f t="array" ref="A16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IFERROR(INDEX(_xlpm.sorted,ROWS(A$2:A162)),"")
)</f>
        <v/>
      </c>
      <c r="B162" s="147" t="str" cm="1">
        <f t="array" ref="B162">_xlfn.LET(_xlpm.p,$A162,_xlfn.IFNA(
  INDEX(tblProjectInfo[InfoValue],
        MATCH(1,(tblProjectInfo[ProjectName]=_xlpm.p)*
                 (UPPER(TRIM(tblProjectInfo[Info]))="PROJECT SIZE (KWP)"),0)
), ""))</f>
        <v/>
      </c>
      <c r="C162" s="147" t="str" cm="1">
        <f t="array" ref="C162">_xlfn.LET(_xlpm.p,$A162,_xlfn.IFNA(
  INDEX(tblProjectInfo[InfoValue],
        MATCH(1,(tblProjectInfo[ProjectName]=_xlpm.p)*
                 (UPPER(TRIM(tblProjectInfo[Info]))="PROJECT DEVELOPER"),0)
), ""))</f>
        <v/>
      </c>
      <c r="D162" s="148" t="str" cm="1">
        <f t="array" ref="D162">_xlfn.LET(_xlpm.p,$A162,_xlfn.IFNA(
  INDEX(tblProjectInfo[InfoValue],
        MATCH(1,(tblProjectInfo[ProjectName]=_xlpm.p)*
                 (UPPER(TRIM(tblProjectInfo[Info]))="PROJECT MANAGERS"),0)
), ""))</f>
        <v/>
      </c>
      <c r="E162" s="147"/>
      <c r="F162" s="147"/>
      <c r="G162" s="147"/>
      <c r="H162" s="162" t="str" cm="1">
        <f t="array" ref="H162">_xlfn.LET(_xlpm.p,$A162,_xlfn.IFNA(
  INDEX(tblProjectInfo[InfoValue],
        MATCH(1,(tblProjectInfo[ProjectName]=_xlpm.p)*
                 ISNUMBER(SEARCH("PHASE",UPPER(tblProjectInfo[Info]))),0)
), ""))</f>
        <v/>
      </c>
      <c r="I162" s="149"/>
      <c r="J162" s="149"/>
      <c r="K162" s="169"/>
      <c r="L162" s="169"/>
      <c r="M162" s="149"/>
      <c r="N162" s="149"/>
      <c r="O162" s="149"/>
      <c r="P162" s="150"/>
      <c r="Q162" s="150"/>
      <c r="R162" s="151"/>
      <c r="S162" s="152"/>
      <c r="T162" s="152"/>
      <c r="U162" s="150"/>
      <c r="V162" s="152"/>
      <c r="W162" s="152"/>
      <c r="X162" s="246"/>
      <c r="Y162" s="246"/>
      <c r="Z162"/>
      <c r="AA162"/>
      <c r="AB162"/>
      <c r="AC162"/>
      <c r="AD162"/>
      <c r="AE162"/>
      <c r="AF162"/>
      <c r="AG162"/>
      <c r="AH162"/>
      <c r="AI162"/>
      <c r="AJ162"/>
    </row>
    <row r="163" spans="1:36">
      <c r="A163" t="str" cm="1">
        <f t="array" ref="A16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IFERROR(INDEX(_xlpm.sorted,ROWS(A$2:A163)),"")
)</f>
        <v/>
      </c>
      <c r="B163" s="147" t="str" cm="1">
        <f t="array" ref="B163">_xlfn.LET(_xlpm.p,$A163,_xlfn.IFNA(
  INDEX(tblProjectInfo[InfoValue],
        MATCH(1,(tblProjectInfo[ProjectName]=_xlpm.p)*
                 (UPPER(TRIM(tblProjectInfo[Info]))="PROJECT SIZE (KWP)"),0)
), ""))</f>
        <v/>
      </c>
      <c r="C163" s="147" t="str" cm="1">
        <f t="array" ref="C163">_xlfn.LET(_xlpm.p,$A163,_xlfn.IFNA(
  INDEX(tblProjectInfo[InfoValue],
        MATCH(1,(tblProjectInfo[ProjectName]=_xlpm.p)*
                 (UPPER(TRIM(tblProjectInfo[Info]))="PROJECT DEVELOPER"),0)
), ""))</f>
        <v/>
      </c>
      <c r="D163" s="148" t="str" cm="1">
        <f t="array" ref="D163">_xlfn.LET(_xlpm.p,$A163,_xlfn.IFNA(
  INDEX(tblProjectInfo[InfoValue],
        MATCH(1,(tblProjectInfo[ProjectName]=_xlpm.p)*
                 (UPPER(TRIM(tblProjectInfo[Info]))="PROJECT MANAGERS"),0)
), ""))</f>
        <v/>
      </c>
      <c r="E163" s="147"/>
      <c r="F163" s="147"/>
      <c r="G163" s="147"/>
      <c r="H163" s="162" t="str" cm="1">
        <f t="array" ref="H163">_xlfn.LET(_xlpm.p,$A163,_xlfn.IFNA(
  INDEX(tblProjectInfo[InfoValue],
        MATCH(1,(tblProjectInfo[ProjectName]=_xlpm.p)*
                 ISNUMBER(SEARCH("PHASE",UPPER(tblProjectInfo[Info]))),0)
), ""))</f>
        <v/>
      </c>
      <c r="I163" s="149"/>
      <c r="J163" s="149"/>
      <c r="K163" s="169"/>
      <c r="L163" s="169"/>
      <c r="M163" s="149"/>
      <c r="N163" s="149"/>
      <c r="O163" s="149"/>
      <c r="P163" s="150"/>
      <c r="Q163" s="150"/>
      <c r="R163" s="151"/>
      <c r="S163" s="152"/>
      <c r="T163" s="152"/>
      <c r="U163" s="150"/>
      <c r="V163" s="152"/>
      <c r="W163" s="152"/>
      <c r="X163" s="246"/>
      <c r="Y163" s="246"/>
      <c r="Z163"/>
      <c r="AA163"/>
      <c r="AB163"/>
      <c r="AC163"/>
      <c r="AD163"/>
      <c r="AE163"/>
      <c r="AF163"/>
      <c r="AG163"/>
      <c r="AH163"/>
      <c r="AI163"/>
      <c r="AJ163"/>
    </row>
    <row r="164" spans="1:36">
      <c r="A164" t="str" cm="1">
        <f t="array" ref="A16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IFERROR(INDEX(_xlpm.sorted,ROWS(A$2:A164)),"")
)</f>
        <v/>
      </c>
      <c r="B164" s="147" t="str" cm="1">
        <f t="array" ref="B164">_xlfn.LET(_xlpm.p,$A164,_xlfn.IFNA(
  INDEX(tblProjectInfo[InfoValue],
        MATCH(1,(tblProjectInfo[ProjectName]=_xlpm.p)*
                 (UPPER(TRIM(tblProjectInfo[Info]))="PROJECT SIZE (KWP)"),0)
), ""))</f>
        <v/>
      </c>
      <c r="C164" s="147" t="str" cm="1">
        <f t="array" ref="C164">_xlfn.LET(_xlpm.p,$A164,_xlfn.IFNA(
  INDEX(tblProjectInfo[InfoValue],
        MATCH(1,(tblProjectInfo[ProjectName]=_xlpm.p)*
                 (UPPER(TRIM(tblProjectInfo[Info]))="PROJECT DEVELOPER"),0)
), ""))</f>
        <v/>
      </c>
      <c r="D164" s="148" t="str" cm="1">
        <f t="array" ref="D164">_xlfn.LET(_xlpm.p,$A164,_xlfn.IFNA(
  INDEX(tblProjectInfo[InfoValue],
        MATCH(1,(tblProjectInfo[ProjectName]=_xlpm.p)*
                 (UPPER(TRIM(tblProjectInfo[Info]))="PROJECT MANAGERS"),0)
), ""))</f>
        <v/>
      </c>
      <c r="E164" s="147"/>
      <c r="F164" s="147"/>
      <c r="G164" s="147"/>
      <c r="H164" s="162" t="str" cm="1">
        <f t="array" ref="H164">_xlfn.LET(_xlpm.p,$A164,_xlfn.IFNA(
  INDEX(tblProjectInfo[InfoValue],
        MATCH(1,(tblProjectInfo[ProjectName]=_xlpm.p)*
                 ISNUMBER(SEARCH("PHASE",UPPER(tblProjectInfo[Info]))),0)
), ""))</f>
        <v/>
      </c>
      <c r="I164" s="149"/>
      <c r="J164" s="149"/>
      <c r="K164" s="169"/>
      <c r="L164" s="169"/>
      <c r="M164" s="149"/>
      <c r="N164" s="149"/>
      <c r="O164" s="149"/>
      <c r="P164" s="150"/>
      <c r="Q164" s="150"/>
      <c r="R164" s="151"/>
      <c r="S164" s="152"/>
      <c r="T164" s="152"/>
      <c r="U164" s="150"/>
      <c r="V164" s="152"/>
      <c r="W164" s="152"/>
      <c r="X164" s="246"/>
      <c r="Y164" s="246"/>
      <c r="Z164"/>
      <c r="AA164"/>
      <c r="AB164"/>
      <c r="AC164"/>
      <c r="AD164"/>
      <c r="AE164"/>
      <c r="AF164"/>
      <c r="AG164"/>
      <c r="AH164"/>
      <c r="AI164"/>
      <c r="AJ164"/>
    </row>
    <row r="165" spans="1:36">
      <c r="A165" t="str" cm="1">
        <f t="array" ref="A16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IFERROR(INDEX(_xlpm.sorted,ROWS(A$2:A165)),"")
)</f>
        <v/>
      </c>
      <c r="B165" s="147" t="str" cm="1">
        <f t="array" ref="B165">_xlfn.LET(_xlpm.p,$A165,_xlfn.IFNA(
  INDEX(tblProjectInfo[InfoValue],
        MATCH(1,(tblProjectInfo[ProjectName]=_xlpm.p)*
                 (UPPER(TRIM(tblProjectInfo[Info]))="PROJECT SIZE (KWP)"),0)
), ""))</f>
        <v/>
      </c>
      <c r="C165" s="147" t="str" cm="1">
        <f t="array" ref="C165">_xlfn.LET(_xlpm.p,$A165,_xlfn.IFNA(
  INDEX(tblProjectInfo[InfoValue],
        MATCH(1,(tblProjectInfo[ProjectName]=_xlpm.p)*
                 (UPPER(TRIM(tblProjectInfo[Info]))="PROJECT DEVELOPER"),0)
), ""))</f>
        <v/>
      </c>
      <c r="D165" s="148" t="str" cm="1">
        <f t="array" ref="D165">_xlfn.LET(_xlpm.p,$A165,_xlfn.IFNA(
  INDEX(tblProjectInfo[InfoValue],
        MATCH(1,(tblProjectInfo[ProjectName]=_xlpm.p)*
                 (UPPER(TRIM(tblProjectInfo[Info]))="PROJECT MANAGERS"),0)
), ""))</f>
        <v/>
      </c>
      <c r="E165" s="147"/>
      <c r="F165" s="147"/>
      <c r="G165" s="147"/>
      <c r="H165" s="162" t="str" cm="1">
        <f t="array" ref="H165">_xlfn.LET(_xlpm.p,$A165,_xlfn.IFNA(
  INDEX(tblProjectInfo[InfoValue],
        MATCH(1,(tblProjectInfo[ProjectName]=_xlpm.p)*
                 ISNUMBER(SEARCH("PHASE",UPPER(tblProjectInfo[Info]))),0)
), ""))</f>
        <v/>
      </c>
      <c r="I165" s="149"/>
      <c r="J165" s="149"/>
      <c r="K165" s="169"/>
      <c r="L165" s="169"/>
      <c r="M165" s="149"/>
      <c r="N165" s="149"/>
      <c r="O165" s="149"/>
      <c r="P165" s="150"/>
      <c r="Q165" s="150"/>
      <c r="R165" s="151"/>
      <c r="S165" s="152"/>
      <c r="T165" s="152"/>
      <c r="U165" s="150"/>
      <c r="V165" s="152"/>
      <c r="W165" s="152"/>
      <c r="X165" s="246"/>
      <c r="Y165" s="246"/>
      <c r="Z165"/>
      <c r="AA165"/>
      <c r="AB165"/>
      <c r="AC165"/>
      <c r="AD165"/>
      <c r="AE165"/>
      <c r="AF165"/>
      <c r="AG165"/>
      <c r="AH165"/>
      <c r="AI165"/>
      <c r="AJ165"/>
    </row>
    <row r="166" spans="1:36">
      <c r="A166" t="str" cm="1">
        <f t="array" ref="A16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IFERROR(INDEX(_xlpm.sorted,ROWS(A$2:A166)),"")
)</f>
        <v/>
      </c>
      <c r="B166" s="147" t="str" cm="1">
        <f t="array" ref="B166">_xlfn.LET(_xlpm.p,$A166,_xlfn.IFNA(
  INDEX(tblProjectInfo[InfoValue],
        MATCH(1,(tblProjectInfo[ProjectName]=_xlpm.p)*
                 (UPPER(TRIM(tblProjectInfo[Info]))="PROJECT SIZE (KWP)"),0)
), ""))</f>
        <v/>
      </c>
      <c r="C166" s="147" t="str" cm="1">
        <f t="array" ref="C166">_xlfn.LET(_xlpm.p,$A166,_xlfn.IFNA(
  INDEX(tblProjectInfo[InfoValue],
        MATCH(1,(tblProjectInfo[ProjectName]=_xlpm.p)*
                 (UPPER(TRIM(tblProjectInfo[Info]))="PROJECT DEVELOPER"),0)
), ""))</f>
        <v/>
      </c>
      <c r="D166" s="148" t="str" cm="1">
        <f t="array" ref="D166">_xlfn.LET(_xlpm.p,$A166,_xlfn.IFNA(
  INDEX(tblProjectInfo[InfoValue],
        MATCH(1,(tblProjectInfo[ProjectName]=_xlpm.p)*
                 (UPPER(TRIM(tblProjectInfo[Info]))="PROJECT MANAGERS"),0)
), ""))</f>
        <v/>
      </c>
      <c r="E166" s="147"/>
      <c r="F166" s="147"/>
      <c r="G166" s="147"/>
      <c r="H166" s="162" t="str" cm="1">
        <f t="array" ref="H166">_xlfn.LET(_xlpm.p,$A166,_xlfn.IFNA(
  INDEX(tblProjectInfo[InfoValue],
        MATCH(1,(tblProjectInfo[ProjectName]=_xlpm.p)*
                 ISNUMBER(SEARCH("PHASE",UPPER(tblProjectInfo[Info]))),0)
), ""))</f>
        <v/>
      </c>
      <c r="I166" s="149"/>
      <c r="J166" s="149"/>
      <c r="K166" s="169"/>
      <c r="L166" s="169"/>
      <c r="M166" s="149"/>
      <c r="N166" s="149"/>
      <c r="O166" s="149"/>
      <c r="P166" s="150"/>
      <c r="Q166" s="150"/>
      <c r="R166" s="151"/>
      <c r="S166" s="152"/>
      <c r="T166" s="152"/>
      <c r="U166" s="150"/>
      <c r="V166" s="152"/>
      <c r="W166" s="152"/>
      <c r="X166" s="246"/>
      <c r="Y166" s="246"/>
      <c r="Z166"/>
      <c r="AA166"/>
      <c r="AB166"/>
      <c r="AC166"/>
      <c r="AD166"/>
      <c r="AE166"/>
      <c r="AF166"/>
      <c r="AG166"/>
      <c r="AH166"/>
      <c r="AI166"/>
      <c r="AJ166"/>
    </row>
    <row r="167" spans="1:36">
      <c r="A167" t="str" cm="1">
        <f t="array" ref="A16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IFERROR(INDEX(_xlpm.sorted,ROWS(A$2:A167)),"")
)</f>
        <v/>
      </c>
      <c r="B167" s="147" t="str" cm="1">
        <f t="array" ref="B167">_xlfn.LET(_xlpm.p,$A167,_xlfn.IFNA(
  INDEX(tblProjectInfo[InfoValue],
        MATCH(1,(tblProjectInfo[ProjectName]=_xlpm.p)*
                 (UPPER(TRIM(tblProjectInfo[Info]))="PROJECT SIZE (KWP)"),0)
), ""))</f>
        <v/>
      </c>
      <c r="C167" s="147" t="str" cm="1">
        <f t="array" ref="C167">_xlfn.LET(_xlpm.p,$A167,_xlfn.IFNA(
  INDEX(tblProjectInfo[InfoValue],
        MATCH(1,(tblProjectInfo[ProjectName]=_xlpm.p)*
                 (UPPER(TRIM(tblProjectInfo[Info]))="PROJECT DEVELOPER"),0)
), ""))</f>
        <v/>
      </c>
      <c r="D167" s="148" t="str" cm="1">
        <f t="array" ref="D167">_xlfn.LET(_xlpm.p,$A167,_xlfn.IFNA(
  INDEX(tblProjectInfo[InfoValue],
        MATCH(1,(tblProjectInfo[ProjectName]=_xlpm.p)*
                 (UPPER(TRIM(tblProjectInfo[Info]))="PROJECT MANAGERS"),0)
), ""))</f>
        <v/>
      </c>
      <c r="E167" s="147"/>
      <c r="F167" s="147"/>
      <c r="G167" s="147"/>
      <c r="H167" s="162" t="str" cm="1">
        <f t="array" ref="H167">_xlfn.LET(_xlpm.p,$A167,_xlfn.IFNA(
  INDEX(tblProjectInfo[InfoValue],
        MATCH(1,(tblProjectInfo[ProjectName]=_xlpm.p)*
                 ISNUMBER(SEARCH("PHASE",UPPER(tblProjectInfo[Info]))),0)
), ""))</f>
        <v/>
      </c>
      <c r="I167" s="149"/>
      <c r="J167" s="149"/>
      <c r="K167" s="169"/>
      <c r="L167" s="169"/>
      <c r="M167" s="149"/>
      <c r="N167" s="149"/>
      <c r="O167" s="149"/>
      <c r="P167" s="150"/>
      <c r="Q167" s="150"/>
      <c r="R167" s="151"/>
      <c r="S167" s="152"/>
      <c r="T167" s="152"/>
      <c r="U167" s="150"/>
      <c r="V167" s="152"/>
      <c r="W167" s="152"/>
      <c r="X167" s="246"/>
      <c r="Y167" s="246"/>
      <c r="Z167"/>
      <c r="AA167"/>
      <c r="AB167"/>
      <c r="AC167"/>
      <c r="AD167"/>
      <c r="AE167"/>
      <c r="AF167"/>
      <c r="AG167"/>
      <c r="AH167"/>
      <c r="AI167"/>
      <c r="AJ167"/>
    </row>
    <row r="168" spans="1:36">
      <c r="A168" t="str" cm="1">
        <f t="array" ref="A16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IFERROR(INDEX(_xlpm.sorted,ROWS(A$2:A168)),"")
)</f>
        <v/>
      </c>
      <c r="B168" s="147" t="str" cm="1">
        <f t="array" ref="B168">_xlfn.LET(_xlpm.p,$A168,_xlfn.IFNA(
  INDEX(tblProjectInfo[InfoValue],
        MATCH(1,(tblProjectInfo[ProjectName]=_xlpm.p)*
                 (UPPER(TRIM(tblProjectInfo[Info]))="PROJECT SIZE (KWP)"),0)
), ""))</f>
        <v/>
      </c>
      <c r="C168" s="147" t="str" cm="1">
        <f t="array" ref="C168">_xlfn.LET(_xlpm.p,$A168,_xlfn.IFNA(
  INDEX(tblProjectInfo[InfoValue],
        MATCH(1,(tblProjectInfo[ProjectName]=_xlpm.p)*
                 (UPPER(TRIM(tblProjectInfo[Info]))="PROJECT DEVELOPER"),0)
), ""))</f>
        <v/>
      </c>
      <c r="D168" s="148" t="str" cm="1">
        <f t="array" ref="D168">_xlfn.LET(_xlpm.p,$A168,_xlfn.IFNA(
  INDEX(tblProjectInfo[InfoValue],
        MATCH(1,(tblProjectInfo[ProjectName]=_xlpm.p)*
                 (UPPER(TRIM(tblProjectInfo[Info]))="PROJECT MANAGERS"),0)
), ""))</f>
        <v/>
      </c>
      <c r="E168" s="147"/>
      <c r="F168" s="147"/>
      <c r="G168" s="147"/>
      <c r="H168" s="162" t="str" cm="1">
        <f t="array" ref="H168">_xlfn.LET(_xlpm.p,$A168,_xlfn.IFNA(
  INDEX(tblProjectInfo[InfoValue],
        MATCH(1,(tblProjectInfo[ProjectName]=_xlpm.p)*
                 ISNUMBER(SEARCH("PHASE",UPPER(tblProjectInfo[Info]))),0)
), ""))</f>
        <v/>
      </c>
      <c r="I168" s="149"/>
      <c r="J168" s="149"/>
      <c r="K168" s="169"/>
      <c r="L168" s="169"/>
      <c r="M168" s="149"/>
      <c r="N168" s="149"/>
      <c r="O168" s="149"/>
      <c r="P168" s="150"/>
      <c r="Q168" s="150"/>
      <c r="R168" s="151"/>
      <c r="S168" s="152"/>
      <c r="T168" s="152"/>
      <c r="U168" s="150"/>
      <c r="V168" s="152"/>
      <c r="W168" s="152"/>
      <c r="X168" s="246"/>
      <c r="Y168" s="246"/>
      <c r="Z168"/>
      <c r="AA168"/>
      <c r="AB168"/>
      <c r="AC168"/>
      <c r="AD168"/>
      <c r="AE168"/>
      <c r="AF168"/>
      <c r="AG168"/>
      <c r="AH168"/>
      <c r="AI168"/>
      <c r="AJ168"/>
    </row>
    <row r="169" spans="1:36">
      <c r="A169" t="str" cm="1">
        <f t="array" ref="A16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IFERROR(INDEX(_xlpm.sorted,ROWS(A$2:A169)),"")
)</f>
        <v/>
      </c>
      <c r="B169" s="147" t="str" cm="1">
        <f t="array" ref="B169">_xlfn.LET(_xlpm.p,$A169,_xlfn.IFNA(
  INDEX(tblProjectInfo[InfoValue],
        MATCH(1,(tblProjectInfo[ProjectName]=_xlpm.p)*
                 (UPPER(TRIM(tblProjectInfo[Info]))="PROJECT SIZE (KWP)"),0)
), ""))</f>
        <v/>
      </c>
      <c r="C169" s="147" t="str" cm="1">
        <f t="array" ref="C169">_xlfn.LET(_xlpm.p,$A169,_xlfn.IFNA(
  INDEX(tblProjectInfo[InfoValue],
        MATCH(1,(tblProjectInfo[ProjectName]=_xlpm.p)*
                 (UPPER(TRIM(tblProjectInfo[Info]))="PROJECT DEVELOPER"),0)
), ""))</f>
        <v/>
      </c>
      <c r="D169" s="148" t="str" cm="1">
        <f t="array" ref="D169">_xlfn.LET(_xlpm.p,$A169,_xlfn.IFNA(
  INDEX(tblProjectInfo[InfoValue],
        MATCH(1,(tblProjectInfo[ProjectName]=_xlpm.p)*
                 (UPPER(TRIM(tblProjectInfo[Info]))="PROJECT MANAGERS"),0)
), ""))</f>
        <v/>
      </c>
      <c r="E169" s="147"/>
      <c r="F169" s="147"/>
      <c r="G169" s="147"/>
      <c r="H169" s="162" t="str" cm="1">
        <f t="array" ref="H169">_xlfn.LET(_xlpm.p,$A169,_xlfn.IFNA(
  INDEX(tblProjectInfo[InfoValue],
        MATCH(1,(tblProjectInfo[ProjectName]=_xlpm.p)*
                 ISNUMBER(SEARCH("PHASE",UPPER(tblProjectInfo[Info]))),0)
), ""))</f>
        <v/>
      </c>
      <c r="I169" s="149"/>
      <c r="J169" s="149"/>
      <c r="K169" s="169"/>
      <c r="L169" s="169"/>
      <c r="M169" s="149"/>
      <c r="N169" s="149"/>
      <c r="O169" s="149"/>
      <c r="P169" s="150"/>
      <c r="Q169" s="150"/>
      <c r="R169" s="151"/>
      <c r="S169" s="152"/>
      <c r="T169" s="152"/>
      <c r="U169" s="150"/>
      <c r="V169" s="152"/>
      <c r="W169" s="152"/>
      <c r="X169" s="246"/>
      <c r="Y169" s="246"/>
      <c r="Z169"/>
      <c r="AA169"/>
      <c r="AB169"/>
      <c r="AC169"/>
      <c r="AD169"/>
      <c r="AE169"/>
      <c r="AF169"/>
      <c r="AG169"/>
      <c r="AH169"/>
      <c r="AI169"/>
      <c r="AJ169"/>
    </row>
    <row r="170" spans="1:36">
      <c r="A170" t="str" cm="1">
        <f t="array" ref="A17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IFERROR(INDEX(_xlpm.sorted,ROWS(A$2:A170)),"")
)</f>
        <v/>
      </c>
      <c r="B170" s="147" t="str" cm="1">
        <f t="array" ref="B170">_xlfn.LET(_xlpm.p,$A170,_xlfn.IFNA(
  INDEX(tblProjectInfo[InfoValue],
        MATCH(1,(tblProjectInfo[ProjectName]=_xlpm.p)*
                 (UPPER(TRIM(tblProjectInfo[Info]))="PROJECT SIZE (KWP)"),0)
), ""))</f>
        <v/>
      </c>
      <c r="C170" s="147" t="str" cm="1">
        <f t="array" ref="C170">_xlfn.LET(_xlpm.p,$A170,_xlfn.IFNA(
  INDEX(tblProjectInfo[InfoValue],
        MATCH(1,(tblProjectInfo[ProjectName]=_xlpm.p)*
                 (UPPER(TRIM(tblProjectInfo[Info]))="PROJECT DEVELOPER"),0)
), ""))</f>
        <v/>
      </c>
      <c r="D170" s="148" t="str" cm="1">
        <f t="array" ref="D170">_xlfn.LET(_xlpm.p,$A170,_xlfn.IFNA(
  INDEX(tblProjectInfo[InfoValue],
        MATCH(1,(tblProjectInfo[ProjectName]=_xlpm.p)*
                 (UPPER(TRIM(tblProjectInfo[Info]))="PROJECT MANAGERS"),0)
), ""))</f>
        <v/>
      </c>
      <c r="E170" s="147"/>
      <c r="F170" s="147"/>
      <c r="G170" s="147"/>
      <c r="H170" s="162" t="str" cm="1">
        <f t="array" ref="H170">_xlfn.LET(_xlpm.p,$A170,_xlfn.IFNA(
  INDEX(tblProjectInfo[InfoValue],
        MATCH(1,(tblProjectInfo[ProjectName]=_xlpm.p)*
                 ISNUMBER(SEARCH("PHASE",UPPER(tblProjectInfo[Info]))),0)
), ""))</f>
        <v/>
      </c>
      <c r="I170" s="149"/>
      <c r="J170" s="149"/>
      <c r="K170" s="169"/>
      <c r="L170" s="169"/>
      <c r="M170" s="149"/>
      <c r="N170" s="149"/>
      <c r="O170" s="149"/>
      <c r="P170" s="150"/>
      <c r="Q170" s="150"/>
      <c r="R170" s="151"/>
      <c r="S170" s="152"/>
      <c r="T170" s="152"/>
      <c r="U170" s="150"/>
      <c r="V170" s="152"/>
      <c r="W170" s="152"/>
      <c r="X170" s="246"/>
      <c r="Y170" s="246"/>
      <c r="Z170"/>
      <c r="AA170"/>
      <c r="AB170"/>
      <c r="AC170"/>
      <c r="AD170"/>
      <c r="AE170"/>
      <c r="AF170"/>
      <c r="AG170"/>
      <c r="AH170"/>
      <c r="AI170"/>
      <c r="AJ170"/>
    </row>
    <row r="171" spans="1:36">
      <c r="A171" t="str" cm="1">
        <f t="array" ref="A17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IFERROR(INDEX(_xlpm.sorted,ROWS(A$2:A171)),"")
)</f>
        <v/>
      </c>
      <c r="B171" s="147" t="str" cm="1">
        <f t="array" ref="B171">_xlfn.LET(_xlpm.p,$A171,_xlfn.IFNA(
  INDEX(tblProjectInfo[InfoValue],
        MATCH(1,(tblProjectInfo[ProjectName]=_xlpm.p)*
                 (UPPER(TRIM(tblProjectInfo[Info]))="PROJECT SIZE (KWP)"),0)
), ""))</f>
        <v/>
      </c>
      <c r="C171" s="147" t="str" cm="1">
        <f t="array" ref="C171">_xlfn.LET(_xlpm.p,$A171,_xlfn.IFNA(
  INDEX(tblProjectInfo[InfoValue],
        MATCH(1,(tblProjectInfo[ProjectName]=_xlpm.p)*
                 (UPPER(TRIM(tblProjectInfo[Info]))="PROJECT DEVELOPER"),0)
), ""))</f>
        <v/>
      </c>
      <c r="D171" s="148" t="str" cm="1">
        <f t="array" ref="D171">_xlfn.LET(_xlpm.p,$A171,_xlfn.IFNA(
  INDEX(tblProjectInfo[InfoValue],
        MATCH(1,(tblProjectInfo[ProjectName]=_xlpm.p)*
                 (UPPER(TRIM(tblProjectInfo[Info]))="PROJECT MANAGERS"),0)
), ""))</f>
        <v/>
      </c>
      <c r="E171" s="147"/>
      <c r="F171" s="147"/>
      <c r="G171" s="147"/>
      <c r="H171" s="162" t="str" cm="1">
        <f t="array" ref="H171">_xlfn.LET(_xlpm.p,$A171,_xlfn.IFNA(
  INDEX(tblProjectInfo[InfoValue],
        MATCH(1,(tblProjectInfo[ProjectName]=_xlpm.p)*
                 ISNUMBER(SEARCH("PHASE",UPPER(tblProjectInfo[Info]))),0)
), ""))</f>
        <v/>
      </c>
      <c r="I171" s="149"/>
      <c r="J171" s="149"/>
      <c r="K171" s="169"/>
      <c r="L171" s="169"/>
      <c r="M171" s="149"/>
      <c r="N171" s="149"/>
      <c r="O171" s="149"/>
      <c r="P171" s="150"/>
      <c r="Q171" s="150"/>
      <c r="R171" s="151"/>
      <c r="S171" s="152"/>
      <c r="T171" s="152"/>
      <c r="U171" s="150"/>
      <c r="V171" s="152"/>
      <c r="W171" s="152"/>
      <c r="X171" s="246"/>
      <c r="Y171" s="246"/>
      <c r="Z171"/>
      <c r="AA171"/>
      <c r="AB171"/>
      <c r="AC171"/>
      <c r="AD171"/>
      <c r="AE171"/>
      <c r="AF171"/>
      <c r="AG171"/>
      <c r="AH171"/>
      <c r="AI171"/>
      <c r="AJ171"/>
    </row>
    <row r="172" spans="1:36">
      <c r="A172" t="str" cm="1">
        <f t="array" ref="A17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IFERROR(INDEX(_xlpm.sorted,ROWS(A$2:A172)),"")
)</f>
        <v/>
      </c>
      <c r="B172" s="147" t="str" cm="1">
        <f t="array" ref="B172">_xlfn.LET(_xlpm.p,$A172,_xlfn.IFNA(
  INDEX(tblProjectInfo[InfoValue],
        MATCH(1,(tblProjectInfo[ProjectName]=_xlpm.p)*
                 (UPPER(TRIM(tblProjectInfo[Info]))="PROJECT SIZE (KWP)"),0)
), ""))</f>
        <v/>
      </c>
      <c r="C172" s="147" t="str" cm="1">
        <f t="array" ref="C172">_xlfn.LET(_xlpm.p,$A172,_xlfn.IFNA(
  INDEX(tblProjectInfo[InfoValue],
        MATCH(1,(tblProjectInfo[ProjectName]=_xlpm.p)*
                 (UPPER(TRIM(tblProjectInfo[Info]))="PROJECT DEVELOPER"),0)
), ""))</f>
        <v/>
      </c>
      <c r="D172" s="148" t="str" cm="1">
        <f t="array" ref="D172">_xlfn.LET(_xlpm.p,$A172,_xlfn.IFNA(
  INDEX(tblProjectInfo[InfoValue],
        MATCH(1,(tblProjectInfo[ProjectName]=_xlpm.p)*
                 (UPPER(TRIM(tblProjectInfo[Info]))="PROJECT MANAGERS"),0)
), ""))</f>
        <v/>
      </c>
      <c r="E172" s="147"/>
      <c r="F172" s="147"/>
      <c r="G172" s="147"/>
      <c r="H172" s="162" t="str" cm="1">
        <f t="array" ref="H172">_xlfn.LET(_xlpm.p,$A172,_xlfn.IFNA(
  INDEX(tblProjectInfo[InfoValue],
        MATCH(1,(tblProjectInfo[ProjectName]=_xlpm.p)*
                 ISNUMBER(SEARCH("PHASE",UPPER(tblProjectInfo[Info]))),0)
), ""))</f>
        <v/>
      </c>
      <c r="I172" s="149"/>
      <c r="J172" s="149"/>
      <c r="K172" s="169"/>
      <c r="L172" s="169"/>
      <c r="M172" s="149"/>
      <c r="N172" s="149"/>
      <c r="O172" s="149"/>
      <c r="P172" s="150"/>
      <c r="Q172" s="150"/>
      <c r="R172" s="151"/>
      <c r="S172" s="152"/>
      <c r="T172" s="152"/>
      <c r="U172" s="150"/>
      <c r="V172" s="152"/>
      <c r="W172" s="152"/>
      <c r="X172" s="246"/>
      <c r="Y172" s="246"/>
      <c r="Z172"/>
      <c r="AA172"/>
      <c r="AB172"/>
      <c r="AC172"/>
      <c r="AD172"/>
      <c r="AE172"/>
      <c r="AF172"/>
      <c r="AG172"/>
      <c r="AH172"/>
      <c r="AI172"/>
      <c r="AJ172"/>
    </row>
    <row r="173" spans="1:36">
      <c r="A173" t="str" cm="1">
        <f t="array" ref="A17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IFERROR(INDEX(_xlpm.sorted,ROWS(A$2:A173)),"")
)</f>
        <v/>
      </c>
      <c r="B173" s="147" t="str" cm="1">
        <f t="array" ref="B173">_xlfn.LET(_xlpm.p,$A173,_xlfn.IFNA(
  INDEX(tblProjectInfo[InfoValue],
        MATCH(1,(tblProjectInfo[ProjectName]=_xlpm.p)*
                 (UPPER(TRIM(tblProjectInfo[Info]))="PROJECT SIZE (KWP)"),0)
), ""))</f>
        <v/>
      </c>
      <c r="C173" s="147" t="str" cm="1">
        <f t="array" ref="C173">_xlfn.LET(_xlpm.p,$A173,_xlfn.IFNA(
  INDEX(tblProjectInfo[InfoValue],
        MATCH(1,(tblProjectInfo[ProjectName]=_xlpm.p)*
                 (UPPER(TRIM(tblProjectInfo[Info]))="PROJECT DEVELOPER"),0)
), ""))</f>
        <v/>
      </c>
      <c r="D173" s="148" t="str" cm="1">
        <f t="array" ref="D173">_xlfn.LET(_xlpm.p,$A173,_xlfn.IFNA(
  INDEX(tblProjectInfo[InfoValue],
        MATCH(1,(tblProjectInfo[ProjectName]=_xlpm.p)*
                 (UPPER(TRIM(tblProjectInfo[Info]))="PROJECT MANAGERS"),0)
), ""))</f>
        <v/>
      </c>
      <c r="E173" s="147"/>
      <c r="F173" s="147"/>
      <c r="G173" s="147"/>
      <c r="H173" s="162" t="str" cm="1">
        <f t="array" ref="H173">_xlfn.LET(_xlpm.p,$A173,_xlfn.IFNA(
  INDEX(tblProjectInfo[InfoValue],
        MATCH(1,(tblProjectInfo[ProjectName]=_xlpm.p)*
                 ISNUMBER(SEARCH("PHASE",UPPER(tblProjectInfo[Info]))),0)
), ""))</f>
        <v/>
      </c>
      <c r="I173" s="149"/>
      <c r="J173" s="149"/>
      <c r="K173" s="169"/>
      <c r="L173" s="169"/>
      <c r="M173" s="149"/>
      <c r="N173" s="149"/>
      <c r="O173" s="149"/>
      <c r="P173" s="150"/>
      <c r="Q173" s="150"/>
      <c r="R173" s="151"/>
      <c r="S173" s="152"/>
      <c r="T173" s="152"/>
      <c r="U173" s="150"/>
      <c r="V173" s="152"/>
      <c r="W173" s="152"/>
      <c r="X173" s="246"/>
      <c r="Y173" s="246"/>
      <c r="Z173"/>
      <c r="AA173"/>
      <c r="AB173"/>
      <c r="AC173"/>
      <c r="AD173"/>
      <c r="AE173"/>
      <c r="AF173"/>
      <c r="AG173"/>
      <c r="AH173"/>
      <c r="AI173"/>
      <c r="AJ173"/>
    </row>
    <row r="174" spans="1:36">
      <c r="A174" t="str" cm="1">
        <f t="array" ref="A17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IFERROR(INDEX(_xlpm.sorted,ROWS(A$2:A174)),"")
)</f>
        <v/>
      </c>
      <c r="B174" s="147" t="str" cm="1">
        <f t="array" ref="B174">_xlfn.LET(_xlpm.p,$A174,_xlfn.IFNA(
  INDEX(tblProjectInfo[InfoValue],
        MATCH(1,(tblProjectInfo[ProjectName]=_xlpm.p)*
                 (UPPER(TRIM(tblProjectInfo[Info]))="PROJECT SIZE (KWP)"),0)
), ""))</f>
        <v/>
      </c>
      <c r="C174" s="147" t="str" cm="1">
        <f t="array" ref="C174">_xlfn.LET(_xlpm.p,$A174,_xlfn.IFNA(
  INDEX(tblProjectInfo[InfoValue],
        MATCH(1,(tblProjectInfo[ProjectName]=_xlpm.p)*
                 (UPPER(TRIM(tblProjectInfo[Info]))="PROJECT DEVELOPER"),0)
), ""))</f>
        <v/>
      </c>
      <c r="D174" s="148" t="str" cm="1">
        <f t="array" ref="D174">_xlfn.LET(_xlpm.p,$A174,_xlfn.IFNA(
  INDEX(tblProjectInfo[InfoValue],
        MATCH(1,(tblProjectInfo[ProjectName]=_xlpm.p)*
                 (UPPER(TRIM(tblProjectInfo[Info]))="PROJECT MANAGERS"),0)
), ""))</f>
        <v/>
      </c>
      <c r="E174" s="147"/>
      <c r="F174" s="147"/>
      <c r="G174" s="147"/>
      <c r="H174" s="162" t="str" cm="1">
        <f t="array" ref="H174">_xlfn.LET(_xlpm.p,$A174,_xlfn.IFNA(
  INDEX(tblProjectInfo[InfoValue],
        MATCH(1,(tblProjectInfo[ProjectName]=_xlpm.p)*
                 ISNUMBER(SEARCH("PHASE",UPPER(tblProjectInfo[Info]))),0)
), ""))</f>
        <v/>
      </c>
      <c r="I174" s="149"/>
      <c r="J174" s="149"/>
      <c r="K174" s="169"/>
      <c r="L174" s="169"/>
      <c r="M174" s="149"/>
      <c r="N174" s="149"/>
      <c r="O174" s="149"/>
      <c r="P174" s="150"/>
      <c r="Q174" s="150"/>
      <c r="R174" s="151"/>
      <c r="S174" s="152"/>
      <c r="T174" s="152"/>
      <c r="U174" s="150"/>
      <c r="V174" s="152"/>
      <c r="W174" s="152"/>
      <c r="X174" s="246"/>
      <c r="Y174" s="246"/>
      <c r="Z174"/>
      <c r="AA174"/>
      <c r="AB174"/>
      <c r="AC174"/>
      <c r="AD174"/>
      <c r="AE174"/>
      <c r="AF174"/>
      <c r="AG174"/>
      <c r="AH174"/>
      <c r="AI174"/>
      <c r="AJ174"/>
    </row>
    <row r="175" spans="1:36">
      <c r="A175" t="str" cm="1">
        <f t="array" ref="A17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IFERROR(INDEX(_xlpm.sorted,ROWS(A$2:A175)),"")
)</f>
        <v/>
      </c>
      <c r="B175" s="147" t="str" cm="1">
        <f t="array" ref="B175">_xlfn.LET(_xlpm.p,$A175,_xlfn.IFNA(
  INDEX(tblProjectInfo[InfoValue],
        MATCH(1,(tblProjectInfo[ProjectName]=_xlpm.p)*
                 (UPPER(TRIM(tblProjectInfo[Info]))="PROJECT SIZE (KWP)"),0)
), ""))</f>
        <v/>
      </c>
      <c r="C175" s="147" t="str" cm="1">
        <f t="array" ref="C175">_xlfn.LET(_xlpm.p,$A175,_xlfn.IFNA(
  INDEX(tblProjectInfo[InfoValue],
        MATCH(1,(tblProjectInfo[ProjectName]=_xlpm.p)*
                 (UPPER(TRIM(tblProjectInfo[Info]))="PROJECT DEVELOPER"),0)
), ""))</f>
        <v/>
      </c>
      <c r="D175" s="148" t="str" cm="1">
        <f t="array" ref="D175">_xlfn.LET(_xlpm.p,$A175,_xlfn.IFNA(
  INDEX(tblProjectInfo[InfoValue],
        MATCH(1,(tblProjectInfo[ProjectName]=_xlpm.p)*
                 (UPPER(TRIM(tblProjectInfo[Info]))="PROJECT MANAGERS"),0)
), ""))</f>
        <v/>
      </c>
      <c r="E175" s="147"/>
      <c r="F175" s="147"/>
      <c r="G175" s="147"/>
      <c r="H175" s="162" t="str" cm="1">
        <f t="array" ref="H175">_xlfn.LET(_xlpm.p,$A175,_xlfn.IFNA(
  INDEX(tblProjectInfo[InfoValue],
        MATCH(1,(tblProjectInfo[ProjectName]=_xlpm.p)*
                 ISNUMBER(SEARCH("PHASE",UPPER(tblProjectInfo[Info]))),0)
), ""))</f>
        <v/>
      </c>
      <c r="I175" s="149"/>
      <c r="J175" s="149"/>
      <c r="K175" s="169"/>
      <c r="L175" s="169"/>
      <c r="M175" s="149"/>
      <c r="N175" s="149"/>
      <c r="O175" s="149"/>
      <c r="P175" s="150"/>
      <c r="Q175" s="150"/>
      <c r="R175" s="151"/>
      <c r="S175" s="152"/>
      <c r="T175" s="152"/>
      <c r="U175" s="150"/>
      <c r="V175" s="152"/>
      <c r="W175" s="152"/>
      <c r="X175" s="246"/>
      <c r="Y175" s="246"/>
      <c r="Z175"/>
      <c r="AA175"/>
      <c r="AB175"/>
      <c r="AC175"/>
      <c r="AD175"/>
      <c r="AE175"/>
      <c r="AF175"/>
      <c r="AG175"/>
      <c r="AH175"/>
      <c r="AI175"/>
      <c r="AJ175"/>
    </row>
    <row r="176" spans="1:36">
      <c r="A176" t="str" cm="1">
        <f t="array" ref="A17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IFERROR(INDEX(_xlpm.sorted,ROWS(A$2:A176)),"")
)</f>
        <v/>
      </c>
      <c r="B176" s="147" t="str" cm="1">
        <f t="array" ref="B176">_xlfn.LET(_xlpm.p,$A176,_xlfn.IFNA(
  INDEX(tblProjectInfo[InfoValue],
        MATCH(1,(tblProjectInfo[ProjectName]=_xlpm.p)*
                 (UPPER(TRIM(tblProjectInfo[Info]))="PROJECT SIZE (KWP)"),0)
), ""))</f>
        <v/>
      </c>
      <c r="C176" s="147" t="str" cm="1">
        <f t="array" ref="C176">_xlfn.LET(_xlpm.p,$A176,_xlfn.IFNA(
  INDEX(tblProjectInfo[InfoValue],
        MATCH(1,(tblProjectInfo[ProjectName]=_xlpm.p)*
                 (UPPER(TRIM(tblProjectInfo[Info]))="PROJECT DEVELOPER"),0)
), ""))</f>
        <v/>
      </c>
      <c r="D176" s="148" t="str" cm="1">
        <f t="array" ref="D176">_xlfn.LET(_xlpm.p,$A176,_xlfn.IFNA(
  INDEX(tblProjectInfo[InfoValue],
        MATCH(1,(tblProjectInfo[ProjectName]=_xlpm.p)*
                 (UPPER(TRIM(tblProjectInfo[Info]))="PROJECT MANAGERS"),0)
), ""))</f>
        <v/>
      </c>
      <c r="E176" s="147"/>
      <c r="F176" s="147"/>
      <c r="G176" s="147"/>
      <c r="H176" s="162" t="str" cm="1">
        <f t="array" ref="H176">_xlfn.LET(_xlpm.p,$A176,_xlfn.IFNA(
  INDEX(tblProjectInfo[InfoValue],
        MATCH(1,(tblProjectInfo[ProjectName]=_xlpm.p)*
                 ISNUMBER(SEARCH("PHASE",UPPER(tblProjectInfo[Info]))),0)
), ""))</f>
        <v/>
      </c>
      <c r="I176" s="149"/>
      <c r="J176" s="149"/>
      <c r="K176" s="169"/>
      <c r="L176" s="169"/>
      <c r="M176" s="149"/>
      <c r="N176" s="149"/>
      <c r="O176" s="149"/>
      <c r="P176" s="150"/>
      <c r="Q176" s="150"/>
      <c r="R176" s="151"/>
      <c r="S176" s="152"/>
      <c r="T176" s="152"/>
      <c r="U176" s="150"/>
      <c r="V176" s="152"/>
      <c r="W176" s="152"/>
      <c r="X176" s="246"/>
      <c r="Y176" s="246"/>
      <c r="Z176"/>
      <c r="AA176"/>
      <c r="AB176"/>
      <c r="AC176"/>
      <c r="AD176"/>
      <c r="AE176"/>
      <c r="AF176"/>
      <c r="AG176"/>
      <c r="AH176"/>
      <c r="AI176"/>
      <c r="AJ176"/>
    </row>
    <row r="177" spans="1:36">
      <c r="A177" t="str" cm="1">
        <f t="array" ref="A17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IFERROR(INDEX(_xlpm.sorted,ROWS(A$2:A177)),"")
)</f>
        <v/>
      </c>
      <c r="B177" s="147" t="str" cm="1">
        <f t="array" ref="B177">_xlfn.LET(_xlpm.p,$A177,_xlfn.IFNA(
  INDEX(tblProjectInfo[InfoValue],
        MATCH(1,(tblProjectInfo[ProjectName]=_xlpm.p)*
                 (UPPER(TRIM(tblProjectInfo[Info]))="PROJECT SIZE (KWP)"),0)
), ""))</f>
        <v/>
      </c>
      <c r="C177" s="147" t="str" cm="1">
        <f t="array" ref="C177">_xlfn.LET(_xlpm.p,$A177,_xlfn.IFNA(
  INDEX(tblProjectInfo[InfoValue],
        MATCH(1,(tblProjectInfo[ProjectName]=_xlpm.p)*
                 (UPPER(TRIM(tblProjectInfo[Info]))="PROJECT DEVELOPER"),0)
), ""))</f>
        <v/>
      </c>
      <c r="D177" s="148" t="str" cm="1">
        <f t="array" ref="D177">_xlfn.LET(_xlpm.p,$A177,_xlfn.IFNA(
  INDEX(tblProjectInfo[InfoValue],
        MATCH(1,(tblProjectInfo[ProjectName]=_xlpm.p)*
                 (UPPER(TRIM(tblProjectInfo[Info]))="PROJECT MANAGERS"),0)
), ""))</f>
        <v/>
      </c>
      <c r="E177" s="147"/>
      <c r="F177" s="147"/>
      <c r="G177" s="147"/>
      <c r="H177" s="162" t="str" cm="1">
        <f t="array" ref="H177">_xlfn.LET(_xlpm.p,$A177,_xlfn.IFNA(
  INDEX(tblProjectInfo[InfoValue],
        MATCH(1,(tblProjectInfo[ProjectName]=_xlpm.p)*
                 ISNUMBER(SEARCH("PHASE",UPPER(tblProjectInfo[Info]))),0)
), ""))</f>
        <v/>
      </c>
      <c r="I177" s="149"/>
      <c r="J177" s="149"/>
      <c r="K177" s="169"/>
      <c r="L177" s="169"/>
      <c r="M177" s="149"/>
      <c r="N177" s="149"/>
      <c r="O177" s="149"/>
      <c r="P177" s="150"/>
      <c r="Q177" s="150"/>
      <c r="R177" s="151"/>
      <c r="S177" s="152"/>
      <c r="T177" s="152"/>
      <c r="U177" s="150"/>
      <c r="V177" s="152"/>
      <c r="W177" s="152"/>
      <c r="X177" s="246"/>
      <c r="Y177" s="246"/>
      <c r="Z177"/>
      <c r="AA177"/>
      <c r="AB177"/>
      <c r="AC177"/>
      <c r="AD177"/>
      <c r="AE177"/>
      <c r="AF177"/>
      <c r="AG177"/>
      <c r="AH177"/>
      <c r="AI177"/>
      <c r="AJ177"/>
    </row>
    <row r="178" spans="1:36">
      <c r="A178" t="str" cm="1">
        <f t="array" ref="A17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IFERROR(INDEX(_xlpm.sorted,ROWS(A$2:A178)),"")
)</f>
        <v/>
      </c>
      <c r="B178" s="147" t="str" cm="1">
        <f t="array" ref="B178">_xlfn.LET(_xlpm.p,$A178,_xlfn.IFNA(
  INDEX(tblProjectInfo[InfoValue],
        MATCH(1,(tblProjectInfo[ProjectName]=_xlpm.p)*
                 (UPPER(TRIM(tblProjectInfo[Info]))="PROJECT SIZE (KWP)"),0)
), ""))</f>
        <v/>
      </c>
      <c r="C178" s="147" t="str" cm="1">
        <f t="array" ref="C178">_xlfn.LET(_xlpm.p,$A178,_xlfn.IFNA(
  INDEX(tblProjectInfo[InfoValue],
        MATCH(1,(tblProjectInfo[ProjectName]=_xlpm.p)*
                 (UPPER(TRIM(tblProjectInfo[Info]))="PROJECT DEVELOPER"),0)
), ""))</f>
        <v/>
      </c>
      <c r="D178" s="148" t="str" cm="1">
        <f t="array" ref="D178">_xlfn.LET(_xlpm.p,$A178,_xlfn.IFNA(
  INDEX(tblProjectInfo[InfoValue],
        MATCH(1,(tblProjectInfo[ProjectName]=_xlpm.p)*
                 (UPPER(TRIM(tblProjectInfo[Info]))="PROJECT MANAGERS"),0)
), ""))</f>
        <v/>
      </c>
      <c r="E178" s="147"/>
      <c r="F178" s="147"/>
      <c r="G178" s="147"/>
      <c r="H178" s="162" t="str" cm="1">
        <f t="array" ref="H178">_xlfn.LET(_xlpm.p,$A178,_xlfn.IFNA(
  INDEX(tblProjectInfo[InfoValue],
        MATCH(1,(tblProjectInfo[ProjectName]=_xlpm.p)*
                 ISNUMBER(SEARCH("PHASE",UPPER(tblProjectInfo[Info]))),0)
), ""))</f>
        <v/>
      </c>
      <c r="I178" s="149"/>
      <c r="J178" s="149"/>
      <c r="K178" s="169"/>
      <c r="L178" s="169"/>
      <c r="M178" s="149"/>
      <c r="N178" s="149"/>
      <c r="O178" s="149"/>
      <c r="P178" s="150"/>
      <c r="Q178" s="150"/>
      <c r="R178" s="151"/>
      <c r="S178" s="152"/>
      <c r="T178" s="152"/>
      <c r="U178" s="150"/>
      <c r="V178" s="152"/>
      <c r="W178" s="152"/>
      <c r="X178" s="246"/>
      <c r="Y178" s="246"/>
      <c r="Z178"/>
      <c r="AA178"/>
      <c r="AB178"/>
      <c r="AC178"/>
      <c r="AD178"/>
      <c r="AE178"/>
      <c r="AF178"/>
      <c r="AG178"/>
      <c r="AH178"/>
      <c r="AI178"/>
      <c r="AJ178"/>
    </row>
    <row r="179" spans="1:36">
      <c r="A179" t="str" cm="1">
        <f t="array" ref="A17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IFERROR(INDEX(_xlpm.sorted,ROWS(A$2:A179)),"")
)</f>
        <v/>
      </c>
      <c r="B179" s="147" t="str" cm="1">
        <f t="array" ref="B179">_xlfn.LET(_xlpm.p,$A179,_xlfn.IFNA(
  INDEX(tblProjectInfo[InfoValue],
        MATCH(1,(tblProjectInfo[ProjectName]=_xlpm.p)*
                 (UPPER(TRIM(tblProjectInfo[Info]))="PROJECT SIZE (KWP)"),0)
), ""))</f>
        <v/>
      </c>
      <c r="C179" s="147" t="str" cm="1">
        <f t="array" ref="C179">_xlfn.LET(_xlpm.p,$A179,_xlfn.IFNA(
  INDEX(tblProjectInfo[InfoValue],
        MATCH(1,(tblProjectInfo[ProjectName]=_xlpm.p)*
                 (UPPER(TRIM(tblProjectInfo[Info]))="PROJECT DEVELOPER"),0)
), ""))</f>
        <v/>
      </c>
      <c r="D179" s="148" t="str" cm="1">
        <f t="array" ref="D179">_xlfn.LET(_xlpm.p,$A179,_xlfn.IFNA(
  INDEX(tblProjectInfo[InfoValue],
        MATCH(1,(tblProjectInfo[ProjectName]=_xlpm.p)*
                 (UPPER(TRIM(tblProjectInfo[Info]))="PROJECT MANAGERS"),0)
), ""))</f>
        <v/>
      </c>
      <c r="E179" s="147"/>
      <c r="F179" s="147"/>
      <c r="G179" s="147"/>
      <c r="H179" s="162" t="str" cm="1">
        <f t="array" ref="H179">_xlfn.LET(_xlpm.p,$A179,_xlfn.IFNA(
  INDEX(tblProjectInfo[InfoValue],
        MATCH(1,(tblProjectInfo[ProjectName]=_xlpm.p)*
                 ISNUMBER(SEARCH("PHASE",UPPER(tblProjectInfo[Info]))),0)
), ""))</f>
        <v/>
      </c>
      <c r="I179" s="149"/>
      <c r="J179" s="149"/>
      <c r="K179" s="169"/>
      <c r="L179" s="169"/>
      <c r="M179" s="149"/>
      <c r="N179" s="149"/>
      <c r="O179" s="149"/>
      <c r="P179" s="150"/>
      <c r="Q179" s="150"/>
      <c r="R179" s="151"/>
      <c r="S179" s="152"/>
      <c r="T179" s="152"/>
      <c r="U179" s="150"/>
      <c r="V179" s="152"/>
      <c r="W179" s="152"/>
      <c r="X179" s="246"/>
      <c r="Y179" s="246"/>
      <c r="Z179"/>
      <c r="AA179"/>
      <c r="AB179"/>
      <c r="AC179"/>
      <c r="AD179"/>
      <c r="AE179"/>
      <c r="AF179"/>
      <c r="AG179"/>
      <c r="AH179"/>
      <c r="AI179"/>
      <c r="AJ179"/>
    </row>
    <row r="180" spans="1:36">
      <c r="A180" t="str" cm="1">
        <f t="array" ref="A18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IFERROR(INDEX(_xlpm.sorted,ROWS(A$2:A180)),"")
)</f>
        <v/>
      </c>
      <c r="B180" s="147" t="str" cm="1">
        <f t="array" ref="B180">_xlfn.LET(_xlpm.p,$A180,_xlfn.IFNA(
  INDEX(tblProjectInfo[InfoValue],
        MATCH(1,(tblProjectInfo[ProjectName]=_xlpm.p)*
                 (UPPER(TRIM(tblProjectInfo[Info]))="PROJECT SIZE (KWP)"),0)
), ""))</f>
        <v/>
      </c>
      <c r="C180" s="147" t="str" cm="1">
        <f t="array" ref="C180">_xlfn.LET(_xlpm.p,$A180,_xlfn.IFNA(
  INDEX(tblProjectInfo[InfoValue],
        MATCH(1,(tblProjectInfo[ProjectName]=_xlpm.p)*
                 (UPPER(TRIM(tblProjectInfo[Info]))="PROJECT DEVELOPER"),0)
), ""))</f>
        <v/>
      </c>
      <c r="D180" s="148" t="str" cm="1">
        <f t="array" ref="D180">_xlfn.LET(_xlpm.p,$A180,_xlfn.IFNA(
  INDEX(tblProjectInfo[InfoValue],
        MATCH(1,(tblProjectInfo[ProjectName]=_xlpm.p)*
                 (UPPER(TRIM(tblProjectInfo[Info]))="PROJECT MANAGERS"),0)
), ""))</f>
        <v/>
      </c>
      <c r="E180" s="147"/>
      <c r="F180" s="147"/>
      <c r="G180" s="147"/>
      <c r="H180" s="162" t="str" cm="1">
        <f t="array" ref="H180">_xlfn.LET(_xlpm.p,$A180,_xlfn.IFNA(
  INDEX(tblProjectInfo[InfoValue],
        MATCH(1,(tblProjectInfo[ProjectName]=_xlpm.p)*
                 ISNUMBER(SEARCH("PHASE",UPPER(tblProjectInfo[Info]))),0)
), ""))</f>
        <v/>
      </c>
      <c r="I180" s="149"/>
      <c r="J180" s="149"/>
      <c r="K180" s="169"/>
      <c r="L180" s="169"/>
      <c r="M180" s="149"/>
      <c r="N180" s="149"/>
      <c r="O180" s="149"/>
      <c r="P180" s="150"/>
      <c r="Q180" s="150"/>
      <c r="R180" s="151"/>
      <c r="S180" s="152"/>
      <c r="T180" s="152"/>
      <c r="U180" s="150"/>
      <c r="V180" s="152"/>
      <c r="W180" s="152"/>
      <c r="X180" s="246"/>
      <c r="Y180" s="246"/>
      <c r="Z180"/>
      <c r="AA180"/>
      <c r="AB180"/>
      <c r="AC180"/>
      <c r="AD180"/>
      <c r="AE180"/>
      <c r="AF180"/>
      <c r="AG180"/>
      <c r="AH180"/>
      <c r="AI180"/>
      <c r="AJ180"/>
    </row>
    <row r="181" spans="1:36">
      <c r="A181" t="str" cm="1">
        <f t="array" ref="A18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IFERROR(INDEX(_xlpm.sorted,ROWS(A$2:A181)),"")
)</f>
        <v/>
      </c>
      <c r="B181" s="147" t="str" cm="1">
        <f t="array" ref="B181">_xlfn.LET(_xlpm.p,$A181,_xlfn.IFNA(
  INDEX(tblProjectInfo[InfoValue],
        MATCH(1,(tblProjectInfo[ProjectName]=_xlpm.p)*
                 (UPPER(TRIM(tblProjectInfo[Info]))="PROJECT SIZE (KWP)"),0)
), ""))</f>
        <v/>
      </c>
      <c r="C181" s="147" t="str" cm="1">
        <f t="array" ref="C181">_xlfn.LET(_xlpm.p,$A181,_xlfn.IFNA(
  INDEX(tblProjectInfo[InfoValue],
        MATCH(1,(tblProjectInfo[ProjectName]=_xlpm.p)*
                 (UPPER(TRIM(tblProjectInfo[Info]))="PROJECT DEVELOPER"),0)
), ""))</f>
        <v/>
      </c>
      <c r="D181" s="148" t="str" cm="1">
        <f t="array" ref="D181">_xlfn.LET(_xlpm.p,$A181,_xlfn.IFNA(
  INDEX(tblProjectInfo[InfoValue],
        MATCH(1,(tblProjectInfo[ProjectName]=_xlpm.p)*
                 (UPPER(TRIM(tblProjectInfo[Info]))="PROJECT MANAGERS"),0)
), ""))</f>
        <v/>
      </c>
      <c r="E181" s="147"/>
      <c r="F181" s="147"/>
      <c r="G181" s="147"/>
      <c r="H181" s="162" t="str" cm="1">
        <f t="array" ref="H181">_xlfn.LET(_xlpm.p,$A181,_xlfn.IFNA(
  INDEX(tblProjectInfo[InfoValue],
        MATCH(1,(tblProjectInfo[ProjectName]=_xlpm.p)*
                 ISNUMBER(SEARCH("PHASE",UPPER(tblProjectInfo[Info]))),0)
), ""))</f>
        <v/>
      </c>
      <c r="I181" s="149"/>
      <c r="J181" s="149"/>
      <c r="K181" s="169"/>
      <c r="L181" s="169"/>
      <c r="M181" s="149"/>
      <c r="N181" s="149"/>
      <c r="O181" s="149"/>
      <c r="P181" s="150"/>
      <c r="Q181" s="150"/>
      <c r="R181" s="151"/>
      <c r="S181" s="152"/>
      <c r="T181" s="152"/>
      <c r="U181" s="150"/>
      <c r="V181" s="152"/>
      <c r="W181" s="152"/>
      <c r="X181" s="246"/>
      <c r="Y181" s="246"/>
      <c r="Z181"/>
      <c r="AA181"/>
      <c r="AB181"/>
      <c r="AC181"/>
    </row>
    <row r="182" spans="1:36">
      <c r="A182" t="str" cm="1">
        <f t="array" ref="A18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IFERROR(INDEX(_xlpm.sorted,ROWS(A$2:A182)),"")
)</f>
        <v/>
      </c>
      <c r="B182" s="147" t="str" cm="1">
        <f t="array" ref="B182">_xlfn.LET(_xlpm.p,$A182,_xlfn.IFNA(
  INDEX(tblProjectInfo[InfoValue],
        MATCH(1,(tblProjectInfo[ProjectName]=_xlpm.p)*
                 (UPPER(TRIM(tblProjectInfo[Info]))="PROJECT SIZE (KWP)"),0)
), ""))</f>
        <v/>
      </c>
      <c r="C182" s="147" t="str" cm="1">
        <f t="array" ref="C182">_xlfn.LET(_xlpm.p,$A182,_xlfn.IFNA(
  INDEX(tblProjectInfo[InfoValue],
        MATCH(1,(tblProjectInfo[ProjectName]=_xlpm.p)*
                 (UPPER(TRIM(tblProjectInfo[Info]))="PROJECT DEVELOPER"),0)
), ""))</f>
        <v/>
      </c>
      <c r="D182" s="148" t="str" cm="1">
        <f t="array" ref="D182">_xlfn.LET(_xlpm.p,$A182,_xlfn.IFNA(
  INDEX(tblProjectInfo[InfoValue],
        MATCH(1,(tblProjectInfo[ProjectName]=_xlpm.p)*
                 (UPPER(TRIM(tblProjectInfo[Info]))="PROJECT MANAGERS"),0)
), ""))</f>
        <v/>
      </c>
      <c r="E182" s="147"/>
      <c r="F182" s="147"/>
      <c r="G182" s="147"/>
      <c r="H182" s="162" t="str" cm="1">
        <f t="array" ref="H182">_xlfn.LET(_xlpm.p,$A182,_xlfn.IFNA(
  INDEX(tblProjectInfo[InfoValue],
        MATCH(1,(tblProjectInfo[ProjectName]=_xlpm.p)*
                 ISNUMBER(SEARCH("PHASE",UPPER(tblProjectInfo[Info]))),0)
), ""))</f>
        <v/>
      </c>
      <c r="I182" s="149"/>
      <c r="J182" s="149"/>
      <c r="K182" s="169"/>
      <c r="L182" s="169"/>
      <c r="M182" s="149"/>
      <c r="N182" s="149"/>
      <c r="O182" s="149"/>
      <c r="P182" s="150"/>
      <c r="Q182" s="150"/>
      <c r="R182" s="151"/>
      <c r="S182" s="152"/>
      <c r="T182" s="152"/>
      <c r="U182" s="150"/>
      <c r="V182" s="152"/>
      <c r="W182" s="152"/>
      <c r="X182" s="246"/>
      <c r="Y182" s="246"/>
      <c r="Z182"/>
      <c r="AA182"/>
      <c r="AB182"/>
      <c r="AC182"/>
    </row>
    <row r="183" spans="1:36">
      <c r="A183" t="str" cm="1">
        <f t="array" ref="A18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IFERROR(INDEX(_xlpm.sorted,ROWS(A$2:A183)),"")
)</f>
        <v/>
      </c>
      <c r="B183" s="147" t="str" cm="1">
        <f t="array" ref="B183">_xlfn.LET(_xlpm.p,$A183,_xlfn.IFNA(
  INDEX(tblProjectInfo[InfoValue],
        MATCH(1,(tblProjectInfo[ProjectName]=_xlpm.p)*
                 (UPPER(TRIM(tblProjectInfo[Info]))="PROJECT SIZE (KWP)"),0)
), ""))</f>
        <v/>
      </c>
      <c r="C183" s="147" t="str" cm="1">
        <f t="array" ref="C183">_xlfn.LET(_xlpm.p,$A183,_xlfn.IFNA(
  INDEX(tblProjectInfo[InfoValue],
        MATCH(1,(tblProjectInfo[ProjectName]=_xlpm.p)*
                 (UPPER(TRIM(tblProjectInfo[Info]))="PROJECT DEVELOPER"),0)
), ""))</f>
        <v/>
      </c>
      <c r="D183" s="148" t="str" cm="1">
        <f t="array" ref="D183">_xlfn.LET(_xlpm.p,$A183,_xlfn.IFNA(
  INDEX(tblProjectInfo[InfoValue],
        MATCH(1,(tblProjectInfo[ProjectName]=_xlpm.p)*
                 (UPPER(TRIM(tblProjectInfo[Info]))="PROJECT MANAGERS"),0)
), ""))</f>
        <v/>
      </c>
      <c r="E183" s="147"/>
      <c r="F183" s="147"/>
      <c r="G183" s="147"/>
      <c r="H183" s="162" t="str" cm="1">
        <f t="array" ref="H183">_xlfn.LET(_xlpm.p,$A183,_xlfn.IFNA(
  INDEX(tblProjectInfo[InfoValue],
        MATCH(1,(tblProjectInfo[ProjectName]=_xlpm.p)*
                 ISNUMBER(SEARCH("PHASE",UPPER(tblProjectInfo[Info]))),0)
), ""))</f>
        <v/>
      </c>
      <c r="I183" s="149"/>
      <c r="J183" s="149"/>
      <c r="K183" s="169"/>
      <c r="L183" s="169"/>
      <c r="M183" s="149"/>
      <c r="N183" s="149"/>
      <c r="O183" s="149"/>
      <c r="P183" s="150"/>
      <c r="Q183" s="150"/>
      <c r="R183" s="151"/>
      <c r="S183" s="152"/>
      <c r="T183" s="152"/>
      <c r="U183" s="150"/>
      <c r="V183" s="152"/>
      <c r="W183" s="152"/>
      <c r="X183" s="246"/>
      <c r="Y183" s="246"/>
      <c r="Z183"/>
      <c r="AA183"/>
      <c r="AB183"/>
      <c r="AC183"/>
    </row>
    <row r="184" spans="1:36">
      <c r="A184" t="str" cm="1">
        <f t="array" ref="A18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IFERROR(INDEX(_xlpm.sorted,ROWS(A$2:A184)),"")
)</f>
        <v/>
      </c>
      <c r="B184" s="147" t="str" cm="1">
        <f t="array" ref="B184">_xlfn.LET(_xlpm.p,$A184,_xlfn.IFNA(
  INDEX(tblProjectInfo[InfoValue],
        MATCH(1,(tblProjectInfo[ProjectName]=_xlpm.p)*
                 (UPPER(TRIM(tblProjectInfo[Info]))="PROJECT SIZE (KWP)"),0)
), ""))</f>
        <v/>
      </c>
      <c r="C184" s="147" t="str" cm="1">
        <f t="array" ref="C184">_xlfn.LET(_xlpm.p,$A184,_xlfn.IFNA(
  INDEX(tblProjectInfo[InfoValue],
        MATCH(1,(tblProjectInfo[ProjectName]=_xlpm.p)*
                 (UPPER(TRIM(tblProjectInfo[Info]))="PROJECT DEVELOPER"),0)
), ""))</f>
        <v/>
      </c>
      <c r="D184" s="148" t="str" cm="1">
        <f t="array" ref="D184">_xlfn.LET(_xlpm.p,$A184,_xlfn.IFNA(
  INDEX(tblProjectInfo[InfoValue],
        MATCH(1,(tblProjectInfo[ProjectName]=_xlpm.p)*
                 (UPPER(TRIM(tblProjectInfo[Info]))="PROJECT MANAGERS"),0)
), ""))</f>
        <v/>
      </c>
      <c r="E184" s="147"/>
      <c r="F184" s="147"/>
      <c r="G184" s="147"/>
      <c r="H184" s="162" t="str" cm="1">
        <f t="array" ref="H184">_xlfn.LET(_xlpm.p,$A184,_xlfn.IFNA(
  INDEX(tblProjectInfo[InfoValue],
        MATCH(1,(tblProjectInfo[ProjectName]=_xlpm.p)*
                 ISNUMBER(SEARCH("PHASE",UPPER(tblProjectInfo[Info]))),0)
), ""))</f>
        <v/>
      </c>
      <c r="I184" s="149"/>
      <c r="J184" s="149"/>
      <c r="K184" s="169"/>
      <c r="L184" s="169"/>
      <c r="M184" s="149"/>
      <c r="N184" s="149"/>
      <c r="O184" s="149"/>
      <c r="P184" s="150"/>
      <c r="Q184" s="150"/>
      <c r="R184" s="151"/>
      <c r="S184" s="152"/>
      <c r="T184" s="152"/>
      <c r="U184" s="150"/>
      <c r="V184" s="152"/>
      <c r="W184" s="152"/>
      <c r="X184" s="246"/>
      <c r="Y184" s="246"/>
      <c r="Z184"/>
      <c r="AA184"/>
      <c r="AB184"/>
      <c r="AC184"/>
    </row>
    <row r="185" spans="1:36">
      <c r="A185" t="str" cm="1">
        <f t="array" ref="A18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IFERROR(INDEX(_xlpm.sorted,ROWS(A$2:A185)),"")
)</f>
        <v/>
      </c>
      <c r="B185" s="147" t="str" cm="1">
        <f t="array" ref="B185">_xlfn.LET(_xlpm.p,$A185,_xlfn.IFNA(
  INDEX(tblProjectInfo[InfoValue],
        MATCH(1,(tblProjectInfo[ProjectName]=_xlpm.p)*
                 (UPPER(TRIM(tblProjectInfo[Info]))="PROJECT SIZE (KWP)"),0)
), ""))</f>
        <v/>
      </c>
      <c r="C185" s="147" t="str" cm="1">
        <f t="array" ref="C185">_xlfn.LET(_xlpm.p,$A185,_xlfn.IFNA(
  INDEX(tblProjectInfo[InfoValue],
        MATCH(1,(tblProjectInfo[ProjectName]=_xlpm.p)*
                 (UPPER(TRIM(tblProjectInfo[Info]))="PROJECT DEVELOPER"),0)
), ""))</f>
        <v/>
      </c>
      <c r="D185" s="148" t="str" cm="1">
        <f t="array" ref="D185">_xlfn.LET(_xlpm.p,$A185,_xlfn.IFNA(
  INDEX(tblProjectInfo[InfoValue],
        MATCH(1,(tblProjectInfo[ProjectName]=_xlpm.p)*
                 (UPPER(TRIM(tblProjectInfo[Info]))="PROJECT MANAGERS"),0)
), ""))</f>
        <v/>
      </c>
      <c r="E185" s="147"/>
      <c r="F185" s="147"/>
      <c r="G185" s="147"/>
      <c r="H185" s="162" t="str" cm="1">
        <f t="array" ref="H185">_xlfn.LET(_xlpm.p,$A185,_xlfn.IFNA(
  INDEX(tblProjectInfo[InfoValue],
        MATCH(1,(tblProjectInfo[ProjectName]=_xlpm.p)*
                 ISNUMBER(SEARCH("PHASE",UPPER(tblProjectInfo[Info]))),0)
), ""))</f>
        <v/>
      </c>
      <c r="I185" s="149"/>
      <c r="J185" s="149"/>
      <c r="K185" s="169"/>
      <c r="L185" s="169"/>
      <c r="M185" s="149"/>
      <c r="N185" s="149"/>
      <c r="O185" s="149"/>
      <c r="P185" s="150"/>
      <c r="Q185" s="150"/>
      <c r="R185" s="151"/>
      <c r="S185" s="152"/>
      <c r="T185" s="152"/>
      <c r="U185" s="150"/>
      <c r="V185" s="152"/>
      <c r="W185" s="152"/>
      <c r="X185" s="246"/>
      <c r="Y185" s="246"/>
      <c r="Z185"/>
      <c r="AA185"/>
      <c r="AB185"/>
      <c r="AC185"/>
    </row>
    <row r="186" spans="1:36">
      <c r="A186" t="str" cm="1">
        <f t="array" ref="A18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IFERROR(INDEX(_xlpm.sorted,ROWS(A$2:A186)),"")
)</f>
        <v/>
      </c>
      <c r="B186" s="147" t="str" cm="1">
        <f t="array" ref="B186">_xlfn.LET(_xlpm.p,$A186,_xlfn.IFNA(
  INDEX(tblProjectInfo[InfoValue],
        MATCH(1,(tblProjectInfo[ProjectName]=_xlpm.p)*
                 (UPPER(TRIM(tblProjectInfo[Info]))="PROJECT SIZE (KWP)"),0)
), ""))</f>
        <v/>
      </c>
      <c r="C186" s="147" t="str" cm="1">
        <f t="array" ref="C186">_xlfn.LET(_xlpm.p,$A186,_xlfn.IFNA(
  INDEX(tblProjectInfo[InfoValue],
        MATCH(1,(tblProjectInfo[ProjectName]=_xlpm.p)*
                 (UPPER(TRIM(tblProjectInfo[Info]))="PROJECT DEVELOPER"),0)
), ""))</f>
        <v/>
      </c>
      <c r="D186" s="148" t="str" cm="1">
        <f t="array" ref="D186">_xlfn.LET(_xlpm.p,$A186,_xlfn.IFNA(
  INDEX(tblProjectInfo[InfoValue],
        MATCH(1,(tblProjectInfo[ProjectName]=_xlpm.p)*
                 (UPPER(TRIM(tblProjectInfo[Info]))="PROJECT MANAGERS"),0)
), ""))</f>
        <v/>
      </c>
      <c r="E186" s="147"/>
      <c r="F186" s="147"/>
      <c r="G186" s="147"/>
      <c r="H186" s="162" t="str" cm="1">
        <f t="array" ref="H186">_xlfn.LET(_xlpm.p,$A186,_xlfn.IFNA(
  INDEX(tblProjectInfo[InfoValue],
        MATCH(1,(tblProjectInfo[ProjectName]=_xlpm.p)*
                 ISNUMBER(SEARCH("PHASE",UPPER(tblProjectInfo[Info]))),0)
), ""))</f>
        <v/>
      </c>
      <c r="I186" s="149"/>
      <c r="J186" s="149"/>
      <c r="K186" s="169"/>
      <c r="L186" s="169"/>
      <c r="M186" s="149"/>
      <c r="N186" s="149"/>
      <c r="O186" s="149"/>
      <c r="P186" s="150"/>
      <c r="Q186" s="150"/>
      <c r="R186" s="151"/>
      <c r="S186" s="152"/>
      <c r="T186" s="152"/>
      <c r="U186" s="150"/>
      <c r="V186" s="152"/>
      <c r="W186" s="152"/>
      <c r="X186" s="246"/>
      <c r="Y186" s="246"/>
      <c r="Z186"/>
      <c r="AA186"/>
      <c r="AB186"/>
      <c r="AC186"/>
    </row>
    <row r="187" spans="1:36">
      <c r="A187" t="str" cm="1">
        <f t="array" ref="A18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IFERROR(INDEX(_xlpm.sorted,ROWS(A$2:A187)),"")
)</f>
        <v/>
      </c>
      <c r="B187" s="147" t="str" cm="1">
        <f t="array" ref="B187">_xlfn.LET(_xlpm.p,$A187,_xlfn.IFNA(
  INDEX(tblProjectInfo[InfoValue],
        MATCH(1,(tblProjectInfo[ProjectName]=_xlpm.p)*
                 (UPPER(TRIM(tblProjectInfo[Info]))="PROJECT SIZE (KWP)"),0)
), ""))</f>
        <v/>
      </c>
      <c r="C187" s="147" t="str" cm="1">
        <f t="array" ref="C187">_xlfn.LET(_xlpm.p,$A187,_xlfn.IFNA(
  INDEX(tblProjectInfo[InfoValue],
        MATCH(1,(tblProjectInfo[ProjectName]=_xlpm.p)*
                 (UPPER(TRIM(tblProjectInfo[Info]))="PROJECT DEVELOPER"),0)
), ""))</f>
        <v/>
      </c>
      <c r="D187" s="148" t="str" cm="1">
        <f t="array" ref="D187">_xlfn.LET(_xlpm.p,$A187,_xlfn.IFNA(
  INDEX(tblProjectInfo[InfoValue],
        MATCH(1,(tblProjectInfo[ProjectName]=_xlpm.p)*
                 (UPPER(TRIM(tblProjectInfo[Info]))="PROJECT MANAGERS"),0)
), ""))</f>
        <v/>
      </c>
      <c r="E187" s="147"/>
      <c r="F187" s="147"/>
      <c r="G187" s="147"/>
      <c r="H187" s="162" t="str" cm="1">
        <f t="array" ref="H187">_xlfn.LET(_xlpm.p,$A187,_xlfn.IFNA(
  INDEX(tblProjectInfo[InfoValue],
        MATCH(1,(tblProjectInfo[ProjectName]=_xlpm.p)*
                 ISNUMBER(SEARCH("PHASE",UPPER(tblProjectInfo[Info]))),0)
), ""))</f>
        <v/>
      </c>
      <c r="I187" s="149"/>
      <c r="J187" s="149"/>
      <c r="K187" s="169"/>
      <c r="L187" s="169"/>
      <c r="M187" s="149"/>
      <c r="N187" s="149"/>
      <c r="O187" s="149"/>
      <c r="P187" s="150"/>
      <c r="Q187" s="150"/>
      <c r="R187" s="151"/>
      <c r="S187" s="152"/>
      <c r="T187" s="152"/>
      <c r="U187" s="150"/>
      <c r="V187" s="152"/>
      <c r="W187" s="152"/>
      <c r="X187" s="246"/>
      <c r="Y187" s="246"/>
      <c r="Z187"/>
      <c r="AA187"/>
      <c r="AB187"/>
      <c r="AC187"/>
    </row>
    <row r="188" spans="1:36">
      <c r="A188" t="str" cm="1">
        <f t="array" ref="A18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IFERROR(INDEX(_xlpm.sorted,ROWS(A$2:A188)),"")
)</f>
        <v/>
      </c>
      <c r="B188" s="147" t="str" cm="1">
        <f t="array" ref="B188">_xlfn.LET(_xlpm.p,$A188,_xlfn.IFNA(
  INDEX(tblProjectInfo[InfoValue],
        MATCH(1,(tblProjectInfo[ProjectName]=_xlpm.p)*
                 (UPPER(TRIM(tblProjectInfo[Info]))="PROJECT SIZE (KWP)"),0)
), ""))</f>
        <v/>
      </c>
      <c r="C188" s="147" t="str" cm="1">
        <f t="array" ref="C188">_xlfn.LET(_xlpm.p,$A188,_xlfn.IFNA(
  INDEX(tblProjectInfo[InfoValue],
        MATCH(1,(tblProjectInfo[ProjectName]=_xlpm.p)*
                 (UPPER(TRIM(tblProjectInfo[Info]))="PROJECT DEVELOPER"),0)
), ""))</f>
        <v/>
      </c>
      <c r="D188" s="148" t="str" cm="1">
        <f t="array" ref="D188">_xlfn.LET(_xlpm.p,$A188,_xlfn.IFNA(
  INDEX(tblProjectInfo[InfoValue],
        MATCH(1,(tblProjectInfo[ProjectName]=_xlpm.p)*
                 (UPPER(TRIM(tblProjectInfo[Info]))="PROJECT MANAGERS"),0)
), ""))</f>
        <v/>
      </c>
      <c r="E188" s="147"/>
      <c r="F188" s="147"/>
      <c r="G188" s="147"/>
      <c r="H188" s="162" t="str" cm="1">
        <f t="array" ref="H188">_xlfn.LET(_xlpm.p,$A188,_xlfn.IFNA(
  INDEX(tblProjectInfo[InfoValue],
        MATCH(1,(tblProjectInfo[ProjectName]=_xlpm.p)*
                 ISNUMBER(SEARCH("PHASE",UPPER(tblProjectInfo[Info]))),0)
), ""))</f>
        <v/>
      </c>
      <c r="I188" s="149"/>
      <c r="J188" s="149"/>
      <c r="K188" s="169"/>
      <c r="L188" s="169"/>
      <c r="M188" s="149"/>
      <c r="N188" s="149"/>
      <c r="O188" s="149"/>
      <c r="P188" s="150"/>
      <c r="Q188" s="150"/>
      <c r="R188" s="151"/>
      <c r="S188" s="152"/>
      <c r="T188" s="152"/>
      <c r="U188" s="150"/>
      <c r="V188" s="152"/>
      <c r="W188" s="152"/>
      <c r="X188" s="246"/>
      <c r="Y188" s="246"/>
      <c r="Z188"/>
      <c r="AA188"/>
      <c r="AB188"/>
      <c r="AC188"/>
    </row>
    <row r="189" spans="1:36">
      <c r="A189" t="str" cm="1">
        <f t="array" ref="A18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IFERROR(INDEX(_xlpm.sorted,ROWS(A$2:A189)),"")
)</f>
        <v/>
      </c>
      <c r="B189" s="147" t="str" cm="1">
        <f t="array" ref="B189">_xlfn.LET(_xlpm.p,$A189,_xlfn.IFNA(
  INDEX(tblProjectInfo[InfoValue],
        MATCH(1,(tblProjectInfo[ProjectName]=_xlpm.p)*
                 (UPPER(TRIM(tblProjectInfo[Info]))="PROJECT SIZE (KWP)"),0)
), ""))</f>
        <v/>
      </c>
      <c r="C189" s="147" t="str" cm="1">
        <f t="array" ref="C189">_xlfn.LET(_xlpm.p,$A189,_xlfn.IFNA(
  INDEX(tblProjectInfo[InfoValue],
        MATCH(1,(tblProjectInfo[ProjectName]=_xlpm.p)*
                 (UPPER(TRIM(tblProjectInfo[Info]))="PROJECT DEVELOPER"),0)
), ""))</f>
        <v/>
      </c>
      <c r="D189" s="148" t="str" cm="1">
        <f t="array" ref="D189">_xlfn.LET(_xlpm.p,$A189,_xlfn.IFNA(
  INDEX(tblProjectInfo[InfoValue],
        MATCH(1,(tblProjectInfo[ProjectName]=_xlpm.p)*
                 (UPPER(TRIM(tblProjectInfo[Info]))="PROJECT MANAGERS"),0)
), ""))</f>
        <v/>
      </c>
      <c r="E189" s="147"/>
      <c r="F189" s="147"/>
      <c r="G189" s="147"/>
      <c r="H189" s="162" t="str" cm="1">
        <f t="array" ref="H189">_xlfn.LET(_xlpm.p,$A189,_xlfn.IFNA(
  INDEX(tblProjectInfo[InfoValue],
        MATCH(1,(tblProjectInfo[ProjectName]=_xlpm.p)*
                 ISNUMBER(SEARCH("PHASE",UPPER(tblProjectInfo[Info]))),0)
), ""))</f>
        <v/>
      </c>
      <c r="I189" s="149"/>
      <c r="J189" s="149"/>
      <c r="K189" s="169"/>
      <c r="L189" s="169"/>
      <c r="M189" s="149"/>
      <c r="N189" s="149"/>
      <c r="O189" s="149"/>
      <c r="P189" s="150"/>
      <c r="Q189" s="150"/>
      <c r="R189" s="151"/>
      <c r="S189" s="152"/>
      <c r="T189" s="152"/>
      <c r="U189" s="150"/>
      <c r="V189" s="152"/>
      <c r="W189" s="152"/>
      <c r="X189" s="246"/>
      <c r="Y189" s="246"/>
      <c r="Z189"/>
      <c r="AA189"/>
      <c r="AB189"/>
      <c r="AC189"/>
    </row>
    <row r="190" spans="1:36">
      <c r="A190" t="str" cm="1">
        <f t="array" ref="A19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IFERROR(INDEX(_xlpm.sorted,ROWS(A$2:A190)),"")
)</f>
        <v/>
      </c>
      <c r="B190" s="147" t="str" cm="1">
        <f t="array" ref="B190">_xlfn.LET(_xlpm.p,$A190,_xlfn.IFNA(
  INDEX(tblProjectInfo[InfoValue],
        MATCH(1,(tblProjectInfo[ProjectName]=_xlpm.p)*
                 (UPPER(TRIM(tblProjectInfo[Info]))="PROJECT SIZE (KWP)"),0)
), ""))</f>
        <v/>
      </c>
      <c r="C190" s="147" t="str" cm="1">
        <f t="array" ref="C190">_xlfn.LET(_xlpm.p,$A190,_xlfn.IFNA(
  INDEX(tblProjectInfo[InfoValue],
        MATCH(1,(tblProjectInfo[ProjectName]=_xlpm.p)*
                 (UPPER(TRIM(tblProjectInfo[Info]))="PROJECT DEVELOPER"),0)
), ""))</f>
        <v/>
      </c>
      <c r="D190" s="148" t="str" cm="1">
        <f t="array" ref="D190">_xlfn.LET(_xlpm.p,$A190,_xlfn.IFNA(
  INDEX(tblProjectInfo[InfoValue],
        MATCH(1,(tblProjectInfo[ProjectName]=_xlpm.p)*
                 (UPPER(TRIM(tblProjectInfo[Info]))="PROJECT MANAGERS"),0)
), ""))</f>
        <v/>
      </c>
      <c r="E190" s="147"/>
      <c r="F190" s="147"/>
      <c r="G190" s="147"/>
      <c r="H190" s="162" t="str" cm="1">
        <f t="array" ref="H190">_xlfn.LET(_xlpm.p,$A190,_xlfn.IFNA(
  INDEX(tblProjectInfo[InfoValue],
        MATCH(1,(tblProjectInfo[ProjectName]=_xlpm.p)*
                 ISNUMBER(SEARCH("PHASE",UPPER(tblProjectInfo[Info]))),0)
), ""))</f>
        <v/>
      </c>
      <c r="I190" s="149"/>
      <c r="J190" s="149"/>
      <c r="K190" s="169"/>
      <c r="L190" s="169"/>
      <c r="M190" s="149"/>
      <c r="N190" s="149"/>
      <c r="O190" s="149"/>
      <c r="P190" s="150"/>
      <c r="Q190" s="150"/>
      <c r="R190" s="151"/>
      <c r="S190" s="152"/>
      <c r="T190" s="152"/>
      <c r="U190" s="150"/>
      <c r="V190" s="152"/>
      <c r="W190" s="152"/>
      <c r="X190" s="246"/>
      <c r="Y190" s="246"/>
      <c r="Z190"/>
      <c r="AA190"/>
      <c r="AB190"/>
      <c r="AC190"/>
    </row>
    <row r="191" spans="1:36">
      <c r="A191" t="str" cm="1">
        <f t="array" ref="A19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IFERROR(INDEX(_xlpm.sorted,ROWS(A$2:A191)),"")
)</f>
        <v/>
      </c>
      <c r="B191" s="147" t="str" cm="1">
        <f t="array" ref="B191">_xlfn.LET(_xlpm.p,$A191,_xlfn.IFNA(
  INDEX(tblProjectInfo[InfoValue],
        MATCH(1,(tblProjectInfo[ProjectName]=_xlpm.p)*
                 (UPPER(TRIM(tblProjectInfo[Info]))="PROJECT SIZE (KWP)"),0)
), ""))</f>
        <v/>
      </c>
      <c r="C191" s="147" t="str" cm="1">
        <f t="array" ref="C191">_xlfn.LET(_xlpm.p,$A191,_xlfn.IFNA(
  INDEX(tblProjectInfo[InfoValue],
        MATCH(1,(tblProjectInfo[ProjectName]=_xlpm.p)*
                 (UPPER(TRIM(tblProjectInfo[Info]))="PROJECT DEVELOPER"),0)
), ""))</f>
        <v/>
      </c>
      <c r="D191" s="148" t="str" cm="1">
        <f t="array" ref="D191">_xlfn.LET(_xlpm.p,$A191,_xlfn.IFNA(
  INDEX(tblProjectInfo[InfoValue],
        MATCH(1,(tblProjectInfo[ProjectName]=_xlpm.p)*
                 (UPPER(TRIM(tblProjectInfo[Info]))="PROJECT MANAGERS"),0)
), ""))</f>
        <v/>
      </c>
      <c r="E191" s="147"/>
      <c r="F191" s="147"/>
      <c r="G191" s="147"/>
      <c r="H191" s="162" t="str" cm="1">
        <f t="array" ref="H191">_xlfn.LET(_xlpm.p,$A191,_xlfn.IFNA(
  INDEX(tblProjectInfo[InfoValue],
        MATCH(1,(tblProjectInfo[ProjectName]=_xlpm.p)*
                 ISNUMBER(SEARCH("PHASE",UPPER(tblProjectInfo[Info]))),0)
), ""))</f>
        <v/>
      </c>
      <c r="I191" s="149"/>
      <c r="J191" s="149"/>
      <c r="K191" s="169"/>
      <c r="L191" s="169"/>
      <c r="M191" s="149"/>
      <c r="N191" s="149"/>
      <c r="O191" s="149"/>
      <c r="P191" s="150"/>
      <c r="Q191" s="150"/>
      <c r="R191" s="151"/>
      <c r="S191" s="152"/>
      <c r="T191" s="152"/>
      <c r="U191" s="150"/>
      <c r="V191" s="152"/>
      <c r="W191" s="152"/>
      <c r="X191" s="246"/>
      <c r="Y191" s="246"/>
      <c r="Z191"/>
      <c r="AA191"/>
      <c r="AB191"/>
      <c r="AC191"/>
    </row>
    <row r="192" spans="1:36">
      <c r="A192" t="str" cm="1">
        <f t="array" ref="A19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IFERROR(INDEX(_xlpm.sorted,ROWS(A$2:A192)),"")
)</f>
        <v/>
      </c>
      <c r="B192" s="147" t="str" cm="1">
        <f t="array" ref="B192">_xlfn.LET(_xlpm.p,$A192,_xlfn.IFNA(
  INDEX(tblProjectInfo[InfoValue],
        MATCH(1,(tblProjectInfo[ProjectName]=_xlpm.p)*
                 (UPPER(TRIM(tblProjectInfo[Info]))="PROJECT SIZE (KWP)"),0)
), ""))</f>
        <v/>
      </c>
      <c r="C192" s="147" t="str" cm="1">
        <f t="array" ref="C192">_xlfn.LET(_xlpm.p,$A192,_xlfn.IFNA(
  INDEX(tblProjectInfo[InfoValue],
        MATCH(1,(tblProjectInfo[ProjectName]=_xlpm.p)*
                 (UPPER(TRIM(tblProjectInfo[Info]))="PROJECT DEVELOPER"),0)
), ""))</f>
        <v/>
      </c>
      <c r="D192" s="148" t="str" cm="1">
        <f t="array" ref="D192">_xlfn.LET(_xlpm.p,$A192,_xlfn.IFNA(
  INDEX(tblProjectInfo[InfoValue],
        MATCH(1,(tblProjectInfo[ProjectName]=_xlpm.p)*
                 (UPPER(TRIM(tblProjectInfo[Info]))="PROJECT MANAGERS"),0)
), ""))</f>
        <v/>
      </c>
      <c r="E192" s="147"/>
      <c r="F192" s="147"/>
      <c r="G192" s="147"/>
      <c r="H192" s="162" t="str" cm="1">
        <f t="array" ref="H192">_xlfn.LET(_xlpm.p,$A192,_xlfn.IFNA(
  INDEX(tblProjectInfo[InfoValue],
        MATCH(1,(tblProjectInfo[ProjectName]=_xlpm.p)*
                 ISNUMBER(SEARCH("PHASE",UPPER(tblProjectInfo[Info]))),0)
), ""))</f>
        <v/>
      </c>
      <c r="I192" s="149"/>
      <c r="J192" s="149"/>
      <c r="K192" s="169"/>
      <c r="L192" s="169"/>
      <c r="M192" s="149"/>
      <c r="N192" s="149"/>
      <c r="O192" s="149"/>
      <c r="P192" s="150"/>
      <c r="Q192" s="150"/>
      <c r="R192" s="151"/>
      <c r="S192" s="152"/>
      <c r="T192" s="152"/>
      <c r="U192" s="150"/>
      <c r="V192" s="152"/>
      <c r="W192" s="152"/>
      <c r="X192" s="246"/>
      <c r="Y192" s="246"/>
      <c r="Z192"/>
      <c r="AA192"/>
      <c r="AB192"/>
      <c r="AC192"/>
    </row>
    <row r="193" spans="1:29">
      <c r="A193" t="str" cm="1">
        <f t="array" ref="A19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IFERROR(INDEX(_xlpm.sorted,ROWS(A$2:A193)),"")
)</f>
        <v/>
      </c>
      <c r="B193" s="147" t="str" cm="1">
        <f t="array" ref="B193">_xlfn.LET(_xlpm.p,$A193,_xlfn.IFNA(
  INDEX(tblProjectInfo[InfoValue],
        MATCH(1,(tblProjectInfo[ProjectName]=_xlpm.p)*
                 (UPPER(TRIM(tblProjectInfo[Info]))="PROJECT SIZE (KWP)"),0)
), ""))</f>
        <v/>
      </c>
      <c r="C193" s="147" t="str" cm="1">
        <f t="array" ref="C193">_xlfn.LET(_xlpm.p,$A193,_xlfn.IFNA(
  INDEX(tblProjectInfo[InfoValue],
        MATCH(1,(tblProjectInfo[ProjectName]=_xlpm.p)*
                 (UPPER(TRIM(tblProjectInfo[Info]))="PROJECT DEVELOPER"),0)
), ""))</f>
        <v/>
      </c>
      <c r="D193" s="148" t="str" cm="1">
        <f t="array" ref="D193">_xlfn.LET(_xlpm.p,$A193,_xlfn.IFNA(
  INDEX(tblProjectInfo[InfoValue],
        MATCH(1,(tblProjectInfo[ProjectName]=_xlpm.p)*
                 (UPPER(TRIM(tblProjectInfo[Info]))="PROJECT MANAGERS"),0)
), ""))</f>
        <v/>
      </c>
      <c r="E193" s="147"/>
      <c r="F193" s="147"/>
      <c r="G193" s="147"/>
      <c r="H193" s="162" t="str" cm="1">
        <f t="array" ref="H193">_xlfn.LET(_xlpm.p,$A193,_xlfn.IFNA(
  INDEX(tblProjectInfo[InfoValue],
        MATCH(1,(tblProjectInfo[ProjectName]=_xlpm.p)*
                 ISNUMBER(SEARCH("PHASE",UPPER(tblProjectInfo[Info]))),0)
), ""))</f>
        <v/>
      </c>
      <c r="I193" s="149"/>
      <c r="J193" s="149"/>
      <c r="K193" s="169"/>
      <c r="L193" s="169"/>
      <c r="M193" s="149"/>
      <c r="N193" s="149"/>
      <c r="O193" s="149"/>
      <c r="P193" s="150"/>
      <c r="Q193" s="150"/>
      <c r="R193" s="151"/>
      <c r="S193" s="152"/>
      <c r="T193" s="152"/>
      <c r="U193" s="150"/>
      <c r="V193" s="152"/>
      <c r="W193" s="152"/>
      <c r="X193" s="246"/>
      <c r="Y193" s="246"/>
      <c r="Z193"/>
      <c r="AA193"/>
      <c r="AB193"/>
      <c r="AC193"/>
    </row>
    <row r="194" spans="1:29">
      <c r="A194" t="str" cm="1">
        <f t="array" ref="A19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IFERROR(INDEX(_xlpm.sorted,ROWS(A$2:A194)),"")
)</f>
        <v/>
      </c>
      <c r="B194" s="147" t="str" cm="1">
        <f t="array" ref="B194">_xlfn.LET(_xlpm.p,$A194,_xlfn.IFNA(
  INDEX(tblProjectInfo[InfoValue],
        MATCH(1,(tblProjectInfo[ProjectName]=_xlpm.p)*
                 (UPPER(TRIM(tblProjectInfo[Info]))="PROJECT SIZE (KWP)"),0)
), ""))</f>
        <v/>
      </c>
      <c r="C194" s="147" t="str" cm="1">
        <f t="array" ref="C194">_xlfn.LET(_xlpm.p,$A194,_xlfn.IFNA(
  INDEX(tblProjectInfo[InfoValue],
        MATCH(1,(tblProjectInfo[ProjectName]=_xlpm.p)*
                 (UPPER(TRIM(tblProjectInfo[Info]))="PROJECT DEVELOPER"),0)
), ""))</f>
        <v/>
      </c>
      <c r="D194" s="148" t="str" cm="1">
        <f t="array" ref="D194">_xlfn.LET(_xlpm.p,$A194,_xlfn.IFNA(
  INDEX(tblProjectInfo[InfoValue],
        MATCH(1,(tblProjectInfo[ProjectName]=_xlpm.p)*
                 (UPPER(TRIM(tblProjectInfo[Info]))="PROJECT MANAGERS"),0)
), ""))</f>
        <v/>
      </c>
      <c r="E194" s="147"/>
      <c r="F194" s="147"/>
      <c r="G194" s="147"/>
      <c r="H194" s="162" t="str" cm="1">
        <f t="array" ref="H194">_xlfn.LET(_xlpm.p,$A194,_xlfn.IFNA(
  INDEX(tblProjectInfo[InfoValue],
        MATCH(1,(tblProjectInfo[ProjectName]=_xlpm.p)*
                 ISNUMBER(SEARCH("PHASE",UPPER(tblProjectInfo[Info]))),0)
), ""))</f>
        <v/>
      </c>
      <c r="I194" s="149"/>
      <c r="J194" s="149"/>
      <c r="K194" s="169"/>
      <c r="L194" s="169"/>
      <c r="M194" s="149"/>
      <c r="N194" s="149"/>
      <c r="O194" s="149"/>
      <c r="P194" s="150"/>
      <c r="Q194" s="150"/>
      <c r="R194" s="151"/>
      <c r="S194" s="152"/>
      <c r="T194" s="152"/>
      <c r="U194" s="150"/>
      <c r="V194" s="152"/>
      <c r="W194" s="152"/>
      <c r="X194" s="246"/>
      <c r="Y194" s="246"/>
      <c r="Z194"/>
      <c r="AA194"/>
      <c r="AB194"/>
      <c r="AC194"/>
    </row>
    <row r="195" spans="1:29">
      <c r="A195" t="str" cm="1">
        <f t="array" ref="A19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IFERROR(INDEX(_xlpm.sorted,ROWS(A$2:A195)),"")
)</f>
        <v/>
      </c>
      <c r="B195" s="147" t="str" cm="1">
        <f t="array" ref="B195">_xlfn.LET(_xlpm.p,$A195,_xlfn.IFNA(
  INDEX(tblProjectInfo[InfoValue],
        MATCH(1,(tblProjectInfo[ProjectName]=_xlpm.p)*
                 (UPPER(TRIM(tblProjectInfo[Info]))="PROJECT SIZE (KWP)"),0)
), ""))</f>
        <v/>
      </c>
      <c r="C195" s="147" t="str" cm="1">
        <f t="array" ref="C195">_xlfn.LET(_xlpm.p,$A195,_xlfn.IFNA(
  INDEX(tblProjectInfo[InfoValue],
        MATCH(1,(tblProjectInfo[ProjectName]=_xlpm.p)*
                 (UPPER(TRIM(tblProjectInfo[Info]))="PROJECT DEVELOPER"),0)
), ""))</f>
        <v/>
      </c>
      <c r="D195" s="148" t="str" cm="1">
        <f t="array" ref="D195">_xlfn.LET(_xlpm.p,$A195,_xlfn.IFNA(
  INDEX(tblProjectInfo[InfoValue],
        MATCH(1,(tblProjectInfo[ProjectName]=_xlpm.p)*
                 (UPPER(TRIM(tblProjectInfo[Info]))="PROJECT MANAGERS"),0)
), ""))</f>
        <v/>
      </c>
      <c r="E195" s="147"/>
      <c r="F195" s="147"/>
      <c r="G195" s="147"/>
      <c r="H195" s="162" t="str" cm="1">
        <f t="array" ref="H195">_xlfn.LET(_xlpm.p,$A195,_xlfn.IFNA(
  INDEX(tblProjectInfo[InfoValue],
        MATCH(1,(tblProjectInfo[ProjectName]=_xlpm.p)*
                 ISNUMBER(SEARCH("PHASE",UPPER(tblProjectInfo[Info]))),0)
), ""))</f>
        <v/>
      </c>
      <c r="I195" s="149"/>
      <c r="J195" s="149"/>
      <c r="K195" s="169"/>
      <c r="L195" s="169"/>
      <c r="M195" s="149"/>
      <c r="N195" s="149"/>
      <c r="O195" s="149"/>
      <c r="P195" s="150"/>
      <c r="Q195" s="150"/>
      <c r="R195" s="151"/>
      <c r="S195" s="152"/>
      <c r="T195" s="152"/>
      <c r="U195" s="150"/>
      <c r="V195" s="152"/>
      <c r="W195" s="152"/>
      <c r="X195" s="246"/>
      <c r="Y195" s="246"/>
      <c r="Z195"/>
      <c r="AA195"/>
      <c r="AB195"/>
      <c r="AC195"/>
    </row>
    <row r="196" spans="1:29">
      <c r="A196" t="str" cm="1">
        <f t="array" ref="A19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IFERROR(INDEX(_xlpm.sorted,ROWS(A$2:A196)),"")
)</f>
        <v/>
      </c>
      <c r="B196" s="147" t="str" cm="1">
        <f t="array" ref="B196">_xlfn.LET(_xlpm.p,$A196,_xlfn.IFNA(
  INDEX(tblProjectInfo[InfoValue],
        MATCH(1,(tblProjectInfo[ProjectName]=_xlpm.p)*
                 (UPPER(TRIM(tblProjectInfo[Info]))="PROJECT SIZE (KWP)"),0)
), ""))</f>
        <v/>
      </c>
      <c r="C196" s="147" t="str" cm="1">
        <f t="array" ref="C196">_xlfn.LET(_xlpm.p,$A196,_xlfn.IFNA(
  INDEX(tblProjectInfo[InfoValue],
        MATCH(1,(tblProjectInfo[ProjectName]=_xlpm.p)*
                 (UPPER(TRIM(tblProjectInfo[Info]))="PROJECT DEVELOPER"),0)
), ""))</f>
        <v/>
      </c>
      <c r="D196" s="148" t="str" cm="1">
        <f t="array" ref="D196">_xlfn.LET(_xlpm.p,$A196,_xlfn.IFNA(
  INDEX(tblProjectInfo[InfoValue],
        MATCH(1,(tblProjectInfo[ProjectName]=_xlpm.p)*
                 (UPPER(TRIM(tblProjectInfo[Info]))="PROJECT MANAGERS"),0)
), ""))</f>
        <v/>
      </c>
      <c r="E196" s="147"/>
      <c r="F196" s="147"/>
      <c r="G196" s="147"/>
      <c r="H196" s="162" t="str" cm="1">
        <f t="array" ref="H196">_xlfn.LET(_xlpm.p,$A196,_xlfn.IFNA(
  INDEX(tblProjectInfo[InfoValue],
        MATCH(1,(tblProjectInfo[ProjectName]=_xlpm.p)*
                 ISNUMBER(SEARCH("PHASE",UPPER(tblProjectInfo[Info]))),0)
), ""))</f>
        <v/>
      </c>
      <c r="I196" s="149"/>
      <c r="J196" s="149"/>
      <c r="K196" s="169"/>
      <c r="L196" s="169"/>
      <c r="M196" s="149"/>
      <c r="N196" s="149"/>
      <c r="O196" s="149"/>
      <c r="P196" s="150"/>
      <c r="Q196" s="150"/>
      <c r="R196" s="151"/>
      <c r="S196" s="152"/>
      <c r="T196" s="152"/>
      <c r="U196" s="150"/>
      <c r="V196" s="152"/>
      <c r="W196" s="152"/>
      <c r="X196" s="246"/>
      <c r="Y196" s="246"/>
      <c r="Z196"/>
      <c r="AA196"/>
      <c r="AB196"/>
      <c r="AC196"/>
    </row>
    <row r="197" spans="1:29">
      <c r="A197" t="str" cm="1">
        <f t="array" ref="A19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IFERROR(INDEX(_xlpm.sorted,ROWS(A$2:A197)),"")
)</f>
        <v/>
      </c>
      <c r="B197" s="147" t="str" cm="1">
        <f t="array" ref="B197">_xlfn.LET(_xlpm.p,$A197,_xlfn.IFNA(
  INDEX(tblProjectInfo[InfoValue],
        MATCH(1,(tblProjectInfo[ProjectName]=_xlpm.p)*
                 (UPPER(TRIM(tblProjectInfo[Info]))="PROJECT SIZE (KWP)"),0)
), ""))</f>
        <v/>
      </c>
      <c r="C197" s="147" t="str" cm="1">
        <f t="array" ref="C197">_xlfn.LET(_xlpm.p,$A197,_xlfn.IFNA(
  INDEX(tblProjectInfo[InfoValue],
        MATCH(1,(tblProjectInfo[ProjectName]=_xlpm.p)*
                 (UPPER(TRIM(tblProjectInfo[Info]))="PROJECT DEVELOPER"),0)
), ""))</f>
        <v/>
      </c>
      <c r="D197" s="148" t="str" cm="1">
        <f t="array" ref="D197">_xlfn.LET(_xlpm.p,$A197,_xlfn.IFNA(
  INDEX(tblProjectInfo[InfoValue],
        MATCH(1,(tblProjectInfo[ProjectName]=_xlpm.p)*
                 (UPPER(TRIM(tblProjectInfo[Info]))="PROJECT MANAGERS"),0)
), ""))</f>
        <v/>
      </c>
      <c r="E197" s="147"/>
      <c r="F197" s="147"/>
      <c r="G197" s="147"/>
      <c r="H197" s="162" t="str" cm="1">
        <f t="array" ref="H197">_xlfn.LET(_xlpm.p,$A197,_xlfn.IFNA(
  INDEX(tblProjectInfo[InfoValue],
        MATCH(1,(tblProjectInfo[ProjectName]=_xlpm.p)*
                 ISNUMBER(SEARCH("PHASE",UPPER(tblProjectInfo[Info]))),0)
), ""))</f>
        <v/>
      </c>
      <c r="I197" s="149"/>
      <c r="J197" s="149"/>
      <c r="K197" s="169"/>
      <c r="L197" s="169"/>
      <c r="M197" s="149"/>
      <c r="N197" s="149"/>
      <c r="O197" s="149"/>
      <c r="P197" s="150"/>
      <c r="Q197" s="150"/>
      <c r="R197" s="151"/>
      <c r="S197" s="152"/>
      <c r="T197" s="152"/>
      <c r="U197" s="150"/>
      <c r="V197" s="152"/>
      <c r="W197" s="152"/>
      <c r="X197" s="246"/>
      <c r="Y197" s="246"/>
      <c r="Z197"/>
      <c r="AA197"/>
      <c r="AB197"/>
      <c r="AC197"/>
    </row>
    <row r="198" spans="1:29">
      <c r="A198" t="str" cm="1">
        <f t="array" ref="A19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IFERROR(INDEX(_xlpm.sorted,ROWS(A$2:A198)),"")
)</f>
        <v/>
      </c>
      <c r="B198" s="147" t="str" cm="1">
        <f t="array" ref="B198">_xlfn.LET(_xlpm.p,$A198,_xlfn.IFNA(
  INDEX(tblProjectInfo[InfoValue],
        MATCH(1,(tblProjectInfo[ProjectName]=_xlpm.p)*
                 (UPPER(TRIM(tblProjectInfo[Info]))="PROJECT SIZE (KWP)"),0)
), ""))</f>
        <v/>
      </c>
      <c r="C198" s="147" t="str" cm="1">
        <f t="array" ref="C198">_xlfn.LET(_xlpm.p,$A198,_xlfn.IFNA(
  INDEX(tblProjectInfo[InfoValue],
        MATCH(1,(tblProjectInfo[ProjectName]=_xlpm.p)*
                 (UPPER(TRIM(tblProjectInfo[Info]))="PROJECT DEVELOPER"),0)
), ""))</f>
        <v/>
      </c>
      <c r="D198" s="148" t="str" cm="1">
        <f t="array" ref="D198">_xlfn.LET(_xlpm.p,$A198,_xlfn.IFNA(
  INDEX(tblProjectInfo[InfoValue],
        MATCH(1,(tblProjectInfo[ProjectName]=_xlpm.p)*
                 (UPPER(TRIM(tblProjectInfo[Info]))="PROJECT MANAGERS"),0)
), ""))</f>
        <v/>
      </c>
      <c r="E198" s="147"/>
      <c r="F198" s="147"/>
      <c r="G198" s="147"/>
      <c r="H198" s="162" t="str" cm="1">
        <f t="array" ref="H198">_xlfn.LET(_xlpm.p,$A198,_xlfn.IFNA(
  INDEX(tblProjectInfo[InfoValue],
        MATCH(1,(tblProjectInfo[ProjectName]=_xlpm.p)*
                 ISNUMBER(SEARCH("PHASE",UPPER(tblProjectInfo[Info]))),0)
), ""))</f>
        <v/>
      </c>
      <c r="I198" s="149"/>
      <c r="J198" s="149"/>
      <c r="K198" s="169"/>
      <c r="L198" s="169"/>
      <c r="M198" s="149"/>
      <c r="N198" s="149"/>
      <c r="O198" s="149"/>
      <c r="P198" s="150"/>
      <c r="Q198" s="150"/>
      <c r="R198" s="151"/>
      <c r="S198" s="152"/>
      <c r="T198" s="152"/>
      <c r="U198" s="150"/>
      <c r="V198" s="152"/>
      <c r="W198" s="152"/>
      <c r="X198" s="246"/>
      <c r="Y198" s="246"/>
      <c r="Z198"/>
      <c r="AA198"/>
      <c r="AB198"/>
      <c r="AC198"/>
    </row>
    <row r="199" spans="1:29">
      <c r="A199" t="str" cm="1">
        <f t="array" ref="A19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IFERROR(INDEX(_xlpm.sorted,ROWS(A$2:A199)),"")
)</f>
        <v/>
      </c>
      <c r="B199" s="147" t="str" cm="1">
        <f t="array" ref="B199">_xlfn.LET(_xlpm.p,$A199,_xlfn.IFNA(
  INDEX(tblProjectInfo[InfoValue],
        MATCH(1,(tblProjectInfo[ProjectName]=_xlpm.p)*
                 (UPPER(TRIM(tblProjectInfo[Info]))="PROJECT SIZE (KWP)"),0)
), ""))</f>
        <v/>
      </c>
      <c r="C199" s="147" t="str" cm="1">
        <f t="array" ref="C199">_xlfn.LET(_xlpm.p,$A199,_xlfn.IFNA(
  INDEX(tblProjectInfo[InfoValue],
        MATCH(1,(tblProjectInfo[ProjectName]=_xlpm.p)*
                 (UPPER(TRIM(tblProjectInfo[Info]))="PROJECT DEVELOPER"),0)
), ""))</f>
        <v/>
      </c>
      <c r="D199" s="148" t="str" cm="1">
        <f t="array" ref="D199">_xlfn.LET(_xlpm.p,$A199,_xlfn.IFNA(
  INDEX(tblProjectInfo[InfoValue],
        MATCH(1,(tblProjectInfo[ProjectName]=_xlpm.p)*
                 (UPPER(TRIM(tblProjectInfo[Info]))="PROJECT MANAGERS"),0)
), ""))</f>
        <v/>
      </c>
      <c r="E199" s="147"/>
      <c r="F199" s="147"/>
      <c r="G199" s="147"/>
      <c r="H199" s="162" t="str" cm="1">
        <f t="array" ref="H199">_xlfn.LET(_xlpm.p,$A199,_xlfn.IFNA(
  INDEX(tblProjectInfo[InfoValue],
        MATCH(1,(tblProjectInfo[ProjectName]=_xlpm.p)*
                 ISNUMBER(SEARCH("PHASE",UPPER(tblProjectInfo[Info]))),0)
), ""))</f>
        <v/>
      </c>
      <c r="I199" s="149"/>
      <c r="J199" s="149"/>
      <c r="K199" s="169"/>
      <c r="L199" s="169"/>
      <c r="M199" s="149"/>
      <c r="N199" s="149"/>
      <c r="O199" s="149"/>
      <c r="P199" s="150"/>
      <c r="Q199" s="150"/>
      <c r="R199" s="151"/>
      <c r="S199" s="152"/>
      <c r="T199" s="152"/>
      <c r="U199" s="150"/>
      <c r="V199" s="152"/>
      <c r="W199" s="152"/>
      <c r="X199" s="246"/>
      <c r="Y199" s="246"/>
      <c r="Z199"/>
      <c r="AA199"/>
      <c r="AB199"/>
      <c r="AC199"/>
    </row>
    <row r="200" spans="1:29">
      <c r="A200" t="str" cm="1">
        <f t="array" ref="A20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IFERROR(INDEX(_xlpm.sorted,ROWS(A$2:A200)),"")
)</f>
        <v/>
      </c>
      <c r="B200" s="147" t="str" cm="1">
        <f t="array" ref="B200">_xlfn.LET(_xlpm.p,$A200,_xlfn.IFNA(
  INDEX(tblProjectInfo[InfoValue],
        MATCH(1,(tblProjectInfo[ProjectName]=_xlpm.p)*
                 (UPPER(TRIM(tblProjectInfo[Info]))="PROJECT SIZE (KWP)"),0)
), ""))</f>
        <v/>
      </c>
      <c r="C200" s="147" t="str" cm="1">
        <f t="array" ref="C200">_xlfn.LET(_xlpm.p,$A200,_xlfn.IFNA(
  INDEX(tblProjectInfo[InfoValue],
        MATCH(1,(tblProjectInfo[ProjectName]=_xlpm.p)*
                 (UPPER(TRIM(tblProjectInfo[Info]))="PROJECT DEVELOPER"),0)
), ""))</f>
        <v/>
      </c>
      <c r="D200" s="148" t="str" cm="1">
        <f t="array" ref="D200">_xlfn.LET(_xlpm.p,$A200,_xlfn.IFNA(
  INDEX(tblProjectInfo[InfoValue],
        MATCH(1,(tblProjectInfo[ProjectName]=_xlpm.p)*
                 (UPPER(TRIM(tblProjectInfo[Info]))="PROJECT MANAGERS"),0)
), ""))</f>
        <v/>
      </c>
      <c r="E200" s="147"/>
      <c r="F200" s="147"/>
      <c r="G200" s="147"/>
      <c r="H200" s="162" t="str" cm="1">
        <f t="array" ref="H200">_xlfn.LET(_xlpm.p,$A200,_xlfn.IFNA(
  INDEX(tblProjectInfo[InfoValue],
        MATCH(1,(tblProjectInfo[ProjectName]=_xlpm.p)*
                 ISNUMBER(SEARCH("PHASE",UPPER(tblProjectInfo[Info]))),0)
), ""))</f>
        <v/>
      </c>
      <c r="I200" s="149"/>
      <c r="J200" s="149"/>
      <c r="K200" s="169"/>
      <c r="L200" s="169"/>
      <c r="M200" s="149"/>
      <c r="N200" s="149"/>
      <c r="O200" s="149"/>
      <c r="P200" s="150"/>
      <c r="Q200" s="150"/>
      <c r="R200" s="151"/>
      <c r="S200" s="152"/>
      <c r="T200" s="152"/>
      <c r="U200" s="150"/>
      <c r="V200" s="152"/>
      <c r="W200" s="152"/>
      <c r="X200" s="246"/>
      <c r="Y200" s="246"/>
      <c r="Z200"/>
      <c r="AA200"/>
      <c r="AB200"/>
      <c r="AC200"/>
    </row>
    <row r="201" spans="1:29">
      <c r="A201" t="str" cm="1">
        <f t="array" ref="A20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IFERROR(INDEX(_xlpm.sorted,ROWS(A$2:A201)),"")
)</f>
        <v/>
      </c>
      <c r="B201" s="147" t="str" cm="1">
        <f t="array" ref="B201">_xlfn.LET(_xlpm.p,$A201,_xlfn.IFNA(
  INDEX(tblProjectInfo[InfoValue],
        MATCH(1,(tblProjectInfo[ProjectName]=_xlpm.p)*
                 (UPPER(TRIM(tblProjectInfo[Info]))="PROJECT SIZE (KWP)"),0)
), ""))</f>
        <v/>
      </c>
      <c r="C201" s="147" t="str" cm="1">
        <f t="array" ref="C201">_xlfn.LET(_xlpm.p,$A201,_xlfn.IFNA(
  INDEX(tblProjectInfo[InfoValue],
        MATCH(1,(tblProjectInfo[ProjectName]=_xlpm.p)*
                 (UPPER(TRIM(tblProjectInfo[Info]))="PROJECT DEVELOPER"),0)
), ""))</f>
        <v/>
      </c>
      <c r="D201" s="148" t="str" cm="1">
        <f t="array" ref="D201">_xlfn.LET(_xlpm.p,$A201,_xlfn.IFNA(
  INDEX(tblProjectInfo[InfoValue],
        MATCH(1,(tblProjectInfo[ProjectName]=_xlpm.p)*
                 (UPPER(TRIM(tblProjectInfo[Info]))="PROJECT MANAGERS"),0)
), ""))</f>
        <v/>
      </c>
      <c r="E201" s="147"/>
      <c r="F201" s="147"/>
      <c r="G201" s="147"/>
      <c r="H201" s="162" t="str" cm="1">
        <f t="array" ref="H201">_xlfn.LET(_xlpm.p,$A201,_xlfn.IFNA(
  INDEX(tblProjectInfo[InfoValue],
        MATCH(1,(tblProjectInfo[ProjectName]=_xlpm.p)*
                 ISNUMBER(SEARCH("PHASE",UPPER(tblProjectInfo[Info]))),0)
), ""))</f>
        <v/>
      </c>
      <c r="I201" s="149"/>
      <c r="J201" s="149"/>
      <c r="K201" s="169"/>
      <c r="L201" s="169"/>
      <c r="M201" s="149"/>
      <c r="N201" s="149"/>
      <c r="O201" s="149"/>
      <c r="P201" s="150"/>
      <c r="Q201" s="150"/>
      <c r="R201" s="151"/>
      <c r="S201" s="152"/>
      <c r="T201" s="152"/>
      <c r="U201" s="150"/>
      <c r="V201" s="152"/>
      <c r="W201" s="152"/>
      <c r="X201" s="246"/>
      <c r="Y201" s="246"/>
      <c r="Z201"/>
      <c r="AA201"/>
      <c r="AB201"/>
      <c r="AC201"/>
    </row>
    <row r="202" spans="1:29">
      <c r="A202" t="str" cm="1">
        <f t="array" ref="A20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IFERROR(INDEX(_xlpm.sorted,ROWS(A$2:A202)),"")
)</f>
        <v/>
      </c>
      <c r="B202" s="147" t="str" cm="1">
        <f t="array" ref="B202">_xlfn.LET(_xlpm.p,$A202,_xlfn.IFNA(
  INDEX(tblProjectInfo[InfoValue],
        MATCH(1,(tblProjectInfo[ProjectName]=_xlpm.p)*
                 (UPPER(TRIM(tblProjectInfo[Info]))="PROJECT SIZE (KWP)"),0)
), ""))</f>
        <v/>
      </c>
      <c r="C202" s="147" t="str" cm="1">
        <f t="array" ref="C202">_xlfn.LET(_xlpm.p,$A202,_xlfn.IFNA(
  INDEX(tblProjectInfo[InfoValue],
        MATCH(1,(tblProjectInfo[ProjectName]=_xlpm.p)*
                 (UPPER(TRIM(tblProjectInfo[Info]))="PROJECT DEVELOPER"),0)
), ""))</f>
        <v/>
      </c>
      <c r="D202" s="148" t="str" cm="1">
        <f t="array" ref="D202">_xlfn.LET(_xlpm.p,$A202,_xlfn.IFNA(
  INDEX(tblProjectInfo[InfoValue],
        MATCH(1,(tblProjectInfo[ProjectName]=_xlpm.p)*
                 (UPPER(TRIM(tblProjectInfo[Info]))="PROJECT MANAGERS"),0)
), ""))</f>
        <v/>
      </c>
      <c r="E202" s="147"/>
      <c r="F202" s="147"/>
      <c r="G202" s="147"/>
      <c r="H202" s="162" t="str" cm="1">
        <f t="array" ref="H202">_xlfn.LET(_xlpm.p,$A202,_xlfn.IFNA(
  INDEX(tblProjectInfo[InfoValue],
        MATCH(1,(tblProjectInfo[ProjectName]=_xlpm.p)*
                 ISNUMBER(SEARCH("PHASE",UPPER(tblProjectInfo[Info]))),0)
), ""))</f>
        <v/>
      </c>
      <c r="I202" s="149"/>
      <c r="J202" s="149"/>
      <c r="K202" s="169"/>
      <c r="L202" s="169"/>
      <c r="M202" s="149"/>
      <c r="N202" s="149"/>
      <c r="O202" s="149"/>
      <c r="P202" s="150"/>
      <c r="Q202" s="150"/>
      <c r="R202" s="151"/>
      <c r="S202" s="152"/>
      <c r="T202" s="152"/>
      <c r="U202" s="150"/>
      <c r="V202" s="152"/>
      <c r="W202" s="152"/>
      <c r="X202" s="246"/>
      <c r="Y202" s="246"/>
      <c r="Z202"/>
      <c r="AA202"/>
      <c r="AB202"/>
      <c r="AC202"/>
    </row>
    <row r="203" spans="1:29">
      <c r="A203" t="str" cm="1">
        <f t="array" ref="A20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IFERROR(INDEX(_xlpm.sorted,ROWS(A$2:A203)),"")
)</f>
        <v/>
      </c>
      <c r="B203" s="147" t="str" cm="1">
        <f t="array" ref="B203">_xlfn.LET(_xlpm.p,$A203,_xlfn.IFNA(
  INDEX(tblProjectInfo[InfoValue],
        MATCH(1,(tblProjectInfo[ProjectName]=_xlpm.p)*
                 (UPPER(TRIM(tblProjectInfo[Info]))="PROJECT SIZE (KWP)"),0)
), ""))</f>
        <v/>
      </c>
      <c r="C203" s="147" t="str" cm="1">
        <f t="array" ref="C203">_xlfn.LET(_xlpm.p,$A203,_xlfn.IFNA(
  INDEX(tblProjectInfo[InfoValue],
        MATCH(1,(tblProjectInfo[ProjectName]=_xlpm.p)*
                 (UPPER(TRIM(tblProjectInfo[Info]))="PROJECT DEVELOPER"),0)
), ""))</f>
        <v/>
      </c>
      <c r="D203" s="148" t="str" cm="1">
        <f t="array" ref="D203">_xlfn.LET(_xlpm.p,$A203,_xlfn.IFNA(
  INDEX(tblProjectInfo[InfoValue],
        MATCH(1,(tblProjectInfo[ProjectName]=_xlpm.p)*
                 (UPPER(TRIM(tblProjectInfo[Info]))="PROJECT MANAGERS"),0)
), ""))</f>
        <v/>
      </c>
      <c r="E203" s="147"/>
      <c r="F203" s="147"/>
      <c r="G203" s="147"/>
      <c r="H203" s="162" t="str" cm="1">
        <f t="array" ref="H203">_xlfn.LET(_xlpm.p,$A203,_xlfn.IFNA(
  INDEX(tblProjectInfo[InfoValue],
        MATCH(1,(tblProjectInfo[ProjectName]=_xlpm.p)*
                 ISNUMBER(SEARCH("PHASE",UPPER(tblProjectInfo[Info]))),0)
), ""))</f>
        <v/>
      </c>
      <c r="I203" s="149"/>
      <c r="J203" s="149"/>
      <c r="K203" s="169"/>
      <c r="L203" s="169"/>
      <c r="M203" s="149"/>
      <c r="N203" s="149"/>
      <c r="O203" s="149"/>
      <c r="P203" s="150"/>
      <c r="Q203" s="150"/>
      <c r="R203" s="151"/>
      <c r="S203" s="152"/>
      <c r="T203" s="152"/>
      <c r="U203" s="150"/>
      <c r="V203" s="152"/>
      <c r="W203" s="152"/>
      <c r="X203" s="246"/>
      <c r="Y203" s="246"/>
      <c r="Z203"/>
      <c r="AA203"/>
      <c r="AB203"/>
      <c r="AC203"/>
    </row>
    <row r="204" spans="1:29">
      <c r="A204" t="str" cm="1">
        <f t="array" ref="A20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IFERROR(INDEX(_xlpm.sorted,ROWS(A$2:A204)),"")
)</f>
        <v/>
      </c>
      <c r="B204" s="147" t="str" cm="1">
        <f t="array" ref="B204">_xlfn.LET(_xlpm.p,$A204,_xlfn.IFNA(
  INDEX(tblProjectInfo[InfoValue],
        MATCH(1,(tblProjectInfo[ProjectName]=_xlpm.p)*
                 (UPPER(TRIM(tblProjectInfo[Info]))="PROJECT SIZE (KWP)"),0)
), ""))</f>
        <v/>
      </c>
      <c r="C204" s="147" t="str" cm="1">
        <f t="array" ref="C204">_xlfn.LET(_xlpm.p,$A204,_xlfn.IFNA(
  INDEX(tblProjectInfo[InfoValue],
        MATCH(1,(tblProjectInfo[ProjectName]=_xlpm.p)*
                 (UPPER(TRIM(tblProjectInfo[Info]))="PROJECT DEVELOPER"),0)
), ""))</f>
        <v/>
      </c>
      <c r="D204" s="148" t="str" cm="1">
        <f t="array" ref="D204">_xlfn.LET(_xlpm.p,$A204,_xlfn.IFNA(
  INDEX(tblProjectInfo[InfoValue],
        MATCH(1,(tblProjectInfo[ProjectName]=_xlpm.p)*
                 (UPPER(TRIM(tblProjectInfo[Info]))="PROJECT MANAGERS"),0)
), ""))</f>
        <v/>
      </c>
      <c r="E204" s="147"/>
      <c r="F204" s="147"/>
      <c r="G204" s="147"/>
      <c r="H204" s="162" t="str" cm="1">
        <f t="array" ref="H204">_xlfn.LET(_xlpm.p,$A204,_xlfn.IFNA(
  INDEX(tblProjectInfo[InfoValue],
        MATCH(1,(tblProjectInfo[ProjectName]=_xlpm.p)*
                 ISNUMBER(SEARCH("PHASE",UPPER(tblProjectInfo[Info]))),0)
), ""))</f>
        <v/>
      </c>
      <c r="I204" s="149"/>
      <c r="J204" s="149"/>
      <c r="K204" s="169"/>
      <c r="L204" s="169"/>
      <c r="M204" s="149"/>
      <c r="N204" s="149"/>
      <c r="O204" s="149"/>
      <c r="P204" s="150"/>
      <c r="Q204" s="150"/>
      <c r="R204" s="151"/>
      <c r="S204" s="152"/>
      <c r="T204" s="152"/>
      <c r="U204" s="150"/>
      <c r="V204" s="152"/>
      <c r="W204" s="152"/>
      <c r="X204" s="246"/>
      <c r="Y204" s="246"/>
      <c r="Z204"/>
      <c r="AA204"/>
      <c r="AB204"/>
      <c r="AC204"/>
    </row>
    <row r="205" spans="1:29">
      <c r="A205" t="str" cm="1">
        <f t="array" ref="A20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IFERROR(INDEX(_xlpm.sorted,ROWS(A$2:A205)),"")
)</f>
        <v/>
      </c>
      <c r="B205" s="147" t="str" cm="1">
        <f t="array" ref="B205">_xlfn.LET(_xlpm.p,$A205,_xlfn.IFNA(
  INDEX(tblProjectInfo[InfoValue],
        MATCH(1,(tblProjectInfo[ProjectName]=_xlpm.p)*
                 (UPPER(TRIM(tblProjectInfo[Info]))="PROJECT SIZE (KWP)"),0)
), ""))</f>
        <v/>
      </c>
      <c r="C205" s="147" t="str" cm="1">
        <f t="array" ref="C205">_xlfn.LET(_xlpm.p,$A205,_xlfn.IFNA(
  INDEX(tblProjectInfo[InfoValue],
        MATCH(1,(tblProjectInfo[ProjectName]=_xlpm.p)*
                 (UPPER(TRIM(tblProjectInfo[Info]))="PROJECT DEVELOPER"),0)
), ""))</f>
        <v/>
      </c>
      <c r="D205" s="148" t="str" cm="1">
        <f t="array" ref="D205">_xlfn.LET(_xlpm.p,$A205,_xlfn.IFNA(
  INDEX(tblProjectInfo[InfoValue],
        MATCH(1,(tblProjectInfo[ProjectName]=_xlpm.p)*
                 (UPPER(TRIM(tblProjectInfo[Info]))="PROJECT MANAGERS"),0)
), ""))</f>
        <v/>
      </c>
      <c r="E205" s="147"/>
      <c r="F205" s="147"/>
      <c r="G205" s="147"/>
      <c r="H205" s="162" t="str" cm="1">
        <f t="array" ref="H205">_xlfn.LET(_xlpm.p,$A205,_xlfn.IFNA(
  INDEX(tblProjectInfo[InfoValue],
        MATCH(1,(tblProjectInfo[ProjectName]=_xlpm.p)*
                 ISNUMBER(SEARCH("PHASE",UPPER(tblProjectInfo[Info]))),0)
), ""))</f>
        <v/>
      </c>
      <c r="I205" s="149"/>
      <c r="J205" s="149"/>
      <c r="K205" s="169"/>
      <c r="L205" s="169"/>
      <c r="M205" s="149"/>
      <c r="N205" s="149"/>
      <c r="O205" s="149"/>
      <c r="P205" s="150"/>
      <c r="Q205" s="150"/>
      <c r="R205" s="151"/>
      <c r="S205" s="152"/>
      <c r="T205" s="152"/>
      <c r="U205" s="150"/>
      <c r="V205" s="152"/>
      <c r="W205" s="152"/>
      <c r="X205" s="246"/>
      <c r="Y205" s="246"/>
      <c r="Z205"/>
      <c r="AA205"/>
      <c r="AB205"/>
      <c r="AC205"/>
    </row>
    <row r="206" spans="1:29">
      <c r="A206" t="str" cm="1">
        <f t="array" ref="A20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IFERROR(INDEX(_xlpm.sorted,ROWS(A$2:A206)),"")
)</f>
        <v/>
      </c>
      <c r="B206" s="147" t="str" cm="1">
        <f t="array" ref="B206">_xlfn.LET(_xlpm.p,$A206,_xlfn.IFNA(
  INDEX(tblProjectInfo[InfoValue],
        MATCH(1,(tblProjectInfo[ProjectName]=_xlpm.p)*
                 (UPPER(TRIM(tblProjectInfo[Info]))="PROJECT SIZE (KWP)"),0)
), ""))</f>
        <v/>
      </c>
      <c r="C206" s="147" t="str" cm="1">
        <f t="array" ref="C206">_xlfn.LET(_xlpm.p,$A206,_xlfn.IFNA(
  INDEX(tblProjectInfo[InfoValue],
        MATCH(1,(tblProjectInfo[ProjectName]=_xlpm.p)*
                 (UPPER(TRIM(tblProjectInfo[Info]))="PROJECT DEVELOPER"),0)
), ""))</f>
        <v/>
      </c>
      <c r="D206" s="148" t="str" cm="1">
        <f t="array" ref="D206">_xlfn.LET(_xlpm.p,$A206,_xlfn.IFNA(
  INDEX(tblProjectInfo[InfoValue],
        MATCH(1,(tblProjectInfo[ProjectName]=_xlpm.p)*
                 (UPPER(TRIM(tblProjectInfo[Info]))="PROJECT MANAGERS"),0)
), ""))</f>
        <v/>
      </c>
      <c r="E206" s="147"/>
      <c r="F206" s="147"/>
      <c r="G206" s="147"/>
      <c r="H206" s="162" t="str" cm="1">
        <f t="array" ref="H206">_xlfn.LET(_xlpm.p,$A206,_xlfn.IFNA(
  INDEX(tblProjectInfo[InfoValue],
        MATCH(1,(tblProjectInfo[ProjectName]=_xlpm.p)*
                 ISNUMBER(SEARCH("PHASE",UPPER(tblProjectInfo[Info]))),0)
), ""))</f>
        <v/>
      </c>
      <c r="I206" s="149"/>
      <c r="J206" s="149"/>
      <c r="K206" s="169"/>
      <c r="L206" s="169"/>
      <c r="M206" s="149"/>
      <c r="N206" s="149"/>
      <c r="O206" s="149"/>
      <c r="P206" s="150"/>
      <c r="Q206" s="150"/>
      <c r="R206" s="151"/>
      <c r="S206" s="152"/>
      <c r="T206" s="152"/>
      <c r="U206" s="150"/>
      <c r="V206" s="152"/>
      <c r="W206" s="152"/>
      <c r="X206" s="246"/>
      <c r="Y206" s="246"/>
      <c r="Z206"/>
      <c r="AA206"/>
      <c r="AB206"/>
      <c r="AC206"/>
    </row>
    <row r="207" spans="1:29">
      <c r="A207" t="str" cm="1">
        <f t="array" ref="A20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IFERROR(INDEX(_xlpm.sorted,ROWS(A$2:A207)),"")
)</f>
        <v/>
      </c>
      <c r="B207" s="147" t="str" cm="1">
        <f t="array" ref="B207">_xlfn.LET(_xlpm.p,$A207,_xlfn.IFNA(
  INDEX(tblProjectInfo[InfoValue],
        MATCH(1,(tblProjectInfo[ProjectName]=_xlpm.p)*
                 (UPPER(TRIM(tblProjectInfo[Info]))="PROJECT SIZE (KWP)"),0)
), ""))</f>
        <v/>
      </c>
      <c r="C207" s="147" t="str" cm="1">
        <f t="array" ref="C207">_xlfn.LET(_xlpm.p,$A207,_xlfn.IFNA(
  INDEX(tblProjectInfo[InfoValue],
        MATCH(1,(tblProjectInfo[ProjectName]=_xlpm.p)*
                 (UPPER(TRIM(tblProjectInfo[Info]))="PROJECT DEVELOPER"),0)
), ""))</f>
        <v/>
      </c>
      <c r="D207" s="148" t="str" cm="1">
        <f t="array" ref="D207">_xlfn.LET(_xlpm.p,$A207,_xlfn.IFNA(
  INDEX(tblProjectInfo[InfoValue],
        MATCH(1,(tblProjectInfo[ProjectName]=_xlpm.p)*
                 (UPPER(TRIM(tblProjectInfo[Info]))="PROJECT MANAGERS"),0)
), ""))</f>
        <v/>
      </c>
      <c r="E207" s="147"/>
      <c r="F207" s="147"/>
      <c r="G207" s="147"/>
      <c r="H207" s="162" t="str" cm="1">
        <f t="array" ref="H207">_xlfn.LET(_xlpm.p,$A207,_xlfn.IFNA(
  INDEX(tblProjectInfo[InfoValue],
        MATCH(1,(tblProjectInfo[ProjectName]=_xlpm.p)*
                 ISNUMBER(SEARCH("PHASE",UPPER(tblProjectInfo[Info]))),0)
), ""))</f>
        <v/>
      </c>
      <c r="I207" s="149"/>
      <c r="J207" s="149"/>
      <c r="K207" s="169"/>
      <c r="L207" s="169"/>
      <c r="M207" s="149"/>
      <c r="N207" s="149"/>
      <c r="O207" s="149"/>
      <c r="P207" s="150"/>
      <c r="Q207" s="150"/>
      <c r="R207" s="151"/>
      <c r="S207" s="152"/>
      <c r="T207" s="152"/>
      <c r="U207" s="150"/>
      <c r="V207" s="152"/>
      <c r="W207" s="152"/>
      <c r="X207" s="246"/>
      <c r="Y207" s="246"/>
      <c r="Z207"/>
      <c r="AA207"/>
      <c r="AB207"/>
      <c r="AC207"/>
    </row>
    <row r="208" spans="1:29">
      <c r="A208" t="str" cm="1">
        <f t="array" ref="A20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IFERROR(INDEX(_xlpm.sorted,ROWS(A$2:A208)),"")
)</f>
        <v/>
      </c>
      <c r="B208" s="147" t="str" cm="1">
        <f t="array" ref="B208">_xlfn.LET(_xlpm.p,$A208,_xlfn.IFNA(
  INDEX(tblProjectInfo[InfoValue],
        MATCH(1,(tblProjectInfo[ProjectName]=_xlpm.p)*
                 (UPPER(TRIM(tblProjectInfo[Info]))="PROJECT SIZE (KWP)"),0)
), ""))</f>
        <v/>
      </c>
      <c r="C208" s="147" t="str" cm="1">
        <f t="array" ref="C208">_xlfn.LET(_xlpm.p,$A208,_xlfn.IFNA(
  INDEX(tblProjectInfo[InfoValue],
        MATCH(1,(tblProjectInfo[ProjectName]=_xlpm.p)*
                 (UPPER(TRIM(tblProjectInfo[Info]))="PROJECT DEVELOPER"),0)
), ""))</f>
        <v/>
      </c>
      <c r="D208" s="148" t="str" cm="1">
        <f t="array" ref="D208">_xlfn.LET(_xlpm.p,$A208,_xlfn.IFNA(
  INDEX(tblProjectInfo[InfoValue],
        MATCH(1,(tblProjectInfo[ProjectName]=_xlpm.p)*
                 (UPPER(TRIM(tblProjectInfo[Info]))="PROJECT MANAGERS"),0)
), ""))</f>
        <v/>
      </c>
      <c r="E208" s="147"/>
      <c r="F208" s="147"/>
      <c r="G208" s="147"/>
      <c r="H208" s="162" t="str" cm="1">
        <f t="array" ref="H208">_xlfn.LET(_xlpm.p,$A208,_xlfn.IFNA(
  INDEX(tblProjectInfo[InfoValue],
        MATCH(1,(tblProjectInfo[ProjectName]=_xlpm.p)*
                 ISNUMBER(SEARCH("PHASE",UPPER(tblProjectInfo[Info]))),0)
), ""))</f>
        <v/>
      </c>
      <c r="I208" s="149"/>
      <c r="J208" s="149"/>
      <c r="K208" s="169"/>
      <c r="L208" s="169"/>
      <c r="M208" s="149"/>
      <c r="N208" s="149"/>
      <c r="O208" s="149"/>
      <c r="P208" s="150"/>
      <c r="Q208" s="150"/>
      <c r="R208" s="151"/>
      <c r="S208" s="152"/>
      <c r="T208" s="152"/>
      <c r="U208" s="150"/>
      <c r="V208" s="152"/>
      <c r="W208" s="152"/>
      <c r="X208" s="246"/>
      <c r="Y208" s="246"/>
      <c r="Z208"/>
      <c r="AA208"/>
      <c r="AB208"/>
      <c r="AC208"/>
    </row>
    <row r="209" spans="1:29">
      <c r="A209" t="str" cm="1">
        <f t="array" ref="A20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IFERROR(INDEX(_xlpm.sorted,ROWS(A$2:A209)),"")
)</f>
        <v/>
      </c>
      <c r="B209" s="147" t="str" cm="1">
        <f t="array" ref="B209">_xlfn.LET(_xlpm.p,$A209,_xlfn.IFNA(
  INDEX(tblProjectInfo[InfoValue],
        MATCH(1,(tblProjectInfo[ProjectName]=_xlpm.p)*
                 (UPPER(TRIM(tblProjectInfo[Info]))="PROJECT SIZE (KWP)"),0)
), ""))</f>
        <v/>
      </c>
      <c r="C209" s="147" t="str" cm="1">
        <f t="array" ref="C209">_xlfn.LET(_xlpm.p,$A209,_xlfn.IFNA(
  INDEX(tblProjectInfo[InfoValue],
        MATCH(1,(tblProjectInfo[ProjectName]=_xlpm.p)*
                 (UPPER(TRIM(tblProjectInfo[Info]))="PROJECT DEVELOPER"),0)
), ""))</f>
        <v/>
      </c>
      <c r="D209" s="148" t="str" cm="1">
        <f t="array" ref="D209">_xlfn.LET(_xlpm.p,$A209,_xlfn.IFNA(
  INDEX(tblProjectInfo[InfoValue],
        MATCH(1,(tblProjectInfo[ProjectName]=_xlpm.p)*
                 (UPPER(TRIM(tblProjectInfo[Info]))="PROJECT MANAGERS"),0)
), ""))</f>
        <v/>
      </c>
      <c r="E209" s="147"/>
      <c r="F209" s="147"/>
      <c r="G209" s="147"/>
      <c r="H209" s="162" t="str" cm="1">
        <f t="array" ref="H209">_xlfn.LET(_xlpm.p,$A209,_xlfn.IFNA(
  INDEX(tblProjectInfo[InfoValue],
        MATCH(1,(tblProjectInfo[ProjectName]=_xlpm.p)*
                 ISNUMBER(SEARCH("PHASE",UPPER(tblProjectInfo[Info]))),0)
), ""))</f>
        <v/>
      </c>
      <c r="I209" s="149"/>
      <c r="J209" s="149"/>
      <c r="K209" s="169"/>
      <c r="L209" s="169"/>
      <c r="M209" s="149"/>
      <c r="N209" s="149"/>
      <c r="O209" s="149"/>
      <c r="P209" s="150"/>
      <c r="Q209" s="150"/>
      <c r="R209" s="151"/>
      <c r="S209" s="152"/>
      <c r="T209" s="152"/>
      <c r="U209" s="150"/>
      <c r="V209" s="152"/>
      <c r="W209" s="152"/>
      <c r="X209" s="246"/>
      <c r="Y209" s="246"/>
      <c r="Z209"/>
      <c r="AA209"/>
      <c r="AB209"/>
      <c r="AC209"/>
    </row>
    <row r="210" spans="1:29">
      <c r="A210" t="str" cm="1">
        <f t="array" ref="A21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IFERROR(INDEX(_xlpm.sorted,ROWS(A$2:A210)),"")
)</f>
        <v/>
      </c>
      <c r="B210" s="147" t="str" cm="1">
        <f t="array" ref="B210">_xlfn.LET(_xlpm.p,$A210,_xlfn.IFNA(
  INDEX(tblProjectInfo[InfoValue],
        MATCH(1,(tblProjectInfo[ProjectName]=_xlpm.p)*
                 (UPPER(TRIM(tblProjectInfo[Info]))="PROJECT SIZE (KWP)"),0)
), ""))</f>
        <v/>
      </c>
      <c r="C210" s="147" t="str" cm="1">
        <f t="array" ref="C210">_xlfn.LET(_xlpm.p,$A210,_xlfn.IFNA(
  INDEX(tblProjectInfo[InfoValue],
        MATCH(1,(tblProjectInfo[ProjectName]=_xlpm.p)*
                 (UPPER(TRIM(tblProjectInfo[Info]))="PROJECT DEVELOPER"),0)
), ""))</f>
        <v/>
      </c>
      <c r="D210" s="148" t="str" cm="1">
        <f t="array" ref="D210">_xlfn.LET(_xlpm.p,$A210,_xlfn.IFNA(
  INDEX(tblProjectInfo[InfoValue],
        MATCH(1,(tblProjectInfo[ProjectName]=_xlpm.p)*
                 (UPPER(TRIM(tblProjectInfo[Info]))="PROJECT MANAGERS"),0)
), ""))</f>
        <v/>
      </c>
      <c r="E210" s="147"/>
      <c r="F210" s="147"/>
      <c r="G210" s="147"/>
      <c r="H210" s="162" t="str" cm="1">
        <f t="array" ref="H210">_xlfn.LET(_xlpm.p,$A210,_xlfn.IFNA(
  INDEX(tblProjectInfo[InfoValue],
        MATCH(1,(tblProjectInfo[ProjectName]=_xlpm.p)*
                 ISNUMBER(SEARCH("PHASE",UPPER(tblProjectInfo[Info]))),0)
), ""))</f>
        <v/>
      </c>
      <c r="I210" s="149"/>
      <c r="J210" s="149"/>
      <c r="K210" s="169"/>
      <c r="L210" s="169"/>
      <c r="M210" s="149"/>
      <c r="N210" s="149"/>
      <c r="O210" s="149"/>
      <c r="P210" s="150"/>
      <c r="Q210" s="150"/>
      <c r="R210" s="151"/>
      <c r="S210" s="152"/>
      <c r="T210" s="152"/>
      <c r="U210" s="150"/>
      <c r="V210" s="152"/>
      <c r="W210" s="152"/>
      <c r="X210" s="246"/>
      <c r="Y210" s="246"/>
      <c r="Z210"/>
      <c r="AA210"/>
      <c r="AB210"/>
      <c r="AC210"/>
    </row>
    <row r="211" spans="1:29">
      <c r="A211" t="str" cm="1">
        <f t="array" ref="A21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IFERROR(INDEX(_xlpm.sorted,ROWS(A$2:A211)),"")
)</f>
        <v/>
      </c>
      <c r="B211" s="147" t="str" cm="1">
        <f t="array" ref="B211">_xlfn.LET(_xlpm.p,$A211,_xlfn.IFNA(
  INDEX(tblProjectInfo[InfoValue],
        MATCH(1,(tblProjectInfo[ProjectName]=_xlpm.p)*
                 (UPPER(TRIM(tblProjectInfo[Info]))="PROJECT SIZE (KWP)"),0)
), ""))</f>
        <v/>
      </c>
      <c r="C211" s="147" t="str" cm="1">
        <f t="array" ref="C211">_xlfn.LET(_xlpm.p,$A211,_xlfn.IFNA(
  INDEX(tblProjectInfo[InfoValue],
        MATCH(1,(tblProjectInfo[ProjectName]=_xlpm.p)*
                 (UPPER(TRIM(tblProjectInfo[Info]))="PROJECT DEVELOPER"),0)
), ""))</f>
        <v/>
      </c>
      <c r="D211" s="148" t="str" cm="1">
        <f t="array" ref="D211">_xlfn.LET(_xlpm.p,$A211,_xlfn.IFNA(
  INDEX(tblProjectInfo[InfoValue],
        MATCH(1,(tblProjectInfo[ProjectName]=_xlpm.p)*
                 (UPPER(TRIM(tblProjectInfo[Info]))="PROJECT MANAGERS"),0)
), ""))</f>
        <v/>
      </c>
      <c r="E211" s="147"/>
      <c r="F211" s="147"/>
      <c r="G211" s="147"/>
      <c r="H211" s="162" t="str" cm="1">
        <f t="array" ref="H211">_xlfn.LET(_xlpm.p,$A211,_xlfn.IFNA(
  INDEX(tblProjectInfo[InfoValue],
        MATCH(1,(tblProjectInfo[ProjectName]=_xlpm.p)*
                 ISNUMBER(SEARCH("PHASE",UPPER(tblProjectInfo[Info]))),0)
), ""))</f>
        <v/>
      </c>
      <c r="I211" s="149"/>
      <c r="J211" s="149"/>
      <c r="K211" s="169"/>
      <c r="L211" s="169"/>
      <c r="M211" s="149"/>
      <c r="N211" s="149"/>
      <c r="O211" s="149"/>
      <c r="P211" s="150"/>
      <c r="Q211" s="150"/>
      <c r="R211" s="151"/>
      <c r="S211" s="152"/>
      <c r="T211" s="152"/>
      <c r="U211" s="150"/>
      <c r="V211" s="152"/>
      <c r="W211" s="152"/>
      <c r="X211" s="246"/>
      <c r="Y211" s="106"/>
    </row>
    <row r="212" spans="1:29">
      <c r="A212" t="str" cm="1">
        <f t="array" ref="A21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IFERROR(INDEX(_xlpm.sorted,ROWS(A$2:A212)),"")
)</f>
        <v/>
      </c>
      <c r="B212" s="147" t="str" cm="1">
        <f t="array" ref="B212">_xlfn.LET(_xlpm.p,$A212,_xlfn.IFNA(
  INDEX(tblProjectInfo[InfoValue],
        MATCH(1,(tblProjectInfo[ProjectName]=_xlpm.p)*
                 (UPPER(TRIM(tblProjectInfo[Info]))="PROJECT SIZE (KWP)"),0)
), ""))</f>
        <v/>
      </c>
      <c r="C212" s="147" t="str" cm="1">
        <f t="array" ref="C212">_xlfn.LET(_xlpm.p,$A212,_xlfn.IFNA(
  INDEX(tblProjectInfo[InfoValue],
        MATCH(1,(tblProjectInfo[ProjectName]=_xlpm.p)*
                 (UPPER(TRIM(tblProjectInfo[Info]))="PROJECT DEVELOPER"),0)
), ""))</f>
        <v/>
      </c>
      <c r="D212" s="148" t="str" cm="1">
        <f t="array" ref="D212">_xlfn.LET(_xlpm.p,$A212,_xlfn.IFNA(
  INDEX(tblProjectInfo[InfoValue],
        MATCH(1,(tblProjectInfo[ProjectName]=_xlpm.p)*
                 (UPPER(TRIM(tblProjectInfo[Info]))="PROJECT MANAGERS"),0)
), ""))</f>
        <v/>
      </c>
      <c r="E212" s="147"/>
      <c r="F212" s="147"/>
      <c r="G212" s="147"/>
      <c r="H212" s="162" t="str" cm="1">
        <f t="array" ref="H212">_xlfn.LET(_xlpm.p,$A212,_xlfn.IFNA(
  INDEX(tblProjectInfo[InfoValue],
        MATCH(1,(tblProjectInfo[ProjectName]=_xlpm.p)*
                 ISNUMBER(SEARCH("PHASE",UPPER(tblProjectInfo[Info]))),0)
), ""))</f>
        <v/>
      </c>
      <c r="I212" s="149"/>
      <c r="J212" s="149"/>
      <c r="K212" s="169"/>
      <c r="L212" s="169"/>
      <c r="M212" s="149"/>
      <c r="N212" s="149"/>
      <c r="O212" s="149"/>
      <c r="P212" s="150"/>
      <c r="Q212" s="150"/>
      <c r="R212" s="151"/>
      <c r="S212" s="152"/>
      <c r="T212" s="152"/>
      <c r="U212" s="150"/>
      <c r="V212" s="152"/>
      <c r="W212" s="152"/>
      <c r="X212" s="246"/>
      <c r="Y212" s="106"/>
    </row>
    <row r="213" spans="1:29">
      <c r="A213" t="str" cm="1">
        <f t="array" ref="A21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IFERROR(INDEX(_xlpm.sorted,ROWS(A$2:A213)),"")
)</f>
        <v/>
      </c>
      <c r="B213" s="147" t="str" cm="1">
        <f t="array" ref="B213">_xlfn.LET(_xlpm.p,$A213,_xlfn.IFNA(
  INDEX(tblProjectInfo[InfoValue],
        MATCH(1,(tblProjectInfo[ProjectName]=_xlpm.p)*
                 (UPPER(TRIM(tblProjectInfo[Info]))="PROJECT SIZE (KWP)"),0)
), ""))</f>
        <v/>
      </c>
      <c r="C213" s="147" t="str" cm="1">
        <f t="array" ref="C213">_xlfn.LET(_xlpm.p,$A213,_xlfn.IFNA(
  INDEX(tblProjectInfo[InfoValue],
        MATCH(1,(tblProjectInfo[ProjectName]=_xlpm.p)*
                 (UPPER(TRIM(tblProjectInfo[Info]))="PROJECT DEVELOPER"),0)
), ""))</f>
        <v/>
      </c>
      <c r="D213" s="148" t="str" cm="1">
        <f t="array" ref="D213">_xlfn.LET(_xlpm.p,$A213,_xlfn.IFNA(
  INDEX(tblProjectInfo[InfoValue],
        MATCH(1,(tblProjectInfo[ProjectName]=_xlpm.p)*
                 (UPPER(TRIM(tblProjectInfo[Info]))="PROJECT MANAGERS"),0)
), ""))</f>
        <v/>
      </c>
      <c r="E213" s="147"/>
      <c r="F213" s="147"/>
      <c r="G213" s="147"/>
      <c r="H213" s="162" t="str" cm="1">
        <f t="array" ref="H213">_xlfn.LET(_xlpm.p,$A213,_xlfn.IFNA(
  INDEX(tblProjectInfo[InfoValue],
        MATCH(1,(tblProjectInfo[ProjectName]=_xlpm.p)*
                 ISNUMBER(SEARCH("PHASE",UPPER(tblProjectInfo[Info]))),0)
), ""))</f>
        <v/>
      </c>
      <c r="I213" s="149"/>
      <c r="J213" s="149"/>
      <c r="K213" s="169"/>
      <c r="L213" s="169"/>
      <c r="M213" s="149"/>
      <c r="N213" s="149"/>
      <c r="O213" s="149"/>
      <c r="P213" s="150"/>
      <c r="Q213" s="150"/>
      <c r="R213" s="151"/>
      <c r="S213" s="152"/>
      <c r="T213" s="152"/>
      <c r="U213" s="150"/>
      <c r="V213" s="152"/>
      <c r="W213" s="152"/>
      <c r="X213" s="246"/>
      <c r="Y213" s="106"/>
    </row>
    <row r="214" spans="1:29">
      <c r="A214" t="str" cm="1">
        <f t="array" ref="A21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IFERROR(INDEX(_xlpm.sorted,ROWS(A$2:A214)),"")
)</f>
        <v/>
      </c>
      <c r="B214" s="147" t="str" cm="1">
        <f t="array" ref="B214">_xlfn.LET(_xlpm.p,$A214,_xlfn.IFNA(
  INDEX(tblProjectInfo[InfoValue],
        MATCH(1,(tblProjectInfo[ProjectName]=_xlpm.p)*
                 (UPPER(TRIM(tblProjectInfo[Info]))="PROJECT SIZE (KWP)"),0)
), ""))</f>
        <v/>
      </c>
      <c r="C214" s="147" t="str" cm="1">
        <f t="array" ref="C214">_xlfn.LET(_xlpm.p,$A214,_xlfn.IFNA(
  INDEX(tblProjectInfo[InfoValue],
        MATCH(1,(tblProjectInfo[ProjectName]=_xlpm.p)*
                 (UPPER(TRIM(tblProjectInfo[Info]))="PROJECT DEVELOPER"),0)
), ""))</f>
        <v/>
      </c>
      <c r="D214" s="148" t="str" cm="1">
        <f t="array" ref="D214">_xlfn.LET(_xlpm.p,$A214,_xlfn.IFNA(
  INDEX(tblProjectInfo[InfoValue],
        MATCH(1,(tblProjectInfo[ProjectName]=_xlpm.p)*
                 (UPPER(TRIM(tblProjectInfo[Info]))="PROJECT MANAGERS"),0)
), ""))</f>
        <v/>
      </c>
      <c r="E214" s="147"/>
      <c r="F214" s="147"/>
      <c r="G214" s="147"/>
      <c r="H214" s="162" t="str" cm="1">
        <f t="array" ref="H214">_xlfn.LET(_xlpm.p,$A214,_xlfn.IFNA(
  INDEX(tblProjectInfo[InfoValue],
        MATCH(1,(tblProjectInfo[ProjectName]=_xlpm.p)*
                 ISNUMBER(SEARCH("PHASE",UPPER(tblProjectInfo[Info]))),0)
), ""))</f>
        <v/>
      </c>
      <c r="I214" s="149"/>
      <c r="J214" s="149"/>
      <c r="K214" s="169"/>
      <c r="L214" s="169"/>
      <c r="M214" s="149"/>
      <c r="N214" s="149"/>
      <c r="O214" s="149"/>
      <c r="P214" s="150"/>
      <c r="Q214" s="150"/>
      <c r="R214" s="151"/>
      <c r="S214" s="152"/>
      <c r="T214" s="152"/>
      <c r="U214" s="150"/>
      <c r="V214" s="152"/>
      <c r="W214" s="152"/>
      <c r="X214" s="246"/>
      <c r="Y214" s="106"/>
    </row>
    <row r="215" spans="1:29">
      <c r="A215" t="str" cm="1">
        <f t="array" ref="A21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IFERROR(INDEX(_xlpm.sorted,ROWS(A$2:A215)),"")
)</f>
        <v/>
      </c>
      <c r="B215" s="147" t="str" cm="1">
        <f t="array" ref="B215">_xlfn.LET(_xlpm.p,$A215,_xlfn.IFNA(
  INDEX(tblProjectInfo[InfoValue],
        MATCH(1,(tblProjectInfo[ProjectName]=_xlpm.p)*
                 (UPPER(TRIM(tblProjectInfo[Info]))="PROJECT SIZE (KWP)"),0)
), ""))</f>
        <v/>
      </c>
      <c r="C215" s="147" t="str" cm="1">
        <f t="array" ref="C215">_xlfn.LET(_xlpm.p,$A215,_xlfn.IFNA(
  INDEX(tblProjectInfo[InfoValue],
        MATCH(1,(tblProjectInfo[ProjectName]=_xlpm.p)*
                 (UPPER(TRIM(tblProjectInfo[Info]))="PROJECT DEVELOPER"),0)
), ""))</f>
        <v/>
      </c>
      <c r="D215" s="148" t="str" cm="1">
        <f t="array" ref="D215">_xlfn.LET(_xlpm.p,$A215,_xlfn.IFNA(
  INDEX(tblProjectInfo[InfoValue],
        MATCH(1,(tblProjectInfo[ProjectName]=_xlpm.p)*
                 (UPPER(TRIM(tblProjectInfo[Info]))="PROJECT MANAGERS"),0)
), ""))</f>
        <v/>
      </c>
      <c r="E215" s="147"/>
      <c r="F215" s="147"/>
      <c r="G215" s="147"/>
      <c r="H215" s="162" t="str" cm="1">
        <f t="array" ref="H215">_xlfn.LET(_xlpm.p,$A215,_xlfn.IFNA(
  INDEX(tblProjectInfo[InfoValue],
        MATCH(1,(tblProjectInfo[ProjectName]=_xlpm.p)*
                 ISNUMBER(SEARCH("PHASE",UPPER(tblProjectInfo[Info]))),0)
), ""))</f>
        <v/>
      </c>
      <c r="I215" s="149"/>
      <c r="J215" s="149"/>
      <c r="K215" s="169"/>
      <c r="L215" s="169"/>
      <c r="M215" s="149"/>
      <c r="N215" s="149"/>
      <c r="O215" s="149"/>
      <c r="P215" s="150"/>
      <c r="Q215" s="150"/>
      <c r="R215" s="151"/>
      <c r="S215" s="152"/>
      <c r="T215" s="152"/>
      <c r="U215" s="150"/>
      <c r="V215" s="152"/>
      <c r="W215" s="152"/>
      <c r="X215" s="246"/>
      <c r="Y215" s="106"/>
    </row>
    <row r="216" spans="1:29">
      <c r="A216" t="str" cm="1">
        <f t="array" ref="A21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IFERROR(INDEX(_xlpm.sorted,ROWS(A$2:A216)),"")
)</f>
        <v/>
      </c>
      <c r="B216" s="147" t="str" cm="1">
        <f t="array" ref="B216">_xlfn.LET(_xlpm.p,$A216,_xlfn.IFNA(
  INDEX(tblProjectInfo[InfoValue],
        MATCH(1,(tblProjectInfo[ProjectName]=_xlpm.p)*
                 (UPPER(TRIM(tblProjectInfo[Info]))="PROJECT SIZE (KWP)"),0)
), ""))</f>
        <v/>
      </c>
      <c r="C216" s="147" t="str" cm="1">
        <f t="array" ref="C216">_xlfn.LET(_xlpm.p,$A216,_xlfn.IFNA(
  INDEX(tblProjectInfo[InfoValue],
        MATCH(1,(tblProjectInfo[ProjectName]=_xlpm.p)*
                 (UPPER(TRIM(tblProjectInfo[Info]))="PROJECT DEVELOPER"),0)
), ""))</f>
        <v/>
      </c>
      <c r="D216" s="148" t="str" cm="1">
        <f t="array" ref="D216">_xlfn.LET(_xlpm.p,$A216,_xlfn.IFNA(
  INDEX(tblProjectInfo[InfoValue],
        MATCH(1,(tblProjectInfo[ProjectName]=_xlpm.p)*
                 (UPPER(TRIM(tblProjectInfo[Info]))="PROJECT MANAGERS"),0)
), ""))</f>
        <v/>
      </c>
      <c r="E216" s="147"/>
      <c r="F216" s="147"/>
      <c r="G216" s="147"/>
      <c r="H216" s="162" t="str" cm="1">
        <f t="array" ref="H216">_xlfn.LET(_xlpm.p,$A216,_xlfn.IFNA(
  INDEX(tblProjectInfo[InfoValue],
        MATCH(1,(tblProjectInfo[ProjectName]=_xlpm.p)*
                 ISNUMBER(SEARCH("PHASE",UPPER(tblProjectInfo[Info]))),0)
), ""))</f>
        <v/>
      </c>
      <c r="I216" s="149"/>
      <c r="J216" s="149"/>
      <c r="K216" s="169"/>
      <c r="L216" s="169"/>
      <c r="M216" s="149"/>
      <c r="N216" s="149"/>
      <c r="O216" s="149"/>
      <c r="P216" s="150"/>
      <c r="Q216" s="150"/>
      <c r="R216" s="151"/>
      <c r="S216" s="152"/>
      <c r="T216" s="152"/>
      <c r="U216" s="150"/>
      <c r="V216" s="152"/>
      <c r="W216" s="152"/>
      <c r="X216" s="246"/>
      <c r="Y216" s="106"/>
    </row>
    <row r="217" spans="1:29">
      <c r="A217" t="str" cm="1">
        <f t="array" ref="A21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IFERROR(INDEX(_xlpm.sorted,ROWS(A$2:A217)),"")
)</f>
        <v/>
      </c>
      <c r="B217" s="147" t="str" cm="1">
        <f t="array" ref="B217">_xlfn.LET(_xlpm.p,$A217,_xlfn.IFNA(
  INDEX(tblProjectInfo[InfoValue],
        MATCH(1,(tblProjectInfo[ProjectName]=_xlpm.p)*
                 (UPPER(TRIM(tblProjectInfo[Info]))="PROJECT SIZE (KWP)"),0)
), ""))</f>
        <v/>
      </c>
      <c r="C217" s="147" t="str" cm="1">
        <f t="array" ref="C217">_xlfn.LET(_xlpm.p,$A217,_xlfn.IFNA(
  INDEX(tblProjectInfo[InfoValue],
        MATCH(1,(tblProjectInfo[ProjectName]=_xlpm.p)*
                 (UPPER(TRIM(tblProjectInfo[Info]))="PROJECT DEVELOPER"),0)
), ""))</f>
        <v/>
      </c>
      <c r="D217" s="148" t="str" cm="1">
        <f t="array" ref="D217">_xlfn.LET(_xlpm.p,$A217,_xlfn.IFNA(
  INDEX(tblProjectInfo[InfoValue],
        MATCH(1,(tblProjectInfo[ProjectName]=_xlpm.p)*
                 (UPPER(TRIM(tblProjectInfo[Info]))="PROJECT MANAGERS"),0)
), ""))</f>
        <v/>
      </c>
      <c r="E217" s="147"/>
      <c r="F217" s="147"/>
      <c r="G217" s="147"/>
      <c r="H217" s="162" t="str" cm="1">
        <f t="array" ref="H217">_xlfn.LET(_xlpm.p,$A217,_xlfn.IFNA(
  INDEX(tblProjectInfo[InfoValue],
        MATCH(1,(tblProjectInfo[ProjectName]=_xlpm.p)*
                 ISNUMBER(SEARCH("PHASE",UPPER(tblProjectInfo[Info]))),0)
), ""))</f>
        <v/>
      </c>
      <c r="I217" s="149"/>
      <c r="J217" s="149"/>
      <c r="K217" s="169"/>
      <c r="L217" s="169"/>
      <c r="M217" s="149"/>
      <c r="N217" s="149"/>
      <c r="O217" s="149"/>
      <c r="P217" s="150"/>
      <c r="Q217" s="150"/>
      <c r="R217" s="151"/>
      <c r="S217" s="152"/>
      <c r="T217" s="152"/>
      <c r="U217" s="150"/>
      <c r="V217" s="152"/>
      <c r="W217" s="152"/>
      <c r="X217" s="246"/>
      <c r="Y217" s="106"/>
    </row>
    <row r="218" spans="1:29">
      <c r="A218" t="str" cm="1">
        <f t="array" ref="A21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IFERROR(INDEX(_xlpm.sorted,ROWS(A$2:A218)),"")
)</f>
        <v/>
      </c>
      <c r="B218" s="147" t="str" cm="1">
        <f t="array" ref="B218">_xlfn.LET(_xlpm.p,$A218,_xlfn.IFNA(
  INDEX(tblProjectInfo[InfoValue],
        MATCH(1,(tblProjectInfo[ProjectName]=_xlpm.p)*
                 (UPPER(TRIM(tblProjectInfo[Info]))="PROJECT SIZE (KWP)"),0)
), ""))</f>
        <v/>
      </c>
      <c r="C218" s="147" t="str" cm="1">
        <f t="array" ref="C218">_xlfn.LET(_xlpm.p,$A218,_xlfn.IFNA(
  INDEX(tblProjectInfo[InfoValue],
        MATCH(1,(tblProjectInfo[ProjectName]=_xlpm.p)*
                 (UPPER(TRIM(tblProjectInfo[Info]))="PROJECT DEVELOPER"),0)
), ""))</f>
        <v/>
      </c>
      <c r="D218" s="148" t="str" cm="1">
        <f t="array" ref="D218">_xlfn.LET(_xlpm.p,$A218,_xlfn.IFNA(
  INDEX(tblProjectInfo[InfoValue],
        MATCH(1,(tblProjectInfo[ProjectName]=_xlpm.p)*
                 (UPPER(TRIM(tblProjectInfo[Info]))="PROJECT MANAGERS"),0)
), ""))</f>
        <v/>
      </c>
      <c r="E218" s="147"/>
      <c r="F218" s="147"/>
      <c r="G218" s="147"/>
      <c r="H218" s="162" t="str" cm="1">
        <f t="array" ref="H218">_xlfn.LET(_xlpm.p,$A218,_xlfn.IFNA(
  INDEX(tblProjectInfo[InfoValue],
        MATCH(1,(tblProjectInfo[ProjectName]=_xlpm.p)*
                 ISNUMBER(SEARCH("PHASE",UPPER(tblProjectInfo[Info]))),0)
), ""))</f>
        <v/>
      </c>
      <c r="I218" s="149"/>
      <c r="J218" s="149"/>
      <c r="K218" s="169"/>
      <c r="L218" s="169"/>
      <c r="M218" s="149"/>
      <c r="N218" s="149"/>
      <c r="O218" s="149"/>
      <c r="P218" s="150"/>
      <c r="Q218" s="150"/>
      <c r="R218" s="151"/>
      <c r="S218" s="152"/>
      <c r="T218" s="152"/>
      <c r="U218" s="150"/>
      <c r="V218" s="152"/>
      <c r="W218" s="152"/>
      <c r="X218" s="246"/>
      <c r="Y218" s="106"/>
    </row>
    <row r="219" spans="1:29">
      <c r="A219" t="str" cm="1">
        <f t="array" ref="A21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IFERROR(INDEX(_xlpm.sorted,ROWS(A$2:A219)),"")
)</f>
        <v/>
      </c>
      <c r="B219" s="147" t="str" cm="1">
        <f t="array" ref="B219">_xlfn.LET(_xlpm.p,$A219,_xlfn.IFNA(
  INDEX(tblProjectInfo[InfoValue],
        MATCH(1,(tblProjectInfo[ProjectName]=_xlpm.p)*
                 (UPPER(TRIM(tblProjectInfo[Info]))="PROJECT SIZE (KWP)"),0)
), ""))</f>
        <v/>
      </c>
      <c r="C219" s="147" t="str" cm="1">
        <f t="array" ref="C219">_xlfn.LET(_xlpm.p,$A219,_xlfn.IFNA(
  INDEX(tblProjectInfo[InfoValue],
        MATCH(1,(tblProjectInfo[ProjectName]=_xlpm.p)*
                 (UPPER(TRIM(tblProjectInfo[Info]))="PROJECT DEVELOPER"),0)
), ""))</f>
        <v/>
      </c>
      <c r="D219" s="148" t="str" cm="1">
        <f t="array" ref="D219">_xlfn.LET(_xlpm.p,$A219,_xlfn.IFNA(
  INDEX(tblProjectInfo[InfoValue],
        MATCH(1,(tblProjectInfo[ProjectName]=_xlpm.p)*
                 (UPPER(TRIM(tblProjectInfo[Info]))="PROJECT MANAGERS"),0)
), ""))</f>
        <v/>
      </c>
      <c r="E219" s="147"/>
      <c r="F219" s="147"/>
      <c r="G219" s="147"/>
      <c r="H219" s="162" t="str" cm="1">
        <f t="array" ref="H219">_xlfn.LET(_xlpm.p,$A219,_xlfn.IFNA(
  INDEX(tblProjectInfo[InfoValue],
        MATCH(1,(tblProjectInfo[ProjectName]=_xlpm.p)*
                 ISNUMBER(SEARCH("PHASE",UPPER(tblProjectInfo[Info]))),0)
), ""))</f>
        <v/>
      </c>
      <c r="I219" s="149"/>
      <c r="J219" s="149"/>
      <c r="K219" s="169"/>
      <c r="L219" s="169"/>
      <c r="M219" s="149"/>
      <c r="N219" s="149"/>
      <c r="O219" s="149"/>
      <c r="P219" s="150"/>
      <c r="Q219" s="150"/>
      <c r="R219" s="151"/>
      <c r="S219" s="152"/>
      <c r="T219" s="152"/>
      <c r="U219" s="150"/>
      <c r="V219" s="152"/>
      <c r="W219" s="152"/>
      <c r="X219" s="246"/>
      <c r="Y219" s="106"/>
    </row>
    <row r="220" spans="1:29">
      <c r="A220" t="str" cm="1">
        <f t="array" ref="A22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IFERROR(INDEX(_xlpm.sorted,ROWS(A$2:A220)),"")
)</f>
        <v/>
      </c>
      <c r="B220" s="147" t="str" cm="1">
        <f t="array" ref="B220">_xlfn.LET(_xlpm.p,$A220,_xlfn.IFNA(
  INDEX(tblProjectInfo[InfoValue],
        MATCH(1,(tblProjectInfo[ProjectName]=_xlpm.p)*
                 (UPPER(TRIM(tblProjectInfo[Info]))="PROJECT SIZE (KWP)"),0)
), ""))</f>
        <v/>
      </c>
      <c r="C220" s="147" t="str" cm="1">
        <f t="array" ref="C220">_xlfn.LET(_xlpm.p,$A220,_xlfn.IFNA(
  INDEX(tblProjectInfo[InfoValue],
        MATCH(1,(tblProjectInfo[ProjectName]=_xlpm.p)*
                 (UPPER(TRIM(tblProjectInfo[Info]))="PROJECT DEVELOPER"),0)
), ""))</f>
        <v/>
      </c>
      <c r="D220" s="148" t="str" cm="1">
        <f t="array" ref="D220">_xlfn.LET(_xlpm.p,$A220,_xlfn.IFNA(
  INDEX(tblProjectInfo[InfoValue],
        MATCH(1,(tblProjectInfo[ProjectName]=_xlpm.p)*
                 (UPPER(TRIM(tblProjectInfo[Info]))="PROJECT MANAGERS"),0)
), ""))</f>
        <v/>
      </c>
      <c r="E220" s="147"/>
      <c r="F220" s="147"/>
      <c r="G220" s="147"/>
      <c r="H220" s="162" t="str" cm="1">
        <f t="array" ref="H220">_xlfn.LET(_xlpm.p,$A220,_xlfn.IFNA(
  INDEX(tblProjectInfo[InfoValue],
        MATCH(1,(tblProjectInfo[ProjectName]=_xlpm.p)*
                 ISNUMBER(SEARCH("PHASE",UPPER(tblProjectInfo[Info]))),0)
), ""))</f>
        <v/>
      </c>
      <c r="I220" s="149"/>
      <c r="J220" s="149"/>
      <c r="K220" s="169"/>
      <c r="L220" s="169"/>
      <c r="M220" s="149"/>
      <c r="N220" s="149"/>
      <c r="O220" s="149"/>
      <c r="P220" s="150"/>
      <c r="Q220" s="150"/>
      <c r="R220" s="151"/>
      <c r="S220" s="152"/>
      <c r="T220" s="152"/>
      <c r="U220" s="150"/>
      <c r="V220" s="152"/>
      <c r="W220" s="152"/>
      <c r="X220" s="246"/>
      <c r="Y220" s="106"/>
    </row>
    <row r="221" spans="1:29">
      <c r="A221" t="str" cm="1">
        <f t="array" ref="A22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IFERROR(INDEX(_xlpm.sorted,ROWS(A$2:A221)),"")
)</f>
        <v/>
      </c>
      <c r="B221" s="147" t="str" cm="1">
        <f t="array" ref="B221">_xlfn.LET(_xlpm.p,$A221,_xlfn.IFNA(
  INDEX(tblProjectInfo[InfoValue],
        MATCH(1,(tblProjectInfo[ProjectName]=_xlpm.p)*
                 (UPPER(TRIM(tblProjectInfo[Info]))="PROJECT SIZE (KWP)"),0)
), ""))</f>
        <v/>
      </c>
      <c r="C221" s="147" t="str" cm="1">
        <f t="array" ref="C221">_xlfn.LET(_xlpm.p,$A221,_xlfn.IFNA(
  INDEX(tblProjectInfo[InfoValue],
        MATCH(1,(tblProjectInfo[ProjectName]=_xlpm.p)*
                 (UPPER(TRIM(tblProjectInfo[Info]))="PROJECT DEVELOPER"),0)
), ""))</f>
        <v/>
      </c>
      <c r="D221" s="148" t="str" cm="1">
        <f t="array" ref="D221">_xlfn.LET(_xlpm.p,$A221,_xlfn.IFNA(
  INDEX(tblProjectInfo[InfoValue],
        MATCH(1,(tblProjectInfo[ProjectName]=_xlpm.p)*
                 (UPPER(TRIM(tblProjectInfo[Info]))="PROJECT MANAGERS"),0)
), ""))</f>
        <v/>
      </c>
      <c r="E221" s="147"/>
      <c r="F221" s="147"/>
      <c r="G221" s="147"/>
      <c r="H221" s="162" t="str" cm="1">
        <f t="array" ref="H221">_xlfn.LET(_xlpm.p,$A221,_xlfn.IFNA(
  INDEX(tblProjectInfo[InfoValue],
        MATCH(1,(tblProjectInfo[ProjectName]=_xlpm.p)*
                 ISNUMBER(SEARCH("PHASE",UPPER(tblProjectInfo[Info]))),0)
), ""))</f>
        <v/>
      </c>
      <c r="I221" s="149"/>
      <c r="J221" s="149"/>
      <c r="K221" s="169"/>
      <c r="L221" s="169"/>
      <c r="M221" s="149"/>
      <c r="N221" s="149"/>
      <c r="O221" s="149"/>
      <c r="P221" s="150"/>
      <c r="Q221" s="150"/>
      <c r="R221" s="151"/>
      <c r="S221" s="152"/>
      <c r="T221" s="152"/>
      <c r="U221" s="150"/>
      <c r="V221" s="152"/>
      <c r="W221" s="152"/>
      <c r="X221" s="246"/>
      <c r="Y221" s="106"/>
    </row>
    <row r="222" spans="1:29">
      <c r="A222" t="str" cm="1">
        <f t="array" ref="A22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IFERROR(INDEX(_xlpm.sorted,ROWS(A$2:A222)),"")
)</f>
        <v/>
      </c>
      <c r="B222" s="147" t="str" cm="1">
        <f t="array" ref="B222">_xlfn.LET(_xlpm.p,$A222,_xlfn.IFNA(
  INDEX(tblProjectInfo[InfoValue],
        MATCH(1,(tblProjectInfo[ProjectName]=_xlpm.p)*
                 (UPPER(TRIM(tblProjectInfo[Info]))="PROJECT SIZE (KWP)"),0)
), ""))</f>
        <v/>
      </c>
      <c r="C222" s="147" t="str" cm="1">
        <f t="array" ref="C222">_xlfn.LET(_xlpm.p,$A222,_xlfn.IFNA(
  INDEX(tblProjectInfo[InfoValue],
        MATCH(1,(tblProjectInfo[ProjectName]=_xlpm.p)*
                 (UPPER(TRIM(tblProjectInfo[Info]))="PROJECT DEVELOPER"),0)
), ""))</f>
        <v/>
      </c>
      <c r="D222" s="148" t="str" cm="1">
        <f t="array" ref="D222">_xlfn.LET(_xlpm.p,$A222,_xlfn.IFNA(
  INDEX(tblProjectInfo[InfoValue],
        MATCH(1,(tblProjectInfo[ProjectName]=_xlpm.p)*
                 (UPPER(TRIM(tblProjectInfo[Info]))="PROJECT MANAGERS"),0)
), ""))</f>
        <v/>
      </c>
      <c r="E222" s="147"/>
      <c r="F222" s="147"/>
      <c r="G222" s="147"/>
      <c r="H222" s="162" t="str" cm="1">
        <f t="array" ref="H222">_xlfn.LET(_xlpm.p,$A222,_xlfn.IFNA(
  INDEX(tblProjectInfo[InfoValue],
        MATCH(1,(tblProjectInfo[ProjectName]=_xlpm.p)*
                 ISNUMBER(SEARCH("PHASE",UPPER(tblProjectInfo[Info]))),0)
), ""))</f>
        <v/>
      </c>
      <c r="I222" s="149"/>
      <c r="J222" s="149"/>
      <c r="K222" s="169"/>
      <c r="L222" s="169"/>
      <c r="M222" s="149"/>
      <c r="N222" s="149"/>
      <c r="O222" s="149"/>
      <c r="P222" s="150"/>
      <c r="Q222" s="150"/>
      <c r="R222" s="151"/>
      <c r="S222" s="152"/>
      <c r="T222" s="152"/>
      <c r="U222" s="150"/>
      <c r="V222" s="152"/>
      <c r="W222" s="152"/>
      <c r="X222" s="246"/>
      <c r="Y222" s="106"/>
    </row>
    <row r="223" spans="1:29">
      <c r="A223" t="str" cm="1">
        <f t="array" ref="A22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IFERROR(INDEX(_xlpm.sorted,ROWS(A$2:A223)),"")
)</f>
        <v/>
      </c>
      <c r="B223" s="147" t="str" cm="1">
        <f t="array" ref="B223">_xlfn.LET(_xlpm.p,$A223,_xlfn.IFNA(
  INDEX(tblProjectInfo[InfoValue],
        MATCH(1,(tblProjectInfo[ProjectName]=_xlpm.p)*
                 (UPPER(TRIM(tblProjectInfo[Info]))="PROJECT SIZE (KWP)"),0)
), ""))</f>
        <v/>
      </c>
      <c r="C223" s="147" t="str" cm="1">
        <f t="array" ref="C223">_xlfn.LET(_xlpm.p,$A223,_xlfn.IFNA(
  INDEX(tblProjectInfo[InfoValue],
        MATCH(1,(tblProjectInfo[ProjectName]=_xlpm.p)*
                 (UPPER(TRIM(tblProjectInfo[Info]))="PROJECT DEVELOPER"),0)
), ""))</f>
        <v/>
      </c>
      <c r="D223" s="148" t="str" cm="1">
        <f t="array" ref="D223">_xlfn.LET(_xlpm.p,$A223,_xlfn.IFNA(
  INDEX(tblProjectInfo[InfoValue],
        MATCH(1,(tblProjectInfo[ProjectName]=_xlpm.p)*
                 (UPPER(TRIM(tblProjectInfo[Info]))="PROJECT MANAGERS"),0)
), ""))</f>
        <v/>
      </c>
      <c r="E223" s="147"/>
      <c r="F223" s="147"/>
      <c r="G223" s="147"/>
      <c r="H223" s="162" t="str" cm="1">
        <f t="array" ref="H223">_xlfn.LET(_xlpm.p,$A223,_xlfn.IFNA(
  INDEX(tblProjectInfo[InfoValue],
        MATCH(1,(tblProjectInfo[ProjectName]=_xlpm.p)*
                 ISNUMBER(SEARCH("PHASE",UPPER(tblProjectInfo[Info]))),0)
), ""))</f>
        <v/>
      </c>
      <c r="I223" s="149"/>
      <c r="J223" s="149"/>
      <c r="K223" s="169"/>
      <c r="L223" s="169"/>
      <c r="M223" s="149"/>
      <c r="N223" s="149"/>
      <c r="O223" s="149"/>
      <c r="P223" s="150"/>
      <c r="Q223" s="150"/>
      <c r="R223" s="151"/>
      <c r="S223" s="152"/>
      <c r="T223" s="152"/>
      <c r="U223" s="150"/>
      <c r="V223" s="152"/>
      <c r="W223" s="152"/>
      <c r="X223" s="246"/>
      <c r="Y223" s="106"/>
    </row>
    <row r="224" spans="1:29">
      <c r="A224" t="str" cm="1">
        <f t="array" ref="A22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IFERROR(INDEX(_xlpm.sorted,ROWS(A$2:A224)),"")
)</f>
        <v/>
      </c>
      <c r="B224" s="147" t="str" cm="1">
        <f t="array" ref="B224">_xlfn.LET(_xlpm.p,$A224,_xlfn.IFNA(
  INDEX(tblProjectInfo[InfoValue],
        MATCH(1,(tblProjectInfo[ProjectName]=_xlpm.p)*
                 (UPPER(TRIM(tblProjectInfo[Info]))="PROJECT SIZE (KWP)"),0)
), ""))</f>
        <v/>
      </c>
      <c r="C224" s="147" t="str" cm="1">
        <f t="array" ref="C224">_xlfn.LET(_xlpm.p,$A224,_xlfn.IFNA(
  INDEX(tblProjectInfo[InfoValue],
        MATCH(1,(tblProjectInfo[ProjectName]=_xlpm.p)*
                 (UPPER(TRIM(tblProjectInfo[Info]))="PROJECT DEVELOPER"),0)
), ""))</f>
        <v/>
      </c>
      <c r="D224" s="148" t="str" cm="1">
        <f t="array" ref="D224">_xlfn.LET(_xlpm.p,$A224,_xlfn.IFNA(
  INDEX(tblProjectInfo[InfoValue],
        MATCH(1,(tblProjectInfo[ProjectName]=_xlpm.p)*
                 (UPPER(TRIM(tblProjectInfo[Info]))="PROJECT MANAGERS"),0)
), ""))</f>
        <v/>
      </c>
      <c r="E224" s="147"/>
      <c r="F224" s="147"/>
      <c r="G224" s="147"/>
      <c r="H224" s="162" t="str" cm="1">
        <f t="array" ref="H224">_xlfn.LET(_xlpm.p,$A224,_xlfn.IFNA(
  INDEX(tblProjectInfo[InfoValue],
        MATCH(1,(tblProjectInfo[ProjectName]=_xlpm.p)*
                 ISNUMBER(SEARCH("PHASE",UPPER(tblProjectInfo[Info]))),0)
), ""))</f>
        <v/>
      </c>
      <c r="I224" s="149"/>
      <c r="J224" s="149"/>
      <c r="K224" s="169"/>
      <c r="L224" s="169"/>
      <c r="M224" s="149"/>
      <c r="N224" s="149"/>
      <c r="O224" s="149"/>
      <c r="P224" s="150"/>
      <c r="Q224" s="150"/>
      <c r="R224" s="151"/>
      <c r="S224" s="152"/>
      <c r="T224" s="152"/>
      <c r="U224" s="150"/>
      <c r="V224" s="152"/>
      <c r="W224" s="152"/>
      <c r="X224" s="246"/>
      <c r="Y224" s="106"/>
    </row>
    <row r="225" spans="1:25">
      <c r="A225" t="str" cm="1">
        <f t="array" ref="A22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IFERROR(INDEX(_xlpm.sorted,ROWS(A$2:A225)),"")
)</f>
        <v/>
      </c>
      <c r="B225" s="147" t="str" cm="1">
        <f t="array" ref="B225">_xlfn.LET(_xlpm.p,$A225,_xlfn.IFNA(
  INDEX(tblProjectInfo[InfoValue],
        MATCH(1,(tblProjectInfo[ProjectName]=_xlpm.p)*
                 (UPPER(TRIM(tblProjectInfo[Info]))="PROJECT SIZE (KWP)"),0)
), ""))</f>
        <v/>
      </c>
      <c r="C225" s="147" t="str" cm="1">
        <f t="array" ref="C225">_xlfn.LET(_xlpm.p,$A225,_xlfn.IFNA(
  INDEX(tblProjectInfo[InfoValue],
        MATCH(1,(tblProjectInfo[ProjectName]=_xlpm.p)*
                 (UPPER(TRIM(tblProjectInfo[Info]))="PROJECT DEVELOPER"),0)
), ""))</f>
        <v/>
      </c>
      <c r="D225" s="148" t="str" cm="1">
        <f t="array" ref="D225">_xlfn.LET(_xlpm.p,$A225,_xlfn.IFNA(
  INDEX(tblProjectInfo[InfoValue],
        MATCH(1,(tblProjectInfo[ProjectName]=_xlpm.p)*
                 (UPPER(TRIM(tblProjectInfo[Info]))="PROJECT MANAGERS"),0)
), ""))</f>
        <v/>
      </c>
      <c r="E225" s="147"/>
      <c r="F225" s="147"/>
      <c r="G225" s="147"/>
      <c r="H225" s="162" t="str" cm="1">
        <f t="array" ref="H225">_xlfn.LET(_xlpm.p,$A225,_xlfn.IFNA(
  INDEX(tblProjectInfo[InfoValue],
        MATCH(1,(tblProjectInfo[ProjectName]=_xlpm.p)*
                 ISNUMBER(SEARCH("PHASE",UPPER(tblProjectInfo[Info]))),0)
), ""))</f>
        <v/>
      </c>
      <c r="I225" s="149"/>
      <c r="J225" s="149"/>
      <c r="K225" s="169"/>
      <c r="L225" s="169"/>
      <c r="M225" s="149"/>
      <c r="N225" s="149"/>
      <c r="O225" s="149"/>
      <c r="P225" s="150"/>
      <c r="Q225" s="150"/>
      <c r="R225" s="151"/>
      <c r="S225" s="152"/>
      <c r="T225" s="152"/>
      <c r="U225" s="150"/>
      <c r="V225" s="152"/>
      <c r="W225" s="152"/>
      <c r="X225" s="246"/>
      <c r="Y225" s="106"/>
    </row>
    <row r="226" spans="1:25">
      <c r="A226" t="str" cm="1">
        <f t="array" ref="A22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IFERROR(INDEX(_xlpm.sorted,ROWS(A$2:A226)),"")
)</f>
        <v/>
      </c>
      <c r="B226" s="147" t="str" cm="1">
        <f t="array" ref="B226">_xlfn.LET(_xlpm.p,$A226,_xlfn.IFNA(
  INDEX(tblProjectInfo[InfoValue],
        MATCH(1,(tblProjectInfo[ProjectName]=_xlpm.p)*
                 (UPPER(TRIM(tblProjectInfo[Info]))="PROJECT SIZE (KWP)"),0)
), ""))</f>
        <v/>
      </c>
      <c r="C226" s="147" t="str" cm="1">
        <f t="array" ref="C226">_xlfn.LET(_xlpm.p,$A226,_xlfn.IFNA(
  INDEX(tblProjectInfo[InfoValue],
        MATCH(1,(tblProjectInfo[ProjectName]=_xlpm.p)*
                 (UPPER(TRIM(tblProjectInfo[Info]))="PROJECT DEVELOPER"),0)
), ""))</f>
        <v/>
      </c>
      <c r="D226" s="148" t="str" cm="1">
        <f t="array" ref="D226">_xlfn.LET(_xlpm.p,$A226,_xlfn.IFNA(
  INDEX(tblProjectInfo[InfoValue],
        MATCH(1,(tblProjectInfo[ProjectName]=_xlpm.p)*
                 (UPPER(TRIM(tblProjectInfo[Info]))="PROJECT MANAGERS"),0)
), ""))</f>
        <v/>
      </c>
      <c r="E226" s="147"/>
      <c r="F226" s="147"/>
      <c r="G226" s="147"/>
      <c r="H226" s="162" t="str" cm="1">
        <f t="array" ref="H226">_xlfn.LET(_xlpm.p,$A226,_xlfn.IFNA(
  INDEX(tblProjectInfo[InfoValue],
        MATCH(1,(tblProjectInfo[ProjectName]=_xlpm.p)*
                 ISNUMBER(SEARCH("PHASE",UPPER(tblProjectInfo[Info]))),0)
), ""))</f>
        <v/>
      </c>
      <c r="I226" s="149"/>
      <c r="J226" s="149"/>
      <c r="K226" s="169"/>
      <c r="L226" s="169"/>
      <c r="M226" s="149"/>
      <c r="N226" s="149"/>
      <c r="O226" s="149"/>
      <c r="P226" s="150"/>
      <c r="Q226" s="150"/>
      <c r="R226" s="151"/>
      <c r="S226" s="152"/>
      <c r="T226" s="152"/>
      <c r="U226" s="150"/>
      <c r="V226" s="152"/>
      <c r="W226" s="152"/>
      <c r="X226" s="246"/>
      <c r="Y226" s="106"/>
    </row>
    <row r="227" spans="1:25">
      <c r="A227" t="str" cm="1">
        <f t="array" ref="A22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IFERROR(INDEX(_xlpm.sorted,ROWS(A$2:A227)),"")
)</f>
        <v/>
      </c>
      <c r="B227" s="147" t="str" cm="1">
        <f t="array" ref="B227">_xlfn.LET(_xlpm.p,$A227,_xlfn.IFNA(
  INDEX(tblProjectInfo[InfoValue],
        MATCH(1,(tblProjectInfo[ProjectName]=_xlpm.p)*
                 (UPPER(TRIM(tblProjectInfo[Info]))="PROJECT SIZE (KWP)"),0)
), ""))</f>
        <v/>
      </c>
      <c r="C227" s="147" t="str" cm="1">
        <f t="array" ref="C227">_xlfn.LET(_xlpm.p,$A227,_xlfn.IFNA(
  INDEX(tblProjectInfo[InfoValue],
        MATCH(1,(tblProjectInfo[ProjectName]=_xlpm.p)*
                 (UPPER(TRIM(tblProjectInfo[Info]))="PROJECT DEVELOPER"),0)
), ""))</f>
        <v/>
      </c>
      <c r="D227" s="148" t="str" cm="1">
        <f t="array" ref="D227">_xlfn.LET(_xlpm.p,$A227,_xlfn.IFNA(
  INDEX(tblProjectInfo[InfoValue],
        MATCH(1,(tblProjectInfo[ProjectName]=_xlpm.p)*
                 (UPPER(TRIM(tblProjectInfo[Info]))="PROJECT MANAGERS"),0)
), ""))</f>
        <v/>
      </c>
      <c r="E227" s="147"/>
      <c r="F227" s="147"/>
      <c r="G227" s="147"/>
      <c r="H227" s="162" t="str" cm="1">
        <f t="array" ref="H227">_xlfn.LET(_xlpm.p,$A227,_xlfn.IFNA(
  INDEX(tblProjectInfo[InfoValue],
        MATCH(1,(tblProjectInfo[ProjectName]=_xlpm.p)*
                 ISNUMBER(SEARCH("PHASE",UPPER(tblProjectInfo[Info]))),0)
), ""))</f>
        <v/>
      </c>
      <c r="I227" s="149"/>
      <c r="J227" s="149"/>
      <c r="K227" s="169"/>
      <c r="L227" s="169"/>
      <c r="M227" s="149"/>
      <c r="N227" s="149"/>
      <c r="O227" s="149"/>
      <c r="P227" s="150"/>
      <c r="Q227" s="150"/>
      <c r="R227" s="151"/>
      <c r="S227" s="152"/>
      <c r="T227" s="152"/>
      <c r="U227" s="150"/>
      <c r="V227" s="152"/>
      <c r="W227" s="152"/>
      <c r="X227" s="246"/>
      <c r="Y227" s="106"/>
    </row>
    <row r="228" spans="1:25">
      <c r="A228" t="str" cm="1">
        <f t="array" ref="A22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IFERROR(INDEX(_xlpm.sorted,ROWS(A$2:A228)),"")
)</f>
        <v/>
      </c>
      <c r="B228" s="147" t="str" cm="1">
        <f t="array" ref="B228">_xlfn.LET(_xlpm.p,$A228,_xlfn.IFNA(
  INDEX(tblProjectInfo[InfoValue],
        MATCH(1,(tblProjectInfo[ProjectName]=_xlpm.p)*
                 (UPPER(TRIM(tblProjectInfo[Info]))="PROJECT SIZE (KWP)"),0)
), ""))</f>
        <v/>
      </c>
      <c r="C228" s="147" t="str" cm="1">
        <f t="array" ref="C228">_xlfn.LET(_xlpm.p,$A228,_xlfn.IFNA(
  INDEX(tblProjectInfo[InfoValue],
        MATCH(1,(tblProjectInfo[ProjectName]=_xlpm.p)*
                 (UPPER(TRIM(tblProjectInfo[Info]))="PROJECT DEVELOPER"),0)
), ""))</f>
        <v/>
      </c>
      <c r="D228" s="148" t="str" cm="1">
        <f t="array" ref="D228">_xlfn.LET(_xlpm.p,$A228,_xlfn.IFNA(
  INDEX(tblProjectInfo[InfoValue],
        MATCH(1,(tblProjectInfo[ProjectName]=_xlpm.p)*
                 (UPPER(TRIM(tblProjectInfo[Info]))="PROJECT MANAGERS"),0)
), ""))</f>
        <v/>
      </c>
      <c r="E228" s="147"/>
      <c r="F228" s="147"/>
      <c r="G228" s="147"/>
      <c r="H228" s="162" t="str" cm="1">
        <f t="array" ref="H228">_xlfn.LET(_xlpm.p,$A228,_xlfn.IFNA(
  INDEX(tblProjectInfo[InfoValue],
        MATCH(1,(tblProjectInfo[ProjectName]=_xlpm.p)*
                 ISNUMBER(SEARCH("PHASE",UPPER(tblProjectInfo[Info]))),0)
), ""))</f>
        <v/>
      </c>
      <c r="I228" s="149"/>
      <c r="J228" s="149"/>
      <c r="K228" s="169"/>
      <c r="L228" s="169"/>
      <c r="M228" s="149"/>
      <c r="N228" s="149"/>
      <c r="O228" s="149"/>
      <c r="P228" s="150"/>
      <c r="Q228" s="150"/>
      <c r="R228" s="151"/>
      <c r="S228" s="152"/>
      <c r="T228" s="152"/>
      <c r="U228" s="150"/>
      <c r="V228" s="152"/>
      <c r="W228" s="152"/>
      <c r="X228" s="246"/>
      <c r="Y228" s="106"/>
    </row>
    <row r="229" spans="1:25">
      <c r="A229" t="str" cm="1">
        <f t="array" ref="A22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IFERROR(INDEX(_xlpm.sorted,ROWS(A$2:A229)),"")
)</f>
        <v/>
      </c>
      <c r="B229" s="147" t="str" cm="1">
        <f t="array" ref="B229">_xlfn.LET(_xlpm.p,$A229,_xlfn.IFNA(
  INDEX(tblProjectInfo[InfoValue],
        MATCH(1,(tblProjectInfo[ProjectName]=_xlpm.p)*
                 (UPPER(TRIM(tblProjectInfo[Info]))="PROJECT SIZE (KWP)"),0)
), ""))</f>
        <v/>
      </c>
      <c r="C229" s="147" t="str" cm="1">
        <f t="array" ref="C229">_xlfn.LET(_xlpm.p,$A229,_xlfn.IFNA(
  INDEX(tblProjectInfo[InfoValue],
        MATCH(1,(tblProjectInfo[ProjectName]=_xlpm.p)*
                 (UPPER(TRIM(tblProjectInfo[Info]))="PROJECT DEVELOPER"),0)
), ""))</f>
        <v/>
      </c>
      <c r="D229" s="148" t="str" cm="1">
        <f t="array" ref="D229">_xlfn.LET(_xlpm.p,$A229,_xlfn.IFNA(
  INDEX(tblProjectInfo[InfoValue],
        MATCH(1,(tblProjectInfo[ProjectName]=_xlpm.p)*
                 (UPPER(TRIM(tblProjectInfo[Info]))="PROJECT MANAGERS"),0)
), ""))</f>
        <v/>
      </c>
      <c r="E229" s="147"/>
      <c r="F229" s="147"/>
      <c r="G229" s="147"/>
      <c r="H229" s="162" t="str" cm="1">
        <f t="array" ref="H229">_xlfn.LET(_xlpm.p,$A229,_xlfn.IFNA(
  INDEX(tblProjectInfo[InfoValue],
        MATCH(1,(tblProjectInfo[ProjectName]=_xlpm.p)*
                 ISNUMBER(SEARCH("PHASE",UPPER(tblProjectInfo[Info]))),0)
), ""))</f>
        <v/>
      </c>
      <c r="I229" s="149"/>
      <c r="J229" s="149"/>
      <c r="K229" s="169"/>
      <c r="L229" s="169"/>
      <c r="M229" s="149"/>
      <c r="N229" s="149"/>
      <c r="O229" s="149"/>
      <c r="P229" s="150"/>
      <c r="Q229" s="150"/>
      <c r="R229" s="151"/>
      <c r="S229" s="152"/>
      <c r="T229" s="152"/>
      <c r="U229" s="150"/>
      <c r="V229" s="152"/>
      <c r="W229" s="152"/>
      <c r="X229" s="246"/>
      <c r="Y229" s="106"/>
    </row>
    <row r="230" spans="1:25">
      <c r="A230" t="str" cm="1">
        <f t="array" ref="A23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IFERROR(INDEX(_xlpm.sorted,ROWS(A$2:A230)),"")
)</f>
        <v/>
      </c>
      <c r="B230" s="147" t="str" cm="1">
        <f t="array" ref="B230">_xlfn.LET(_xlpm.p,$A230,_xlfn.IFNA(
  INDEX(tblProjectInfo[InfoValue],
        MATCH(1,(tblProjectInfo[ProjectName]=_xlpm.p)*
                 (UPPER(TRIM(tblProjectInfo[Info]))="PROJECT SIZE (KWP)"),0)
), ""))</f>
        <v/>
      </c>
      <c r="C230" s="147" t="str" cm="1">
        <f t="array" ref="C230">_xlfn.LET(_xlpm.p,$A230,_xlfn.IFNA(
  INDEX(tblProjectInfo[InfoValue],
        MATCH(1,(tblProjectInfo[ProjectName]=_xlpm.p)*
                 (UPPER(TRIM(tblProjectInfo[Info]))="PROJECT DEVELOPER"),0)
), ""))</f>
        <v/>
      </c>
      <c r="D230" s="148" t="str" cm="1">
        <f t="array" ref="D230">_xlfn.LET(_xlpm.p,$A230,_xlfn.IFNA(
  INDEX(tblProjectInfo[InfoValue],
        MATCH(1,(tblProjectInfo[ProjectName]=_xlpm.p)*
                 (UPPER(TRIM(tblProjectInfo[Info]))="PROJECT MANAGERS"),0)
), ""))</f>
        <v/>
      </c>
      <c r="E230" s="147"/>
      <c r="F230" s="147"/>
      <c r="G230" s="147"/>
      <c r="H230" s="162" t="str" cm="1">
        <f t="array" ref="H230">_xlfn.LET(_xlpm.p,$A230,_xlfn.IFNA(
  INDEX(tblProjectInfo[InfoValue],
        MATCH(1,(tblProjectInfo[ProjectName]=_xlpm.p)*
                 ISNUMBER(SEARCH("PHASE",UPPER(tblProjectInfo[Info]))),0)
), ""))</f>
        <v/>
      </c>
      <c r="I230" s="149"/>
      <c r="J230" s="149"/>
      <c r="K230" s="169"/>
      <c r="L230" s="169"/>
      <c r="M230" s="149"/>
      <c r="N230" s="149"/>
      <c r="O230" s="149"/>
      <c r="P230" s="150"/>
      <c r="Q230" s="150"/>
      <c r="R230" s="151"/>
      <c r="S230" s="152"/>
      <c r="T230" s="152"/>
      <c r="U230" s="150"/>
      <c r="V230" s="152"/>
      <c r="W230" s="152"/>
      <c r="X230" s="246"/>
      <c r="Y230" s="106"/>
    </row>
    <row r="231" spans="1:25">
      <c r="A231" t="str" cm="1">
        <f t="array" ref="A23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IFERROR(INDEX(_xlpm.sorted,ROWS(A$2:A231)),"")
)</f>
        <v/>
      </c>
      <c r="B231" s="147" t="str" cm="1">
        <f t="array" ref="B231">_xlfn.LET(_xlpm.p,$A231,_xlfn.IFNA(
  INDEX(tblProjectInfo[InfoValue],
        MATCH(1,(tblProjectInfo[ProjectName]=_xlpm.p)*
                 (UPPER(TRIM(tblProjectInfo[Info]))="PROJECT SIZE (KWP)"),0)
), ""))</f>
        <v/>
      </c>
      <c r="C231" s="147" t="str" cm="1">
        <f t="array" ref="C231">_xlfn.LET(_xlpm.p,$A231,_xlfn.IFNA(
  INDEX(tblProjectInfo[InfoValue],
        MATCH(1,(tblProjectInfo[ProjectName]=_xlpm.p)*
                 (UPPER(TRIM(tblProjectInfo[Info]))="PROJECT DEVELOPER"),0)
), ""))</f>
        <v/>
      </c>
      <c r="D231" s="148" t="str" cm="1">
        <f t="array" ref="D231">_xlfn.LET(_xlpm.p,$A231,_xlfn.IFNA(
  INDEX(tblProjectInfo[InfoValue],
        MATCH(1,(tblProjectInfo[ProjectName]=_xlpm.p)*
                 (UPPER(TRIM(tblProjectInfo[Info]))="PROJECT MANAGERS"),0)
), ""))</f>
        <v/>
      </c>
      <c r="E231" s="147"/>
      <c r="F231" s="147"/>
      <c r="G231" s="147"/>
      <c r="H231" s="162" t="str" cm="1">
        <f t="array" ref="H231">_xlfn.LET(_xlpm.p,$A231,_xlfn.IFNA(
  INDEX(tblProjectInfo[InfoValue],
        MATCH(1,(tblProjectInfo[ProjectName]=_xlpm.p)*
                 ISNUMBER(SEARCH("PHASE",UPPER(tblProjectInfo[Info]))),0)
), ""))</f>
        <v/>
      </c>
      <c r="I231" s="149"/>
      <c r="J231" s="149"/>
      <c r="K231" s="169"/>
      <c r="L231" s="169"/>
      <c r="M231" s="149"/>
      <c r="N231" s="149"/>
      <c r="O231" s="149"/>
      <c r="P231" s="150"/>
      <c r="Q231" s="150"/>
      <c r="R231" s="151"/>
      <c r="S231" s="152"/>
      <c r="T231" s="152"/>
      <c r="U231" s="150"/>
      <c r="V231" s="152"/>
      <c r="W231" s="152"/>
      <c r="X231" s="246"/>
      <c r="Y231" s="106"/>
    </row>
    <row r="232" spans="1:25">
      <c r="A232" t="str" cm="1">
        <f t="array" ref="A23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IFERROR(INDEX(_xlpm.sorted,ROWS(A$2:A232)),"")
)</f>
        <v/>
      </c>
      <c r="B232" s="147" t="str" cm="1">
        <f t="array" ref="B232">_xlfn.LET(_xlpm.p,$A232,_xlfn.IFNA(
  INDEX(tblProjectInfo[InfoValue],
        MATCH(1,(tblProjectInfo[ProjectName]=_xlpm.p)*
                 (UPPER(TRIM(tblProjectInfo[Info]))="PROJECT SIZE (KWP)"),0)
), ""))</f>
        <v/>
      </c>
      <c r="C232" s="147" t="str" cm="1">
        <f t="array" ref="C232">_xlfn.LET(_xlpm.p,$A232,_xlfn.IFNA(
  INDEX(tblProjectInfo[InfoValue],
        MATCH(1,(tblProjectInfo[ProjectName]=_xlpm.p)*
                 (UPPER(TRIM(tblProjectInfo[Info]))="PROJECT DEVELOPER"),0)
), ""))</f>
        <v/>
      </c>
      <c r="D232" s="148" t="str" cm="1">
        <f t="array" ref="D232">_xlfn.LET(_xlpm.p,$A232,_xlfn.IFNA(
  INDEX(tblProjectInfo[InfoValue],
        MATCH(1,(tblProjectInfo[ProjectName]=_xlpm.p)*
                 (UPPER(TRIM(tblProjectInfo[Info]))="PROJECT MANAGERS"),0)
), ""))</f>
        <v/>
      </c>
      <c r="E232" s="147"/>
      <c r="F232" s="147"/>
      <c r="G232" s="147"/>
      <c r="H232" s="162" t="str" cm="1">
        <f t="array" ref="H232">_xlfn.LET(_xlpm.p,$A232,_xlfn.IFNA(
  INDEX(tblProjectInfo[InfoValue],
        MATCH(1,(tblProjectInfo[ProjectName]=_xlpm.p)*
                 ISNUMBER(SEARCH("PHASE",UPPER(tblProjectInfo[Info]))),0)
), ""))</f>
        <v/>
      </c>
      <c r="I232" s="149"/>
      <c r="J232" s="149"/>
      <c r="K232" s="169"/>
      <c r="L232" s="169"/>
      <c r="M232" s="149"/>
      <c r="N232" s="149"/>
      <c r="O232" s="149"/>
      <c r="P232" s="150"/>
      <c r="Q232" s="150"/>
      <c r="R232" s="151"/>
      <c r="S232" s="152"/>
      <c r="T232" s="152"/>
      <c r="U232" s="150"/>
      <c r="V232" s="152"/>
      <c r="W232" s="152"/>
      <c r="X232" s="246"/>
      <c r="Y232" s="106"/>
    </row>
    <row r="233" spans="1:25">
      <c r="A233" t="str" cm="1">
        <f t="array" ref="A23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IFERROR(INDEX(_xlpm.sorted,ROWS(A$2:A233)),"")
)</f>
        <v/>
      </c>
      <c r="B233" s="147" t="str" cm="1">
        <f t="array" ref="B233">_xlfn.LET(_xlpm.p,$A233,_xlfn.IFNA(
  INDEX(tblProjectInfo[InfoValue],
        MATCH(1,(tblProjectInfo[ProjectName]=_xlpm.p)*
                 (UPPER(TRIM(tblProjectInfo[Info]))="PROJECT SIZE (KWP)"),0)
), ""))</f>
        <v/>
      </c>
      <c r="C233" s="147" t="str" cm="1">
        <f t="array" ref="C233">_xlfn.LET(_xlpm.p,$A233,_xlfn.IFNA(
  INDEX(tblProjectInfo[InfoValue],
        MATCH(1,(tblProjectInfo[ProjectName]=_xlpm.p)*
                 (UPPER(TRIM(tblProjectInfo[Info]))="PROJECT DEVELOPER"),0)
), ""))</f>
        <v/>
      </c>
      <c r="D233" s="148" t="str" cm="1">
        <f t="array" ref="D233">_xlfn.LET(_xlpm.p,$A233,_xlfn.IFNA(
  INDEX(tblProjectInfo[InfoValue],
        MATCH(1,(tblProjectInfo[ProjectName]=_xlpm.p)*
                 (UPPER(TRIM(tblProjectInfo[Info]))="PROJECT MANAGERS"),0)
), ""))</f>
        <v/>
      </c>
      <c r="E233" s="147"/>
      <c r="F233" s="147"/>
      <c r="G233" s="147"/>
      <c r="H233" s="162" t="str" cm="1">
        <f t="array" ref="H233">_xlfn.LET(_xlpm.p,$A233,_xlfn.IFNA(
  INDEX(tblProjectInfo[InfoValue],
        MATCH(1,(tblProjectInfo[ProjectName]=_xlpm.p)*
                 ISNUMBER(SEARCH("PHASE",UPPER(tblProjectInfo[Info]))),0)
), ""))</f>
        <v/>
      </c>
      <c r="I233" s="149"/>
      <c r="J233" s="149"/>
      <c r="K233" s="169"/>
      <c r="L233" s="169"/>
      <c r="M233" s="149"/>
      <c r="N233" s="149"/>
      <c r="O233" s="149"/>
      <c r="P233" s="150"/>
      <c r="Q233" s="150"/>
      <c r="R233" s="151"/>
      <c r="S233" s="152"/>
      <c r="T233" s="152"/>
      <c r="U233" s="150"/>
      <c r="V233" s="152"/>
      <c r="W233" s="152"/>
      <c r="X233" s="246"/>
      <c r="Y233" s="106"/>
    </row>
    <row r="234" spans="1:25">
      <c r="A234" t="str" cm="1">
        <f t="array" ref="A23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IFERROR(INDEX(_xlpm.sorted,ROWS(A$2:A234)),"")
)</f>
        <v/>
      </c>
      <c r="B234" s="147" t="str" cm="1">
        <f t="array" ref="B234">_xlfn.LET(_xlpm.p,$A234,_xlfn.IFNA(
  INDEX(tblProjectInfo[InfoValue],
        MATCH(1,(tblProjectInfo[ProjectName]=_xlpm.p)*
                 (UPPER(TRIM(tblProjectInfo[Info]))="PROJECT SIZE (KWP)"),0)
), ""))</f>
        <v/>
      </c>
      <c r="C234" s="147" t="str" cm="1">
        <f t="array" ref="C234">_xlfn.LET(_xlpm.p,$A234,_xlfn.IFNA(
  INDEX(tblProjectInfo[InfoValue],
        MATCH(1,(tblProjectInfo[ProjectName]=_xlpm.p)*
                 (UPPER(TRIM(tblProjectInfo[Info]))="PROJECT DEVELOPER"),0)
), ""))</f>
        <v/>
      </c>
      <c r="D234" s="148" t="str" cm="1">
        <f t="array" ref="D234">_xlfn.LET(_xlpm.p,$A234,_xlfn.IFNA(
  INDEX(tblProjectInfo[InfoValue],
        MATCH(1,(tblProjectInfo[ProjectName]=_xlpm.p)*
                 (UPPER(TRIM(tblProjectInfo[Info]))="PROJECT MANAGERS"),0)
), ""))</f>
        <v/>
      </c>
      <c r="E234" s="147"/>
      <c r="F234" s="147"/>
      <c r="G234" s="147"/>
      <c r="H234" s="162" t="str" cm="1">
        <f t="array" ref="H234">_xlfn.LET(_xlpm.p,$A234,_xlfn.IFNA(
  INDEX(tblProjectInfo[InfoValue],
        MATCH(1,(tblProjectInfo[ProjectName]=_xlpm.p)*
                 ISNUMBER(SEARCH("PHASE",UPPER(tblProjectInfo[Info]))),0)
), ""))</f>
        <v/>
      </c>
      <c r="I234" s="149"/>
      <c r="J234" s="149"/>
      <c r="K234" s="169"/>
      <c r="L234" s="169"/>
      <c r="M234" s="149"/>
      <c r="N234" s="149"/>
      <c r="O234" s="149"/>
      <c r="P234" s="150"/>
      <c r="Q234" s="150"/>
      <c r="R234" s="151"/>
      <c r="S234" s="152"/>
      <c r="T234" s="152"/>
      <c r="U234" s="150"/>
      <c r="V234" s="152"/>
      <c r="W234" s="152"/>
      <c r="X234" s="246"/>
      <c r="Y234" s="106"/>
    </row>
    <row r="235" spans="1:25">
      <c r="A235" t="str" cm="1">
        <f t="array" ref="A23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IFERROR(INDEX(_xlpm.sorted,ROWS(A$2:A235)),"")
)</f>
        <v/>
      </c>
      <c r="B235" s="147" t="str" cm="1">
        <f t="array" ref="B235">_xlfn.LET(_xlpm.p,$A235,_xlfn.IFNA(
  INDEX(tblProjectInfo[InfoValue],
        MATCH(1,(tblProjectInfo[ProjectName]=_xlpm.p)*
                 (UPPER(TRIM(tblProjectInfo[Info]))="PROJECT SIZE (KWP)"),0)
), ""))</f>
        <v/>
      </c>
      <c r="C235" s="147" t="str" cm="1">
        <f t="array" ref="C235">_xlfn.LET(_xlpm.p,$A235,_xlfn.IFNA(
  INDEX(tblProjectInfo[InfoValue],
        MATCH(1,(tblProjectInfo[ProjectName]=_xlpm.p)*
                 (UPPER(TRIM(tblProjectInfo[Info]))="PROJECT DEVELOPER"),0)
), ""))</f>
        <v/>
      </c>
      <c r="D235" s="148" t="str" cm="1">
        <f t="array" ref="D235">_xlfn.LET(_xlpm.p,$A235,_xlfn.IFNA(
  INDEX(tblProjectInfo[InfoValue],
        MATCH(1,(tblProjectInfo[ProjectName]=_xlpm.p)*
                 (UPPER(TRIM(tblProjectInfo[Info]))="PROJECT MANAGERS"),0)
), ""))</f>
        <v/>
      </c>
      <c r="E235" s="147"/>
      <c r="F235" s="147"/>
      <c r="G235" s="147"/>
      <c r="H235" s="162" t="str" cm="1">
        <f t="array" ref="H235">_xlfn.LET(_xlpm.p,$A235,_xlfn.IFNA(
  INDEX(tblProjectInfo[InfoValue],
        MATCH(1,(tblProjectInfo[ProjectName]=_xlpm.p)*
                 ISNUMBER(SEARCH("PHASE",UPPER(tblProjectInfo[Info]))),0)
), ""))</f>
        <v/>
      </c>
      <c r="I235" s="149"/>
      <c r="J235" s="149"/>
      <c r="K235" s="169"/>
      <c r="L235" s="169"/>
      <c r="M235" s="149"/>
      <c r="N235" s="149"/>
      <c r="O235" s="149"/>
      <c r="P235" s="150"/>
      <c r="Q235" s="150"/>
      <c r="R235" s="151"/>
      <c r="S235" s="152"/>
      <c r="T235" s="152"/>
      <c r="U235" s="150"/>
      <c r="V235" s="152"/>
      <c r="W235" s="152"/>
      <c r="X235" s="246"/>
      <c r="Y235" s="106"/>
    </row>
    <row r="236" spans="1:25">
      <c r="A236" t="str" cm="1">
        <f t="array" ref="A23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IFERROR(INDEX(_xlpm.sorted,ROWS(A$2:A236)),"")
)</f>
        <v/>
      </c>
      <c r="B236" s="147" t="str" cm="1">
        <f t="array" ref="B236">_xlfn.LET(_xlpm.p,$A236,_xlfn.IFNA(
  INDEX(tblProjectInfo[InfoValue],
        MATCH(1,(tblProjectInfo[ProjectName]=_xlpm.p)*
                 (UPPER(TRIM(tblProjectInfo[Info]))="PROJECT SIZE (KWP)"),0)
), ""))</f>
        <v/>
      </c>
      <c r="C236" s="147" t="str" cm="1">
        <f t="array" ref="C236">_xlfn.LET(_xlpm.p,$A236,_xlfn.IFNA(
  INDEX(tblProjectInfo[InfoValue],
        MATCH(1,(tblProjectInfo[ProjectName]=_xlpm.p)*
                 (UPPER(TRIM(tblProjectInfo[Info]))="PROJECT DEVELOPER"),0)
), ""))</f>
        <v/>
      </c>
      <c r="D236" s="148" t="str" cm="1">
        <f t="array" ref="D236">_xlfn.LET(_xlpm.p,$A236,_xlfn.IFNA(
  INDEX(tblProjectInfo[InfoValue],
        MATCH(1,(tblProjectInfo[ProjectName]=_xlpm.p)*
                 (UPPER(TRIM(tblProjectInfo[Info]))="PROJECT MANAGERS"),0)
), ""))</f>
        <v/>
      </c>
      <c r="E236" s="147"/>
      <c r="F236" s="147"/>
      <c r="G236" s="147"/>
      <c r="H236" s="162" t="str" cm="1">
        <f t="array" ref="H236">_xlfn.LET(_xlpm.p,$A236,_xlfn.IFNA(
  INDEX(tblProjectInfo[InfoValue],
        MATCH(1,(tblProjectInfo[ProjectName]=_xlpm.p)*
                 ISNUMBER(SEARCH("PHASE",UPPER(tblProjectInfo[Info]))),0)
), ""))</f>
        <v/>
      </c>
      <c r="I236" s="149"/>
      <c r="J236" s="149"/>
      <c r="K236" s="169"/>
      <c r="L236" s="169"/>
      <c r="M236" s="149"/>
      <c r="N236" s="149"/>
      <c r="O236" s="149"/>
      <c r="P236" s="150"/>
      <c r="Q236" s="150"/>
      <c r="R236" s="151"/>
      <c r="S236" s="152"/>
      <c r="T236" s="152"/>
      <c r="U236" s="150"/>
      <c r="V236" s="152"/>
      <c r="W236" s="152"/>
      <c r="X236" s="246"/>
      <c r="Y236" s="106"/>
    </row>
    <row r="237" spans="1:25">
      <c r="A237" t="str" cm="1">
        <f t="array" ref="A23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IFERROR(INDEX(_xlpm.sorted,ROWS(A$2:A237)),"")
)</f>
        <v/>
      </c>
      <c r="B237" s="147" t="str" cm="1">
        <f t="array" ref="B237">_xlfn.LET(_xlpm.p,$A237,_xlfn.IFNA(
  INDEX(tblProjectInfo[InfoValue],
        MATCH(1,(tblProjectInfo[ProjectName]=_xlpm.p)*
                 (UPPER(TRIM(tblProjectInfo[Info]))="PROJECT SIZE (KWP)"),0)
), ""))</f>
        <v/>
      </c>
      <c r="C237" s="147" t="str" cm="1">
        <f t="array" ref="C237">_xlfn.LET(_xlpm.p,$A237,_xlfn.IFNA(
  INDEX(tblProjectInfo[InfoValue],
        MATCH(1,(tblProjectInfo[ProjectName]=_xlpm.p)*
                 (UPPER(TRIM(tblProjectInfo[Info]))="PROJECT DEVELOPER"),0)
), ""))</f>
        <v/>
      </c>
      <c r="D237" s="148" t="str" cm="1">
        <f t="array" ref="D237">_xlfn.LET(_xlpm.p,$A237,_xlfn.IFNA(
  INDEX(tblProjectInfo[InfoValue],
        MATCH(1,(tblProjectInfo[ProjectName]=_xlpm.p)*
                 (UPPER(TRIM(tblProjectInfo[Info]))="PROJECT MANAGERS"),0)
), ""))</f>
        <v/>
      </c>
      <c r="E237" s="147"/>
      <c r="F237" s="147"/>
      <c r="G237" s="147"/>
      <c r="H237" s="162" t="str" cm="1">
        <f t="array" ref="H237">_xlfn.LET(_xlpm.p,$A237,_xlfn.IFNA(
  INDEX(tblProjectInfo[InfoValue],
        MATCH(1,(tblProjectInfo[ProjectName]=_xlpm.p)*
                 ISNUMBER(SEARCH("PHASE",UPPER(tblProjectInfo[Info]))),0)
), ""))</f>
        <v/>
      </c>
      <c r="I237" s="149"/>
      <c r="J237" s="149"/>
      <c r="K237" s="169"/>
      <c r="L237" s="169"/>
      <c r="M237" s="149"/>
      <c r="N237" s="149"/>
      <c r="O237" s="149"/>
      <c r="P237" s="150"/>
      <c r="Q237" s="150"/>
      <c r="R237" s="151"/>
      <c r="S237" s="152"/>
      <c r="T237" s="152"/>
      <c r="U237" s="150"/>
      <c r="V237" s="152"/>
      <c r="W237" s="152"/>
      <c r="X237" s="246"/>
      <c r="Y237" s="106"/>
    </row>
    <row r="238" spans="1:25">
      <c r="A238" t="str" cm="1">
        <f t="array" ref="A23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IFERROR(INDEX(_xlpm.sorted,ROWS(A$2:A238)),"")
)</f>
        <v/>
      </c>
      <c r="B238" s="147" t="str" cm="1">
        <f t="array" ref="B238">_xlfn.LET(_xlpm.p,$A238,_xlfn.IFNA(
  INDEX(tblProjectInfo[InfoValue],
        MATCH(1,(tblProjectInfo[ProjectName]=_xlpm.p)*
                 (UPPER(TRIM(tblProjectInfo[Info]))="PROJECT SIZE (KWP)"),0)
), ""))</f>
        <v/>
      </c>
      <c r="C238" s="147" t="str" cm="1">
        <f t="array" ref="C238">_xlfn.LET(_xlpm.p,$A238,_xlfn.IFNA(
  INDEX(tblProjectInfo[InfoValue],
        MATCH(1,(tblProjectInfo[ProjectName]=_xlpm.p)*
                 (UPPER(TRIM(tblProjectInfo[Info]))="PROJECT DEVELOPER"),0)
), ""))</f>
        <v/>
      </c>
      <c r="D238" s="148" t="str" cm="1">
        <f t="array" ref="D238">_xlfn.LET(_xlpm.p,$A238,_xlfn.IFNA(
  INDEX(tblProjectInfo[InfoValue],
        MATCH(1,(tblProjectInfo[ProjectName]=_xlpm.p)*
                 (UPPER(TRIM(tblProjectInfo[Info]))="PROJECT MANAGERS"),0)
), ""))</f>
        <v/>
      </c>
      <c r="E238" s="147"/>
      <c r="F238" s="147"/>
      <c r="G238" s="147"/>
      <c r="H238" s="162" t="str" cm="1">
        <f t="array" ref="H238">_xlfn.LET(_xlpm.p,$A238,_xlfn.IFNA(
  INDEX(tblProjectInfo[InfoValue],
        MATCH(1,(tblProjectInfo[ProjectName]=_xlpm.p)*
                 ISNUMBER(SEARCH("PHASE",UPPER(tblProjectInfo[Info]))),0)
), ""))</f>
        <v/>
      </c>
      <c r="I238" s="149"/>
      <c r="J238" s="149"/>
      <c r="K238" s="169"/>
      <c r="L238" s="169"/>
      <c r="M238" s="149"/>
      <c r="N238" s="149"/>
      <c r="O238" s="149"/>
      <c r="P238" s="150"/>
      <c r="Q238" s="150"/>
      <c r="R238" s="151"/>
      <c r="S238" s="152"/>
      <c r="T238" s="152"/>
      <c r="U238" s="150"/>
      <c r="V238" s="152"/>
      <c r="W238" s="152"/>
      <c r="X238" s="246"/>
      <c r="Y238" s="106"/>
    </row>
    <row r="239" spans="1:25">
      <c r="A239" t="str" cm="1">
        <f t="array" ref="A23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IFERROR(INDEX(_xlpm.sorted,ROWS(A$2:A239)),"")
)</f>
        <v/>
      </c>
      <c r="B239" s="147" t="str" cm="1">
        <f t="array" ref="B239">_xlfn.LET(_xlpm.p,$A239,_xlfn.IFNA(
  INDEX(tblProjectInfo[InfoValue],
        MATCH(1,(tblProjectInfo[ProjectName]=_xlpm.p)*
                 (UPPER(TRIM(tblProjectInfo[Info]))="PROJECT SIZE (KWP)"),0)
), ""))</f>
        <v/>
      </c>
      <c r="C239" s="147" t="str" cm="1">
        <f t="array" ref="C239">_xlfn.LET(_xlpm.p,$A239,_xlfn.IFNA(
  INDEX(tblProjectInfo[InfoValue],
        MATCH(1,(tblProjectInfo[ProjectName]=_xlpm.p)*
                 (UPPER(TRIM(tblProjectInfo[Info]))="PROJECT DEVELOPER"),0)
), ""))</f>
        <v/>
      </c>
      <c r="D239" s="148" t="str" cm="1">
        <f t="array" ref="D239">_xlfn.LET(_xlpm.p,$A239,_xlfn.IFNA(
  INDEX(tblProjectInfo[InfoValue],
        MATCH(1,(tblProjectInfo[ProjectName]=_xlpm.p)*
                 (UPPER(TRIM(tblProjectInfo[Info]))="PROJECT MANAGERS"),0)
), ""))</f>
        <v/>
      </c>
      <c r="E239" s="147"/>
      <c r="F239" s="147"/>
      <c r="G239" s="147"/>
      <c r="H239" s="162" t="str" cm="1">
        <f t="array" ref="H239">_xlfn.LET(_xlpm.p,$A239,_xlfn.IFNA(
  INDEX(tblProjectInfo[InfoValue],
        MATCH(1,(tblProjectInfo[ProjectName]=_xlpm.p)*
                 ISNUMBER(SEARCH("PHASE",UPPER(tblProjectInfo[Info]))),0)
), ""))</f>
        <v/>
      </c>
      <c r="I239" s="149"/>
      <c r="J239" s="149"/>
      <c r="K239" s="169"/>
      <c r="L239" s="169"/>
      <c r="M239" s="149"/>
      <c r="N239" s="149"/>
      <c r="O239" s="149"/>
      <c r="P239" s="150"/>
      <c r="Q239" s="150"/>
      <c r="R239" s="151"/>
      <c r="S239" s="152"/>
      <c r="T239" s="152"/>
      <c r="U239" s="150"/>
      <c r="V239" s="152"/>
      <c r="W239" s="152"/>
      <c r="X239" s="246"/>
      <c r="Y239" s="106"/>
    </row>
    <row r="240" spans="1:25">
      <c r="A240" t="str" cm="1">
        <f t="array" ref="A24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IFERROR(INDEX(_xlpm.sorted,ROWS(A$2:A240)),"")
)</f>
        <v/>
      </c>
      <c r="B240" s="147" t="str" cm="1">
        <f t="array" ref="B240">_xlfn.LET(_xlpm.p,$A240,_xlfn.IFNA(
  INDEX(tblProjectInfo[InfoValue],
        MATCH(1,(tblProjectInfo[ProjectName]=_xlpm.p)*
                 (UPPER(TRIM(tblProjectInfo[Info]))="PROJECT SIZE (KWP)"),0)
), ""))</f>
        <v/>
      </c>
      <c r="C240" s="147" t="str" cm="1">
        <f t="array" ref="C240">_xlfn.LET(_xlpm.p,$A240,_xlfn.IFNA(
  INDEX(tblProjectInfo[InfoValue],
        MATCH(1,(tblProjectInfo[ProjectName]=_xlpm.p)*
                 (UPPER(TRIM(tblProjectInfo[Info]))="PROJECT DEVELOPER"),0)
), ""))</f>
        <v/>
      </c>
      <c r="D240" s="148" t="str" cm="1">
        <f t="array" ref="D240">_xlfn.LET(_xlpm.p,$A240,_xlfn.IFNA(
  INDEX(tblProjectInfo[InfoValue],
        MATCH(1,(tblProjectInfo[ProjectName]=_xlpm.p)*
                 (UPPER(TRIM(tblProjectInfo[Info]))="PROJECT MANAGERS"),0)
), ""))</f>
        <v/>
      </c>
      <c r="E240" s="147"/>
      <c r="F240" s="147"/>
      <c r="G240" s="147"/>
      <c r="H240" s="162" t="str" cm="1">
        <f t="array" ref="H240">_xlfn.LET(_xlpm.p,$A240,_xlfn.IFNA(
  INDEX(tblProjectInfo[InfoValue],
        MATCH(1,(tblProjectInfo[ProjectName]=_xlpm.p)*
                 ISNUMBER(SEARCH("PHASE",UPPER(tblProjectInfo[Info]))),0)
), ""))</f>
        <v/>
      </c>
      <c r="I240" s="149"/>
      <c r="J240" s="149"/>
      <c r="K240" s="169"/>
      <c r="L240" s="169"/>
      <c r="M240" s="149"/>
      <c r="N240" s="149"/>
      <c r="O240" s="149"/>
      <c r="P240" s="150"/>
      <c r="Q240" s="150"/>
      <c r="R240" s="151"/>
      <c r="S240" s="152"/>
      <c r="T240" s="152"/>
      <c r="U240" s="150"/>
      <c r="V240" s="152"/>
      <c r="W240" s="152"/>
      <c r="X240" s="246"/>
      <c r="Y240" s="106"/>
    </row>
    <row r="241" spans="1:25">
      <c r="A241" t="str" cm="1">
        <f t="array" ref="A24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IFERROR(INDEX(_xlpm.sorted,ROWS(A$2:A241)),"")
)</f>
        <v/>
      </c>
      <c r="B241" s="147" t="str" cm="1">
        <f t="array" ref="B241">_xlfn.LET(_xlpm.p,$A241,_xlfn.IFNA(
  INDEX(tblProjectInfo[InfoValue],
        MATCH(1,(tblProjectInfo[ProjectName]=_xlpm.p)*
                 (UPPER(TRIM(tblProjectInfo[Info]))="PROJECT SIZE (KWP)"),0)
), ""))</f>
        <v/>
      </c>
      <c r="C241" s="147" t="str" cm="1">
        <f t="array" ref="C241">_xlfn.LET(_xlpm.p,$A241,_xlfn.IFNA(
  INDEX(tblProjectInfo[InfoValue],
        MATCH(1,(tblProjectInfo[ProjectName]=_xlpm.p)*
                 (UPPER(TRIM(tblProjectInfo[Info]))="PROJECT DEVELOPER"),0)
), ""))</f>
        <v/>
      </c>
      <c r="D241" s="148" t="str" cm="1">
        <f t="array" ref="D241">_xlfn.LET(_xlpm.p,$A241,_xlfn.IFNA(
  INDEX(tblProjectInfo[InfoValue],
        MATCH(1,(tblProjectInfo[ProjectName]=_xlpm.p)*
                 (UPPER(TRIM(tblProjectInfo[Info]))="PROJECT MANAGERS"),0)
), ""))</f>
        <v/>
      </c>
      <c r="E241" s="147"/>
      <c r="F241" s="147"/>
      <c r="G241" s="147"/>
      <c r="H241" s="162" t="str" cm="1">
        <f t="array" ref="H241">_xlfn.LET(_xlpm.p,$A241,_xlfn.IFNA(
  INDEX(tblProjectInfo[InfoValue],
        MATCH(1,(tblProjectInfo[ProjectName]=_xlpm.p)*
                 ISNUMBER(SEARCH("PHASE",UPPER(tblProjectInfo[Info]))),0)
), ""))</f>
        <v/>
      </c>
      <c r="I241" s="149"/>
      <c r="J241" s="149"/>
      <c r="K241" s="169"/>
      <c r="L241" s="169"/>
      <c r="M241" s="149"/>
      <c r="N241" s="149"/>
      <c r="O241" s="149"/>
      <c r="P241" s="150"/>
      <c r="Q241" s="150"/>
      <c r="R241" s="151"/>
      <c r="S241" s="152"/>
      <c r="T241" s="152"/>
      <c r="U241" s="150"/>
      <c r="V241" s="152"/>
      <c r="W241" s="152"/>
      <c r="X241" s="246"/>
      <c r="Y241" s="106"/>
    </row>
    <row r="242" spans="1:25">
      <c r="A242" t="str" cm="1">
        <f t="array" ref="A24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IFERROR(INDEX(_xlpm.sorted,ROWS(A$2:A242)),"")
)</f>
        <v/>
      </c>
      <c r="B242" s="147" t="str" cm="1">
        <f t="array" ref="B242">_xlfn.LET(_xlpm.p,$A242,_xlfn.IFNA(
  INDEX(tblProjectInfo[InfoValue],
        MATCH(1,(tblProjectInfo[ProjectName]=_xlpm.p)*
                 (UPPER(TRIM(tblProjectInfo[Info]))="PROJECT SIZE (KWP)"),0)
), ""))</f>
        <v/>
      </c>
      <c r="C242" s="147" t="str" cm="1">
        <f t="array" ref="C242">_xlfn.LET(_xlpm.p,$A242,_xlfn.IFNA(
  INDEX(tblProjectInfo[InfoValue],
        MATCH(1,(tblProjectInfo[ProjectName]=_xlpm.p)*
                 (UPPER(TRIM(tblProjectInfo[Info]))="PROJECT DEVELOPER"),0)
), ""))</f>
        <v/>
      </c>
      <c r="D242" s="148" t="str" cm="1">
        <f t="array" ref="D242">_xlfn.LET(_xlpm.p,$A242,_xlfn.IFNA(
  INDEX(tblProjectInfo[InfoValue],
        MATCH(1,(tblProjectInfo[ProjectName]=_xlpm.p)*
                 (UPPER(TRIM(tblProjectInfo[Info]))="PROJECT MANAGERS"),0)
), ""))</f>
        <v/>
      </c>
      <c r="E242" s="147"/>
      <c r="F242" s="147"/>
      <c r="G242" s="147"/>
      <c r="H242" s="162" t="str" cm="1">
        <f t="array" ref="H242">_xlfn.LET(_xlpm.p,$A242,_xlfn.IFNA(
  INDEX(tblProjectInfo[InfoValue],
        MATCH(1,(tblProjectInfo[ProjectName]=_xlpm.p)*
                 ISNUMBER(SEARCH("PHASE",UPPER(tblProjectInfo[Info]))),0)
), ""))</f>
        <v/>
      </c>
      <c r="I242" s="149"/>
      <c r="J242" s="149"/>
      <c r="K242" s="169"/>
      <c r="L242" s="169"/>
      <c r="M242" s="149"/>
      <c r="N242" s="149"/>
      <c r="O242" s="149"/>
      <c r="P242" s="150"/>
      <c r="Q242" s="150"/>
      <c r="R242" s="151"/>
      <c r="S242" s="152"/>
      <c r="T242" s="152"/>
      <c r="U242" s="150"/>
      <c r="V242" s="152"/>
      <c r="W242" s="152"/>
      <c r="X242" s="246"/>
      <c r="Y242" s="106"/>
    </row>
    <row r="243" spans="1:25">
      <c r="A243" t="str" cm="1">
        <f t="array" ref="A24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IFERROR(INDEX(_xlpm.sorted,ROWS(A$2:A243)),"")
)</f>
        <v/>
      </c>
      <c r="B243" s="147" t="str" cm="1">
        <f t="array" ref="B243">_xlfn.LET(_xlpm.p,$A243,_xlfn.IFNA(
  INDEX(tblProjectInfo[InfoValue],
        MATCH(1,(tblProjectInfo[ProjectName]=_xlpm.p)*
                 (UPPER(TRIM(tblProjectInfo[Info]))="PROJECT SIZE (KWP)"),0)
), ""))</f>
        <v/>
      </c>
      <c r="C243" s="147" t="str" cm="1">
        <f t="array" ref="C243">_xlfn.LET(_xlpm.p,$A243,_xlfn.IFNA(
  INDEX(tblProjectInfo[InfoValue],
        MATCH(1,(tblProjectInfo[ProjectName]=_xlpm.p)*
                 (UPPER(TRIM(tblProjectInfo[Info]))="PROJECT DEVELOPER"),0)
), ""))</f>
        <v/>
      </c>
      <c r="D243" s="148" t="str" cm="1">
        <f t="array" ref="D243">_xlfn.LET(_xlpm.p,$A243,_xlfn.IFNA(
  INDEX(tblProjectInfo[InfoValue],
        MATCH(1,(tblProjectInfo[ProjectName]=_xlpm.p)*
                 (UPPER(TRIM(tblProjectInfo[Info]))="PROJECT MANAGERS"),0)
), ""))</f>
        <v/>
      </c>
      <c r="E243" s="147"/>
      <c r="F243" s="147"/>
      <c r="G243" s="147"/>
      <c r="H243" s="162" t="str" cm="1">
        <f t="array" ref="H243">_xlfn.LET(_xlpm.p,$A243,_xlfn.IFNA(
  INDEX(tblProjectInfo[InfoValue],
        MATCH(1,(tblProjectInfo[ProjectName]=_xlpm.p)*
                 ISNUMBER(SEARCH("PHASE",UPPER(tblProjectInfo[Info]))),0)
), ""))</f>
        <v/>
      </c>
      <c r="I243" s="149"/>
      <c r="J243" s="149"/>
      <c r="K243" s="169"/>
      <c r="L243" s="169"/>
      <c r="M243" s="149"/>
      <c r="N243" s="149"/>
      <c r="O243" s="149"/>
      <c r="P243" s="150"/>
      <c r="Q243" s="150"/>
      <c r="R243" s="151"/>
      <c r="S243" s="152"/>
      <c r="T243" s="152"/>
      <c r="U243" s="150"/>
      <c r="V243" s="152"/>
      <c r="W243" s="152"/>
      <c r="X243" s="246"/>
      <c r="Y243" s="106"/>
    </row>
    <row r="244" spans="1:25">
      <c r="A244" t="str" cm="1">
        <f t="array" ref="A24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IFERROR(INDEX(_xlpm.sorted,ROWS(A$2:A244)),"")
)</f>
        <v/>
      </c>
      <c r="B244" s="147" t="str" cm="1">
        <f t="array" ref="B244">_xlfn.LET(_xlpm.p,$A244,_xlfn.IFNA(
  INDEX(tblProjectInfo[InfoValue],
        MATCH(1,(tblProjectInfo[ProjectName]=_xlpm.p)*
                 (UPPER(TRIM(tblProjectInfo[Info]))="PROJECT SIZE (KWP)"),0)
), ""))</f>
        <v/>
      </c>
      <c r="C244" s="147" t="str" cm="1">
        <f t="array" ref="C244">_xlfn.LET(_xlpm.p,$A244,_xlfn.IFNA(
  INDEX(tblProjectInfo[InfoValue],
        MATCH(1,(tblProjectInfo[ProjectName]=_xlpm.p)*
                 (UPPER(TRIM(tblProjectInfo[Info]))="PROJECT DEVELOPER"),0)
), ""))</f>
        <v/>
      </c>
      <c r="D244" s="148" t="str" cm="1">
        <f t="array" ref="D244">_xlfn.LET(_xlpm.p,$A244,_xlfn.IFNA(
  INDEX(tblProjectInfo[InfoValue],
        MATCH(1,(tblProjectInfo[ProjectName]=_xlpm.p)*
                 (UPPER(TRIM(tblProjectInfo[Info]))="PROJECT MANAGERS"),0)
), ""))</f>
        <v/>
      </c>
      <c r="E244" s="147"/>
      <c r="F244" s="147"/>
      <c r="G244" s="147"/>
      <c r="H244" s="162" t="str" cm="1">
        <f t="array" ref="H244">_xlfn.LET(_xlpm.p,$A244,_xlfn.IFNA(
  INDEX(tblProjectInfo[InfoValue],
        MATCH(1,(tblProjectInfo[ProjectName]=_xlpm.p)*
                 ISNUMBER(SEARCH("PHASE",UPPER(tblProjectInfo[Info]))),0)
), ""))</f>
        <v/>
      </c>
      <c r="I244" s="149"/>
      <c r="J244" s="149"/>
      <c r="K244" s="169"/>
      <c r="L244" s="169"/>
      <c r="M244" s="149"/>
      <c r="N244" s="149"/>
      <c r="O244" s="149"/>
      <c r="P244" s="150"/>
      <c r="Q244" s="150"/>
      <c r="R244" s="151"/>
      <c r="S244" s="152"/>
      <c r="T244" s="152"/>
      <c r="U244" s="150"/>
      <c r="V244" s="152"/>
      <c r="W244" s="152"/>
      <c r="X244" s="246"/>
      <c r="Y244" s="106"/>
    </row>
    <row r="245" spans="1:25">
      <c r="A245" t="str" cm="1">
        <f t="array" ref="A24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IFERROR(INDEX(_xlpm.sorted,ROWS(A$2:A245)),"")
)</f>
        <v/>
      </c>
      <c r="B245" s="147" t="str" cm="1">
        <f t="array" ref="B245">_xlfn.LET(_xlpm.p,$A245,_xlfn.IFNA(
  INDEX(tblProjectInfo[InfoValue],
        MATCH(1,(tblProjectInfo[ProjectName]=_xlpm.p)*
                 (UPPER(TRIM(tblProjectInfo[Info]))="PROJECT SIZE (KWP)"),0)
), ""))</f>
        <v/>
      </c>
      <c r="C245" s="147" t="str" cm="1">
        <f t="array" ref="C245">_xlfn.LET(_xlpm.p,$A245,_xlfn.IFNA(
  INDEX(tblProjectInfo[InfoValue],
        MATCH(1,(tblProjectInfo[ProjectName]=_xlpm.p)*
                 (UPPER(TRIM(tblProjectInfo[Info]))="PROJECT DEVELOPER"),0)
), ""))</f>
        <v/>
      </c>
      <c r="D245" s="148" t="str" cm="1">
        <f t="array" ref="D245">_xlfn.LET(_xlpm.p,$A245,_xlfn.IFNA(
  INDEX(tblProjectInfo[InfoValue],
        MATCH(1,(tblProjectInfo[ProjectName]=_xlpm.p)*
                 (UPPER(TRIM(tblProjectInfo[Info]))="PROJECT MANAGERS"),0)
), ""))</f>
        <v/>
      </c>
      <c r="E245" s="147"/>
      <c r="F245" s="147"/>
      <c r="G245" s="147"/>
      <c r="H245" s="162" t="str" cm="1">
        <f t="array" ref="H245">_xlfn.LET(_xlpm.p,$A245,_xlfn.IFNA(
  INDEX(tblProjectInfo[InfoValue],
        MATCH(1,(tblProjectInfo[ProjectName]=_xlpm.p)*
                 ISNUMBER(SEARCH("PHASE",UPPER(tblProjectInfo[Info]))),0)
), ""))</f>
        <v/>
      </c>
      <c r="I245" s="149"/>
      <c r="J245" s="149"/>
      <c r="K245" s="169"/>
      <c r="L245" s="169"/>
      <c r="M245" s="149"/>
      <c r="N245" s="149"/>
      <c r="O245" s="149"/>
      <c r="P245" s="150"/>
      <c r="Q245" s="150"/>
      <c r="R245" s="151"/>
      <c r="S245" s="152"/>
      <c r="T245" s="152"/>
      <c r="U245" s="150"/>
      <c r="V245" s="152"/>
      <c r="W245" s="152"/>
      <c r="X245" s="246"/>
      <c r="Y245" s="106"/>
    </row>
    <row r="246" spans="1:25">
      <c r="A246" t="str" cm="1">
        <f t="array" ref="A24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IFERROR(INDEX(_xlpm.sorted,ROWS(A$2:A246)),"")
)</f>
        <v/>
      </c>
      <c r="B246" s="147" t="str" cm="1">
        <f t="array" ref="B246">_xlfn.LET(_xlpm.p,$A246,_xlfn.IFNA(
  INDEX(tblProjectInfo[InfoValue],
        MATCH(1,(tblProjectInfo[ProjectName]=_xlpm.p)*
                 (UPPER(TRIM(tblProjectInfo[Info]))="PROJECT SIZE (KWP)"),0)
), ""))</f>
        <v/>
      </c>
      <c r="C246" s="147" t="str" cm="1">
        <f t="array" ref="C246">_xlfn.LET(_xlpm.p,$A246,_xlfn.IFNA(
  INDEX(tblProjectInfo[InfoValue],
        MATCH(1,(tblProjectInfo[ProjectName]=_xlpm.p)*
                 (UPPER(TRIM(tblProjectInfo[Info]))="PROJECT DEVELOPER"),0)
), ""))</f>
        <v/>
      </c>
      <c r="D246" s="148" t="str" cm="1">
        <f t="array" ref="D246">_xlfn.LET(_xlpm.p,$A246,_xlfn.IFNA(
  INDEX(tblProjectInfo[InfoValue],
        MATCH(1,(tblProjectInfo[ProjectName]=_xlpm.p)*
                 (UPPER(TRIM(tblProjectInfo[Info]))="PROJECT MANAGERS"),0)
), ""))</f>
        <v/>
      </c>
      <c r="E246" s="147"/>
      <c r="F246" s="147"/>
      <c r="G246" s="147"/>
      <c r="H246" s="162" t="str" cm="1">
        <f t="array" ref="H246">_xlfn.LET(_xlpm.p,$A246,_xlfn.IFNA(
  INDEX(tblProjectInfo[InfoValue],
        MATCH(1,(tblProjectInfo[ProjectName]=_xlpm.p)*
                 ISNUMBER(SEARCH("PHASE",UPPER(tblProjectInfo[Info]))),0)
), ""))</f>
        <v/>
      </c>
      <c r="I246" s="149"/>
      <c r="J246" s="149"/>
      <c r="K246" s="169"/>
      <c r="L246" s="169"/>
      <c r="M246" s="149"/>
      <c r="N246" s="149"/>
      <c r="O246" s="149"/>
      <c r="P246" s="150"/>
      <c r="Q246" s="150"/>
      <c r="R246" s="151"/>
      <c r="S246" s="152"/>
      <c r="T246" s="152"/>
      <c r="U246" s="150"/>
      <c r="V246" s="152"/>
      <c r="W246" s="152"/>
      <c r="X246" s="246"/>
      <c r="Y246" s="106"/>
    </row>
    <row r="247" spans="1:25">
      <c r="A247" t="str" cm="1">
        <f t="array" ref="A24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IFERROR(INDEX(_xlpm.sorted,ROWS(A$2:A247)),"")
)</f>
        <v/>
      </c>
      <c r="B247" s="147" t="str" cm="1">
        <f t="array" ref="B247">_xlfn.LET(_xlpm.p,$A247,_xlfn.IFNA(
  INDEX(tblProjectInfo[InfoValue],
        MATCH(1,(tblProjectInfo[ProjectName]=_xlpm.p)*
                 (UPPER(TRIM(tblProjectInfo[Info]))="PROJECT SIZE (KWP)"),0)
), ""))</f>
        <v/>
      </c>
      <c r="C247" s="147" t="str" cm="1">
        <f t="array" ref="C247">_xlfn.LET(_xlpm.p,$A247,_xlfn.IFNA(
  INDEX(tblProjectInfo[InfoValue],
        MATCH(1,(tblProjectInfo[ProjectName]=_xlpm.p)*
                 (UPPER(TRIM(tblProjectInfo[Info]))="PROJECT DEVELOPER"),0)
), ""))</f>
        <v/>
      </c>
      <c r="D247" s="148" t="str" cm="1">
        <f t="array" ref="D247">_xlfn.LET(_xlpm.p,$A247,_xlfn.IFNA(
  INDEX(tblProjectInfo[InfoValue],
        MATCH(1,(tblProjectInfo[ProjectName]=_xlpm.p)*
                 (UPPER(TRIM(tblProjectInfo[Info]))="PROJECT MANAGERS"),0)
), ""))</f>
        <v/>
      </c>
      <c r="E247" s="147"/>
      <c r="F247" s="147"/>
      <c r="G247" s="147"/>
      <c r="H247" s="162" t="str" cm="1">
        <f t="array" ref="H247">_xlfn.LET(_xlpm.p,$A247,_xlfn.IFNA(
  INDEX(tblProjectInfo[InfoValue],
        MATCH(1,(tblProjectInfo[ProjectName]=_xlpm.p)*
                 ISNUMBER(SEARCH("PHASE",UPPER(tblProjectInfo[Info]))),0)
), ""))</f>
        <v/>
      </c>
      <c r="I247" s="149"/>
      <c r="J247" s="149"/>
      <c r="K247" s="169"/>
      <c r="L247" s="169"/>
      <c r="M247" s="149"/>
      <c r="N247" s="149"/>
      <c r="O247" s="149"/>
      <c r="P247" s="150"/>
      <c r="Q247" s="150"/>
      <c r="R247" s="151"/>
      <c r="S247" s="152"/>
      <c r="T247" s="152"/>
      <c r="U247" s="150"/>
      <c r="V247" s="152"/>
      <c r="W247" s="152"/>
      <c r="X247" s="246"/>
      <c r="Y247" s="106"/>
    </row>
    <row r="248" spans="1:25">
      <c r="A248" t="str" cm="1">
        <f t="array" ref="A24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IFERROR(INDEX(_xlpm.sorted,ROWS(A$2:A248)),"")
)</f>
        <v/>
      </c>
      <c r="B248" s="147" t="str" cm="1">
        <f t="array" ref="B248">_xlfn.LET(_xlpm.p,$A248,_xlfn.IFNA(
  INDEX(tblProjectInfo[InfoValue],
        MATCH(1,(tblProjectInfo[ProjectName]=_xlpm.p)*
                 (UPPER(TRIM(tblProjectInfo[Info]))="PROJECT SIZE (KWP)"),0)
), ""))</f>
        <v/>
      </c>
      <c r="C248" s="147" t="str" cm="1">
        <f t="array" ref="C248">_xlfn.LET(_xlpm.p,$A248,_xlfn.IFNA(
  INDEX(tblProjectInfo[InfoValue],
        MATCH(1,(tblProjectInfo[ProjectName]=_xlpm.p)*
                 (UPPER(TRIM(tblProjectInfo[Info]))="PROJECT DEVELOPER"),0)
), ""))</f>
        <v/>
      </c>
      <c r="D248" s="148" t="str" cm="1">
        <f t="array" ref="D248">_xlfn.LET(_xlpm.p,$A248,_xlfn.IFNA(
  INDEX(tblProjectInfo[InfoValue],
        MATCH(1,(tblProjectInfo[ProjectName]=_xlpm.p)*
                 (UPPER(TRIM(tblProjectInfo[Info]))="PROJECT MANAGERS"),0)
), ""))</f>
        <v/>
      </c>
      <c r="E248" s="147"/>
      <c r="F248" s="147"/>
      <c r="G248" s="147"/>
      <c r="H248" s="162" t="str" cm="1">
        <f t="array" ref="H248">_xlfn.LET(_xlpm.p,$A248,_xlfn.IFNA(
  INDEX(tblProjectInfo[InfoValue],
        MATCH(1,(tblProjectInfo[ProjectName]=_xlpm.p)*
                 ISNUMBER(SEARCH("PHASE",UPPER(tblProjectInfo[Info]))),0)
), ""))</f>
        <v/>
      </c>
      <c r="I248" s="149"/>
      <c r="J248" s="149"/>
      <c r="K248" s="169"/>
      <c r="L248" s="169"/>
      <c r="M248" s="149"/>
      <c r="N248" s="149"/>
      <c r="O248" s="149"/>
      <c r="P248" s="150"/>
      <c r="Q248" s="150"/>
      <c r="R248" s="151"/>
      <c r="S248" s="152"/>
      <c r="T248" s="152"/>
      <c r="U248" s="150"/>
      <c r="V248" s="152"/>
      <c r="W248" s="152"/>
      <c r="X248" s="246"/>
      <c r="Y248" s="106"/>
    </row>
    <row r="249" spans="1:25">
      <c r="A249" t="str" cm="1">
        <f t="array" ref="A24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IFERROR(INDEX(_xlpm.sorted,ROWS(A$2:A249)),"")
)</f>
        <v/>
      </c>
      <c r="B249" s="147" t="str" cm="1">
        <f t="array" ref="B249">_xlfn.LET(_xlpm.p,$A249,_xlfn.IFNA(
  INDEX(tblProjectInfo[InfoValue],
        MATCH(1,(tblProjectInfo[ProjectName]=_xlpm.p)*
                 (UPPER(TRIM(tblProjectInfo[Info]))="PROJECT SIZE (KWP)"),0)
), ""))</f>
        <v/>
      </c>
      <c r="C249" s="147" t="str" cm="1">
        <f t="array" ref="C249">_xlfn.LET(_xlpm.p,$A249,_xlfn.IFNA(
  INDEX(tblProjectInfo[InfoValue],
        MATCH(1,(tblProjectInfo[ProjectName]=_xlpm.p)*
                 (UPPER(TRIM(tblProjectInfo[Info]))="PROJECT DEVELOPER"),0)
), ""))</f>
        <v/>
      </c>
      <c r="D249" s="148" t="str" cm="1">
        <f t="array" ref="D249">_xlfn.LET(_xlpm.p,$A249,_xlfn.IFNA(
  INDEX(tblProjectInfo[InfoValue],
        MATCH(1,(tblProjectInfo[ProjectName]=_xlpm.p)*
                 (UPPER(TRIM(tblProjectInfo[Info]))="PROJECT MANAGERS"),0)
), ""))</f>
        <v/>
      </c>
      <c r="E249" s="147"/>
      <c r="F249" s="147"/>
      <c r="G249" s="147"/>
      <c r="H249" s="162" t="str" cm="1">
        <f t="array" ref="H249">_xlfn.LET(_xlpm.p,$A249,_xlfn.IFNA(
  INDEX(tblProjectInfo[InfoValue],
        MATCH(1,(tblProjectInfo[ProjectName]=_xlpm.p)*
                 ISNUMBER(SEARCH("PHASE",UPPER(tblProjectInfo[Info]))),0)
), ""))</f>
        <v/>
      </c>
      <c r="I249" s="149"/>
      <c r="J249" s="149"/>
      <c r="K249" s="169"/>
      <c r="L249" s="169"/>
      <c r="M249" s="149"/>
      <c r="N249" s="149"/>
      <c r="O249" s="149"/>
      <c r="P249" s="150"/>
      <c r="Q249" s="150"/>
      <c r="R249" s="151"/>
      <c r="S249" s="152"/>
      <c r="T249" s="152"/>
      <c r="U249" s="150"/>
      <c r="V249" s="152"/>
      <c r="W249" s="152"/>
      <c r="X249" s="246"/>
      <c r="Y249" s="106"/>
    </row>
    <row r="250" spans="1:25">
      <c r="A250" t="str" cm="1">
        <f t="array" ref="A25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IFERROR(INDEX(_xlpm.sorted,ROWS(A$2:A250)),"")
)</f>
        <v/>
      </c>
      <c r="B250" s="147" t="str" cm="1">
        <f t="array" ref="B250">_xlfn.LET(_xlpm.p,$A250,_xlfn.IFNA(
  INDEX(tblProjectInfo[InfoValue],
        MATCH(1,(tblProjectInfo[ProjectName]=_xlpm.p)*
                 (UPPER(TRIM(tblProjectInfo[Info]))="PROJECT SIZE (KWP)"),0)
), ""))</f>
        <v/>
      </c>
      <c r="C250" s="147" t="str" cm="1">
        <f t="array" ref="C250">_xlfn.LET(_xlpm.p,$A250,_xlfn.IFNA(
  INDEX(tblProjectInfo[InfoValue],
        MATCH(1,(tblProjectInfo[ProjectName]=_xlpm.p)*
                 (UPPER(TRIM(tblProjectInfo[Info]))="PROJECT DEVELOPER"),0)
), ""))</f>
        <v/>
      </c>
      <c r="D250" s="148" t="str" cm="1">
        <f t="array" ref="D250">_xlfn.LET(_xlpm.p,$A250,_xlfn.IFNA(
  INDEX(tblProjectInfo[InfoValue],
        MATCH(1,(tblProjectInfo[ProjectName]=_xlpm.p)*
                 (UPPER(TRIM(tblProjectInfo[Info]))="PROJECT MANAGERS"),0)
), ""))</f>
        <v/>
      </c>
      <c r="E250" s="147"/>
      <c r="F250" s="147"/>
      <c r="G250" s="147"/>
      <c r="H250" s="162" t="str" cm="1">
        <f t="array" ref="H250">_xlfn.LET(_xlpm.p,$A250,_xlfn.IFNA(
  INDEX(tblProjectInfo[InfoValue],
        MATCH(1,(tblProjectInfo[ProjectName]=_xlpm.p)*
                 ISNUMBER(SEARCH("PHASE",UPPER(tblProjectInfo[Info]))),0)
), ""))</f>
        <v/>
      </c>
      <c r="I250" s="149"/>
      <c r="J250" s="149"/>
      <c r="K250" s="169"/>
      <c r="L250" s="169"/>
      <c r="M250" s="149"/>
      <c r="N250" s="149"/>
      <c r="O250" s="149"/>
      <c r="P250" s="150"/>
      <c r="Q250" s="150"/>
      <c r="R250" s="151"/>
      <c r="S250" s="152"/>
      <c r="T250" s="152"/>
      <c r="U250" s="150"/>
      <c r="V250" s="152"/>
      <c r="W250" s="152"/>
      <c r="X250" s="246"/>
      <c r="Y250" s="106"/>
    </row>
    <row r="251" spans="1:25">
      <c r="A251" t="str" cm="1">
        <f t="array" ref="A25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IFERROR(INDEX(_xlpm.sorted,ROWS(A$2:A251)),"")
)</f>
        <v/>
      </c>
      <c r="B251" s="147" t="str" cm="1">
        <f t="array" ref="B251">_xlfn.LET(_xlpm.p,$A251,_xlfn.IFNA(
  INDEX(tblProjectInfo[InfoValue],
        MATCH(1,(tblProjectInfo[ProjectName]=_xlpm.p)*
                 (UPPER(TRIM(tblProjectInfo[Info]))="PROJECT SIZE (KWP)"),0)
), ""))</f>
        <v/>
      </c>
      <c r="C251" s="147" t="str" cm="1">
        <f t="array" ref="C251">_xlfn.LET(_xlpm.p,$A251,_xlfn.IFNA(
  INDEX(tblProjectInfo[InfoValue],
        MATCH(1,(tblProjectInfo[ProjectName]=_xlpm.p)*
                 (UPPER(TRIM(tblProjectInfo[Info]))="PROJECT DEVELOPER"),0)
), ""))</f>
        <v/>
      </c>
      <c r="D251" s="148" t="str" cm="1">
        <f t="array" ref="D251">_xlfn.LET(_xlpm.p,$A251,_xlfn.IFNA(
  INDEX(tblProjectInfo[InfoValue],
        MATCH(1,(tblProjectInfo[ProjectName]=_xlpm.p)*
                 (UPPER(TRIM(tblProjectInfo[Info]))="PROJECT MANAGERS"),0)
), ""))</f>
        <v/>
      </c>
      <c r="E251" s="147"/>
      <c r="F251" s="147"/>
      <c r="G251" s="147"/>
      <c r="H251" s="162" t="str" cm="1">
        <f t="array" ref="H251">_xlfn.LET(_xlpm.p,$A251,_xlfn.IFNA(
  INDEX(tblProjectInfo[InfoValue],
        MATCH(1,(tblProjectInfo[ProjectName]=_xlpm.p)*
                 ISNUMBER(SEARCH("PHASE",UPPER(tblProjectInfo[Info]))),0)
), ""))</f>
        <v/>
      </c>
      <c r="I251" s="149"/>
      <c r="J251" s="149"/>
      <c r="K251" s="169"/>
      <c r="L251" s="169"/>
      <c r="M251" s="149"/>
      <c r="N251" s="149"/>
      <c r="O251" s="149"/>
      <c r="P251" s="150"/>
      <c r="Q251" s="150"/>
      <c r="R251" s="151"/>
      <c r="S251" s="152"/>
      <c r="T251" s="152"/>
      <c r="U251" s="150"/>
      <c r="V251" s="152"/>
      <c r="W251" s="152"/>
      <c r="X251" s="246"/>
      <c r="Y251" s="106"/>
    </row>
    <row r="252" spans="1:25">
      <c r="A252" t="str" cm="1">
        <f t="array" ref="A25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IFERROR(INDEX(_xlpm.sorted,ROWS(A$2:A252)),"")
)</f>
        <v/>
      </c>
      <c r="B252" s="147" t="str" cm="1">
        <f t="array" ref="B252">_xlfn.LET(_xlpm.p,$A252,_xlfn.IFNA(
  INDEX(tblProjectInfo[InfoValue],
        MATCH(1,(tblProjectInfo[ProjectName]=_xlpm.p)*
                 (UPPER(TRIM(tblProjectInfo[Info]))="PROJECT SIZE (KWP)"),0)
), ""))</f>
        <v/>
      </c>
      <c r="C252" s="147" t="str" cm="1">
        <f t="array" ref="C252">_xlfn.LET(_xlpm.p,$A252,_xlfn.IFNA(
  INDEX(tblProjectInfo[InfoValue],
        MATCH(1,(tblProjectInfo[ProjectName]=_xlpm.p)*
                 (UPPER(TRIM(tblProjectInfo[Info]))="PROJECT DEVELOPER"),0)
), ""))</f>
        <v/>
      </c>
      <c r="D252" s="148" t="str" cm="1">
        <f t="array" ref="D252">_xlfn.LET(_xlpm.p,$A252,_xlfn.IFNA(
  INDEX(tblProjectInfo[InfoValue],
        MATCH(1,(tblProjectInfo[ProjectName]=_xlpm.p)*
                 (UPPER(TRIM(tblProjectInfo[Info]))="PROJECT MANAGERS"),0)
), ""))</f>
        <v/>
      </c>
      <c r="E252" s="147"/>
      <c r="F252" s="147"/>
      <c r="G252" s="147"/>
      <c r="H252" s="162" t="str" cm="1">
        <f t="array" ref="H252">_xlfn.LET(_xlpm.p,$A252,_xlfn.IFNA(
  INDEX(tblProjectInfo[InfoValue],
        MATCH(1,(tblProjectInfo[ProjectName]=_xlpm.p)*
                 ISNUMBER(SEARCH("PHASE",UPPER(tblProjectInfo[Info]))),0)
), ""))</f>
        <v/>
      </c>
      <c r="I252" s="149"/>
      <c r="J252" s="149"/>
      <c r="K252" s="169"/>
      <c r="L252" s="169"/>
      <c r="M252" s="149"/>
      <c r="N252" s="149"/>
      <c r="O252" s="149"/>
      <c r="P252" s="150"/>
      <c r="Q252" s="150"/>
      <c r="R252" s="151"/>
      <c r="S252" s="152"/>
      <c r="T252" s="152"/>
      <c r="U252" s="150"/>
      <c r="V252" s="152"/>
      <c r="W252" s="152"/>
      <c r="X252" s="246"/>
      <c r="Y252" s="106"/>
    </row>
    <row r="253" spans="1:25">
      <c r="A253" t="str" cm="1">
        <f t="array" ref="A25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IFERROR(INDEX(_xlpm.sorted,ROWS(A$2:A253)),"")
)</f>
        <v/>
      </c>
      <c r="B253" s="147" t="str" cm="1">
        <f t="array" ref="B253">_xlfn.LET(_xlpm.p,$A253,_xlfn.IFNA(
  INDEX(tblProjectInfo[InfoValue],
        MATCH(1,(tblProjectInfo[ProjectName]=_xlpm.p)*
                 (UPPER(TRIM(tblProjectInfo[Info]))="PROJECT SIZE (KWP)"),0)
), ""))</f>
        <v/>
      </c>
      <c r="C253" s="147" t="str" cm="1">
        <f t="array" ref="C253">_xlfn.LET(_xlpm.p,$A253,_xlfn.IFNA(
  INDEX(tblProjectInfo[InfoValue],
        MATCH(1,(tblProjectInfo[ProjectName]=_xlpm.p)*
                 (UPPER(TRIM(tblProjectInfo[Info]))="PROJECT DEVELOPER"),0)
), ""))</f>
        <v/>
      </c>
      <c r="D253" s="148" t="str" cm="1">
        <f t="array" ref="D253">_xlfn.LET(_xlpm.p,$A253,_xlfn.IFNA(
  INDEX(tblProjectInfo[InfoValue],
        MATCH(1,(tblProjectInfo[ProjectName]=_xlpm.p)*
                 (UPPER(TRIM(tblProjectInfo[Info]))="PROJECT MANAGERS"),0)
), ""))</f>
        <v/>
      </c>
      <c r="E253" s="147"/>
      <c r="F253" s="147"/>
      <c r="G253" s="147"/>
      <c r="H253" s="162" t="str" cm="1">
        <f t="array" ref="H253">_xlfn.LET(_xlpm.p,$A253,_xlfn.IFNA(
  INDEX(tblProjectInfo[InfoValue],
        MATCH(1,(tblProjectInfo[ProjectName]=_xlpm.p)*
                 ISNUMBER(SEARCH("PHASE",UPPER(tblProjectInfo[Info]))),0)
), ""))</f>
        <v/>
      </c>
      <c r="I253" s="149"/>
      <c r="J253" s="149"/>
      <c r="K253" s="169"/>
      <c r="L253" s="169"/>
      <c r="M253" s="149"/>
      <c r="N253" s="149"/>
      <c r="O253" s="149"/>
      <c r="P253" s="150"/>
      <c r="Q253" s="150"/>
      <c r="R253" s="151"/>
      <c r="S253" s="152"/>
      <c r="T253" s="152"/>
      <c r="U253" s="150"/>
      <c r="V253" s="152"/>
      <c r="W253" s="152"/>
      <c r="X253" s="246"/>
      <c r="Y253" s="106"/>
    </row>
    <row r="254" spans="1:25">
      <c r="A254" t="str" cm="1">
        <f t="array" ref="A25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IFERROR(INDEX(_xlpm.sorted,ROWS(A$2:A254)),"")
)</f>
        <v/>
      </c>
      <c r="B254" s="147" t="str" cm="1">
        <f t="array" ref="B254">_xlfn.LET(_xlpm.p,$A254,_xlfn.IFNA(
  INDEX(tblProjectInfo[InfoValue],
        MATCH(1,(tblProjectInfo[ProjectName]=_xlpm.p)*
                 (UPPER(TRIM(tblProjectInfo[Info]))="PROJECT SIZE (KWP)"),0)
), ""))</f>
        <v/>
      </c>
      <c r="C254" s="147" t="str" cm="1">
        <f t="array" ref="C254">_xlfn.LET(_xlpm.p,$A254,_xlfn.IFNA(
  INDEX(tblProjectInfo[InfoValue],
        MATCH(1,(tblProjectInfo[ProjectName]=_xlpm.p)*
                 (UPPER(TRIM(tblProjectInfo[Info]))="PROJECT DEVELOPER"),0)
), ""))</f>
        <v/>
      </c>
      <c r="D254" s="148" t="str" cm="1">
        <f t="array" ref="D254">_xlfn.LET(_xlpm.p,$A254,_xlfn.IFNA(
  INDEX(tblProjectInfo[InfoValue],
        MATCH(1,(tblProjectInfo[ProjectName]=_xlpm.p)*
                 (UPPER(TRIM(tblProjectInfo[Info]))="PROJECT MANAGERS"),0)
), ""))</f>
        <v/>
      </c>
      <c r="E254" s="147"/>
      <c r="F254" s="147"/>
      <c r="G254" s="147"/>
      <c r="H254" s="162" t="str" cm="1">
        <f t="array" ref="H254">_xlfn.LET(_xlpm.p,$A254,_xlfn.IFNA(
  INDEX(tblProjectInfo[InfoValue],
        MATCH(1,(tblProjectInfo[ProjectName]=_xlpm.p)*
                 ISNUMBER(SEARCH("PHASE",UPPER(tblProjectInfo[Info]))),0)
), ""))</f>
        <v/>
      </c>
      <c r="I254" s="149"/>
      <c r="J254" s="149"/>
      <c r="K254" s="169"/>
      <c r="L254" s="169"/>
      <c r="M254" s="149"/>
      <c r="N254" s="149"/>
      <c r="O254" s="149"/>
      <c r="P254" s="150"/>
      <c r="Q254" s="150"/>
      <c r="R254" s="151"/>
      <c r="S254" s="152"/>
      <c r="T254" s="152"/>
      <c r="U254" s="150"/>
      <c r="V254" s="152"/>
      <c r="W254" s="152"/>
      <c r="X254" s="246"/>
      <c r="Y254" s="106"/>
    </row>
    <row r="255" spans="1:25">
      <c r="A255" t="str" cm="1">
        <f t="array" ref="A25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IFERROR(INDEX(_xlpm.sorted,ROWS(A$2:A255)),"")
)</f>
        <v/>
      </c>
      <c r="B255" s="147" t="str" cm="1">
        <f t="array" ref="B255">_xlfn.LET(_xlpm.p,$A255,_xlfn.IFNA(
  INDEX(tblProjectInfo[InfoValue],
        MATCH(1,(tblProjectInfo[ProjectName]=_xlpm.p)*
                 (UPPER(TRIM(tblProjectInfo[Info]))="PROJECT SIZE (KWP)"),0)
), ""))</f>
        <v/>
      </c>
      <c r="C255" s="147" t="str" cm="1">
        <f t="array" ref="C255">_xlfn.LET(_xlpm.p,$A255,_xlfn.IFNA(
  INDEX(tblProjectInfo[InfoValue],
        MATCH(1,(tblProjectInfo[ProjectName]=_xlpm.p)*
                 (UPPER(TRIM(tblProjectInfo[Info]))="PROJECT DEVELOPER"),0)
), ""))</f>
        <v/>
      </c>
      <c r="D255" s="148" t="str" cm="1">
        <f t="array" ref="D255">_xlfn.LET(_xlpm.p,$A255,_xlfn.IFNA(
  INDEX(tblProjectInfo[InfoValue],
        MATCH(1,(tblProjectInfo[ProjectName]=_xlpm.p)*
                 (UPPER(TRIM(tblProjectInfo[Info]))="PROJECT MANAGERS"),0)
), ""))</f>
        <v/>
      </c>
      <c r="E255" s="147"/>
      <c r="F255" s="147"/>
      <c r="G255" s="147"/>
      <c r="H255" s="162" t="str" cm="1">
        <f t="array" ref="H255">_xlfn.LET(_xlpm.p,$A255,_xlfn.IFNA(
  INDEX(tblProjectInfo[InfoValue],
        MATCH(1,(tblProjectInfo[ProjectName]=_xlpm.p)*
                 ISNUMBER(SEARCH("PHASE",UPPER(tblProjectInfo[Info]))),0)
), ""))</f>
        <v/>
      </c>
      <c r="I255" s="149"/>
      <c r="J255" s="149"/>
      <c r="K255" s="169"/>
      <c r="L255" s="169"/>
      <c r="M255" s="149"/>
      <c r="N255" s="149"/>
      <c r="O255" s="149"/>
      <c r="P255" s="150"/>
      <c r="Q255" s="150"/>
      <c r="R255" s="151"/>
      <c r="S255" s="152"/>
      <c r="T255" s="152"/>
      <c r="U255" s="150"/>
      <c r="V255" s="152"/>
      <c r="W255" s="152"/>
      <c r="X255" s="246"/>
      <c r="Y255" s="106"/>
    </row>
    <row r="256" spans="1:25">
      <c r="A256" t="str" cm="1">
        <f t="array" ref="A25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IFERROR(INDEX(_xlpm.sorted,ROWS(A$2:A256)),"")
)</f>
        <v/>
      </c>
      <c r="B256" s="147" t="str" cm="1">
        <f t="array" ref="B256">_xlfn.LET(_xlpm.p,$A256,_xlfn.IFNA(
  INDEX(tblProjectInfo[InfoValue],
        MATCH(1,(tblProjectInfo[ProjectName]=_xlpm.p)*
                 (UPPER(TRIM(tblProjectInfo[Info]))="PROJECT SIZE (KWP)"),0)
), ""))</f>
        <v/>
      </c>
      <c r="C256" s="147" t="str" cm="1">
        <f t="array" ref="C256">_xlfn.LET(_xlpm.p,$A256,_xlfn.IFNA(
  INDEX(tblProjectInfo[InfoValue],
        MATCH(1,(tblProjectInfo[ProjectName]=_xlpm.p)*
                 (UPPER(TRIM(tblProjectInfo[Info]))="PROJECT DEVELOPER"),0)
), ""))</f>
        <v/>
      </c>
      <c r="D256" s="148" t="str" cm="1">
        <f t="array" ref="D256">_xlfn.LET(_xlpm.p,$A256,_xlfn.IFNA(
  INDEX(tblProjectInfo[InfoValue],
        MATCH(1,(tblProjectInfo[ProjectName]=_xlpm.p)*
                 (UPPER(TRIM(tblProjectInfo[Info]))="PROJECT MANAGERS"),0)
), ""))</f>
        <v/>
      </c>
      <c r="E256" s="147"/>
      <c r="F256" s="147"/>
      <c r="G256" s="147"/>
      <c r="H256" s="162" t="str" cm="1">
        <f t="array" ref="H256">_xlfn.LET(_xlpm.p,$A256,_xlfn.IFNA(
  INDEX(tblProjectInfo[InfoValue],
        MATCH(1,(tblProjectInfo[ProjectName]=_xlpm.p)*
                 ISNUMBER(SEARCH("PHASE",UPPER(tblProjectInfo[Info]))),0)
), ""))</f>
        <v/>
      </c>
      <c r="I256" s="149"/>
      <c r="J256" s="149"/>
      <c r="K256" s="169"/>
      <c r="L256" s="169"/>
      <c r="M256" s="149"/>
      <c r="N256" s="149"/>
      <c r="O256" s="149"/>
      <c r="P256" s="150"/>
      <c r="Q256" s="150"/>
      <c r="R256" s="151"/>
      <c r="S256" s="152"/>
      <c r="T256" s="152"/>
      <c r="U256" s="150"/>
      <c r="V256" s="152"/>
      <c r="W256" s="152"/>
      <c r="X256" s="246"/>
      <c r="Y256" s="106"/>
    </row>
    <row r="257" spans="1:25">
      <c r="A257" t="str" cm="1">
        <f t="array" ref="A25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IFERROR(INDEX(_xlpm.sorted,ROWS(A$2:A257)),"")
)</f>
        <v/>
      </c>
      <c r="B257" s="147" t="str" cm="1">
        <f t="array" ref="B257">_xlfn.LET(_xlpm.p,$A257,_xlfn.IFNA(
  INDEX(tblProjectInfo[InfoValue],
        MATCH(1,(tblProjectInfo[ProjectName]=_xlpm.p)*
                 (UPPER(TRIM(tblProjectInfo[Info]))="PROJECT SIZE (KWP)"),0)
), ""))</f>
        <v/>
      </c>
      <c r="C257" s="147" t="str" cm="1">
        <f t="array" ref="C257">_xlfn.LET(_xlpm.p,$A257,_xlfn.IFNA(
  INDEX(tblProjectInfo[InfoValue],
        MATCH(1,(tblProjectInfo[ProjectName]=_xlpm.p)*
                 (UPPER(TRIM(tblProjectInfo[Info]))="PROJECT DEVELOPER"),0)
), ""))</f>
        <v/>
      </c>
      <c r="D257" s="148" t="str" cm="1">
        <f t="array" ref="D257">_xlfn.LET(_xlpm.p,$A257,_xlfn.IFNA(
  INDEX(tblProjectInfo[InfoValue],
        MATCH(1,(tblProjectInfo[ProjectName]=_xlpm.p)*
                 (UPPER(TRIM(tblProjectInfo[Info]))="PROJECT MANAGERS"),0)
), ""))</f>
        <v/>
      </c>
      <c r="E257" s="147"/>
      <c r="F257" s="147"/>
      <c r="G257" s="147"/>
      <c r="H257" s="162" t="str" cm="1">
        <f t="array" ref="H257">_xlfn.LET(_xlpm.p,$A257,_xlfn.IFNA(
  INDEX(tblProjectInfo[InfoValue],
        MATCH(1,(tblProjectInfo[ProjectName]=_xlpm.p)*
                 ISNUMBER(SEARCH("PHASE",UPPER(tblProjectInfo[Info]))),0)
), ""))</f>
        <v/>
      </c>
      <c r="I257" s="149"/>
      <c r="J257" s="149"/>
      <c r="K257" s="169"/>
      <c r="L257" s="169"/>
      <c r="M257" s="149"/>
      <c r="N257" s="149"/>
      <c r="O257" s="149"/>
      <c r="P257" s="150"/>
      <c r="Q257" s="150"/>
      <c r="R257" s="151"/>
      <c r="S257" s="152"/>
      <c r="T257" s="152"/>
      <c r="U257" s="150"/>
      <c r="V257" s="152"/>
      <c r="W257" s="152"/>
      <c r="X257" s="246"/>
      <c r="Y257" s="106"/>
    </row>
    <row r="258" spans="1:25">
      <c r="A258" t="str" cm="1">
        <f t="array" ref="A25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IFERROR(INDEX(_xlpm.sorted,ROWS(A$2:A258)),"")
)</f>
        <v/>
      </c>
      <c r="B258" s="147" t="str" cm="1">
        <f t="array" ref="B258">_xlfn.LET(_xlpm.p,$A258,_xlfn.IFNA(
  INDEX(tblProjectInfo[InfoValue],
        MATCH(1,(tblProjectInfo[ProjectName]=_xlpm.p)*
                 (UPPER(TRIM(tblProjectInfo[Info]))="PROJECT SIZE (KWP)"),0)
), ""))</f>
        <v/>
      </c>
      <c r="C258" s="147" t="str" cm="1">
        <f t="array" ref="C258">_xlfn.LET(_xlpm.p,$A258,_xlfn.IFNA(
  INDEX(tblProjectInfo[InfoValue],
        MATCH(1,(tblProjectInfo[ProjectName]=_xlpm.p)*
                 (UPPER(TRIM(tblProjectInfo[Info]))="PROJECT DEVELOPER"),0)
), ""))</f>
        <v/>
      </c>
      <c r="D258" s="148" t="str" cm="1">
        <f t="array" ref="D258">_xlfn.LET(_xlpm.p,$A258,_xlfn.IFNA(
  INDEX(tblProjectInfo[InfoValue],
        MATCH(1,(tblProjectInfo[ProjectName]=_xlpm.p)*
                 (UPPER(TRIM(tblProjectInfo[Info]))="PROJECT MANAGERS"),0)
), ""))</f>
        <v/>
      </c>
      <c r="E258" s="147"/>
      <c r="F258" s="147"/>
      <c r="G258" s="147"/>
      <c r="H258" s="162" t="str" cm="1">
        <f t="array" ref="H258">_xlfn.LET(_xlpm.p,$A258,_xlfn.IFNA(
  INDEX(tblProjectInfo[InfoValue],
        MATCH(1,(tblProjectInfo[ProjectName]=_xlpm.p)*
                 ISNUMBER(SEARCH("PHASE",UPPER(tblProjectInfo[Info]))),0)
), ""))</f>
        <v/>
      </c>
      <c r="I258" s="149"/>
      <c r="J258" s="149"/>
      <c r="K258" s="169"/>
      <c r="L258" s="169"/>
      <c r="M258" s="149"/>
      <c r="N258" s="149"/>
      <c r="O258" s="149"/>
      <c r="P258" s="150"/>
      <c r="Q258" s="150"/>
      <c r="R258" s="151"/>
      <c r="S258" s="152"/>
      <c r="T258" s="152"/>
      <c r="U258" s="150"/>
      <c r="V258" s="152"/>
      <c r="W258" s="152"/>
      <c r="X258" s="246"/>
      <c r="Y258" s="106"/>
    </row>
    <row r="259" spans="1:25">
      <c r="A259" t="str" cm="1">
        <f t="array" ref="A25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IFERROR(INDEX(_xlpm.sorted,ROWS(A$2:A259)),"")
)</f>
        <v/>
      </c>
      <c r="B259" s="147" t="str" cm="1">
        <f t="array" ref="B259">_xlfn.LET(_xlpm.p,$A259,_xlfn.IFNA(
  INDEX(tblProjectInfo[InfoValue],
        MATCH(1,(tblProjectInfo[ProjectName]=_xlpm.p)*
                 (UPPER(TRIM(tblProjectInfo[Info]))="PROJECT SIZE (KWP)"),0)
), ""))</f>
        <v/>
      </c>
      <c r="C259" s="147" t="str" cm="1">
        <f t="array" ref="C259">_xlfn.LET(_xlpm.p,$A259,_xlfn.IFNA(
  INDEX(tblProjectInfo[InfoValue],
        MATCH(1,(tblProjectInfo[ProjectName]=_xlpm.p)*
                 (UPPER(TRIM(tblProjectInfo[Info]))="PROJECT DEVELOPER"),0)
), ""))</f>
        <v/>
      </c>
      <c r="D259" s="148" t="str" cm="1">
        <f t="array" ref="D259">_xlfn.LET(_xlpm.p,$A259,_xlfn.IFNA(
  INDEX(tblProjectInfo[InfoValue],
        MATCH(1,(tblProjectInfo[ProjectName]=_xlpm.p)*
                 (UPPER(TRIM(tblProjectInfo[Info]))="PROJECT MANAGERS"),0)
), ""))</f>
        <v/>
      </c>
      <c r="E259" s="147"/>
      <c r="F259" s="147"/>
      <c r="G259" s="147"/>
      <c r="H259" s="162" t="str" cm="1">
        <f t="array" ref="H259">_xlfn.LET(_xlpm.p,$A259,_xlfn.IFNA(
  INDEX(tblProjectInfo[InfoValue],
        MATCH(1,(tblProjectInfo[ProjectName]=_xlpm.p)*
                 ISNUMBER(SEARCH("PHASE",UPPER(tblProjectInfo[Info]))),0)
), ""))</f>
        <v/>
      </c>
      <c r="I259" s="149"/>
      <c r="J259" s="149"/>
      <c r="K259" s="169"/>
      <c r="L259" s="169"/>
      <c r="M259" s="149"/>
      <c r="N259" s="149"/>
      <c r="O259" s="149"/>
      <c r="P259" s="150"/>
      <c r="Q259" s="150"/>
      <c r="R259" s="151"/>
      <c r="S259" s="152"/>
      <c r="T259" s="152"/>
      <c r="U259" s="150"/>
      <c r="V259" s="152"/>
      <c r="W259" s="152"/>
      <c r="X259" s="246"/>
      <c r="Y259" s="106"/>
    </row>
    <row r="260" spans="1:25">
      <c r="A260" t="str" cm="1">
        <f t="array" ref="A26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IFERROR(INDEX(_xlpm.sorted,ROWS(A$2:A260)),"")
)</f>
        <v/>
      </c>
      <c r="B260" s="147" t="str" cm="1">
        <f t="array" ref="B260">_xlfn.LET(_xlpm.p,$A260,_xlfn.IFNA(
  INDEX(tblProjectInfo[InfoValue],
        MATCH(1,(tblProjectInfo[ProjectName]=_xlpm.p)*
                 (UPPER(TRIM(tblProjectInfo[Info]))="PROJECT SIZE (KWP)"),0)
), ""))</f>
        <v/>
      </c>
      <c r="C260" s="147" t="str" cm="1">
        <f t="array" ref="C260">_xlfn.LET(_xlpm.p,$A260,_xlfn.IFNA(
  INDEX(tblProjectInfo[InfoValue],
        MATCH(1,(tblProjectInfo[ProjectName]=_xlpm.p)*
                 (UPPER(TRIM(tblProjectInfo[Info]))="PROJECT DEVELOPER"),0)
), ""))</f>
        <v/>
      </c>
      <c r="D260" s="148" t="str" cm="1">
        <f t="array" ref="D260">_xlfn.LET(_xlpm.p,$A260,_xlfn.IFNA(
  INDEX(tblProjectInfo[InfoValue],
        MATCH(1,(tblProjectInfo[ProjectName]=_xlpm.p)*
                 (UPPER(TRIM(tblProjectInfo[Info]))="PROJECT MANAGERS"),0)
), ""))</f>
        <v/>
      </c>
      <c r="E260" s="147"/>
      <c r="F260" s="147"/>
      <c r="G260" s="147"/>
      <c r="H260" s="162" t="str" cm="1">
        <f t="array" ref="H260">_xlfn.LET(_xlpm.p,$A260,_xlfn.IFNA(
  INDEX(tblProjectInfo[InfoValue],
        MATCH(1,(tblProjectInfo[ProjectName]=_xlpm.p)*
                 ISNUMBER(SEARCH("PHASE",UPPER(tblProjectInfo[Info]))),0)
), ""))</f>
        <v/>
      </c>
      <c r="I260" s="149"/>
      <c r="J260" s="149"/>
      <c r="K260" s="169"/>
      <c r="L260" s="169"/>
      <c r="M260" s="149"/>
      <c r="N260" s="149"/>
      <c r="O260" s="149"/>
      <c r="P260" s="150"/>
      <c r="Q260" s="150"/>
      <c r="R260" s="151"/>
      <c r="S260" s="152"/>
      <c r="T260" s="152"/>
      <c r="U260" s="150"/>
      <c r="V260" s="152"/>
      <c r="W260" s="152"/>
      <c r="X260" s="246"/>
      <c r="Y260" s="106"/>
    </row>
    <row r="261" spans="1:25">
      <c r="A261" t="str" cm="1">
        <f t="array" ref="A26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IFERROR(INDEX(_xlpm.sorted,ROWS(A$2:A261)),"")
)</f>
        <v/>
      </c>
      <c r="B261" s="147" t="str" cm="1">
        <f t="array" ref="B261">_xlfn.LET(_xlpm.p,$A261,_xlfn.IFNA(
  INDEX(tblProjectInfo[InfoValue],
        MATCH(1,(tblProjectInfo[ProjectName]=_xlpm.p)*
                 (UPPER(TRIM(tblProjectInfo[Info]))="PROJECT SIZE (KWP)"),0)
), ""))</f>
        <v/>
      </c>
      <c r="C261" s="147" t="str" cm="1">
        <f t="array" ref="C261">_xlfn.LET(_xlpm.p,$A261,_xlfn.IFNA(
  INDEX(tblProjectInfo[InfoValue],
        MATCH(1,(tblProjectInfo[ProjectName]=_xlpm.p)*
                 (UPPER(TRIM(tblProjectInfo[Info]))="PROJECT DEVELOPER"),0)
), ""))</f>
        <v/>
      </c>
      <c r="D261" s="148" t="str" cm="1">
        <f t="array" ref="D261">_xlfn.LET(_xlpm.p,$A261,_xlfn.IFNA(
  INDEX(tblProjectInfo[InfoValue],
        MATCH(1,(tblProjectInfo[ProjectName]=_xlpm.p)*
                 (UPPER(TRIM(tblProjectInfo[Info]))="PROJECT MANAGERS"),0)
), ""))</f>
        <v/>
      </c>
      <c r="E261" s="147"/>
      <c r="F261" s="147"/>
      <c r="G261" s="147"/>
      <c r="H261" s="162" t="str" cm="1">
        <f t="array" ref="H261">_xlfn.LET(_xlpm.p,$A261,_xlfn.IFNA(
  INDEX(tblProjectInfo[InfoValue],
        MATCH(1,(tblProjectInfo[ProjectName]=_xlpm.p)*
                 ISNUMBER(SEARCH("PHASE",UPPER(tblProjectInfo[Info]))),0)
), ""))</f>
        <v/>
      </c>
      <c r="I261" s="149"/>
      <c r="J261" s="149"/>
      <c r="K261" s="169"/>
      <c r="L261" s="169"/>
      <c r="M261" s="149"/>
      <c r="N261" s="149"/>
      <c r="O261" s="149"/>
      <c r="P261" s="150"/>
      <c r="Q261" s="150"/>
      <c r="R261" s="151"/>
      <c r="S261" s="152"/>
      <c r="T261" s="152"/>
      <c r="U261" s="150"/>
      <c r="V261" s="152"/>
      <c r="W261" s="152"/>
      <c r="X261" s="246"/>
      <c r="Y261" s="106"/>
    </row>
    <row r="262" spans="1:25">
      <c r="A262" t="str" cm="1">
        <f t="array" ref="A26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IFERROR(INDEX(_xlpm.sorted,ROWS(A$2:A262)),"")
)</f>
        <v/>
      </c>
      <c r="B262" s="147" t="str" cm="1">
        <f t="array" ref="B262">_xlfn.LET(_xlpm.p,$A262,_xlfn.IFNA(
  INDEX(tblProjectInfo[InfoValue],
        MATCH(1,(tblProjectInfo[ProjectName]=_xlpm.p)*
                 (UPPER(TRIM(tblProjectInfo[Info]))="PROJECT SIZE (KWP)"),0)
), ""))</f>
        <v/>
      </c>
      <c r="C262" s="147" t="str" cm="1">
        <f t="array" ref="C262">_xlfn.LET(_xlpm.p,$A262,_xlfn.IFNA(
  INDEX(tblProjectInfo[InfoValue],
        MATCH(1,(tblProjectInfo[ProjectName]=_xlpm.p)*
                 (UPPER(TRIM(tblProjectInfo[Info]))="PROJECT DEVELOPER"),0)
), ""))</f>
        <v/>
      </c>
      <c r="D262" s="148" t="str" cm="1">
        <f t="array" ref="D262">_xlfn.LET(_xlpm.p,$A262,_xlfn.IFNA(
  INDEX(tblProjectInfo[InfoValue],
        MATCH(1,(tblProjectInfo[ProjectName]=_xlpm.p)*
                 (UPPER(TRIM(tblProjectInfo[Info]))="PROJECT MANAGERS"),0)
), ""))</f>
        <v/>
      </c>
      <c r="E262" s="147"/>
      <c r="F262" s="147"/>
      <c r="G262" s="147"/>
      <c r="H262" s="162" t="str" cm="1">
        <f t="array" ref="H262">_xlfn.LET(_xlpm.p,$A262,_xlfn.IFNA(
  INDEX(tblProjectInfo[InfoValue],
        MATCH(1,(tblProjectInfo[ProjectName]=_xlpm.p)*
                 ISNUMBER(SEARCH("PHASE",UPPER(tblProjectInfo[Info]))),0)
), ""))</f>
        <v/>
      </c>
      <c r="I262" s="149"/>
      <c r="J262" s="149"/>
      <c r="K262" s="169"/>
      <c r="L262" s="169"/>
      <c r="M262" s="149"/>
      <c r="N262" s="149"/>
      <c r="O262" s="149"/>
      <c r="P262" s="150"/>
      <c r="Q262" s="150"/>
      <c r="R262" s="151"/>
      <c r="S262" s="152"/>
      <c r="T262" s="152"/>
      <c r="U262" s="150"/>
      <c r="V262" s="152"/>
      <c r="W262" s="152"/>
      <c r="X262" s="246"/>
      <c r="Y262" s="106"/>
    </row>
    <row r="263" spans="1:25">
      <c r="A263" t="str" cm="1">
        <f t="array" ref="A26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IFERROR(INDEX(_xlpm.sorted,ROWS(A$2:A263)),"")
)</f>
        <v/>
      </c>
      <c r="B263" s="147" t="str" cm="1">
        <f t="array" ref="B263">_xlfn.LET(_xlpm.p,$A263,_xlfn.IFNA(
  INDEX(tblProjectInfo[InfoValue],
        MATCH(1,(tblProjectInfo[ProjectName]=_xlpm.p)*
                 (UPPER(TRIM(tblProjectInfo[Info]))="PROJECT SIZE (KWP)"),0)
), ""))</f>
        <v/>
      </c>
      <c r="C263" s="147" t="str" cm="1">
        <f t="array" ref="C263">_xlfn.LET(_xlpm.p,$A263,_xlfn.IFNA(
  INDEX(tblProjectInfo[InfoValue],
        MATCH(1,(tblProjectInfo[ProjectName]=_xlpm.p)*
                 (UPPER(TRIM(tblProjectInfo[Info]))="PROJECT DEVELOPER"),0)
), ""))</f>
        <v/>
      </c>
      <c r="D263" s="148" t="str" cm="1">
        <f t="array" ref="D263">_xlfn.LET(_xlpm.p,$A263,_xlfn.IFNA(
  INDEX(tblProjectInfo[InfoValue],
        MATCH(1,(tblProjectInfo[ProjectName]=_xlpm.p)*
                 (UPPER(TRIM(tblProjectInfo[Info]))="PROJECT MANAGERS"),0)
), ""))</f>
        <v/>
      </c>
      <c r="E263" s="147"/>
      <c r="F263" s="147"/>
      <c r="G263" s="147"/>
      <c r="H263" s="162" t="str" cm="1">
        <f t="array" ref="H263">_xlfn.LET(_xlpm.p,$A263,_xlfn.IFNA(
  INDEX(tblProjectInfo[InfoValue],
        MATCH(1,(tblProjectInfo[ProjectName]=_xlpm.p)*
                 ISNUMBER(SEARCH("PHASE",UPPER(tblProjectInfo[Info]))),0)
), ""))</f>
        <v/>
      </c>
      <c r="I263" s="149"/>
      <c r="J263" s="149"/>
      <c r="K263" s="169"/>
      <c r="L263" s="169"/>
      <c r="M263" s="149"/>
      <c r="N263" s="149"/>
      <c r="O263" s="149"/>
      <c r="P263" s="150"/>
      <c r="Q263" s="150"/>
      <c r="R263" s="151"/>
      <c r="S263" s="152"/>
      <c r="T263" s="152"/>
      <c r="U263" s="150"/>
      <c r="V263" s="152"/>
      <c r="W263" s="152"/>
      <c r="X263" s="246"/>
      <c r="Y263" s="106"/>
    </row>
    <row r="264" spans="1:25">
      <c r="A264" t="str" cm="1">
        <f t="array" ref="A26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IFERROR(INDEX(_xlpm.sorted,ROWS(A$2:A264)),"")
)</f>
        <v/>
      </c>
      <c r="B264" s="147" t="str" cm="1">
        <f t="array" ref="B264">_xlfn.LET(_xlpm.p,$A264,_xlfn.IFNA(
  INDEX(tblProjectInfo[InfoValue],
        MATCH(1,(tblProjectInfo[ProjectName]=_xlpm.p)*
                 (UPPER(TRIM(tblProjectInfo[Info]))="PROJECT SIZE (KWP)"),0)
), ""))</f>
        <v/>
      </c>
      <c r="C264" s="147" t="str" cm="1">
        <f t="array" ref="C264">_xlfn.LET(_xlpm.p,$A264,_xlfn.IFNA(
  INDEX(tblProjectInfo[InfoValue],
        MATCH(1,(tblProjectInfo[ProjectName]=_xlpm.p)*
                 (UPPER(TRIM(tblProjectInfo[Info]))="PROJECT DEVELOPER"),0)
), ""))</f>
        <v/>
      </c>
      <c r="D264" s="148" t="str" cm="1">
        <f t="array" ref="D264">_xlfn.LET(_xlpm.p,$A264,_xlfn.IFNA(
  INDEX(tblProjectInfo[InfoValue],
        MATCH(1,(tblProjectInfo[ProjectName]=_xlpm.p)*
                 (UPPER(TRIM(tblProjectInfo[Info]))="PROJECT MANAGERS"),0)
), ""))</f>
        <v/>
      </c>
      <c r="E264" s="147"/>
      <c r="F264" s="147"/>
      <c r="G264" s="147"/>
      <c r="H264" s="162" t="str" cm="1">
        <f t="array" ref="H264">_xlfn.LET(_xlpm.p,$A264,_xlfn.IFNA(
  INDEX(tblProjectInfo[InfoValue],
        MATCH(1,(tblProjectInfo[ProjectName]=_xlpm.p)*
                 ISNUMBER(SEARCH("PHASE",UPPER(tblProjectInfo[Info]))),0)
), ""))</f>
        <v/>
      </c>
      <c r="I264" s="149"/>
      <c r="J264" s="149"/>
      <c r="K264" s="169"/>
      <c r="L264" s="169"/>
      <c r="M264" s="149"/>
      <c r="N264" s="149"/>
      <c r="O264" s="149"/>
      <c r="P264" s="150"/>
      <c r="Q264" s="150"/>
      <c r="R264" s="151"/>
      <c r="S264" s="152"/>
      <c r="T264" s="152"/>
      <c r="U264" s="150"/>
      <c r="V264" s="152"/>
      <c r="W264" s="152"/>
      <c r="X264" s="246"/>
      <c r="Y264" s="106"/>
    </row>
    <row r="265" spans="1:25">
      <c r="A265" t="str" cm="1">
        <f t="array" ref="A26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IFERROR(INDEX(_xlpm.sorted,ROWS(A$2:A265)),"")
)</f>
        <v/>
      </c>
      <c r="B265" s="147" t="str" cm="1">
        <f t="array" ref="B265">_xlfn.LET(_xlpm.p,$A265,_xlfn.IFNA(
  INDEX(tblProjectInfo[InfoValue],
        MATCH(1,(tblProjectInfo[ProjectName]=_xlpm.p)*
                 (UPPER(TRIM(tblProjectInfo[Info]))="PROJECT SIZE (KWP)"),0)
), ""))</f>
        <v/>
      </c>
      <c r="C265" s="147" t="str" cm="1">
        <f t="array" ref="C265">_xlfn.LET(_xlpm.p,$A265,_xlfn.IFNA(
  INDEX(tblProjectInfo[InfoValue],
        MATCH(1,(tblProjectInfo[ProjectName]=_xlpm.p)*
                 (UPPER(TRIM(tblProjectInfo[Info]))="PROJECT DEVELOPER"),0)
), ""))</f>
        <v/>
      </c>
      <c r="D265" s="148" t="str" cm="1">
        <f t="array" ref="D265">_xlfn.LET(_xlpm.p,$A265,_xlfn.IFNA(
  INDEX(tblProjectInfo[InfoValue],
        MATCH(1,(tblProjectInfo[ProjectName]=_xlpm.p)*
                 (UPPER(TRIM(tblProjectInfo[Info]))="PROJECT MANAGERS"),0)
), ""))</f>
        <v/>
      </c>
      <c r="E265" s="147"/>
      <c r="F265" s="147"/>
      <c r="G265" s="147"/>
      <c r="H265" s="162" t="str" cm="1">
        <f t="array" ref="H265">_xlfn.LET(_xlpm.p,$A265,_xlfn.IFNA(
  INDEX(tblProjectInfo[InfoValue],
        MATCH(1,(tblProjectInfo[ProjectName]=_xlpm.p)*
                 ISNUMBER(SEARCH("PHASE",UPPER(tblProjectInfo[Info]))),0)
), ""))</f>
        <v/>
      </c>
      <c r="I265" s="149"/>
      <c r="J265" s="149"/>
      <c r="K265" s="169"/>
      <c r="L265" s="169"/>
      <c r="M265" s="149"/>
      <c r="N265" s="149"/>
      <c r="O265" s="149"/>
      <c r="P265" s="150"/>
      <c r="Q265" s="150"/>
      <c r="R265" s="151"/>
      <c r="S265" s="152"/>
      <c r="T265" s="152"/>
      <c r="U265" s="150"/>
      <c r="V265" s="152"/>
      <c r="W265" s="152"/>
      <c r="X265" s="246"/>
      <c r="Y265" s="106"/>
    </row>
    <row r="266" spans="1:25">
      <c r="A266" t="str" cm="1">
        <f t="array" ref="A26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IFERROR(INDEX(_xlpm.sorted,ROWS(A$2:A266)),"")
)</f>
        <v/>
      </c>
      <c r="B266" s="147" t="str" cm="1">
        <f t="array" ref="B266">_xlfn.LET(_xlpm.p,$A266,_xlfn.IFNA(
  INDEX(tblProjectInfo[InfoValue],
        MATCH(1,(tblProjectInfo[ProjectName]=_xlpm.p)*
                 (UPPER(TRIM(tblProjectInfo[Info]))="PROJECT SIZE (KWP)"),0)
), ""))</f>
        <v/>
      </c>
      <c r="C266" s="147" t="str" cm="1">
        <f t="array" ref="C266">_xlfn.LET(_xlpm.p,$A266,_xlfn.IFNA(
  INDEX(tblProjectInfo[InfoValue],
        MATCH(1,(tblProjectInfo[ProjectName]=_xlpm.p)*
                 (UPPER(TRIM(tblProjectInfo[Info]))="PROJECT DEVELOPER"),0)
), ""))</f>
        <v/>
      </c>
      <c r="D266" s="148" t="str" cm="1">
        <f t="array" ref="D266">_xlfn.LET(_xlpm.p,$A266,_xlfn.IFNA(
  INDEX(tblProjectInfo[InfoValue],
        MATCH(1,(tblProjectInfo[ProjectName]=_xlpm.p)*
                 (UPPER(TRIM(tblProjectInfo[Info]))="PROJECT MANAGERS"),0)
), ""))</f>
        <v/>
      </c>
      <c r="E266" s="147"/>
      <c r="F266" s="147"/>
      <c r="G266" s="147"/>
      <c r="H266" s="162" t="str" cm="1">
        <f t="array" ref="H266">_xlfn.LET(_xlpm.p,$A266,_xlfn.IFNA(
  INDEX(tblProjectInfo[InfoValue],
        MATCH(1,(tblProjectInfo[ProjectName]=_xlpm.p)*
                 ISNUMBER(SEARCH("PHASE",UPPER(tblProjectInfo[Info]))),0)
), ""))</f>
        <v/>
      </c>
      <c r="I266" s="149"/>
      <c r="J266" s="149"/>
      <c r="K266" s="169"/>
      <c r="L266" s="169"/>
      <c r="M266" s="149"/>
      <c r="N266" s="149"/>
      <c r="O266" s="149"/>
      <c r="P266" s="150"/>
      <c r="Q266" s="150"/>
      <c r="R266" s="151"/>
      <c r="S266" s="152"/>
      <c r="T266" s="152"/>
      <c r="U266" s="150"/>
      <c r="V266" s="152"/>
      <c r="W266" s="152"/>
      <c r="X266" s="246"/>
      <c r="Y266" s="106"/>
    </row>
    <row r="267" spans="1:25">
      <c r="A267" t="str" cm="1">
        <f t="array" ref="A26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IFERROR(INDEX(_xlpm.sorted,ROWS(A$2:A267)),"")
)</f>
        <v/>
      </c>
      <c r="B267" s="147" t="str" cm="1">
        <f t="array" ref="B267">_xlfn.LET(_xlpm.p,$A267,_xlfn.IFNA(
  INDEX(tblProjectInfo[InfoValue],
        MATCH(1,(tblProjectInfo[ProjectName]=_xlpm.p)*
                 (UPPER(TRIM(tblProjectInfo[Info]))="PROJECT SIZE (KWP)"),0)
), ""))</f>
        <v/>
      </c>
      <c r="C267" s="147" t="str" cm="1">
        <f t="array" ref="C267">_xlfn.LET(_xlpm.p,$A267,_xlfn.IFNA(
  INDEX(tblProjectInfo[InfoValue],
        MATCH(1,(tblProjectInfo[ProjectName]=_xlpm.p)*
                 (UPPER(TRIM(tblProjectInfo[Info]))="PROJECT DEVELOPER"),0)
), ""))</f>
        <v/>
      </c>
      <c r="D267" s="148" t="str" cm="1">
        <f t="array" ref="D267">_xlfn.LET(_xlpm.p,$A267,_xlfn.IFNA(
  INDEX(tblProjectInfo[InfoValue],
        MATCH(1,(tblProjectInfo[ProjectName]=_xlpm.p)*
                 (UPPER(TRIM(tblProjectInfo[Info]))="PROJECT MANAGERS"),0)
), ""))</f>
        <v/>
      </c>
      <c r="E267" s="147"/>
      <c r="F267" s="147"/>
      <c r="G267" s="147"/>
      <c r="H267" s="162" t="str" cm="1">
        <f t="array" ref="H267">_xlfn.LET(_xlpm.p,$A267,_xlfn.IFNA(
  INDEX(tblProjectInfo[InfoValue],
        MATCH(1,(tblProjectInfo[ProjectName]=_xlpm.p)*
                 ISNUMBER(SEARCH("PHASE",UPPER(tblProjectInfo[Info]))),0)
), ""))</f>
        <v/>
      </c>
      <c r="I267" s="149"/>
      <c r="J267" s="149"/>
      <c r="K267" s="169"/>
      <c r="L267" s="169"/>
      <c r="M267" s="149"/>
      <c r="N267" s="149"/>
      <c r="O267" s="149"/>
      <c r="P267" s="150"/>
      <c r="Q267" s="150"/>
      <c r="R267" s="151"/>
      <c r="S267" s="152"/>
      <c r="T267" s="152"/>
      <c r="U267" s="150"/>
      <c r="V267" s="152"/>
      <c r="W267" s="152"/>
      <c r="X267" s="246"/>
      <c r="Y267" s="106"/>
    </row>
    <row r="268" spans="1:25">
      <c r="A268" t="str" cm="1">
        <f t="array" ref="A26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IFERROR(INDEX(_xlpm.sorted,ROWS(A$2:A268)),"")
)</f>
        <v/>
      </c>
      <c r="B268" s="147" t="str" cm="1">
        <f t="array" ref="B268">_xlfn.LET(_xlpm.p,$A268,_xlfn.IFNA(
  INDEX(tblProjectInfo[InfoValue],
        MATCH(1,(tblProjectInfo[ProjectName]=_xlpm.p)*
                 (UPPER(TRIM(tblProjectInfo[Info]))="PROJECT SIZE (KWP)"),0)
), ""))</f>
        <v/>
      </c>
      <c r="C268" s="147" t="str" cm="1">
        <f t="array" ref="C268">_xlfn.LET(_xlpm.p,$A268,_xlfn.IFNA(
  INDEX(tblProjectInfo[InfoValue],
        MATCH(1,(tblProjectInfo[ProjectName]=_xlpm.p)*
                 (UPPER(TRIM(tblProjectInfo[Info]))="PROJECT DEVELOPER"),0)
), ""))</f>
        <v/>
      </c>
      <c r="D268" s="148" t="str" cm="1">
        <f t="array" ref="D268">_xlfn.LET(_xlpm.p,$A268,_xlfn.IFNA(
  INDEX(tblProjectInfo[InfoValue],
        MATCH(1,(tblProjectInfo[ProjectName]=_xlpm.p)*
                 (UPPER(TRIM(tblProjectInfo[Info]))="PROJECT MANAGERS"),0)
), ""))</f>
        <v/>
      </c>
      <c r="E268" s="147"/>
      <c r="F268" s="147"/>
      <c r="G268" s="147"/>
      <c r="H268" s="162" t="str" cm="1">
        <f t="array" ref="H268">_xlfn.LET(_xlpm.p,$A268,_xlfn.IFNA(
  INDEX(tblProjectInfo[InfoValue],
        MATCH(1,(tblProjectInfo[ProjectName]=_xlpm.p)*
                 ISNUMBER(SEARCH("PHASE",UPPER(tblProjectInfo[Info]))),0)
), ""))</f>
        <v/>
      </c>
      <c r="I268" s="149"/>
      <c r="J268" s="149"/>
      <c r="K268" s="169"/>
      <c r="L268" s="169"/>
      <c r="M268" s="149"/>
      <c r="N268" s="149"/>
      <c r="O268" s="149"/>
      <c r="P268" s="150"/>
      <c r="Q268" s="150"/>
      <c r="R268" s="151"/>
      <c r="S268" s="152"/>
      <c r="T268" s="152"/>
      <c r="U268" s="150"/>
      <c r="V268" s="152"/>
      <c r="W268" s="152"/>
      <c r="X268" s="246"/>
      <c r="Y268" s="106"/>
    </row>
    <row r="269" spans="1:25">
      <c r="A269" t="str" cm="1">
        <f t="array" ref="A26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IFERROR(INDEX(_xlpm.sorted,ROWS(A$2:A269)),"")
)</f>
        <v/>
      </c>
      <c r="B269" s="147" t="str" cm="1">
        <f t="array" ref="B269">_xlfn.LET(_xlpm.p,$A269,_xlfn.IFNA(
  INDEX(tblProjectInfo[InfoValue],
        MATCH(1,(tblProjectInfo[ProjectName]=_xlpm.p)*
                 (UPPER(TRIM(tblProjectInfo[Info]))="PROJECT SIZE (KWP)"),0)
), ""))</f>
        <v/>
      </c>
      <c r="C269" s="147" t="str" cm="1">
        <f t="array" ref="C269">_xlfn.LET(_xlpm.p,$A269,_xlfn.IFNA(
  INDEX(tblProjectInfo[InfoValue],
        MATCH(1,(tblProjectInfo[ProjectName]=_xlpm.p)*
                 (UPPER(TRIM(tblProjectInfo[Info]))="PROJECT DEVELOPER"),0)
), ""))</f>
        <v/>
      </c>
      <c r="D269" s="148" t="str" cm="1">
        <f t="array" ref="D269">_xlfn.LET(_xlpm.p,$A269,_xlfn.IFNA(
  INDEX(tblProjectInfo[InfoValue],
        MATCH(1,(tblProjectInfo[ProjectName]=_xlpm.p)*
                 (UPPER(TRIM(tblProjectInfo[Info]))="PROJECT MANAGERS"),0)
), ""))</f>
        <v/>
      </c>
      <c r="E269" s="147"/>
      <c r="F269" s="147"/>
      <c r="G269" s="147"/>
      <c r="H269" s="162" t="str" cm="1">
        <f t="array" ref="H269">_xlfn.LET(_xlpm.p,$A269,_xlfn.IFNA(
  INDEX(tblProjectInfo[InfoValue],
        MATCH(1,(tblProjectInfo[ProjectName]=_xlpm.p)*
                 ISNUMBER(SEARCH("PHASE",UPPER(tblProjectInfo[Info]))),0)
), ""))</f>
        <v/>
      </c>
      <c r="I269" s="149"/>
      <c r="J269" s="149"/>
      <c r="K269" s="169"/>
      <c r="L269" s="169"/>
      <c r="M269" s="149"/>
      <c r="N269" s="149"/>
      <c r="O269" s="149"/>
      <c r="P269" s="150"/>
      <c r="Q269" s="150"/>
      <c r="R269" s="151"/>
      <c r="S269" s="152"/>
      <c r="T269" s="152"/>
      <c r="U269" s="150"/>
      <c r="V269" s="152"/>
      <c r="W269" s="152"/>
      <c r="X269" s="246"/>
      <c r="Y269" s="106"/>
    </row>
    <row r="270" spans="1:25">
      <c r="A270" t="str" cm="1">
        <f t="array" ref="A27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IFERROR(INDEX(_xlpm.sorted,ROWS(A$2:A270)),"")
)</f>
        <v/>
      </c>
      <c r="B270" s="147" t="str" cm="1">
        <f t="array" ref="B270">_xlfn.LET(_xlpm.p,$A270,_xlfn.IFNA(
  INDEX(tblProjectInfo[InfoValue],
        MATCH(1,(tblProjectInfo[ProjectName]=_xlpm.p)*
                 (UPPER(TRIM(tblProjectInfo[Info]))="PROJECT SIZE (KWP)"),0)
), ""))</f>
        <v/>
      </c>
      <c r="C270" s="147" t="str" cm="1">
        <f t="array" ref="C270">_xlfn.LET(_xlpm.p,$A270,_xlfn.IFNA(
  INDEX(tblProjectInfo[InfoValue],
        MATCH(1,(tblProjectInfo[ProjectName]=_xlpm.p)*
                 (UPPER(TRIM(tblProjectInfo[Info]))="PROJECT DEVELOPER"),0)
), ""))</f>
        <v/>
      </c>
      <c r="D270" s="148" t="str" cm="1">
        <f t="array" ref="D270">_xlfn.LET(_xlpm.p,$A270,_xlfn.IFNA(
  INDEX(tblProjectInfo[InfoValue],
        MATCH(1,(tblProjectInfo[ProjectName]=_xlpm.p)*
                 (UPPER(TRIM(tblProjectInfo[Info]))="PROJECT MANAGERS"),0)
), ""))</f>
        <v/>
      </c>
      <c r="E270" s="147"/>
      <c r="F270" s="147"/>
      <c r="G270" s="147"/>
      <c r="H270" s="162" t="str" cm="1">
        <f t="array" ref="H270">_xlfn.LET(_xlpm.p,$A270,_xlfn.IFNA(
  INDEX(tblProjectInfo[InfoValue],
        MATCH(1,(tblProjectInfo[ProjectName]=_xlpm.p)*
                 ISNUMBER(SEARCH("PHASE",UPPER(tblProjectInfo[Info]))),0)
), ""))</f>
        <v/>
      </c>
      <c r="I270" s="149"/>
      <c r="J270" s="149"/>
      <c r="K270" s="169"/>
      <c r="L270" s="169"/>
      <c r="M270" s="149"/>
      <c r="N270" s="149"/>
      <c r="O270" s="149"/>
      <c r="P270" s="150"/>
      <c r="Q270" s="150"/>
      <c r="R270" s="151"/>
      <c r="S270" s="152"/>
      <c r="T270" s="152"/>
      <c r="U270" s="150"/>
      <c r="V270" s="152"/>
      <c r="W270" s="152"/>
      <c r="X270" s="246"/>
      <c r="Y270" s="106"/>
    </row>
    <row r="271" spans="1:25">
      <c r="A271" t="str" cm="1">
        <f t="array" ref="A27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IFERROR(INDEX(_xlpm.sorted,ROWS(A$2:A271)),"")
)</f>
        <v/>
      </c>
      <c r="B271" s="147" t="str" cm="1">
        <f t="array" ref="B271">_xlfn.LET(_xlpm.p,$A271,_xlfn.IFNA(
  INDEX(tblProjectInfo[InfoValue],
        MATCH(1,(tblProjectInfo[ProjectName]=_xlpm.p)*
                 (UPPER(TRIM(tblProjectInfo[Info]))="PROJECT SIZE (KWP)"),0)
), ""))</f>
        <v/>
      </c>
      <c r="C271" s="147" t="str" cm="1">
        <f t="array" ref="C271">_xlfn.LET(_xlpm.p,$A271,_xlfn.IFNA(
  INDEX(tblProjectInfo[InfoValue],
        MATCH(1,(tblProjectInfo[ProjectName]=_xlpm.p)*
                 (UPPER(TRIM(tblProjectInfo[Info]))="PROJECT DEVELOPER"),0)
), ""))</f>
        <v/>
      </c>
      <c r="D271" s="148" t="str" cm="1">
        <f t="array" ref="D271">_xlfn.LET(_xlpm.p,$A271,_xlfn.IFNA(
  INDEX(tblProjectInfo[InfoValue],
        MATCH(1,(tblProjectInfo[ProjectName]=_xlpm.p)*
                 (UPPER(TRIM(tblProjectInfo[Info]))="PROJECT MANAGERS"),0)
), ""))</f>
        <v/>
      </c>
      <c r="E271" s="147"/>
      <c r="F271" s="147"/>
      <c r="G271" s="147"/>
      <c r="H271" s="162" t="str" cm="1">
        <f t="array" ref="H271">_xlfn.LET(_xlpm.p,$A271,_xlfn.IFNA(
  INDEX(tblProjectInfo[InfoValue],
        MATCH(1,(tblProjectInfo[ProjectName]=_xlpm.p)*
                 ISNUMBER(SEARCH("PHASE",UPPER(tblProjectInfo[Info]))),0)
), ""))</f>
        <v/>
      </c>
      <c r="I271" s="149"/>
      <c r="J271" s="149"/>
      <c r="K271" s="169"/>
      <c r="L271" s="169"/>
      <c r="M271" s="149"/>
      <c r="N271" s="149"/>
      <c r="O271" s="149"/>
      <c r="P271" s="150"/>
      <c r="Q271" s="150"/>
      <c r="R271" s="151"/>
      <c r="S271" s="152"/>
      <c r="T271" s="152"/>
      <c r="U271" s="150"/>
      <c r="V271" s="152"/>
      <c r="W271" s="152"/>
      <c r="X271" s="246"/>
      <c r="Y271" s="106"/>
    </row>
    <row r="272" spans="1:25">
      <c r="A272" t="str" cm="1">
        <f t="array" ref="A27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IFERROR(INDEX(_xlpm.sorted,ROWS(A$2:A272)),"")
)</f>
        <v/>
      </c>
      <c r="B272" s="147" t="str" cm="1">
        <f t="array" ref="B272">_xlfn.LET(_xlpm.p,$A272,_xlfn.IFNA(
  INDEX(tblProjectInfo[InfoValue],
        MATCH(1,(tblProjectInfo[ProjectName]=_xlpm.p)*
                 (UPPER(TRIM(tblProjectInfo[Info]))="PROJECT SIZE (KWP)"),0)
), ""))</f>
        <v/>
      </c>
      <c r="C272" s="147" t="str" cm="1">
        <f t="array" ref="C272">_xlfn.LET(_xlpm.p,$A272,_xlfn.IFNA(
  INDEX(tblProjectInfo[InfoValue],
        MATCH(1,(tblProjectInfo[ProjectName]=_xlpm.p)*
                 (UPPER(TRIM(tblProjectInfo[Info]))="PROJECT DEVELOPER"),0)
), ""))</f>
        <v/>
      </c>
      <c r="D272" s="148" t="str" cm="1">
        <f t="array" ref="D272">_xlfn.LET(_xlpm.p,$A272,_xlfn.IFNA(
  INDEX(tblProjectInfo[InfoValue],
        MATCH(1,(tblProjectInfo[ProjectName]=_xlpm.p)*
                 (UPPER(TRIM(tblProjectInfo[Info]))="PROJECT MANAGERS"),0)
), ""))</f>
        <v/>
      </c>
      <c r="E272" s="147"/>
      <c r="F272" s="147"/>
      <c r="G272" s="147"/>
      <c r="H272" s="162" t="str" cm="1">
        <f t="array" ref="H272">_xlfn.LET(_xlpm.p,$A272,_xlfn.IFNA(
  INDEX(tblProjectInfo[InfoValue],
        MATCH(1,(tblProjectInfo[ProjectName]=_xlpm.p)*
                 ISNUMBER(SEARCH("PHASE",UPPER(tblProjectInfo[Info]))),0)
), ""))</f>
        <v/>
      </c>
      <c r="I272" s="149"/>
      <c r="J272" s="149"/>
      <c r="K272" s="169"/>
      <c r="L272" s="169"/>
      <c r="M272" s="149"/>
      <c r="N272" s="149"/>
      <c r="O272" s="149"/>
      <c r="P272" s="150"/>
      <c r="Q272" s="150"/>
      <c r="R272" s="151"/>
      <c r="S272" s="152"/>
      <c r="T272" s="152"/>
      <c r="U272" s="150"/>
      <c r="V272" s="152"/>
      <c r="W272" s="152"/>
      <c r="X272" s="246"/>
      <c r="Y272" s="106"/>
    </row>
    <row r="273" spans="1:25">
      <c r="A273" t="str" cm="1">
        <f t="array" ref="A27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IFERROR(INDEX(_xlpm.sorted,ROWS(A$2:A273)),"")
)</f>
        <v/>
      </c>
      <c r="B273" s="147" t="str" cm="1">
        <f t="array" ref="B273">_xlfn.LET(_xlpm.p,$A273,_xlfn.IFNA(
  INDEX(tblProjectInfo[InfoValue],
        MATCH(1,(tblProjectInfo[ProjectName]=_xlpm.p)*
                 (UPPER(TRIM(tblProjectInfo[Info]))="PROJECT SIZE (KWP)"),0)
), ""))</f>
        <v/>
      </c>
      <c r="C273" s="147" t="str" cm="1">
        <f t="array" ref="C273">_xlfn.LET(_xlpm.p,$A273,_xlfn.IFNA(
  INDEX(tblProjectInfo[InfoValue],
        MATCH(1,(tblProjectInfo[ProjectName]=_xlpm.p)*
                 (UPPER(TRIM(tblProjectInfo[Info]))="PROJECT DEVELOPER"),0)
), ""))</f>
        <v/>
      </c>
      <c r="D273" s="148" t="str" cm="1">
        <f t="array" ref="D273">_xlfn.LET(_xlpm.p,$A273,_xlfn.IFNA(
  INDEX(tblProjectInfo[InfoValue],
        MATCH(1,(tblProjectInfo[ProjectName]=_xlpm.p)*
                 (UPPER(TRIM(tblProjectInfo[Info]))="PROJECT MANAGERS"),0)
), ""))</f>
        <v/>
      </c>
      <c r="E273" s="147"/>
      <c r="F273" s="147"/>
      <c r="G273" s="147"/>
      <c r="H273" s="162" t="str" cm="1">
        <f t="array" ref="H273">_xlfn.LET(_xlpm.p,$A273,_xlfn.IFNA(
  INDEX(tblProjectInfo[InfoValue],
        MATCH(1,(tblProjectInfo[ProjectName]=_xlpm.p)*
                 ISNUMBER(SEARCH("PHASE",UPPER(tblProjectInfo[Info]))),0)
), ""))</f>
        <v/>
      </c>
      <c r="I273" s="149"/>
      <c r="J273" s="149"/>
      <c r="K273" s="169"/>
      <c r="L273" s="169"/>
      <c r="M273" s="149"/>
      <c r="N273" s="149"/>
      <c r="O273" s="149"/>
      <c r="P273" s="150"/>
      <c r="Q273" s="150"/>
      <c r="R273" s="151"/>
      <c r="S273" s="152"/>
      <c r="T273" s="152"/>
      <c r="U273" s="150"/>
      <c r="V273" s="152"/>
      <c r="W273" s="152"/>
      <c r="X273" s="246"/>
      <c r="Y273" s="106"/>
    </row>
    <row r="274" spans="1:25">
      <c r="A274" t="str" cm="1">
        <f t="array" ref="A27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IFERROR(INDEX(_xlpm.sorted,ROWS(A$2:A274)),"")
)</f>
        <v/>
      </c>
      <c r="B274" s="147" t="str" cm="1">
        <f t="array" ref="B274">_xlfn.LET(_xlpm.p,$A274,_xlfn.IFNA(
  INDEX(tblProjectInfo[InfoValue],
        MATCH(1,(tblProjectInfo[ProjectName]=_xlpm.p)*
                 (UPPER(TRIM(tblProjectInfo[Info]))="PROJECT SIZE (KWP)"),0)
), ""))</f>
        <v/>
      </c>
      <c r="C274" s="147" t="str" cm="1">
        <f t="array" ref="C274">_xlfn.LET(_xlpm.p,$A274,_xlfn.IFNA(
  INDEX(tblProjectInfo[InfoValue],
        MATCH(1,(tblProjectInfo[ProjectName]=_xlpm.p)*
                 (UPPER(TRIM(tblProjectInfo[Info]))="PROJECT DEVELOPER"),0)
), ""))</f>
        <v/>
      </c>
      <c r="D274" s="148" t="str" cm="1">
        <f t="array" ref="D274">_xlfn.LET(_xlpm.p,$A274,_xlfn.IFNA(
  INDEX(tblProjectInfo[InfoValue],
        MATCH(1,(tblProjectInfo[ProjectName]=_xlpm.p)*
                 (UPPER(TRIM(tblProjectInfo[Info]))="PROJECT MANAGERS"),0)
), ""))</f>
        <v/>
      </c>
      <c r="E274" s="147"/>
      <c r="F274" s="147"/>
      <c r="G274" s="147"/>
      <c r="H274" s="162" t="str" cm="1">
        <f t="array" ref="H274">_xlfn.LET(_xlpm.p,$A274,_xlfn.IFNA(
  INDEX(tblProjectInfo[InfoValue],
        MATCH(1,(tblProjectInfo[ProjectName]=_xlpm.p)*
                 ISNUMBER(SEARCH("PHASE",UPPER(tblProjectInfo[Info]))),0)
), ""))</f>
        <v/>
      </c>
      <c r="I274" s="149"/>
      <c r="J274" s="149"/>
      <c r="K274" s="169"/>
      <c r="L274" s="169"/>
      <c r="M274" s="149"/>
      <c r="N274" s="149"/>
      <c r="O274" s="149"/>
      <c r="P274" s="150"/>
      <c r="Q274" s="150"/>
      <c r="R274" s="151"/>
      <c r="S274" s="152"/>
      <c r="T274" s="152"/>
      <c r="U274" s="150"/>
      <c r="V274" s="152"/>
      <c r="W274" s="152"/>
      <c r="X274" s="246"/>
      <c r="Y274" s="106"/>
    </row>
    <row r="275" spans="1:25">
      <c r="A275" t="str" cm="1">
        <f t="array" ref="A27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IFERROR(INDEX(_xlpm.sorted,ROWS(A$2:A275)),"")
)</f>
        <v/>
      </c>
      <c r="B275" s="147" t="str" cm="1">
        <f t="array" ref="B275">_xlfn.LET(_xlpm.p,$A275,_xlfn.IFNA(
  INDEX(tblProjectInfo[InfoValue],
        MATCH(1,(tblProjectInfo[ProjectName]=_xlpm.p)*
                 (UPPER(TRIM(tblProjectInfo[Info]))="PROJECT SIZE (KWP)"),0)
), ""))</f>
        <v/>
      </c>
      <c r="C275" s="147" t="str" cm="1">
        <f t="array" ref="C275">_xlfn.LET(_xlpm.p,$A275,_xlfn.IFNA(
  INDEX(tblProjectInfo[InfoValue],
        MATCH(1,(tblProjectInfo[ProjectName]=_xlpm.p)*
                 (UPPER(TRIM(tblProjectInfo[Info]))="PROJECT DEVELOPER"),0)
), ""))</f>
        <v/>
      </c>
      <c r="D275" s="148" t="str" cm="1">
        <f t="array" ref="D275">_xlfn.LET(_xlpm.p,$A275,_xlfn.IFNA(
  INDEX(tblProjectInfo[InfoValue],
        MATCH(1,(tblProjectInfo[ProjectName]=_xlpm.p)*
                 (UPPER(TRIM(tblProjectInfo[Info]))="PROJECT MANAGERS"),0)
), ""))</f>
        <v/>
      </c>
      <c r="E275" s="147"/>
      <c r="F275" s="147"/>
      <c r="G275" s="147"/>
      <c r="H275" s="162" t="str" cm="1">
        <f t="array" ref="H275">_xlfn.LET(_xlpm.p,$A275,_xlfn.IFNA(
  INDEX(tblProjectInfo[InfoValue],
        MATCH(1,(tblProjectInfo[ProjectName]=_xlpm.p)*
                 ISNUMBER(SEARCH("PHASE",UPPER(tblProjectInfo[Info]))),0)
), ""))</f>
        <v/>
      </c>
      <c r="I275" s="149"/>
      <c r="J275" s="149"/>
      <c r="K275" s="169"/>
      <c r="L275" s="169"/>
      <c r="M275" s="149"/>
      <c r="N275" s="149"/>
      <c r="O275" s="149"/>
      <c r="P275" s="150"/>
      <c r="Q275" s="150"/>
      <c r="R275" s="151"/>
      <c r="S275" s="152"/>
      <c r="T275" s="152"/>
      <c r="U275" s="150"/>
      <c r="V275" s="152"/>
      <c r="W275" s="152"/>
      <c r="X275" s="246"/>
      <c r="Y275" s="106"/>
    </row>
    <row r="276" spans="1:25">
      <c r="A276" t="str" cm="1">
        <f t="array" ref="A27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IFERROR(INDEX(_xlpm.sorted,ROWS(A$2:A276)),"")
)</f>
        <v/>
      </c>
      <c r="B276" s="147" t="str" cm="1">
        <f t="array" ref="B276">_xlfn.LET(_xlpm.p,$A276,_xlfn.IFNA(
  INDEX(tblProjectInfo[InfoValue],
        MATCH(1,(tblProjectInfo[ProjectName]=_xlpm.p)*
                 (UPPER(TRIM(tblProjectInfo[Info]))="PROJECT SIZE (KWP)"),0)
), ""))</f>
        <v/>
      </c>
      <c r="C276" s="147" t="str" cm="1">
        <f t="array" ref="C276">_xlfn.LET(_xlpm.p,$A276,_xlfn.IFNA(
  INDEX(tblProjectInfo[InfoValue],
        MATCH(1,(tblProjectInfo[ProjectName]=_xlpm.p)*
                 (UPPER(TRIM(tblProjectInfo[Info]))="PROJECT DEVELOPER"),0)
), ""))</f>
        <v/>
      </c>
      <c r="D276" s="148" t="str" cm="1">
        <f t="array" ref="D276">_xlfn.LET(_xlpm.p,$A276,_xlfn.IFNA(
  INDEX(tblProjectInfo[InfoValue],
        MATCH(1,(tblProjectInfo[ProjectName]=_xlpm.p)*
                 (UPPER(TRIM(tblProjectInfo[Info]))="PROJECT MANAGERS"),0)
), ""))</f>
        <v/>
      </c>
      <c r="E276" s="147"/>
      <c r="F276" s="147"/>
      <c r="G276" s="147"/>
      <c r="H276" s="162" t="str" cm="1">
        <f t="array" ref="H276">_xlfn.LET(_xlpm.p,$A276,_xlfn.IFNA(
  INDEX(tblProjectInfo[InfoValue],
        MATCH(1,(tblProjectInfo[ProjectName]=_xlpm.p)*
                 ISNUMBER(SEARCH("PHASE",UPPER(tblProjectInfo[Info]))),0)
), ""))</f>
        <v/>
      </c>
      <c r="I276" s="149"/>
      <c r="J276" s="149"/>
      <c r="K276" s="169"/>
      <c r="L276" s="169"/>
      <c r="M276" s="149"/>
      <c r="N276" s="149"/>
      <c r="O276" s="149"/>
      <c r="P276" s="150"/>
      <c r="Q276" s="150"/>
      <c r="R276" s="151"/>
      <c r="S276" s="152"/>
      <c r="T276" s="152"/>
      <c r="U276" s="150"/>
      <c r="V276" s="152"/>
      <c r="W276" s="152"/>
      <c r="X276" s="246"/>
      <c r="Y276" s="106"/>
    </row>
    <row r="277" spans="1:25">
      <c r="A277" t="str" cm="1">
        <f t="array" ref="A27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IFERROR(INDEX(_xlpm.sorted,ROWS(A$2:A277)),"")
)</f>
        <v/>
      </c>
      <c r="B277" s="147" t="str" cm="1">
        <f t="array" ref="B277">_xlfn.LET(_xlpm.p,$A277,_xlfn.IFNA(
  INDEX(tblProjectInfo[InfoValue],
        MATCH(1,(tblProjectInfo[ProjectName]=_xlpm.p)*
                 (UPPER(TRIM(tblProjectInfo[Info]))="PROJECT SIZE (KWP)"),0)
), ""))</f>
        <v/>
      </c>
      <c r="C277" s="147" t="str" cm="1">
        <f t="array" ref="C277">_xlfn.LET(_xlpm.p,$A277,_xlfn.IFNA(
  INDEX(tblProjectInfo[InfoValue],
        MATCH(1,(tblProjectInfo[ProjectName]=_xlpm.p)*
                 (UPPER(TRIM(tblProjectInfo[Info]))="PROJECT DEVELOPER"),0)
), ""))</f>
        <v/>
      </c>
      <c r="D277" s="148" t="str" cm="1">
        <f t="array" ref="D277">_xlfn.LET(_xlpm.p,$A277,_xlfn.IFNA(
  INDEX(tblProjectInfo[InfoValue],
        MATCH(1,(tblProjectInfo[ProjectName]=_xlpm.p)*
                 (UPPER(TRIM(tblProjectInfo[Info]))="PROJECT MANAGERS"),0)
), ""))</f>
        <v/>
      </c>
      <c r="E277" s="147"/>
      <c r="F277" s="147"/>
      <c r="G277" s="147"/>
      <c r="H277" s="162" t="str" cm="1">
        <f t="array" ref="H277">_xlfn.LET(_xlpm.p,$A277,_xlfn.IFNA(
  INDEX(tblProjectInfo[InfoValue],
        MATCH(1,(tblProjectInfo[ProjectName]=_xlpm.p)*
                 ISNUMBER(SEARCH("PHASE",UPPER(tblProjectInfo[Info]))),0)
), ""))</f>
        <v/>
      </c>
      <c r="I277" s="149"/>
      <c r="J277" s="149"/>
      <c r="K277" s="169"/>
      <c r="L277" s="169"/>
      <c r="M277" s="149"/>
      <c r="N277" s="149"/>
      <c r="O277" s="149"/>
      <c r="P277" s="150"/>
      <c r="Q277" s="150"/>
      <c r="R277" s="151"/>
      <c r="S277" s="152"/>
      <c r="T277" s="152"/>
      <c r="U277" s="150"/>
      <c r="V277" s="152"/>
      <c r="W277" s="152"/>
      <c r="X277" s="246"/>
      <c r="Y277" s="106"/>
    </row>
    <row r="278" spans="1:25">
      <c r="A278" t="str" cm="1">
        <f t="array" ref="A27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IFERROR(INDEX(_xlpm.sorted,ROWS(A$2:A278)),"")
)</f>
        <v/>
      </c>
      <c r="B278" s="147" t="str" cm="1">
        <f t="array" ref="B278">_xlfn.LET(_xlpm.p,$A278,_xlfn.IFNA(
  INDEX(tblProjectInfo[InfoValue],
        MATCH(1,(tblProjectInfo[ProjectName]=_xlpm.p)*
                 (UPPER(TRIM(tblProjectInfo[Info]))="PROJECT SIZE (KWP)"),0)
), ""))</f>
        <v/>
      </c>
      <c r="C278" s="147" t="str" cm="1">
        <f t="array" ref="C278">_xlfn.LET(_xlpm.p,$A278,_xlfn.IFNA(
  INDEX(tblProjectInfo[InfoValue],
        MATCH(1,(tblProjectInfo[ProjectName]=_xlpm.p)*
                 (UPPER(TRIM(tblProjectInfo[Info]))="PROJECT DEVELOPER"),0)
), ""))</f>
        <v/>
      </c>
      <c r="D278" s="148" t="str" cm="1">
        <f t="array" ref="D278">_xlfn.LET(_xlpm.p,$A278,_xlfn.IFNA(
  INDEX(tblProjectInfo[InfoValue],
        MATCH(1,(tblProjectInfo[ProjectName]=_xlpm.p)*
                 (UPPER(TRIM(tblProjectInfo[Info]))="PROJECT MANAGERS"),0)
), ""))</f>
        <v/>
      </c>
      <c r="E278" s="147"/>
      <c r="F278" s="147"/>
      <c r="G278" s="147"/>
      <c r="H278" s="162" t="str" cm="1">
        <f t="array" ref="H278">_xlfn.LET(_xlpm.p,$A278,_xlfn.IFNA(
  INDEX(tblProjectInfo[InfoValue],
        MATCH(1,(tblProjectInfo[ProjectName]=_xlpm.p)*
                 ISNUMBER(SEARCH("PHASE",UPPER(tblProjectInfo[Info]))),0)
), ""))</f>
        <v/>
      </c>
      <c r="I278" s="149"/>
      <c r="J278" s="149"/>
      <c r="K278" s="169"/>
      <c r="L278" s="169"/>
      <c r="M278" s="149"/>
      <c r="N278" s="149"/>
      <c r="O278" s="149"/>
      <c r="P278" s="150"/>
      <c r="Q278" s="150"/>
      <c r="R278" s="151"/>
      <c r="S278" s="152"/>
      <c r="T278" s="152"/>
      <c r="U278" s="150"/>
      <c r="V278" s="152"/>
      <c r="W278" s="152"/>
      <c r="X278" s="246"/>
      <c r="Y278" s="106"/>
    </row>
    <row r="279" spans="1:25">
      <c r="A279" t="str" cm="1">
        <f t="array" ref="A27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IFERROR(INDEX(_xlpm.sorted,ROWS(A$2:A279)),"")
)</f>
        <v/>
      </c>
      <c r="B279" s="147" t="str" cm="1">
        <f t="array" ref="B279">_xlfn.LET(_xlpm.p,$A279,_xlfn.IFNA(
  INDEX(tblProjectInfo[InfoValue],
        MATCH(1,(tblProjectInfo[ProjectName]=_xlpm.p)*
                 (UPPER(TRIM(tblProjectInfo[Info]))="PROJECT SIZE (KWP)"),0)
), ""))</f>
        <v/>
      </c>
      <c r="C279" s="147" t="str" cm="1">
        <f t="array" ref="C279">_xlfn.LET(_xlpm.p,$A279,_xlfn.IFNA(
  INDEX(tblProjectInfo[InfoValue],
        MATCH(1,(tblProjectInfo[ProjectName]=_xlpm.p)*
                 (UPPER(TRIM(tblProjectInfo[Info]))="PROJECT DEVELOPER"),0)
), ""))</f>
        <v/>
      </c>
      <c r="D279" s="148" t="str" cm="1">
        <f t="array" ref="D279">_xlfn.LET(_xlpm.p,$A279,_xlfn.IFNA(
  INDEX(tblProjectInfo[InfoValue],
        MATCH(1,(tblProjectInfo[ProjectName]=_xlpm.p)*
                 (UPPER(TRIM(tblProjectInfo[Info]))="PROJECT MANAGERS"),0)
), ""))</f>
        <v/>
      </c>
      <c r="E279" s="147"/>
      <c r="F279" s="147"/>
      <c r="G279" s="147"/>
      <c r="H279" s="162" t="str" cm="1">
        <f t="array" ref="H279">_xlfn.LET(_xlpm.p,$A279,_xlfn.IFNA(
  INDEX(tblProjectInfo[InfoValue],
        MATCH(1,(tblProjectInfo[ProjectName]=_xlpm.p)*
                 ISNUMBER(SEARCH("PHASE",UPPER(tblProjectInfo[Info]))),0)
), ""))</f>
        <v/>
      </c>
      <c r="I279" s="149"/>
      <c r="J279" s="149"/>
      <c r="K279" s="169"/>
      <c r="L279" s="169"/>
      <c r="M279" s="149"/>
      <c r="N279" s="149"/>
      <c r="O279" s="149"/>
      <c r="P279" s="150"/>
      <c r="Q279" s="150"/>
      <c r="R279" s="151"/>
      <c r="S279" s="152"/>
      <c r="T279" s="152"/>
      <c r="U279" s="150"/>
      <c r="V279" s="152"/>
      <c r="W279" s="152"/>
      <c r="X279" s="246"/>
      <c r="Y279" s="106"/>
    </row>
    <row r="280" spans="1:25">
      <c r="A280" t="str" cm="1">
        <f t="array" ref="A28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IFERROR(INDEX(_xlpm.sorted,ROWS(A$2:A280)),"")
)</f>
        <v/>
      </c>
      <c r="B280" s="147" t="str" cm="1">
        <f t="array" ref="B280">_xlfn.LET(_xlpm.p,$A280,_xlfn.IFNA(
  INDEX(tblProjectInfo[InfoValue],
        MATCH(1,(tblProjectInfo[ProjectName]=_xlpm.p)*
                 (UPPER(TRIM(tblProjectInfo[Info]))="PROJECT SIZE (KWP)"),0)
), ""))</f>
        <v/>
      </c>
      <c r="C280" s="147" t="str" cm="1">
        <f t="array" ref="C280">_xlfn.LET(_xlpm.p,$A280,_xlfn.IFNA(
  INDEX(tblProjectInfo[InfoValue],
        MATCH(1,(tblProjectInfo[ProjectName]=_xlpm.p)*
                 (UPPER(TRIM(tblProjectInfo[Info]))="PROJECT DEVELOPER"),0)
), ""))</f>
        <v/>
      </c>
      <c r="D280" s="148" t="str" cm="1">
        <f t="array" ref="D280">_xlfn.LET(_xlpm.p,$A280,_xlfn.IFNA(
  INDEX(tblProjectInfo[InfoValue],
        MATCH(1,(tblProjectInfo[ProjectName]=_xlpm.p)*
                 (UPPER(TRIM(tblProjectInfo[Info]))="PROJECT MANAGERS"),0)
), ""))</f>
        <v/>
      </c>
      <c r="E280" s="147"/>
      <c r="F280" s="147"/>
      <c r="G280" s="147"/>
      <c r="H280" s="162" t="str" cm="1">
        <f t="array" ref="H280">_xlfn.LET(_xlpm.p,$A280,_xlfn.IFNA(
  INDEX(tblProjectInfo[InfoValue],
        MATCH(1,(tblProjectInfo[ProjectName]=_xlpm.p)*
                 ISNUMBER(SEARCH("PHASE",UPPER(tblProjectInfo[Info]))),0)
), ""))</f>
        <v/>
      </c>
      <c r="I280" s="149"/>
      <c r="J280" s="149"/>
      <c r="K280" s="169"/>
      <c r="L280" s="169"/>
      <c r="M280" s="149"/>
      <c r="N280" s="149"/>
      <c r="O280" s="149"/>
      <c r="P280" s="150"/>
      <c r="Q280" s="150"/>
      <c r="R280" s="151"/>
      <c r="S280" s="152"/>
      <c r="T280" s="152"/>
      <c r="U280" s="150"/>
      <c r="V280" s="152"/>
      <c r="W280" s="152"/>
      <c r="X280" s="246"/>
      <c r="Y280" s="106"/>
    </row>
    <row r="281" spans="1:25">
      <c r="A281" t="str" cm="1">
        <f t="array" ref="A28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IFERROR(INDEX(_xlpm.sorted,ROWS(A$2:A281)),"")
)</f>
        <v/>
      </c>
      <c r="B281" s="147" t="str" cm="1">
        <f t="array" ref="B281">_xlfn.LET(_xlpm.p,$A281,_xlfn.IFNA(
  INDEX(tblProjectInfo[InfoValue],
        MATCH(1,(tblProjectInfo[ProjectName]=_xlpm.p)*
                 (UPPER(TRIM(tblProjectInfo[Info]))="PROJECT SIZE (KWP)"),0)
), ""))</f>
        <v/>
      </c>
      <c r="C281" s="147" t="str" cm="1">
        <f t="array" ref="C281">_xlfn.LET(_xlpm.p,$A281,_xlfn.IFNA(
  INDEX(tblProjectInfo[InfoValue],
        MATCH(1,(tblProjectInfo[ProjectName]=_xlpm.p)*
                 (UPPER(TRIM(tblProjectInfo[Info]))="PROJECT DEVELOPER"),0)
), ""))</f>
        <v/>
      </c>
      <c r="D281" s="148" t="str" cm="1">
        <f t="array" ref="D281">_xlfn.LET(_xlpm.p,$A281,_xlfn.IFNA(
  INDEX(tblProjectInfo[InfoValue],
        MATCH(1,(tblProjectInfo[ProjectName]=_xlpm.p)*
                 (UPPER(TRIM(tblProjectInfo[Info]))="PROJECT MANAGERS"),0)
), ""))</f>
        <v/>
      </c>
      <c r="E281" s="147"/>
      <c r="F281" s="147"/>
      <c r="G281" s="147"/>
      <c r="H281" s="162" t="str" cm="1">
        <f t="array" ref="H281">_xlfn.LET(_xlpm.p,$A281,_xlfn.IFNA(
  INDEX(tblProjectInfo[InfoValue],
        MATCH(1,(tblProjectInfo[ProjectName]=_xlpm.p)*
                 ISNUMBER(SEARCH("PHASE",UPPER(tblProjectInfo[Info]))),0)
), ""))</f>
        <v/>
      </c>
      <c r="I281" s="149"/>
      <c r="J281" s="149"/>
      <c r="K281" s="169"/>
      <c r="L281" s="169"/>
      <c r="M281" s="149"/>
      <c r="N281" s="149"/>
      <c r="O281" s="149"/>
      <c r="P281" s="150"/>
      <c r="Q281" s="150"/>
      <c r="R281" s="151"/>
      <c r="S281" s="152"/>
      <c r="T281" s="152"/>
      <c r="U281" s="150"/>
      <c r="V281" s="152"/>
      <c r="W281" s="152"/>
      <c r="X281" s="246"/>
      <c r="Y281" s="106"/>
    </row>
    <row r="282" spans="1:25">
      <c r="A282" t="str" cm="1">
        <f t="array" ref="A28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IFERROR(INDEX(_xlpm.sorted,ROWS(A$2:A282)),"")
)</f>
        <v/>
      </c>
      <c r="B282" s="147" t="str" cm="1">
        <f t="array" ref="B282">_xlfn.LET(_xlpm.p,$A282,_xlfn.IFNA(
  INDEX(tblProjectInfo[InfoValue],
        MATCH(1,(tblProjectInfo[ProjectName]=_xlpm.p)*
                 (UPPER(TRIM(tblProjectInfo[Info]))="PROJECT SIZE (KWP)"),0)
), ""))</f>
        <v/>
      </c>
      <c r="C282" s="147" t="str" cm="1">
        <f t="array" ref="C282">_xlfn.LET(_xlpm.p,$A282,_xlfn.IFNA(
  INDEX(tblProjectInfo[InfoValue],
        MATCH(1,(tblProjectInfo[ProjectName]=_xlpm.p)*
                 (UPPER(TRIM(tblProjectInfo[Info]))="PROJECT DEVELOPER"),0)
), ""))</f>
        <v/>
      </c>
      <c r="D282" s="148" t="str" cm="1">
        <f t="array" ref="D282">_xlfn.LET(_xlpm.p,$A282,_xlfn.IFNA(
  INDEX(tblProjectInfo[InfoValue],
        MATCH(1,(tblProjectInfo[ProjectName]=_xlpm.p)*
                 (UPPER(TRIM(tblProjectInfo[Info]))="PROJECT MANAGERS"),0)
), ""))</f>
        <v/>
      </c>
      <c r="E282" s="147"/>
      <c r="F282" s="147"/>
      <c r="G282" s="147"/>
      <c r="H282" s="162" t="str" cm="1">
        <f t="array" ref="H282">_xlfn.LET(_xlpm.p,$A282,_xlfn.IFNA(
  INDEX(tblProjectInfo[InfoValue],
        MATCH(1,(tblProjectInfo[ProjectName]=_xlpm.p)*
                 ISNUMBER(SEARCH("PHASE",UPPER(tblProjectInfo[Info]))),0)
), ""))</f>
        <v/>
      </c>
      <c r="I282" s="149"/>
      <c r="J282" s="149"/>
      <c r="K282" s="169"/>
      <c r="L282" s="169"/>
      <c r="M282" s="149"/>
      <c r="N282" s="149"/>
      <c r="O282" s="149"/>
      <c r="P282" s="150"/>
      <c r="Q282" s="150"/>
      <c r="R282" s="151"/>
      <c r="S282" s="152"/>
      <c r="T282" s="152"/>
      <c r="U282" s="150"/>
      <c r="V282" s="152"/>
      <c r="W282" s="152"/>
      <c r="X282" s="246"/>
      <c r="Y282" s="106"/>
    </row>
    <row r="283" spans="1:25">
      <c r="A283" t="str" cm="1">
        <f t="array" ref="A28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IFERROR(INDEX(_xlpm.sorted,ROWS(A$2:A283)),"")
)</f>
        <v/>
      </c>
      <c r="B283" s="147" t="str" cm="1">
        <f t="array" ref="B283">_xlfn.LET(_xlpm.p,$A283,_xlfn.IFNA(
  INDEX(tblProjectInfo[InfoValue],
        MATCH(1,(tblProjectInfo[ProjectName]=_xlpm.p)*
                 (UPPER(TRIM(tblProjectInfo[Info]))="PROJECT SIZE (KWP)"),0)
), ""))</f>
        <v/>
      </c>
      <c r="C283" s="147" t="str" cm="1">
        <f t="array" ref="C283">_xlfn.LET(_xlpm.p,$A283,_xlfn.IFNA(
  INDEX(tblProjectInfo[InfoValue],
        MATCH(1,(tblProjectInfo[ProjectName]=_xlpm.p)*
                 (UPPER(TRIM(tblProjectInfo[Info]))="PROJECT DEVELOPER"),0)
), ""))</f>
        <v/>
      </c>
      <c r="D283" s="148" t="str" cm="1">
        <f t="array" ref="D283">_xlfn.LET(_xlpm.p,$A283,_xlfn.IFNA(
  INDEX(tblProjectInfo[InfoValue],
        MATCH(1,(tblProjectInfo[ProjectName]=_xlpm.p)*
                 (UPPER(TRIM(tblProjectInfo[Info]))="PROJECT MANAGERS"),0)
), ""))</f>
        <v/>
      </c>
      <c r="E283" s="147"/>
      <c r="F283" s="147"/>
      <c r="G283" s="147"/>
      <c r="H283" s="162" t="str" cm="1">
        <f t="array" ref="H283">_xlfn.LET(_xlpm.p,$A283,_xlfn.IFNA(
  INDEX(tblProjectInfo[InfoValue],
        MATCH(1,(tblProjectInfo[ProjectName]=_xlpm.p)*
                 ISNUMBER(SEARCH("PHASE",UPPER(tblProjectInfo[Info]))),0)
), ""))</f>
        <v/>
      </c>
      <c r="I283" s="149"/>
      <c r="J283" s="149"/>
      <c r="K283" s="169"/>
      <c r="L283" s="169"/>
      <c r="M283" s="149"/>
      <c r="N283" s="149"/>
      <c r="O283" s="149"/>
      <c r="P283" s="150"/>
      <c r="Q283" s="150"/>
      <c r="R283" s="151"/>
      <c r="S283" s="152"/>
      <c r="T283" s="152"/>
      <c r="U283" s="150"/>
      <c r="V283" s="152"/>
      <c r="W283" s="152"/>
      <c r="X283" s="246"/>
      <c r="Y283" s="106"/>
    </row>
    <row r="284" spans="1:25">
      <c r="A284" t="str" cm="1">
        <f t="array" ref="A28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IFERROR(INDEX(_xlpm.sorted,ROWS(A$2:A284)),"")
)</f>
        <v/>
      </c>
      <c r="B284" s="147" t="str" cm="1">
        <f t="array" ref="B284">_xlfn.LET(_xlpm.p,$A284,_xlfn.IFNA(
  INDEX(tblProjectInfo[InfoValue],
        MATCH(1,(tblProjectInfo[ProjectName]=_xlpm.p)*
                 (UPPER(TRIM(tblProjectInfo[Info]))="PROJECT SIZE (KWP)"),0)
), ""))</f>
        <v/>
      </c>
      <c r="C284" s="147" t="str" cm="1">
        <f t="array" ref="C284">_xlfn.LET(_xlpm.p,$A284,_xlfn.IFNA(
  INDEX(tblProjectInfo[InfoValue],
        MATCH(1,(tblProjectInfo[ProjectName]=_xlpm.p)*
                 (UPPER(TRIM(tblProjectInfo[Info]))="PROJECT DEVELOPER"),0)
), ""))</f>
        <v/>
      </c>
      <c r="D284" s="148" t="str" cm="1">
        <f t="array" ref="D284">_xlfn.LET(_xlpm.p,$A284,_xlfn.IFNA(
  INDEX(tblProjectInfo[InfoValue],
        MATCH(1,(tblProjectInfo[ProjectName]=_xlpm.p)*
                 (UPPER(TRIM(tblProjectInfo[Info]))="PROJECT MANAGERS"),0)
), ""))</f>
        <v/>
      </c>
      <c r="E284" s="147"/>
      <c r="F284" s="147"/>
      <c r="G284" s="147"/>
      <c r="H284" s="162" t="str" cm="1">
        <f t="array" ref="H284">_xlfn.LET(_xlpm.p,$A284,_xlfn.IFNA(
  INDEX(tblProjectInfo[InfoValue],
        MATCH(1,(tblProjectInfo[ProjectName]=_xlpm.p)*
                 ISNUMBER(SEARCH("PHASE",UPPER(tblProjectInfo[Info]))),0)
), ""))</f>
        <v/>
      </c>
      <c r="I284" s="149"/>
      <c r="J284" s="149"/>
      <c r="K284" s="169"/>
      <c r="L284" s="169"/>
      <c r="M284" s="149"/>
      <c r="N284" s="149"/>
      <c r="O284" s="149"/>
      <c r="P284" s="150"/>
      <c r="Q284" s="150"/>
      <c r="R284" s="151"/>
      <c r="S284" s="152"/>
      <c r="T284" s="152"/>
      <c r="U284" s="150"/>
      <c r="V284" s="152"/>
      <c r="W284" s="152"/>
      <c r="X284" s="246"/>
      <c r="Y284" s="106"/>
    </row>
    <row r="285" spans="1:25">
      <c r="A285" t="str" cm="1">
        <f t="array" ref="A28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IFERROR(INDEX(_xlpm.sorted,ROWS(A$2:A285)),"")
)</f>
        <v/>
      </c>
      <c r="B285" s="147" t="str" cm="1">
        <f t="array" ref="B285">_xlfn.LET(_xlpm.p,$A285,_xlfn.IFNA(
  INDEX(tblProjectInfo[InfoValue],
        MATCH(1,(tblProjectInfo[ProjectName]=_xlpm.p)*
                 (UPPER(TRIM(tblProjectInfo[Info]))="PROJECT SIZE (KWP)"),0)
), ""))</f>
        <v/>
      </c>
      <c r="C285" s="147" t="str" cm="1">
        <f t="array" ref="C285">_xlfn.LET(_xlpm.p,$A285,_xlfn.IFNA(
  INDEX(tblProjectInfo[InfoValue],
        MATCH(1,(tblProjectInfo[ProjectName]=_xlpm.p)*
                 (UPPER(TRIM(tblProjectInfo[Info]))="PROJECT DEVELOPER"),0)
), ""))</f>
        <v/>
      </c>
      <c r="D285" s="148" t="str" cm="1">
        <f t="array" ref="D285">_xlfn.LET(_xlpm.p,$A285,_xlfn.IFNA(
  INDEX(tblProjectInfo[InfoValue],
        MATCH(1,(tblProjectInfo[ProjectName]=_xlpm.p)*
                 (UPPER(TRIM(tblProjectInfo[Info]))="PROJECT MANAGERS"),0)
), ""))</f>
        <v/>
      </c>
      <c r="E285" s="147"/>
      <c r="F285" s="147"/>
      <c r="G285" s="147"/>
      <c r="H285" s="162" t="str" cm="1">
        <f t="array" ref="H285">_xlfn.LET(_xlpm.p,$A285,_xlfn.IFNA(
  INDEX(tblProjectInfo[InfoValue],
        MATCH(1,(tblProjectInfo[ProjectName]=_xlpm.p)*
                 ISNUMBER(SEARCH("PHASE",UPPER(tblProjectInfo[Info]))),0)
), ""))</f>
        <v/>
      </c>
      <c r="I285" s="149"/>
      <c r="J285" s="149"/>
      <c r="K285" s="169"/>
      <c r="L285" s="169"/>
      <c r="M285" s="149"/>
      <c r="N285" s="149"/>
      <c r="O285" s="149"/>
      <c r="P285" s="150"/>
      <c r="Q285" s="150"/>
      <c r="R285" s="151"/>
      <c r="S285" s="152"/>
      <c r="T285" s="152"/>
      <c r="U285" s="150"/>
      <c r="V285" s="152"/>
      <c r="W285" s="152"/>
      <c r="X285" s="246"/>
      <c r="Y285" s="106"/>
    </row>
    <row r="286" spans="1:25">
      <c r="A286" t="str" cm="1">
        <f t="array" ref="A28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IFERROR(INDEX(_xlpm.sorted,ROWS(A$2:A286)),"")
)</f>
        <v/>
      </c>
      <c r="B286" s="147" t="str" cm="1">
        <f t="array" ref="B286">_xlfn.LET(_xlpm.p,$A286,_xlfn.IFNA(
  INDEX(tblProjectInfo[InfoValue],
        MATCH(1,(tblProjectInfo[ProjectName]=_xlpm.p)*
                 (UPPER(TRIM(tblProjectInfo[Info]))="PROJECT SIZE (KWP)"),0)
), ""))</f>
        <v/>
      </c>
      <c r="C286" s="147" t="str" cm="1">
        <f t="array" ref="C286">_xlfn.LET(_xlpm.p,$A286,_xlfn.IFNA(
  INDEX(tblProjectInfo[InfoValue],
        MATCH(1,(tblProjectInfo[ProjectName]=_xlpm.p)*
                 (UPPER(TRIM(tblProjectInfo[Info]))="PROJECT DEVELOPER"),0)
), ""))</f>
        <v/>
      </c>
      <c r="D286" s="148" t="str" cm="1">
        <f t="array" ref="D286">_xlfn.LET(_xlpm.p,$A286,_xlfn.IFNA(
  INDEX(tblProjectInfo[InfoValue],
        MATCH(1,(tblProjectInfo[ProjectName]=_xlpm.p)*
                 (UPPER(TRIM(tblProjectInfo[Info]))="PROJECT MANAGERS"),0)
), ""))</f>
        <v/>
      </c>
      <c r="E286" s="147"/>
      <c r="F286" s="147"/>
      <c r="G286" s="147"/>
      <c r="H286" s="162" t="str" cm="1">
        <f t="array" ref="H286">_xlfn.LET(_xlpm.p,$A286,_xlfn.IFNA(
  INDEX(tblProjectInfo[InfoValue],
        MATCH(1,(tblProjectInfo[ProjectName]=_xlpm.p)*
                 ISNUMBER(SEARCH("PHASE",UPPER(tblProjectInfo[Info]))),0)
), ""))</f>
        <v/>
      </c>
      <c r="I286" s="149"/>
      <c r="J286" s="149"/>
      <c r="K286" s="169"/>
      <c r="L286" s="169"/>
      <c r="M286" s="149"/>
      <c r="N286" s="149"/>
      <c r="O286" s="149"/>
      <c r="P286" s="150"/>
      <c r="Q286" s="150"/>
      <c r="R286" s="151"/>
      <c r="S286" s="152"/>
      <c r="T286" s="152"/>
      <c r="U286" s="150"/>
      <c r="V286" s="152"/>
      <c r="W286" s="152"/>
      <c r="X286" s="246"/>
      <c r="Y286" s="106"/>
    </row>
    <row r="287" spans="1:25">
      <c r="A287" t="str" cm="1">
        <f t="array" ref="A28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IFERROR(INDEX(_xlpm.sorted,ROWS(A$2:A287)),"")
)</f>
        <v/>
      </c>
      <c r="B287" s="147" t="str" cm="1">
        <f t="array" ref="B287">_xlfn.LET(_xlpm.p,$A287,_xlfn.IFNA(
  INDEX(tblProjectInfo[InfoValue],
        MATCH(1,(tblProjectInfo[ProjectName]=_xlpm.p)*
                 (UPPER(TRIM(tblProjectInfo[Info]))="PROJECT SIZE (KWP)"),0)
), ""))</f>
        <v/>
      </c>
      <c r="C287" s="147" t="str" cm="1">
        <f t="array" ref="C287">_xlfn.LET(_xlpm.p,$A287,_xlfn.IFNA(
  INDEX(tblProjectInfo[InfoValue],
        MATCH(1,(tblProjectInfo[ProjectName]=_xlpm.p)*
                 (UPPER(TRIM(tblProjectInfo[Info]))="PROJECT DEVELOPER"),0)
), ""))</f>
        <v/>
      </c>
      <c r="D287" s="148" t="str" cm="1">
        <f t="array" ref="D287">_xlfn.LET(_xlpm.p,$A287,_xlfn.IFNA(
  INDEX(tblProjectInfo[InfoValue],
        MATCH(1,(tblProjectInfo[ProjectName]=_xlpm.p)*
                 (UPPER(TRIM(tblProjectInfo[Info]))="PROJECT MANAGERS"),0)
), ""))</f>
        <v/>
      </c>
      <c r="E287" s="147"/>
      <c r="F287" s="147"/>
      <c r="G287" s="147"/>
      <c r="H287" s="162" t="str" cm="1">
        <f t="array" ref="H287">_xlfn.LET(_xlpm.p,$A287,_xlfn.IFNA(
  INDEX(tblProjectInfo[InfoValue],
        MATCH(1,(tblProjectInfo[ProjectName]=_xlpm.p)*
                 ISNUMBER(SEARCH("PHASE",UPPER(tblProjectInfo[Info]))),0)
), ""))</f>
        <v/>
      </c>
      <c r="I287" s="149"/>
      <c r="J287" s="149"/>
      <c r="K287" s="169"/>
      <c r="L287" s="169"/>
      <c r="M287" s="149"/>
      <c r="N287" s="149"/>
      <c r="O287" s="149"/>
      <c r="P287" s="150"/>
      <c r="Q287" s="150"/>
      <c r="R287" s="151"/>
      <c r="S287" s="152"/>
      <c r="T287" s="152"/>
      <c r="U287" s="150"/>
      <c r="V287" s="152"/>
      <c r="W287" s="152"/>
      <c r="X287" s="246"/>
      <c r="Y287" s="106"/>
    </row>
    <row r="288" spans="1:25">
      <c r="A288" t="str" cm="1">
        <f t="array" ref="A28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IFERROR(INDEX(_xlpm.sorted,ROWS(A$2:A288)),"")
)</f>
        <v/>
      </c>
      <c r="B288" s="147" t="str" cm="1">
        <f t="array" ref="B288">_xlfn.LET(_xlpm.p,$A288,_xlfn.IFNA(
  INDEX(tblProjectInfo[InfoValue],
        MATCH(1,(tblProjectInfo[ProjectName]=_xlpm.p)*
                 (UPPER(TRIM(tblProjectInfo[Info]))="PROJECT SIZE (KWP)"),0)
), ""))</f>
        <v/>
      </c>
      <c r="C288" s="147" t="str" cm="1">
        <f t="array" ref="C288">_xlfn.LET(_xlpm.p,$A288,_xlfn.IFNA(
  INDEX(tblProjectInfo[InfoValue],
        MATCH(1,(tblProjectInfo[ProjectName]=_xlpm.p)*
                 (UPPER(TRIM(tblProjectInfo[Info]))="PROJECT DEVELOPER"),0)
), ""))</f>
        <v/>
      </c>
      <c r="D288" s="148" t="str" cm="1">
        <f t="array" ref="D288">_xlfn.LET(_xlpm.p,$A288,_xlfn.IFNA(
  INDEX(tblProjectInfo[InfoValue],
        MATCH(1,(tblProjectInfo[ProjectName]=_xlpm.p)*
                 (UPPER(TRIM(tblProjectInfo[Info]))="PROJECT MANAGERS"),0)
), ""))</f>
        <v/>
      </c>
      <c r="E288" s="147"/>
      <c r="F288" s="147"/>
      <c r="G288" s="147"/>
      <c r="H288" s="162" t="str" cm="1">
        <f t="array" ref="H288">_xlfn.LET(_xlpm.p,$A288,_xlfn.IFNA(
  INDEX(tblProjectInfo[InfoValue],
        MATCH(1,(tblProjectInfo[ProjectName]=_xlpm.p)*
                 ISNUMBER(SEARCH("PHASE",UPPER(tblProjectInfo[Info]))),0)
), ""))</f>
        <v/>
      </c>
      <c r="I288" s="149"/>
      <c r="J288" s="149"/>
      <c r="K288" s="169"/>
      <c r="L288" s="169"/>
      <c r="M288" s="149"/>
      <c r="N288" s="149"/>
      <c r="O288" s="149"/>
      <c r="P288" s="150"/>
      <c r="Q288" s="150"/>
      <c r="R288" s="151"/>
      <c r="S288" s="152"/>
      <c r="T288" s="152"/>
      <c r="U288" s="150"/>
      <c r="V288" s="152"/>
      <c r="W288" s="152"/>
      <c r="X288" s="246"/>
      <c r="Y288" s="106"/>
    </row>
    <row r="289" spans="1:25">
      <c r="A289" t="str" cm="1">
        <f t="array" ref="A28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IFERROR(INDEX(_xlpm.sorted,ROWS(A$2:A289)),"")
)</f>
        <v/>
      </c>
      <c r="B289" s="147" t="str" cm="1">
        <f t="array" ref="B289">_xlfn.LET(_xlpm.p,$A289,_xlfn.IFNA(
  INDEX(tblProjectInfo[InfoValue],
        MATCH(1,(tblProjectInfo[ProjectName]=_xlpm.p)*
                 (UPPER(TRIM(tblProjectInfo[Info]))="PROJECT SIZE (KWP)"),0)
), ""))</f>
        <v/>
      </c>
      <c r="C289" s="147" t="str" cm="1">
        <f t="array" ref="C289">_xlfn.LET(_xlpm.p,$A289,_xlfn.IFNA(
  INDEX(tblProjectInfo[InfoValue],
        MATCH(1,(tblProjectInfo[ProjectName]=_xlpm.p)*
                 (UPPER(TRIM(tblProjectInfo[Info]))="PROJECT DEVELOPER"),0)
), ""))</f>
        <v/>
      </c>
      <c r="D289" s="148" t="str" cm="1">
        <f t="array" ref="D289">_xlfn.LET(_xlpm.p,$A289,_xlfn.IFNA(
  INDEX(tblProjectInfo[InfoValue],
        MATCH(1,(tblProjectInfo[ProjectName]=_xlpm.p)*
                 (UPPER(TRIM(tblProjectInfo[Info]))="PROJECT MANAGERS"),0)
), ""))</f>
        <v/>
      </c>
      <c r="E289" s="147"/>
      <c r="F289" s="147"/>
      <c r="G289" s="147"/>
      <c r="H289" s="162" t="str" cm="1">
        <f t="array" ref="H289">_xlfn.LET(_xlpm.p,$A289,_xlfn.IFNA(
  INDEX(tblProjectInfo[InfoValue],
        MATCH(1,(tblProjectInfo[ProjectName]=_xlpm.p)*
                 ISNUMBER(SEARCH("PHASE",UPPER(tblProjectInfo[Info]))),0)
), ""))</f>
        <v/>
      </c>
      <c r="I289" s="149"/>
      <c r="J289" s="149"/>
      <c r="K289" s="169"/>
      <c r="L289" s="169"/>
      <c r="M289" s="149"/>
      <c r="N289" s="149"/>
      <c r="O289" s="149"/>
      <c r="P289" s="150"/>
      <c r="Q289" s="150"/>
      <c r="R289" s="151"/>
      <c r="S289" s="152"/>
      <c r="T289" s="152"/>
      <c r="U289" s="150"/>
      <c r="V289" s="152"/>
      <c r="W289" s="152"/>
      <c r="X289" s="246"/>
      <c r="Y289" s="106"/>
    </row>
    <row r="290" spans="1:25">
      <c r="A290" t="str" cm="1">
        <f t="array" ref="A29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IFERROR(INDEX(_xlpm.sorted,ROWS(A$2:A290)),"")
)</f>
        <v/>
      </c>
      <c r="B290" s="147" t="str" cm="1">
        <f t="array" ref="B290">_xlfn.LET(_xlpm.p,$A290,_xlfn.IFNA(
  INDEX(tblProjectInfo[InfoValue],
        MATCH(1,(tblProjectInfo[ProjectName]=_xlpm.p)*
                 (UPPER(TRIM(tblProjectInfo[Info]))="PROJECT SIZE (KWP)"),0)
), ""))</f>
        <v/>
      </c>
      <c r="C290" s="147" t="str" cm="1">
        <f t="array" ref="C290">_xlfn.LET(_xlpm.p,$A290,_xlfn.IFNA(
  INDEX(tblProjectInfo[InfoValue],
        MATCH(1,(tblProjectInfo[ProjectName]=_xlpm.p)*
                 (UPPER(TRIM(tblProjectInfo[Info]))="PROJECT DEVELOPER"),0)
), ""))</f>
        <v/>
      </c>
      <c r="D290" s="148" t="str" cm="1">
        <f t="array" ref="D290">_xlfn.LET(_xlpm.p,$A290,_xlfn.IFNA(
  INDEX(tblProjectInfo[InfoValue],
        MATCH(1,(tblProjectInfo[ProjectName]=_xlpm.p)*
                 (UPPER(TRIM(tblProjectInfo[Info]))="PROJECT MANAGERS"),0)
), ""))</f>
        <v/>
      </c>
      <c r="E290" s="147"/>
      <c r="F290" s="147"/>
      <c r="G290" s="147"/>
      <c r="H290" s="162" t="str" cm="1">
        <f t="array" ref="H290">_xlfn.LET(_xlpm.p,$A290,_xlfn.IFNA(
  INDEX(tblProjectInfo[InfoValue],
        MATCH(1,(tblProjectInfo[ProjectName]=_xlpm.p)*
                 ISNUMBER(SEARCH("PHASE",UPPER(tblProjectInfo[Info]))),0)
), ""))</f>
        <v/>
      </c>
      <c r="I290" s="149"/>
      <c r="J290" s="149"/>
      <c r="K290" s="169"/>
      <c r="L290" s="169"/>
      <c r="M290" s="149"/>
      <c r="N290" s="149"/>
      <c r="O290" s="149"/>
      <c r="P290" s="150"/>
      <c r="Q290" s="150"/>
      <c r="R290" s="151"/>
      <c r="S290" s="152"/>
      <c r="T290" s="152"/>
      <c r="U290" s="150"/>
      <c r="V290" s="152"/>
      <c r="W290" s="152"/>
      <c r="X290" s="246"/>
      <c r="Y290" s="106"/>
    </row>
    <row r="291" spans="1:25">
      <c r="A291" t="str" cm="1">
        <f t="array" ref="A29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IFERROR(INDEX(_xlpm.sorted,ROWS(A$2:A291)),"")
)</f>
        <v/>
      </c>
      <c r="B291" s="147" t="str" cm="1">
        <f t="array" ref="B291">_xlfn.LET(_xlpm.p,$A291,_xlfn.IFNA(
  INDEX(tblProjectInfo[InfoValue],
        MATCH(1,(tblProjectInfo[ProjectName]=_xlpm.p)*
                 (UPPER(TRIM(tblProjectInfo[Info]))="PROJECT SIZE (KWP)"),0)
), ""))</f>
        <v/>
      </c>
      <c r="C291" s="147" t="str" cm="1">
        <f t="array" ref="C291">_xlfn.LET(_xlpm.p,$A291,_xlfn.IFNA(
  INDEX(tblProjectInfo[InfoValue],
        MATCH(1,(tblProjectInfo[ProjectName]=_xlpm.p)*
                 (UPPER(TRIM(tblProjectInfo[Info]))="PROJECT DEVELOPER"),0)
), ""))</f>
        <v/>
      </c>
      <c r="D291" s="148" t="str" cm="1">
        <f t="array" ref="D291">_xlfn.LET(_xlpm.p,$A291,_xlfn.IFNA(
  INDEX(tblProjectInfo[InfoValue],
        MATCH(1,(tblProjectInfo[ProjectName]=_xlpm.p)*
                 (UPPER(TRIM(tblProjectInfo[Info]))="PROJECT MANAGERS"),0)
), ""))</f>
        <v/>
      </c>
      <c r="E291" s="147"/>
      <c r="F291" s="147"/>
      <c r="G291" s="147"/>
      <c r="H291" s="162" t="str" cm="1">
        <f t="array" ref="H291">_xlfn.LET(_xlpm.p,$A291,_xlfn.IFNA(
  INDEX(tblProjectInfo[InfoValue],
        MATCH(1,(tblProjectInfo[ProjectName]=_xlpm.p)*
                 ISNUMBER(SEARCH("PHASE",UPPER(tblProjectInfo[Info]))),0)
), ""))</f>
        <v/>
      </c>
      <c r="I291" s="149"/>
      <c r="J291" s="149"/>
      <c r="K291" s="169"/>
      <c r="L291" s="169"/>
      <c r="M291" s="149"/>
      <c r="N291" s="149"/>
      <c r="O291" s="149"/>
      <c r="P291" s="150"/>
      <c r="Q291" s="150"/>
      <c r="R291" s="151"/>
      <c r="S291" s="152"/>
      <c r="T291" s="152"/>
      <c r="U291" s="150"/>
      <c r="V291" s="152"/>
      <c r="W291" s="152"/>
      <c r="X291" s="246"/>
      <c r="Y291" s="106"/>
    </row>
    <row r="292" spans="1:25">
      <c r="A292" t="str" cm="1">
        <f t="array" ref="A29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IFERROR(INDEX(_xlpm.sorted,ROWS(A$2:A292)),"")
)</f>
        <v/>
      </c>
      <c r="B292" s="147" t="str" cm="1">
        <f t="array" ref="B292">_xlfn.LET(_xlpm.p,$A292,_xlfn.IFNA(
  INDEX(tblProjectInfo[InfoValue],
        MATCH(1,(tblProjectInfo[ProjectName]=_xlpm.p)*
                 (UPPER(TRIM(tblProjectInfo[Info]))="PROJECT SIZE (KWP)"),0)
), ""))</f>
        <v/>
      </c>
      <c r="C292" s="147" t="str" cm="1">
        <f t="array" ref="C292">_xlfn.LET(_xlpm.p,$A292,_xlfn.IFNA(
  INDEX(tblProjectInfo[InfoValue],
        MATCH(1,(tblProjectInfo[ProjectName]=_xlpm.p)*
                 (UPPER(TRIM(tblProjectInfo[Info]))="PROJECT DEVELOPER"),0)
), ""))</f>
        <v/>
      </c>
      <c r="D292" s="148" t="str" cm="1">
        <f t="array" ref="D292">_xlfn.LET(_xlpm.p,$A292,_xlfn.IFNA(
  INDEX(tblProjectInfo[InfoValue],
        MATCH(1,(tblProjectInfo[ProjectName]=_xlpm.p)*
                 (UPPER(TRIM(tblProjectInfo[Info]))="PROJECT MANAGERS"),0)
), ""))</f>
        <v/>
      </c>
      <c r="E292" s="147"/>
      <c r="F292" s="147"/>
      <c r="G292" s="147"/>
      <c r="H292" s="162" t="str" cm="1">
        <f t="array" ref="H292">_xlfn.LET(_xlpm.p,$A292,_xlfn.IFNA(
  INDEX(tblProjectInfo[InfoValue],
        MATCH(1,(tblProjectInfo[ProjectName]=_xlpm.p)*
                 ISNUMBER(SEARCH("PHASE",UPPER(tblProjectInfo[Info]))),0)
), ""))</f>
        <v/>
      </c>
      <c r="I292" s="149"/>
      <c r="J292" s="149"/>
      <c r="K292" s="169"/>
      <c r="L292" s="169"/>
      <c r="M292" s="149"/>
      <c r="N292" s="149"/>
      <c r="O292" s="149"/>
      <c r="P292" s="150"/>
      <c r="Q292" s="150"/>
      <c r="R292" s="151"/>
      <c r="S292" s="152"/>
      <c r="T292" s="152"/>
      <c r="U292" s="150"/>
      <c r="V292" s="152"/>
      <c r="W292" s="152"/>
      <c r="X292" s="246"/>
      <c r="Y292" s="106"/>
    </row>
    <row r="293" spans="1:25">
      <c r="A293" t="str" cm="1">
        <f t="array" ref="A29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IFERROR(INDEX(_xlpm.sorted,ROWS(A$2:A293)),"")
)</f>
        <v/>
      </c>
      <c r="B293" s="147" t="str" cm="1">
        <f t="array" ref="B293">_xlfn.LET(_xlpm.p,$A293,_xlfn.IFNA(
  INDEX(tblProjectInfo[InfoValue],
        MATCH(1,(tblProjectInfo[ProjectName]=_xlpm.p)*
                 (UPPER(TRIM(tblProjectInfo[Info]))="PROJECT SIZE (KWP)"),0)
), ""))</f>
        <v/>
      </c>
      <c r="C293" s="147" t="str" cm="1">
        <f t="array" ref="C293">_xlfn.LET(_xlpm.p,$A293,_xlfn.IFNA(
  INDEX(tblProjectInfo[InfoValue],
        MATCH(1,(tblProjectInfo[ProjectName]=_xlpm.p)*
                 (UPPER(TRIM(tblProjectInfo[Info]))="PROJECT DEVELOPER"),0)
), ""))</f>
        <v/>
      </c>
      <c r="D293" s="148" t="str" cm="1">
        <f t="array" ref="D293">_xlfn.LET(_xlpm.p,$A293,_xlfn.IFNA(
  INDEX(tblProjectInfo[InfoValue],
        MATCH(1,(tblProjectInfo[ProjectName]=_xlpm.p)*
                 (UPPER(TRIM(tblProjectInfo[Info]))="PROJECT MANAGERS"),0)
), ""))</f>
        <v/>
      </c>
      <c r="E293" s="147"/>
      <c r="F293" s="147"/>
      <c r="G293" s="147"/>
      <c r="H293" s="162" t="str" cm="1">
        <f t="array" ref="H293">_xlfn.LET(_xlpm.p,$A293,_xlfn.IFNA(
  INDEX(tblProjectInfo[InfoValue],
        MATCH(1,(tblProjectInfo[ProjectName]=_xlpm.p)*
                 ISNUMBER(SEARCH("PHASE",UPPER(tblProjectInfo[Info]))),0)
), ""))</f>
        <v/>
      </c>
      <c r="I293" s="149"/>
      <c r="J293" s="149"/>
      <c r="K293" s="169"/>
      <c r="L293" s="169"/>
      <c r="M293" s="149"/>
      <c r="N293" s="149"/>
      <c r="O293" s="149"/>
      <c r="P293" s="150"/>
      <c r="Q293" s="150"/>
      <c r="R293" s="151"/>
      <c r="S293" s="152"/>
      <c r="T293" s="152"/>
      <c r="U293" s="150"/>
      <c r="V293" s="152"/>
      <c r="W293" s="152"/>
      <c r="X293" s="246"/>
      <c r="Y293" s="106"/>
    </row>
    <row r="294" spans="1:25">
      <c r="A294" t="str" cm="1">
        <f t="array" ref="A29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IFERROR(INDEX(_xlpm.sorted,ROWS(A$2:A294)),"")
)</f>
        <v/>
      </c>
      <c r="B294" s="147" t="str" cm="1">
        <f t="array" ref="B294">_xlfn.LET(_xlpm.p,$A294,_xlfn.IFNA(
  INDEX(tblProjectInfo[InfoValue],
        MATCH(1,(tblProjectInfo[ProjectName]=_xlpm.p)*
                 (UPPER(TRIM(tblProjectInfo[Info]))="PROJECT SIZE (KWP)"),0)
), ""))</f>
        <v/>
      </c>
      <c r="C294" s="147" t="str" cm="1">
        <f t="array" ref="C294">_xlfn.LET(_xlpm.p,$A294,_xlfn.IFNA(
  INDEX(tblProjectInfo[InfoValue],
        MATCH(1,(tblProjectInfo[ProjectName]=_xlpm.p)*
                 (UPPER(TRIM(tblProjectInfo[Info]))="PROJECT DEVELOPER"),0)
), ""))</f>
        <v/>
      </c>
      <c r="D294" s="148" t="str" cm="1">
        <f t="array" ref="D294">_xlfn.LET(_xlpm.p,$A294,_xlfn.IFNA(
  INDEX(tblProjectInfo[InfoValue],
        MATCH(1,(tblProjectInfo[ProjectName]=_xlpm.p)*
                 (UPPER(TRIM(tblProjectInfo[Info]))="PROJECT MANAGERS"),0)
), ""))</f>
        <v/>
      </c>
      <c r="E294" s="147"/>
      <c r="F294" s="147"/>
      <c r="G294" s="147"/>
      <c r="H294" s="162" t="str" cm="1">
        <f t="array" ref="H294">_xlfn.LET(_xlpm.p,$A294,_xlfn.IFNA(
  INDEX(tblProjectInfo[InfoValue],
        MATCH(1,(tblProjectInfo[ProjectName]=_xlpm.p)*
                 ISNUMBER(SEARCH("PHASE",UPPER(tblProjectInfo[Info]))),0)
), ""))</f>
        <v/>
      </c>
      <c r="I294" s="149"/>
      <c r="J294" s="149"/>
      <c r="K294" s="169"/>
      <c r="L294" s="169"/>
      <c r="M294" s="149"/>
      <c r="N294" s="149"/>
      <c r="O294" s="149"/>
      <c r="P294" s="150"/>
      <c r="Q294" s="150"/>
      <c r="R294" s="151"/>
      <c r="S294" s="152"/>
      <c r="T294" s="152"/>
      <c r="U294" s="150"/>
      <c r="V294" s="152"/>
      <c r="W294" s="152"/>
      <c r="X294" s="246"/>
      <c r="Y294" s="106"/>
    </row>
    <row r="295" spans="1:25">
      <c r="A295" t="str" cm="1">
        <f t="array" ref="A29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IFERROR(INDEX(_xlpm.sorted,ROWS(A$2:A295)),"")
)</f>
        <v/>
      </c>
      <c r="B295" s="147" t="str" cm="1">
        <f t="array" ref="B295">_xlfn.LET(_xlpm.p,$A295,_xlfn.IFNA(
  INDEX(tblProjectInfo[InfoValue],
        MATCH(1,(tblProjectInfo[ProjectName]=_xlpm.p)*
                 (UPPER(TRIM(tblProjectInfo[Info]))="PROJECT SIZE (KWP)"),0)
), ""))</f>
        <v/>
      </c>
      <c r="C295" s="147" t="str" cm="1">
        <f t="array" ref="C295">_xlfn.LET(_xlpm.p,$A295,_xlfn.IFNA(
  INDEX(tblProjectInfo[InfoValue],
        MATCH(1,(tblProjectInfo[ProjectName]=_xlpm.p)*
                 (UPPER(TRIM(tblProjectInfo[Info]))="PROJECT DEVELOPER"),0)
), ""))</f>
        <v/>
      </c>
      <c r="D295" s="148" t="str" cm="1">
        <f t="array" ref="D295">_xlfn.LET(_xlpm.p,$A295,_xlfn.IFNA(
  INDEX(tblProjectInfo[InfoValue],
        MATCH(1,(tblProjectInfo[ProjectName]=_xlpm.p)*
                 (UPPER(TRIM(tblProjectInfo[Info]))="PROJECT MANAGERS"),0)
), ""))</f>
        <v/>
      </c>
      <c r="E295" s="147"/>
      <c r="F295" s="147"/>
      <c r="G295" s="147"/>
      <c r="H295" s="162" t="str" cm="1">
        <f t="array" ref="H295">_xlfn.LET(_xlpm.p,$A295,_xlfn.IFNA(
  INDEX(tblProjectInfo[InfoValue],
        MATCH(1,(tblProjectInfo[ProjectName]=_xlpm.p)*
                 ISNUMBER(SEARCH("PHASE",UPPER(tblProjectInfo[Info]))),0)
), ""))</f>
        <v/>
      </c>
      <c r="I295" s="149"/>
      <c r="J295" s="149"/>
      <c r="K295" s="169"/>
      <c r="L295" s="169"/>
      <c r="M295" s="149"/>
      <c r="N295" s="149"/>
      <c r="O295" s="149"/>
      <c r="P295" s="150"/>
      <c r="Q295" s="150"/>
      <c r="R295" s="151"/>
      <c r="S295" s="152"/>
      <c r="T295" s="152"/>
      <c r="U295" s="150"/>
      <c r="V295" s="152"/>
      <c r="W295" s="152"/>
      <c r="X295" s="246"/>
      <c r="Y295" s="106"/>
    </row>
    <row r="296" spans="1:25">
      <c r="A296" t="str" cm="1">
        <f t="array" ref="A29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IFERROR(INDEX(_xlpm.sorted,ROWS(A$2:A296)),"")
)</f>
        <v/>
      </c>
      <c r="B296" s="147" t="str" cm="1">
        <f t="array" ref="B296">_xlfn.LET(_xlpm.p,$A296,_xlfn.IFNA(
  INDEX(tblProjectInfo[InfoValue],
        MATCH(1,(tblProjectInfo[ProjectName]=_xlpm.p)*
                 (UPPER(TRIM(tblProjectInfo[Info]))="PROJECT SIZE (KWP)"),0)
), ""))</f>
        <v/>
      </c>
      <c r="C296" s="147" t="str" cm="1">
        <f t="array" ref="C296">_xlfn.LET(_xlpm.p,$A296,_xlfn.IFNA(
  INDEX(tblProjectInfo[InfoValue],
        MATCH(1,(tblProjectInfo[ProjectName]=_xlpm.p)*
                 (UPPER(TRIM(tblProjectInfo[Info]))="PROJECT DEVELOPER"),0)
), ""))</f>
        <v/>
      </c>
      <c r="D296" s="148" t="str" cm="1">
        <f t="array" ref="D296">_xlfn.LET(_xlpm.p,$A296,_xlfn.IFNA(
  INDEX(tblProjectInfo[InfoValue],
        MATCH(1,(tblProjectInfo[ProjectName]=_xlpm.p)*
                 (UPPER(TRIM(tblProjectInfo[Info]))="PROJECT MANAGERS"),0)
), ""))</f>
        <v/>
      </c>
      <c r="E296" s="147"/>
      <c r="F296" s="147"/>
      <c r="G296" s="147"/>
      <c r="H296" s="162" t="str" cm="1">
        <f t="array" ref="H296">_xlfn.LET(_xlpm.p,$A296,_xlfn.IFNA(
  INDEX(tblProjectInfo[InfoValue],
        MATCH(1,(tblProjectInfo[ProjectName]=_xlpm.p)*
                 ISNUMBER(SEARCH("PHASE",UPPER(tblProjectInfo[Info]))),0)
), ""))</f>
        <v/>
      </c>
      <c r="I296" s="149"/>
      <c r="J296" s="149"/>
      <c r="K296" s="169"/>
      <c r="L296" s="169"/>
      <c r="M296" s="149"/>
      <c r="N296" s="149"/>
      <c r="O296" s="149"/>
      <c r="P296" s="150"/>
      <c r="Q296" s="150"/>
      <c r="R296" s="151"/>
      <c r="S296" s="152"/>
      <c r="T296" s="152"/>
      <c r="U296" s="150"/>
      <c r="V296" s="152"/>
      <c r="W296" s="152"/>
      <c r="X296" s="246"/>
      <c r="Y296" s="106"/>
    </row>
    <row r="297" spans="1:25">
      <c r="A297" t="str" cm="1">
        <f t="array" ref="A29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IFERROR(INDEX(_xlpm.sorted,ROWS(A$2:A297)),"")
)</f>
        <v/>
      </c>
      <c r="B297" s="147" t="str" cm="1">
        <f t="array" ref="B297">_xlfn.LET(_xlpm.p,$A297,_xlfn.IFNA(
  INDEX(tblProjectInfo[InfoValue],
        MATCH(1,(tblProjectInfo[ProjectName]=_xlpm.p)*
                 (UPPER(TRIM(tblProjectInfo[Info]))="PROJECT SIZE (KWP)"),0)
), ""))</f>
        <v/>
      </c>
      <c r="C297" s="147" t="str" cm="1">
        <f t="array" ref="C297">_xlfn.LET(_xlpm.p,$A297,_xlfn.IFNA(
  INDEX(tblProjectInfo[InfoValue],
        MATCH(1,(tblProjectInfo[ProjectName]=_xlpm.p)*
                 (UPPER(TRIM(tblProjectInfo[Info]))="PROJECT DEVELOPER"),0)
), ""))</f>
        <v/>
      </c>
      <c r="D297" s="148" t="str" cm="1">
        <f t="array" ref="D297">_xlfn.LET(_xlpm.p,$A297,_xlfn.IFNA(
  INDEX(tblProjectInfo[InfoValue],
        MATCH(1,(tblProjectInfo[ProjectName]=_xlpm.p)*
                 (UPPER(TRIM(tblProjectInfo[Info]))="PROJECT MANAGERS"),0)
), ""))</f>
        <v/>
      </c>
      <c r="E297" s="147"/>
      <c r="F297" s="147"/>
      <c r="G297" s="147"/>
      <c r="H297" s="162" t="str" cm="1">
        <f t="array" ref="H297">_xlfn.LET(_xlpm.p,$A297,_xlfn.IFNA(
  INDEX(tblProjectInfo[InfoValue],
        MATCH(1,(tblProjectInfo[ProjectName]=_xlpm.p)*
                 ISNUMBER(SEARCH("PHASE",UPPER(tblProjectInfo[Info]))),0)
), ""))</f>
        <v/>
      </c>
      <c r="I297" s="149"/>
      <c r="J297" s="149"/>
      <c r="K297" s="169"/>
      <c r="L297" s="169"/>
      <c r="M297" s="149"/>
      <c r="N297" s="149"/>
      <c r="O297" s="149"/>
      <c r="P297" s="150"/>
      <c r="Q297" s="150"/>
      <c r="R297" s="151"/>
      <c r="S297" s="152"/>
      <c r="T297" s="152"/>
      <c r="U297" s="150"/>
      <c r="V297" s="152"/>
      <c r="W297" s="152"/>
      <c r="X297" s="246"/>
      <c r="Y297" s="106"/>
    </row>
    <row r="298" spans="1:25">
      <c r="A298" t="str" cm="1">
        <f t="array" ref="A29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IFERROR(INDEX(_xlpm.sorted,ROWS(A$2:A298)),"")
)</f>
        <v/>
      </c>
      <c r="B298" s="147" t="str" cm="1">
        <f t="array" ref="B298">_xlfn.LET(_xlpm.p,$A298,_xlfn.IFNA(
  INDEX(tblProjectInfo[InfoValue],
        MATCH(1,(tblProjectInfo[ProjectName]=_xlpm.p)*
                 (UPPER(TRIM(tblProjectInfo[Info]))="PROJECT SIZE (KWP)"),0)
), ""))</f>
        <v/>
      </c>
      <c r="C298" s="147" t="str" cm="1">
        <f t="array" ref="C298">_xlfn.LET(_xlpm.p,$A298,_xlfn.IFNA(
  INDEX(tblProjectInfo[InfoValue],
        MATCH(1,(tblProjectInfo[ProjectName]=_xlpm.p)*
                 (UPPER(TRIM(tblProjectInfo[Info]))="PROJECT DEVELOPER"),0)
), ""))</f>
        <v/>
      </c>
      <c r="D298" s="148" t="str" cm="1">
        <f t="array" ref="D298">_xlfn.LET(_xlpm.p,$A298,_xlfn.IFNA(
  INDEX(tblProjectInfo[InfoValue],
        MATCH(1,(tblProjectInfo[ProjectName]=_xlpm.p)*
                 (UPPER(TRIM(tblProjectInfo[Info]))="PROJECT MANAGERS"),0)
), ""))</f>
        <v/>
      </c>
      <c r="E298" s="147"/>
      <c r="F298" s="147"/>
      <c r="G298" s="147"/>
      <c r="H298" s="162" t="str" cm="1">
        <f t="array" ref="H298">_xlfn.LET(_xlpm.p,$A298,_xlfn.IFNA(
  INDEX(tblProjectInfo[InfoValue],
        MATCH(1,(tblProjectInfo[ProjectName]=_xlpm.p)*
                 ISNUMBER(SEARCH("PHASE",UPPER(tblProjectInfo[Info]))),0)
), ""))</f>
        <v/>
      </c>
      <c r="I298" s="149"/>
      <c r="J298" s="149"/>
      <c r="K298" s="169"/>
      <c r="L298" s="169"/>
      <c r="M298" s="149"/>
      <c r="N298" s="149"/>
      <c r="O298" s="149"/>
      <c r="P298" s="150"/>
      <c r="Q298" s="150"/>
      <c r="R298" s="151"/>
      <c r="S298" s="152"/>
      <c r="T298" s="152"/>
      <c r="U298" s="150"/>
      <c r="V298" s="152"/>
      <c r="W298" s="152"/>
      <c r="X298" s="246"/>
      <c r="Y298" s="106"/>
    </row>
    <row r="299" spans="1:25">
      <c r="A299" t="str" cm="1">
        <f t="array" ref="A29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IFERROR(INDEX(_xlpm.sorted,ROWS(A$2:A299)),"")
)</f>
        <v/>
      </c>
      <c r="B299" s="147" t="str" cm="1">
        <f t="array" ref="B299">_xlfn.LET(_xlpm.p,$A299,_xlfn.IFNA(
  INDEX(tblProjectInfo[InfoValue],
        MATCH(1,(tblProjectInfo[ProjectName]=_xlpm.p)*
                 (UPPER(TRIM(tblProjectInfo[Info]))="PROJECT SIZE (KWP)"),0)
), ""))</f>
        <v/>
      </c>
      <c r="C299" s="147" t="str" cm="1">
        <f t="array" ref="C299">_xlfn.LET(_xlpm.p,$A299,_xlfn.IFNA(
  INDEX(tblProjectInfo[InfoValue],
        MATCH(1,(tblProjectInfo[ProjectName]=_xlpm.p)*
                 (UPPER(TRIM(tblProjectInfo[Info]))="PROJECT DEVELOPER"),0)
), ""))</f>
        <v/>
      </c>
      <c r="D299" s="148" t="str" cm="1">
        <f t="array" ref="D299">_xlfn.LET(_xlpm.p,$A299,_xlfn.IFNA(
  INDEX(tblProjectInfo[InfoValue],
        MATCH(1,(tblProjectInfo[ProjectName]=_xlpm.p)*
                 (UPPER(TRIM(tblProjectInfo[Info]))="PROJECT MANAGERS"),0)
), ""))</f>
        <v/>
      </c>
      <c r="E299" s="147"/>
      <c r="F299" s="147"/>
      <c r="G299" s="147"/>
      <c r="H299" s="162" t="str" cm="1">
        <f t="array" ref="H299">_xlfn.LET(_xlpm.p,$A299,_xlfn.IFNA(
  INDEX(tblProjectInfo[InfoValue],
        MATCH(1,(tblProjectInfo[ProjectName]=_xlpm.p)*
                 ISNUMBER(SEARCH("PHASE",UPPER(tblProjectInfo[Info]))),0)
), ""))</f>
        <v/>
      </c>
      <c r="I299" s="149"/>
      <c r="J299" s="149"/>
      <c r="K299" s="169"/>
      <c r="L299" s="169"/>
      <c r="M299" s="149"/>
      <c r="N299" s="149"/>
      <c r="O299" s="149"/>
      <c r="P299" s="150"/>
      <c r="Q299" s="150"/>
      <c r="R299" s="151"/>
      <c r="S299" s="152"/>
      <c r="T299" s="152"/>
      <c r="U299" s="150"/>
      <c r="V299" s="152"/>
      <c r="W299" s="152"/>
      <c r="X299" s="246"/>
      <c r="Y299" s="106"/>
    </row>
    <row r="300" spans="1:25">
      <c r="A300" t="str" cm="1">
        <f t="array" ref="A30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IFERROR(INDEX(_xlpm.sorted,ROWS(A$2:A300)),"")
)</f>
        <v/>
      </c>
      <c r="B300" s="147" t="str" cm="1">
        <f t="array" ref="B300">_xlfn.LET(_xlpm.p,$A300,_xlfn.IFNA(
  INDEX(tblProjectInfo[InfoValue],
        MATCH(1,(tblProjectInfo[ProjectName]=_xlpm.p)*
                 (UPPER(TRIM(tblProjectInfo[Info]))="PROJECT SIZE (KWP)"),0)
), ""))</f>
        <v/>
      </c>
      <c r="C300" s="147" t="str" cm="1">
        <f t="array" ref="C300">_xlfn.LET(_xlpm.p,$A300,_xlfn.IFNA(
  INDEX(tblProjectInfo[InfoValue],
        MATCH(1,(tblProjectInfo[ProjectName]=_xlpm.p)*
                 (UPPER(TRIM(tblProjectInfo[Info]))="PROJECT DEVELOPER"),0)
), ""))</f>
        <v/>
      </c>
      <c r="D300" s="148" t="str" cm="1">
        <f t="array" ref="D300">_xlfn.LET(_xlpm.p,$A300,_xlfn.IFNA(
  INDEX(tblProjectInfo[InfoValue],
        MATCH(1,(tblProjectInfo[ProjectName]=_xlpm.p)*
                 (UPPER(TRIM(tblProjectInfo[Info]))="PROJECT MANAGERS"),0)
), ""))</f>
        <v/>
      </c>
      <c r="E300" s="147"/>
      <c r="F300" s="147"/>
      <c r="G300" s="147"/>
      <c r="H300" s="162" t="str" cm="1">
        <f t="array" ref="H300">_xlfn.LET(_xlpm.p,$A300,_xlfn.IFNA(
  INDEX(tblProjectInfo[InfoValue],
        MATCH(1,(tblProjectInfo[ProjectName]=_xlpm.p)*
                 ISNUMBER(SEARCH("PHASE",UPPER(tblProjectInfo[Info]))),0)
), ""))</f>
        <v/>
      </c>
      <c r="I300" s="149"/>
      <c r="J300" s="149"/>
      <c r="K300" s="169"/>
      <c r="L300" s="169"/>
      <c r="M300" s="149"/>
      <c r="N300" s="149"/>
      <c r="O300" s="149"/>
      <c r="P300" s="150"/>
      <c r="Q300" s="150"/>
      <c r="R300" s="151"/>
      <c r="S300" s="152"/>
      <c r="T300" s="152"/>
      <c r="U300" s="150"/>
      <c r="V300" s="152"/>
      <c r="W300" s="152"/>
      <c r="X300" s="246"/>
      <c r="Y300" s="106"/>
    </row>
    <row r="301" spans="1:25">
      <c r="A301" t="str" cm="1">
        <f t="array" ref="A30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IFERROR(INDEX(_xlpm.sorted,ROWS(A$2:A301)),"")
)</f>
        <v/>
      </c>
      <c r="B301" s="147" t="str" cm="1">
        <f t="array" ref="B301">_xlfn.LET(_xlpm.p,$A301,_xlfn.IFNA(
  INDEX(tblProjectInfo[InfoValue],
        MATCH(1,(tblProjectInfo[ProjectName]=_xlpm.p)*
                 (UPPER(TRIM(tblProjectInfo[Info]))="PROJECT SIZE (KWP)"),0)
), ""))</f>
        <v/>
      </c>
      <c r="C301" s="147" t="str" cm="1">
        <f t="array" ref="C301">_xlfn.LET(_xlpm.p,$A301,_xlfn.IFNA(
  INDEX(tblProjectInfo[InfoValue],
        MATCH(1,(tblProjectInfo[ProjectName]=_xlpm.p)*
                 (UPPER(TRIM(tblProjectInfo[Info]))="PROJECT DEVELOPER"),0)
), ""))</f>
        <v/>
      </c>
      <c r="D301" s="148" t="str" cm="1">
        <f t="array" ref="D301">_xlfn.LET(_xlpm.p,$A301,_xlfn.IFNA(
  INDEX(tblProjectInfo[InfoValue],
        MATCH(1,(tblProjectInfo[ProjectName]=_xlpm.p)*
                 (UPPER(TRIM(tblProjectInfo[Info]))="PROJECT MANAGERS"),0)
), ""))</f>
        <v/>
      </c>
      <c r="E301" s="147"/>
      <c r="F301" s="147"/>
      <c r="G301" s="147"/>
      <c r="H301" s="162" t="str" cm="1">
        <f t="array" ref="H301">_xlfn.LET(_xlpm.p,$A301,_xlfn.IFNA(
  INDEX(tblProjectInfo[InfoValue],
        MATCH(1,(tblProjectInfo[ProjectName]=_xlpm.p)*
                 ISNUMBER(SEARCH("PHASE",UPPER(tblProjectInfo[Info]))),0)
), ""))</f>
        <v/>
      </c>
      <c r="I301" s="149"/>
      <c r="J301" s="149"/>
      <c r="K301" s="169"/>
      <c r="L301" s="169"/>
      <c r="M301" s="149"/>
      <c r="N301" s="149"/>
      <c r="O301" s="149"/>
      <c r="P301" s="150"/>
      <c r="Q301" s="150"/>
      <c r="R301" s="151"/>
      <c r="S301" s="152"/>
      <c r="T301" s="152"/>
      <c r="U301" s="150"/>
      <c r="V301" s="152"/>
      <c r="W301" s="152"/>
      <c r="X301" s="246"/>
      <c r="Y301" s="106"/>
    </row>
    <row r="302" spans="1:25">
      <c r="A302" t="str" cm="1">
        <f t="array" ref="A30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IFERROR(INDEX(_xlpm.sorted,ROWS(A$2:A302)),"")
)</f>
        <v/>
      </c>
      <c r="B302" s="147" t="str" cm="1">
        <f t="array" ref="B302">_xlfn.LET(_xlpm.p,$A302,_xlfn.IFNA(
  INDEX(tblProjectInfo[InfoValue],
        MATCH(1,(tblProjectInfo[ProjectName]=_xlpm.p)*
                 (UPPER(TRIM(tblProjectInfo[Info]))="PROJECT SIZE (KWP)"),0)
), ""))</f>
        <v/>
      </c>
      <c r="C302" s="147" t="str" cm="1">
        <f t="array" ref="C302">_xlfn.LET(_xlpm.p,$A302,_xlfn.IFNA(
  INDEX(tblProjectInfo[InfoValue],
        MATCH(1,(tblProjectInfo[ProjectName]=_xlpm.p)*
                 (UPPER(TRIM(tblProjectInfo[Info]))="PROJECT DEVELOPER"),0)
), ""))</f>
        <v/>
      </c>
      <c r="D302" s="148" t="str" cm="1">
        <f t="array" ref="D302">_xlfn.LET(_xlpm.p,$A302,_xlfn.IFNA(
  INDEX(tblProjectInfo[InfoValue],
        MATCH(1,(tblProjectInfo[ProjectName]=_xlpm.p)*
                 (UPPER(TRIM(tblProjectInfo[Info]))="PROJECT MANAGERS"),0)
), ""))</f>
        <v/>
      </c>
      <c r="E302" s="147"/>
      <c r="F302" s="147"/>
      <c r="G302" s="147"/>
      <c r="H302" s="162" t="str" cm="1">
        <f t="array" ref="H302">_xlfn.LET(_xlpm.p,$A302,_xlfn.IFNA(
  INDEX(tblProjectInfo[InfoValue],
        MATCH(1,(tblProjectInfo[ProjectName]=_xlpm.p)*
                 ISNUMBER(SEARCH("PHASE",UPPER(tblProjectInfo[Info]))),0)
), ""))</f>
        <v/>
      </c>
      <c r="I302" s="149"/>
      <c r="J302" s="149"/>
      <c r="K302" s="169"/>
      <c r="L302" s="169"/>
      <c r="M302" s="149"/>
      <c r="N302" s="149"/>
      <c r="O302" s="149"/>
      <c r="P302" s="150"/>
      <c r="Q302" s="150"/>
      <c r="R302" s="151"/>
      <c r="S302" s="152"/>
      <c r="T302" s="152"/>
      <c r="U302" s="150"/>
      <c r="V302" s="152"/>
      <c r="W302" s="152"/>
      <c r="X302" s="246"/>
      <c r="Y302" s="106"/>
    </row>
    <row r="303" spans="1:25">
      <c r="A303" t="str" cm="1">
        <f t="array" ref="A30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IFERROR(INDEX(_xlpm.sorted,ROWS(A$2:A303)),"")
)</f>
        <v/>
      </c>
      <c r="B303" s="147" t="str" cm="1">
        <f t="array" ref="B303">_xlfn.LET(_xlpm.p,$A303,_xlfn.IFNA(
  INDEX(tblProjectInfo[InfoValue],
        MATCH(1,(tblProjectInfo[ProjectName]=_xlpm.p)*
                 (UPPER(TRIM(tblProjectInfo[Info]))="PROJECT SIZE (KWP)"),0)
), ""))</f>
        <v/>
      </c>
      <c r="C303" s="147" t="str" cm="1">
        <f t="array" ref="C303">_xlfn.LET(_xlpm.p,$A303,_xlfn.IFNA(
  INDEX(tblProjectInfo[InfoValue],
        MATCH(1,(tblProjectInfo[ProjectName]=_xlpm.p)*
                 (UPPER(TRIM(tblProjectInfo[Info]))="PROJECT DEVELOPER"),0)
), ""))</f>
        <v/>
      </c>
      <c r="D303" s="148" t="str" cm="1">
        <f t="array" ref="D303">_xlfn.LET(_xlpm.p,$A303,_xlfn.IFNA(
  INDEX(tblProjectInfo[InfoValue],
        MATCH(1,(tblProjectInfo[ProjectName]=_xlpm.p)*
                 (UPPER(TRIM(tblProjectInfo[Info]))="PROJECT MANAGERS"),0)
), ""))</f>
        <v/>
      </c>
      <c r="E303" s="147"/>
      <c r="F303" s="147"/>
      <c r="G303" s="147"/>
      <c r="H303" s="162" t="str" cm="1">
        <f t="array" ref="H303">_xlfn.LET(_xlpm.p,$A303,_xlfn.IFNA(
  INDEX(tblProjectInfo[InfoValue],
        MATCH(1,(tblProjectInfo[ProjectName]=_xlpm.p)*
                 ISNUMBER(SEARCH("PHASE",UPPER(tblProjectInfo[Info]))),0)
), ""))</f>
        <v/>
      </c>
      <c r="I303" s="149"/>
      <c r="J303" s="149"/>
      <c r="K303" s="169"/>
      <c r="L303" s="169"/>
      <c r="M303" s="149"/>
      <c r="N303" s="149"/>
      <c r="O303" s="149"/>
      <c r="P303" s="150"/>
      <c r="Q303" s="150"/>
      <c r="R303" s="151"/>
      <c r="S303" s="152"/>
      <c r="T303" s="152"/>
      <c r="U303" s="150"/>
      <c r="V303" s="152"/>
      <c r="W303" s="152"/>
      <c r="X303" s="246"/>
      <c r="Y303" s="106"/>
    </row>
    <row r="304" spans="1:25">
      <c r="A304" t="str" cm="1">
        <f t="array" ref="A30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IFERROR(INDEX(_xlpm.sorted,ROWS(A$2:A304)),"")
)</f>
        <v/>
      </c>
      <c r="B304" s="147" t="str" cm="1">
        <f t="array" ref="B304">_xlfn.LET(_xlpm.p,$A304,_xlfn.IFNA(
  INDEX(tblProjectInfo[InfoValue],
        MATCH(1,(tblProjectInfo[ProjectName]=_xlpm.p)*
                 (UPPER(TRIM(tblProjectInfo[Info]))="PROJECT SIZE (KWP)"),0)
), ""))</f>
        <v/>
      </c>
      <c r="C304" s="147" t="str" cm="1">
        <f t="array" ref="C304">_xlfn.LET(_xlpm.p,$A304,_xlfn.IFNA(
  INDEX(tblProjectInfo[InfoValue],
        MATCH(1,(tblProjectInfo[ProjectName]=_xlpm.p)*
                 (UPPER(TRIM(tblProjectInfo[Info]))="PROJECT DEVELOPER"),0)
), ""))</f>
        <v/>
      </c>
      <c r="D304" s="148" t="str" cm="1">
        <f t="array" ref="D304">_xlfn.LET(_xlpm.p,$A304,_xlfn.IFNA(
  INDEX(tblProjectInfo[InfoValue],
        MATCH(1,(tblProjectInfo[ProjectName]=_xlpm.p)*
                 (UPPER(TRIM(tblProjectInfo[Info]))="PROJECT MANAGERS"),0)
), ""))</f>
        <v/>
      </c>
      <c r="E304" s="147"/>
      <c r="F304" s="147"/>
      <c r="G304" s="147"/>
      <c r="H304" s="162" t="str" cm="1">
        <f t="array" ref="H304">_xlfn.LET(_xlpm.p,$A304,_xlfn.IFNA(
  INDEX(tblProjectInfo[InfoValue],
        MATCH(1,(tblProjectInfo[ProjectName]=_xlpm.p)*
                 ISNUMBER(SEARCH("PHASE",UPPER(tblProjectInfo[Info]))),0)
), ""))</f>
        <v/>
      </c>
      <c r="I304" s="149"/>
      <c r="J304" s="149"/>
      <c r="K304" s="169"/>
      <c r="L304" s="169"/>
      <c r="M304" s="149"/>
      <c r="N304" s="149"/>
      <c r="O304" s="149"/>
      <c r="P304" s="150"/>
      <c r="Q304" s="150"/>
      <c r="R304" s="151"/>
      <c r="S304" s="152"/>
      <c r="T304" s="152"/>
      <c r="U304" s="150"/>
      <c r="V304" s="152"/>
      <c r="W304" s="152"/>
      <c r="X304" s="246"/>
      <c r="Y304" s="106"/>
    </row>
    <row r="305" spans="1:25">
      <c r="A305" t="str" cm="1">
        <f t="array" ref="A30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IFERROR(INDEX(_xlpm.sorted,ROWS(A$2:A305)),"")
)</f>
        <v/>
      </c>
      <c r="B305" s="147" t="str" cm="1">
        <f t="array" ref="B305">_xlfn.LET(_xlpm.p,$A305,_xlfn.IFNA(
  INDEX(tblProjectInfo[InfoValue],
        MATCH(1,(tblProjectInfo[ProjectName]=_xlpm.p)*
                 (UPPER(TRIM(tblProjectInfo[Info]))="PROJECT SIZE (KWP)"),0)
), ""))</f>
        <v/>
      </c>
      <c r="C305" s="147" t="str" cm="1">
        <f t="array" ref="C305">_xlfn.LET(_xlpm.p,$A305,_xlfn.IFNA(
  INDEX(tblProjectInfo[InfoValue],
        MATCH(1,(tblProjectInfo[ProjectName]=_xlpm.p)*
                 (UPPER(TRIM(tblProjectInfo[Info]))="PROJECT DEVELOPER"),0)
), ""))</f>
        <v/>
      </c>
      <c r="D305" s="148" t="str" cm="1">
        <f t="array" ref="D305">_xlfn.LET(_xlpm.p,$A305,_xlfn.IFNA(
  INDEX(tblProjectInfo[InfoValue],
        MATCH(1,(tblProjectInfo[ProjectName]=_xlpm.p)*
                 (UPPER(TRIM(tblProjectInfo[Info]))="PROJECT MANAGERS"),0)
), ""))</f>
        <v/>
      </c>
      <c r="E305" s="147"/>
      <c r="F305" s="147"/>
      <c r="G305" s="147"/>
      <c r="H305" s="162" t="str" cm="1">
        <f t="array" ref="H305">_xlfn.LET(_xlpm.p,$A305,_xlfn.IFNA(
  INDEX(tblProjectInfo[InfoValue],
        MATCH(1,(tblProjectInfo[ProjectName]=_xlpm.p)*
                 ISNUMBER(SEARCH("PHASE",UPPER(tblProjectInfo[Info]))),0)
), ""))</f>
        <v/>
      </c>
      <c r="I305" s="149"/>
      <c r="J305" s="149"/>
      <c r="K305" s="169"/>
      <c r="L305" s="169"/>
      <c r="M305" s="149"/>
      <c r="N305" s="149"/>
      <c r="O305" s="149"/>
      <c r="P305" s="150"/>
      <c r="Q305" s="150"/>
      <c r="R305" s="151"/>
      <c r="S305" s="152"/>
      <c r="T305" s="152"/>
      <c r="U305" s="150"/>
      <c r="V305" s="152"/>
      <c r="W305" s="152"/>
      <c r="X305" s="246"/>
      <c r="Y305" s="106"/>
    </row>
    <row r="306" spans="1:25">
      <c r="A306" t="str" cm="1">
        <f t="array" ref="A30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IFERROR(INDEX(_xlpm.sorted,ROWS(A$2:A306)),"")
)</f>
        <v/>
      </c>
      <c r="B306" s="147" t="str" cm="1">
        <f t="array" ref="B306">_xlfn.LET(_xlpm.p,$A306,_xlfn.IFNA(
  INDEX(tblProjectInfo[InfoValue],
        MATCH(1,(tblProjectInfo[ProjectName]=_xlpm.p)*
                 (UPPER(TRIM(tblProjectInfo[Info]))="PROJECT SIZE (KWP)"),0)
), ""))</f>
        <v/>
      </c>
      <c r="C306" s="147" t="str" cm="1">
        <f t="array" ref="C306">_xlfn.LET(_xlpm.p,$A306,_xlfn.IFNA(
  INDEX(tblProjectInfo[InfoValue],
        MATCH(1,(tblProjectInfo[ProjectName]=_xlpm.p)*
                 (UPPER(TRIM(tblProjectInfo[Info]))="PROJECT DEVELOPER"),0)
), ""))</f>
        <v/>
      </c>
      <c r="D306" s="148" t="str" cm="1">
        <f t="array" ref="D306">_xlfn.LET(_xlpm.p,$A306,_xlfn.IFNA(
  INDEX(tblProjectInfo[InfoValue],
        MATCH(1,(tblProjectInfo[ProjectName]=_xlpm.p)*
                 (UPPER(TRIM(tblProjectInfo[Info]))="PROJECT MANAGERS"),0)
), ""))</f>
        <v/>
      </c>
      <c r="E306" s="147"/>
      <c r="F306" s="147"/>
      <c r="G306" s="147"/>
      <c r="H306" s="162" t="str" cm="1">
        <f t="array" ref="H306">_xlfn.LET(_xlpm.p,$A306,_xlfn.IFNA(
  INDEX(tblProjectInfo[InfoValue],
        MATCH(1,(tblProjectInfo[ProjectName]=_xlpm.p)*
                 ISNUMBER(SEARCH("PHASE",UPPER(tblProjectInfo[Info]))),0)
), ""))</f>
        <v/>
      </c>
      <c r="I306" s="149"/>
      <c r="J306" s="149"/>
      <c r="K306" s="169"/>
      <c r="L306" s="169"/>
      <c r="M306" s="149"/>
      <c r="N306" s="149"/>
      <c r="O306" s="149"/>
      <c r="P306" s="150"/>
      <c r="Q306" s="150"/>
      <c r="R306" s="151"/>
      <c r="S306" s="152"/>
      <c r="T306" s="152"/>
      <c r="U306" s="150"/>
      <c r="V306" s="152"/>
      <c r="W306" s="152"/>
      <c r="X306" s="246"/>
      <c r="Y306" s="106"/>
    </row>
    <row r="307" spans="1:25">
      <c r="A307" t="str" cm="1">
        <f t="array" ref="A30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IFERROR(INDEX(_xlpm.sorted,ROWS(A$2:A307)),"")
)</f>
        <v/>
      </c>
      <c r="B307" s="147" t="str" cm="1">
        <f t="array" ref="B307">_xlfn.LET(_xlpm.p,$A307,_xlfn.IFNA(
  INDEX(tblProjectInfo[InfoValue],
        MATCH(1,(tblProjectInfo[ProjectName]=_xlpm.p)*
                 (UPPER(TRIM(tblProjectInfo[Info]))="PROJECT SIZE (KWP)"),0)
), ""))</f>
        <v/>
      </c>
      <c r="C307" s="147" t="str" cm="1">
        <f t="array" ref="C307">_xlfn.LET(_xlpm.p,$A307,_xlfn.IFNA(
  INDEX(tblProjectInfo[InfoValue],
        MATCH(1,(tblProjectInfo[ProjectName]=_xlpm.p)*
                 (UPPER(TRIM(tblProjectInfo[Info]))="PROJECT DEVELOPER"),0)
), ""))</f>
        <v/>
      </c>
      <c r="D307" s="148" t="str" cm="1">
        <f t="array" ref="D307">_xlfn.LET(_xlpm.p,$A307,_xlfn.IFNA(
  INDEX(tblProjectInfo[InfoValue],
        MATCH(1,(tblProjectInfo[ProjectName]=_xlpm.p)*
                 (UPPER(TRIM(tblProjectInfo[Info]))="PROJECT MANAGERS"),0)
), ""))</f>
        <v/>
      </c>
      <c r="E307" s="147"/>
      <c r="F307" s="147"/>
      <c r="G307" s="147"/>
      <c r="H307" s="162" t="str" cm="1">
        <f t="array" ref="H307">_xlfn.LET(_xlpm.p,$A307,_xlfn.IFNA(
  INDEX(tblProjectInfo[InfoValue],
        MATCH(1,(tblProjectInfo[ProjectName]=_xlpm.p)*
                 ISNUMBER(SEARCH("PHASE",UPPER(tblProjectInfo[Info]))),0)
), ""))</f>
        <v/>
      </c>
      <c r="I307" s="149"/>
      <c r="J307" s="149"/>
      <c r="K307" s="169"/>
      <c r="L307" s="169"/>
      <c r="M307" s="149"/>
      <c r="N307" s="149"/>
      <c r="O307" s="149"/>
      <c r="P307" s="150"/>
      <c r="Q307" s="150"/>
      <c r="R307" s="151"/>
      <c r="S307" s="152"/>
      <c r="T307" s="152"/>
      <c r="U307" s="150"/>
      <c r="V307" s="152"/>
      <c r="W307" s="152"/>
      <c r="X307" s="246"/>
      <c r="Y307" s="106"/>
    </row>
    <row r="308" spans="1:25">
      <c r="A308" t="str" cm="1">
        <f t="array" ref="A30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IFERROR(INDEX(_xlpm.sorted,ROWS(A$2:A308)),"")
)</f>
        <v/>
      </c>
      <c r="B308" s="147" t="str" cm="1">
        <f t="array" ref="B308">_xlfn.LET(_xlpm.p,$A308,_xlfn.IFNA(
  INDEX(tblProjectInfo[InfoValue],
        MATCH(1,(tblProjectInfo[ProjectName]=_xlpm.p)*
                 (UPPER(TRIM(tblProjectInfo[Info]))="PROJECT SIZE (KWP)"),0)
), ""))</f>
        <v/>
      </c>
      <c r="C308" s="147" t="str" cm="1">
        <f t="array" ref="C308">_xlfn.LET(_xlpm.p,$A308,_xlfn.IFNA(
  INDEX(tblProjectInfo[InfoValue],
        MATCH(1,(tblProjectInfo[ProjectName]=_xlpm.p)*
                 (UPPER(TRIM(tblProjectInfo[Info]))="PROJECT DEVELOPER"),0)
), ""))</f>
        <v/>
      </c>
      <c r="D308" s="148" t="str" cm="1">
        <f t="array" ref="D308">_xlfn.LET(_xlpm.p,$A308,_xlfn.IFNA(
  INDEX(tblProjectInfo[InfoValue],
        MATCH(1,(tblProjectInfo[ProjectName]=_xlpm.p)*
                 (UPPER(TRIM(tblProjectInfo[Info]))="PROJECT MANAGERS"),0)
), ""))</f>
        <v/>
      </c>
      <c r="E308" s="147"/>
      <c r="F308" s="147"/>
      <c r="G308" s="147"/>
      <c r="H308" s="162" t="str" cm="1">
        <f t="array" ref="H308">_xlfn.LET(_xlpm.p,$A308,_xlfn.IFNA(
  INDEX(tblProjectInfo[InfoValue],
        MATCH(1,(tblProjectInfo[ProjectName]=_xlpm.p)*
                 ISNUMBER(SEARCH("PHASE",UPPER(tblProjectInfo[Info]))),0)
), ""))</f>
        <v/>
      </c>
      <c r="I308" s="149"/>
      <c r="J308" s="149"/>
      <c r="K308" s="169"/>
      <c r="L308" s="169"/>
      <c r="M308" s="149"/>
      <c r="N308" s="149"/>
      <c r="O308" s="149"/>
      <c r="P308" s="150"/>
      <c r="Q308" s="150"/>
      <c r="R308" s="151"/>
      <c r="S308" s="152"/>
      <c r="T308" s="152"/>
      <c r="U308" s="150"/>
      <c r="V308" s="152"/>
      <c r="W308" s="152"/>
      <c r="X308" s="246"/>
      <c r="Y308" s="106"/>
    </row>
    <row r="309" spans="1:25">
      <c r="A309" t="str" cm="1">
        <f t="array" ref="A30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IFERROR(INDEX(_xlpm.sorted,ROWS(A$2:A309)),"")
)</f>
        <v/>
      </c>
      <c r="B309" s="147" t="str" cm="1">
        <f t="array" ref="B309">_xlfn.LET(_xlpm.p,$A309,_xlfn.IFNA(
  INDEX(tblProjectInfo[InfoValue],
        MATCH(1,(tblProjectInfo[ProjectName]=_xlpm.p)*
                 (UPPER(TRIM(tblProjectInfo[Info]))="PROJECT SIZE (KWP)"),0)
), ""))</f>
        <v/>
      </c>
      <c r="C309" s="147" t="str" cm="1">
        <f t="array" ref="C309">_xlfn.LET(_xlpm.p,$A309,_xlfn.IFNA(
  INDEX(tblProjectInfo[InfoValue],
        MATCH(1,(tblProjectInfo[ProjectName]=_xlpm.p)*
                 (UPPER(TRIM(tblProjectInfo[Info]))="PROJECT DEVELOPER"),0)
), ""))</f>
        <v/>
      </c>
      <c r="D309" s="148" t="str" cm="1">
        <f t="array" ref="D309">_xlfn.LET(_xlpm.p,$A309,_xlfn.IFNA(
  INDEX(tblProjectInfo[InfoValue],
        MATCH(1,(tblProjectInfo[ProjectName]=_xlpm.p)*
                 (UPPER(TRIM(tblProjectInfo[Info]))="PROJECT MANAGERS"),0)
), ""))</f>
        <v/>
      </c>
      <c r="E309" s="147"/>
      <c r="F309" s="147"/>
      <c r="G309" s="147"/>
      <c r="H309" s="162" t="str" cm="1">
        <f t="array" ref="H309">_xlfn.LET(_xlpm.p,$A309,_xlfn.IFNA(
  INDEX(tblProjectInfo[InfoValue],
        MATCH(1,(tblProjectInfo[ProjectName]=_xlpm.p)*
                 ISNUMBER(SEARCH("PHASE",UPPER(tblProjectInfo[Info]))),0)
), ""))</f>
        <v/>
      </c>
      <c r="I309" s="149"/>
      <c r="J309" s="149"/>
      <c r="K309" s="169"/>
      <c r="L309" s="169"/>
      <c r="M309" s="149"/>
      <c r="N309" s="149"/>
      <c r="O309" s="149"/>
      <c r="P309" s="150"/>
      <c r="Q309" s="150"/>
      <c r="R309" s="151"/>
      <c r="S309" s="152"/>
      <c r="T309" s="152"/>
      <c r="U309" s="150"/>
      <c r="V309" s="152"/>
      <c r="W309" s="152"/>
      <c r="X309" s="246"/>
      <c r="Y309" s="106"/>
    </row>
    <row r="310" spans="1:25">
      <c r="A310" t="str" cm="1">
        <f t="array" ref="A31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IFERROR(INDEX(_xlpm.sorted,ROWS(A$2:A310)),"")
)</f>
        <v/>
      </c>
      <c r="B310" s="147" t="str" cm="1">
        <f t="array" ref="B310">_xlfn.LET(_xlpm.p,$A310,_xlfn.IFNA(
  INDEX(tblProjectInfo[InfoValue],
        MATCH(1,(tblProjectInfo[ProjectName]=_xlpm.p)*
                 (UPPER(TRIM(tblProjectInfo[Info]))="PROJECT SIZE (KWP)"),0)
), ""))</f>
        <v/>
      </c>
      <c r="C310" s="147" t="str" cm="1">
        <f t="array" ref="C310">_xlfn.LET(_xlpm.p,$A310,_xlfn.IFNA(
  INDEX(tblProjectInfo[InfoValue],
        MATCH(1,(tblProjectInfo[ProjectName]=_xlpm.p)*
                 (UPPER(TRIM(tblProjectInfo[Info]))="PROJECT DEVELOPER"),0)
), ""))</f>
        <v/>
      </c>
      <c r="D310" s="148" t="str" cm="1">
        <f t="array" ref="D310">_xlfn.LET(_xlpm.p,$A310,_xlfn.IFNA(
  INDEX(tblProjectInfo[InfoValue],
        MATCH(1,(tblProjectInfo[ProjectName]=_xlpm.p)*
                 (UPPER(TRIM(tblProjectInfo[Info]))="PROJECT MANAGERS"),0)
), ""))</f>
        <v/>
      </c>
      <c r="E310" s="147"/>
      <c r="F310" s="147"/>
      <c r="G310" s="147"/>
      <c r="H310" s="162" t="str" cm="1">
        <f t="array" ref="H310">_xlfn.LET(_xlpm.p,$A310,_xlfn.IFNA(
  INDEX(tblProjectInfo[InfoValue],
        MATCH(1,(tblProjectInfo[ProjectName]=_xlpm.p)*
                 ISNUMBER(SEARCH("PHASE",UPPER(tblProjectInfo[Info]))),0)
), ""))</f>
        <v/>
      </c>
      <c r="I310" s="149"/>
      <c r="J310" s="149"/>
      <c r="K310" s="169"/>
      <c r="L310" s="169"/>
      <c r="M310" s="149"/>
      <c r="N310" s="149"/>
      <c r="O310" s="149"/>
      <c r="P310" s="150"/>
      <c r="Q310" s="150"/>
      <c r="R310" s="151"/>
      <c r="S310" s="152"/>
      <c r="T310" s="152"/>
      <c r="U310" s="150"/>
      <c r="V310" s="152"/>
      <c r="W310" s="152"/>
      <c r="X310" s="246"/>
      <c r="Y310" s="106"/>
    </row>
    <row r="311" spans="1:25">
      <c r="A311" t="str" cm="1">
        <f t="array" ref="A31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IFERROR(INDEX(_xlpm.sorted,ROWS(A$2:A311)),"")
)</f>
        <v/>
      </c>
      <c r="B311" s="147" t="str" cm="1">
        <f t="array" ref="B311">_xlfn.LET(_xlpm.p,$A311,_xlfn.IFNA(
  INDEX(tblProjectInfo[InfoValue],
        MATCH(1,(tblProjectInfo[ProjectName]=_xlpm.p)*
                 (UPPER(TRIM(tblProjectInfo[Info]))="PROJECT SIZE (KWP)"),0)
), ""))</f>
        <v/>
      </c>
      <c r="C311" s="147" t="str" cm="1">
        <f t="array" ref="C311">_xlfn.LET(_xlpm.p,$A311,_xlfn.IFNA(
  INDEX(tblProjectInfo[InfoValue],
        MATCH(1,(tblProjectInfo[ProjectName]=_xlpm.p)*
                 (UPPER(TRIM(tblProjectInfo[Info]))="PROJECT DEVELOPER"),0)
), ""))</f>
        <v/>
      </c>
      <c r="D311" s="148" t="str" cm="1">
        <f t="array" ref="D311">_xlfn.LET(_xlpm.p,$A311,_xlfn.IFNA(
  INDEX(tblProjectInfo[InfoValue],
        MATCH(1,(tblProjectInfo[ProjectName]=_xlpm.p)*
                 (UPPER(TRIM(tblProjectInfo[Info]))="PROJECT MANAGERS"),0)
), ""))</f>
        <v/>
      </c>
      <c r="E311" s="147"/>
      <c r="F311" s="147"/>
      <c r="G311" s="147"/>
      <c r="H311" s="162" t="str" cm="1">
        <f t="array" ref="H311">_xlfn.LET(_xlpm.p,$A311,_xlfn.IFNA(
  INDEX(tblProjectInfo[InfoValue],
        MATCH(1,(tblProjectInfo[ProjectName]=_xlpm.p)*
                 ISNUMBER(SEARCH("PHASE",UPPER(tblProjectInfo[Info]))),0)
), ""))</f>
        <v/>
      </c>
      <c r="I311" s="149"/>
      <c r="J311" s="149"/>
      <c r="K311" s="169"/>
      <c r="L311" s="169"/>
      <c r="M311" s="149"/>
      <c r="N311" s="149"/>
      <c r="O311" s="149"/>
      <c r="P311" s="150"/>
      <c r="Q311" s="150"/>
      <c r="R311" s="151"/>
      <c r="S311" s="152"/>
      <c r="T311" s="152"/>
      <c r="U311" s="150"/>
      <c r="V311" s="152"/>
      <c r="W311" s="152"/>
      <c r="X311" s="246"/>
      <c r="Y311" s="106"/>
    </row>
    <row r="312" spans="1:25">
      <c r="A312" t="str" cm="1">
        <f t="array" ref="A31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IFERROR(INDEX(_xlpm.sorted,ROWS(A$2:A312)),"")
)</f>
        <v/>
      </c>
      <c r="B312" s="147" t="str" cm="1">
        <f t="array" ref="B312">_xlfn.LET(_xlpm.p,$A312,_xlfn.IFNA(
  INDEX(tblProjectInfo[InfoValue],
        MATCH(1,(tblProjectInfo[ProjectName]=_xlpm.p)*
                 (UPPER(TRIM(tblProjectInfo[Info]))="PROJECT SIZE (KWP)"),0)
), ""))</f>
        <v/>
      </c>
      <c r="C312" s="147" t="str" cm="1">
        <f t="array" ref="C312">_xlfn.LET(_xlpm.p,$A312,_xlfn.IFNA(
  INDEX(tblProjectInfo[InfoValue],
        MATCH(1,(tblProjectInfo[ProjectName]=_xlpm.p)*
                 (UPPER(TRIM(tblProjectInfo[Info]))="PROJECT DEVELOPER"),0)
), ""))</f>
        <v/>
      </c>
      <c r="D312" s="148" t="str" cm="1">
        <f t="array" ref="D312">_xlfn.LET(_xlpm.p,$A312,_xlfn.IFNA(
  INDEX(tblProjectInfo[InfoValue],
        MATCH(1,(tblProjectInfo[ProjectName]=_xlpm.p)*
                 (UPPER(TRIM(tblProjectInfo[Info]))="PROJECT MANAGERS"),0)
), ""))</f>
        <v/>
      </c>
      <c r="E312" s="147"/>
      <c r="F312" s="147"/>
      <c r="G312" s="147"/>
      <c r="H312" s="162" t="str" cm="1">
        <f t="array" ref="H312">_xlfn.LET(_xlpm.p,$A312,_xlfn.IFNA(
  INDEX(tblProjectInfo[InfoValue],
        MATCH(1,(tblProjectInfo[ProjectName]=_xlpm.p)*
                 ISNUMBER(SEARCH("PHASE",UPPER(tblProjectInfo[Info]))),0)
), ""))</f>
        <v/>
      </c>
      <c r="I312" s="149"/>
      <c r="J312" s="149"/>
      <c r="K312" s="169"/>
      <c r="L312" s="169"/>
      <c r="M312" s="149"/>
      <c r="N312" s="149"/>
      <c r="O312" s="149"/>
      <c r="P312" s="150"/>
      <c r="Q312" s="150"/>
      <c r="R312" s="151"/>
      <c r="S312" s="152"/>
      <c r="T312" s="152"/>
      <c r="U312" s="150"/>
      <c r="V312" s="152"/>
      <c r="W312" s="152"/>
      <c r="X312" s="246"/>
      <c r="Y312" s="106"/>
    </row>
    <row r="313" spans="1:25">
      <c r="A313" t="str" cm="1">
        <f t="array" ref="A31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IFERROR(INDEX(_xlpm.sorted,ROWS(A$2:A313)),"")
)</f>
        <v/>
      </c>
      <c r="B313" s="147" t="str" cm="1">
        <f t="array" ref="B313">_xlfn.LET(_xlpm.p,$A313,_xlfn.IFNA(
  INDEX(tblProjectInfo[InfoValue],
        MATCH(1,(tblProjectInfo[ProjectName]=_xlpm.p)*
                 (UPPER(TRIM(tblProjectInfo[Info]))="PROJECT SIZE (KWP)"),0)
), ""))</f>
        <v/>
      </c>
      <c r="C313" s="147" t="str" cm="1">
        <f t="array" ref="C313">_xlfn.LET(_xlpm.p,$A313,_xlfn.IFNA(
  INDEX(tblProjectInfo[InfoValue],
        MATCH(1,(tblProjectInfo[ProjectName]=_xlpm.p)*
                 (UPPER(TRIM(tblProjectInfo[Info]))="PROJECT DEVELOPER"),0)
), ""))</f>
        <v/>
      </c>
      <c r="D313" s="148" t="str" cm="1">
        <f t="array" ref="D313">_xlfn.LET(_xlpm.p,$A313,_xlfn.IFNA(
  INDEX(tblProjectInfo[InfoValue],
        MATCH(1,(tblProjectInfo[ProjectName]=_xlpm.p)*
                 (UPPER(TRIM(tblProjectInfo[Info]))="PROJECT MANAGERS"),0)
), ""))</f>
        <v/>
      </c>
      <c r="E313" s="147"/>
      <c r="F313" s="147"/>
      <c r="G313" s="147"/>
      <c r="H313" s="162" t="str" cm="1">
        <f t="array" ref="H313">_xlfn.LET(_xlpm.p,$A313,_xlfn.IFNA(
  INDEX(tblProjectInfo[InfoValue],
        MATCH(1,(tblProjectInfo[ProjectName]=_xlpm.p)*
                 ISNUMBER(SEARCH("PHASE",UPPER(tblProjectInfo[Info]))),0)
), ""))</f>
        <v/>
      </c>
      <c r="I313" s="149"/>
      <c r="J313" s="149"/>
      <c r="K313" s="169"/>
      <c r="L313" s="169"/>
      <c r="M313" s="149"/>
      <c r="N313" s="149"/>
      <c r="O313" s="149"/>
      <c r="P313" s="150"/>
      <c r="Q313" s="150"/>
      <c r="R313" s="151"/>
      <c r="S313" s="152"/>
      <c r="T313" s="152"/>
      <c r="U313" s="150"/>
      <c r="V313" s="152"/>
      <c r="W313" s="152"/>
      <c r="X313" s="246"/>
      <c r="Y313" s="106"/>
    </row>
    <row r="314" spans="1:25">
      <c r="A314" t="str" cm="1">
        <f t="array" ref="A31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IFERROR(INDEX(_xlpm.sorted,ROWS(A$2:A314)),"")
)</f>
        <v/>
      </c>
      <c r="B314" s="147" t="str" cm="1">
        <f t="array" ref="B314">_xlfn.LET(_xlpm.p,$A314,_xlfn.IFNA(
  INDEX(tblProjectInfo[InfoValue],
        MATCH(1,(tblProjectInfo[ProjectName]=_xlpm.p)*
                 (UPPER(TRIM(tblProjectInfo[Info]))="PROJECT SIZE (KWP)"),0)
), ""))</f>
        <v/>
      </c>
      <c r="C314" s="147" t="str" cm="1">
        <f t="array" ref="C314">_xlfn.LET(_xlpm.p,$A314,_xlfn.IFNA(
  INDEX(tblProjectInfo[InfoValue],
        MATCH(1,(tblProjectInfo[ProjectName]=_xlpm.p)*
                 (UPPER(TRIM(tblProjectInfo[Info]))="PROJECT DEVELOPER"),0)
), ""))</f>
        <v/>
      </c>
      <c r="D314" s="148" t="str" cm="1">
        <f t="array" ref="D314">_xlfn.LET(_xlpm.p,$A314,_xlfn.IFNA(
  INDEX(tblProjectInfo[InfoValue],
        MATCH(1,(tblProjectInfo[ProjectName]=_xlpm.p)*
                 (UPPER(TRIM(tblProjectInfo[Info]))="PROJECT MANAGERS"),0)
), ""))</f>
        <v/>
      </c>
      <c r="E314" s="147"/>
      <c r="F314" s="147"/>
      <c r="G314" s="147"/>
      <c r="H314" s="162" t="str" cm="1">
        <f t="array" ref="H314">_xlfn.LET(_xlpm.p,$A314,_xlfn.IFNA(
  INDEX(tblProjectInfo[InfoValue],
        MATCH(1,(tblProjectInfo[ProjectName]=_xlpm.p)*
                 ISNUMBER(SEARCH("PHASE",UPPER(tblProjectInfo[Info]))),0)
), ""))</f>
        <v/>
      </c>
      <c r="I314" s="149"/>
      <c r="J314" s="149"/>
      <c r="K314" s="169"/>
      <c r="L314" s="169"/>
      <c r="M314" s="149"/>
      <c r="N314" s="149"/>
      <c r="O314" s="149"/>
      <c r="P314" s="150"/>
      <c r="Q314" s="150"/>
      <c r="R314" s="151"/>
      <c r="S314" s="152"/>
      <c r="T314" s="152"/>
      <c r="U314" s="150"/>
      <c r="V314" s="152"/>
      <c r="W314" s="152"/>
      <c r="X314" s="246"/>
      <c r="Y314" s="106"/>
    </row>
    <row r="315" spans="1:25">
      <c r="A315" t="str" cm="1">
        <f t="array" ref="A31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IFERROR(INDEX(_xlpm.sorted,ROWS(A$2:A315)),"")
)</f>
        <v/>
      </c>
      <c r="B315" s="147" t="str" cm="1">
        <f t="array" ref="B315">_xlfn.LET(_xlpm.p,$A315,_xlfn.IFNA(
  INDEX(tblProjectInfo[InfoValue],
        MATCH(1,(tblProjectInfo[ProjectName]=_xlpm.p)*
                 (UPPER(TRIM(tblProjectInfo[Info]))="PROJECT SIZE (KWP)"),0)
), ""))</f>
        <v/>
      </c>
      <c r="C315" s="147" t="str" cm="1">
        <f t="array" ref="C315">_xlfn.LET(_xlpm.p,$A315,_xlfn.IFNA(
  INDEX(tblProjectInfo[InfoValue],
        MATCH(1,(tblProjectInfo[ProjectName]=_xlpm.p)*
                 (UPPER(TRIM(tblProjectInfo[Info]))="PROJECT DEVELOPER"),0)
), ""))</f>
        <v/>
      </c>
      <c r="D315" s="148" t="str" cm="1">
        <f t="array" ref="D315">_xlfn.LET(_xlpm.p,$A315,_xlfn.IFNA(
  INDEX(tblProjectInfo[InfoValue],
        MATCH(1,(tblProjectInfo[ProjectName]=_xlpm.p)*
                 (UPPER(TRIM(tblProjectInfo[Info]))="PROJECT MANAGERS"),0)
), ""))</f>
        <v/>
      </c>
      <c r="E315" s="147"/>
      <c r="F315" s="147"/>
      <c r="G315" s="147"/>
      <c r="H315" s="162" t="str" cm="1">
        <f t="array" ref="H315">_xlfn.LET(_xlpm.p,$A315,_xlfn.IFNA(
  INDEX(tblProjectInfo[InfoValue],
        MATCH(1,(tblProjectInfo[ProjectName]=_xlpm.p)*
                 ISNUMBER(SEARCH("PHASE",UPPER(tblProjectInfo[Info]))),0)
), ""))</f>
        <v/>
      </c>
      <c r="I315" s="149"/>
      <c r="J315" s="149"/>
      <c r="K315" s="169"/>
      <c r="L315" s="169"/>
      <c r="M315" s="149"/>
      <c r="N315" s="149"/>
      <c r="O315" s="149"/>
      <c r="P315" s="150"/>
      <c r="Q315" s="150"/>
      <c r="R315" s="151"/>
      <c r="S315" s="152"/>
      <c r="T315" s="152"/>
      <c r="U315" s="150"/>
      <c r="V315" s="152"/>
      <c r="W315" s="152"/>
      <c r="X315" s="246"/>
      <c r="Y315" s="106"/>
    </row>
    <row r="316" spans="1:25">
      <c r="A316" t="str" cm="1">
        <f t="array" ref="A31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IFERROR(INDEX(_xlpm.sorted,ROWS(A$2:A316)),"")
)</f>
        <v/>
      </c>
      <c r="B316" s="147" t="str" cm="1">
        <f t="array" ref="B316">_xlfn.LET(_xlpm.p,$A316,_xlfn.IFNA(
  INDEX(tblProjectInfo[InfoValue],
        MATCH(1,(tblProjectInfo[ProjectName]=_xlpm.p)*
                 (UPPER(TRIM(tblProjectInfo[Info]))="PROJECT SIZE (KWP)"),0)
), ""))</f>
        <v/>
      </c>
      <c r="C316" s="147" t="str" cm="1">
        <f t="array" ref="C316">_xlfn.LET(_xlpm.p,$A316,_xlfn.IFNA(
  INDEX(tblProjectInfo[InfoValue],
        MATCH(1,(tblProjectInfo[ProjectName]=_xlpm.p)*
                 (UPPER(TRIM(tblProjectInfo[Info]))="PROJECT DEVELOPER"),0)
), ""))</f>
        <v/>
      </c>
      <c r="D316" s="148" t="str" cm="1">
        <f t="array" ref="D316">_xlfn.LET(_xlpm.p,$A316,_xlfn.IFNA(
  INDEX(tblProjectInfo[InfoValue],
        MATCH(1,(tblProjectInfo[ProjectName]=_xlpm.p)*
                 (UPPER(TRIM(tblProjectInfo[Info]))="PROJECT MANAGERS"),0)
), ""))</f>
        <v/>
      </c>
      <c r="E316" s="147"/>
      <c r="F316" s="147"/>
      <c r="G316" s="147"/>
      <c r="H316" s="162" t="str" cm="1">
        <f t="array" ref="H316">_xlfn.LET(_xlpm.p,$A316,_xlfn.IFNA(
  INDEX(tblProjectInfo[InfoValue],
        MATCH(1,(tblProjectInfo[ProjectName]=_xlpm.p)*
                 ISNUMBER(SEARCH("PHASE",UPPER(tblProjectInfo[Info]))),0)
), ""))</f>
        <v/>
      </c>
      <c r="I316" s="149"/>
      <c r="J316" s="149"/>
      <c r="K316" s="169"/>
      <c r="L316" s="169"/>
      <c r="M316" s="149"/>
      <c r="N316" s="149"/>
      <c r="O316" s="149"/>
      <c r="P316" s="150"/>
      <c r="Q316" s="150"/>
      <c r="R316" s="151"/>
      <c r="S316" s="152"/>
      <c r="T316" s="152"/>
      <c r="U316" s="150"/>
      <c r="V316" s="152"/>
      <c r="W316" s="152"/>
      <c r="X316" s="246"/>
      <c r="Y316" s="106"/>
    </row>
    <row r="317" spans="1:25">
      <c r="A317" t="str" cm="1">
        <f t="array" ref="A31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IFERROR(INDEX(_xlpm.sorted,ROWS(A$2:A317)),"")
)</f>
        <v/>
      </c>
      <c r="B317" s="147" t="str" cm="1">
        <f t="array" ref="B317">_xlfn.LET(_xlpm.p,$A317,_xlfn.IFNA(
  INDEX(tblProjectInfo[InfoValue],
        MATCH(1,(tblProjectInfo[ProjectName]=_xlpm.p)*
                 (UPPER(TRIM(tblProjectInfo[Info]))="PROJECT SIZE (KWP)"),0)
), ""))</f>
        <v/>
      </c>
      <c r="C317" s="147" t="str" cm="1">
        <f t="array" ref="C317">_xlfn.LET(_xlpm.p,$A317,_xlfn.IFNA(
  INDEX(tblProjectInfo[InfoValue],
        MATCH(1,(tblProjectInfo[ProjectName]=_xlpm.p)*
                 (UPPER(TRIM(tblProjectInfo[Info]))="PROJECT DEVELOPER"),0)
), ""))</f>
        <v/>
      </c>
      <c r="D317" s="148" t="str" cm="1">
        <f t="array" ref="D317">_xlfn.LET(_xlpm.p,$A317,_xlfn.IFNA(
  INDEX(tblProjectInfo[InfoValue],
        MATCH(1,(tblProjectInfo[ProjectName]=_xlpm.p)*
                 (UPPER(TRIM(tblProjectInfo[Info]))="PROJECT MANAGERS"),0)
), ""))</f>
        <v/>
      </c>
      <c r="E317" s="147"/>
      <c r="F317" s="147"/>
      <c r="G317" s="147"/>
      <c r="H317" s="162" t="str" cm="1">
        <f t="array" ref="H317">_xlfn.LET(_xlpm.p,$A317,_xlfn.IFNA(
  INDEX(tblProjectInfo[InfoValue],
        MATCH(1,(tblProjectInfo[ProjectName]=_xlpm.p)*
                 ISNUMBER(SEARCH("PHASE",UPPER(tblProjectInfo[Info]))),0)
), ""))</f>
        <v/>
      </c>
      <c r="I317" s="149"/>
      <c r="J317" s="149"/>
      <c r="K317" s="169"/>
      <c r="L317" s="169"/>
      <c r="M317" s="149"/>
      <c r="N317" s="149"/>
      <c r="O317" s="149"/>
      <c r="P317" s="150"/>
      <c r="Q317" s="150"/>
      <c r="R317" s="151"/>
      <c r="S317" s="152"/>
      <c r="T317" s="152"/>
      <c r="U317" s="150"/>
      <c r="V317" s="152"/>
      <c r="W317" s="152"/>
      <c r="X317" s="246"/>
      <c r="Y317" s="106"/>
    </row>
    <row r="318" spans="1:25">
      <c r="A318" t="str" cm="1">
        <f t="array" ref="A31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IFERROR(INDEX(_xlpm.sorted,ROWS(A$2:A318)),"")
)</f>
        <v/>
      </c>
      <c r="B318" s="147" t="str" cm="1">
        <f t="array" ref="B318">_xlfn.LET(_xlpm.p,$A318,_xlfn.IFNA(
  INDEX(tblProjectInfo[InfoValue],
        MATCH(1,(tblProjectInfo[ProjectName]=_xlpm.p)*
                 (UPPER(TRIM(tblProjectInfo[Info]))="PROJECT SIZE (KWP)"),0)
), ""))</f>
        <v/>
      </c>
      <c r="C318" s="147" t="str" cm="1">
        <f t="array" ref="C318">_xlfn.LET(_xlpm.p,$A318,_xlfn.IFNA(
  INDEX(tblProjectInfo[InfoValue],
        MATCH(1,(tblProjectInfo[ProjectName]=_xlpm.p)*
                 (UPPER(TRIM(tblProjectInfo[Info]))="PROJECT DEVELOPER"),0)
), ""))</f>
        <v/>
      </c>
      <c r="D318" s="148" t="str" cm="1">
        <f t="array" ref="D318">_xlfn.LET(_xlpm.p,$A318,_xlfn.IFNA(
  INDEX(tblProjectInfo[InfoValue],
        MATCH(1,(tblProjectInfo[ProjectName]=_xlpm.p)*
                 (UPPER(TRIM(tblProjectInfo[Info]))="PROJECT MANAGERS"),0)
), ""))</f>
        <v/>
      </c>
      <c r="E318" s="147"/>
      <c r="F318" s="147"/>
      <c r="G318" s="147"/>
      <c r="H318" s="162" t="str" cm="1">
        <f t="array" ref="H318">_xlfn.LET(_xlpm.p,$A318,_xlfn.IFNA(
  INDEX(tblProjectInfo[InfoValue],
        MATCH(1,(tblProjectInfo[ProjectName]=_xlpm.p)*
                 ISNUMBER(SEARCH("PHASE",UPPER(tblProjectInfo[Info]))),0)
), ""))</f>
        <v/>
      </c>
      <c r="I318" s="149"/>
      <c r="J318" s="149"/>
      <c r="K318" s="169"/>
      <c r="L318" s="169"/>
      <c r="M318" s="149"/>
      <c r="N318" s="149"/>
      <c r="O318" s="149"/>
      <c r="P318" s="150"/>
      <c r="Q318" s="150"/>
      <c r="R318" s="151"/>
      <c r="S318" s="152"/>
      <c r="T318" s="152"/>
      <c r="U318" s="150"/>
      <c r="V318" s="152"/>
      <c r="W318" s="152"/>
      <c r="X318" s="246"/>
      <c r="Y318" s="106"/>
    </row>
    <row r="319" spans="1:25">
      <c r="A319" t="str" cm="1">
        <f t="array" ref="A31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IFERROR(INDEX(_xlpm.sorted,ROWS(A$2:A319)),"")
)</f>
        <v/>
      </c>
      <c r="B319" s="147" t="str" cm="1">
        <f t="array" ref="B319">_xlfn.LET(_xlpm.p,$A319,_xlfn.IFNA(
  INDEX(tblProjectInfo[InfoValue],
        MATCH(1,(tblProjectInfo[ProjectName]=_xlpm.p)*
                 (UPPER(TRIM(tblProjectInfo[Info]))="PROJECT SIZE (KWP)"),0)
), ""))</f>
        <v/>
      </c>
      <c r="C319" s="147" t="str" cm="1">
        <f t="array" ref="C319">_xlfn.LET(_xlpm.p,$A319,_xlfn.IFNA(
  INDEX(tblProjectInfo[InfoValue],
        MATCH(1,(tblProjectInfo[ProjectName]=_xlpm.p)*
                 (UPPER(TRIM(tblProjectInfo[Info]))="PROJECT DEVELOPER"),0)
), ""))</f>
        <v/>
      </c>
      <c r="D319" s="148" t="str" cm="1">
        <f t="array" ref="D319">_xlfn.LET(_xlpm.p,$A319,_xlfn.IFNA(
  INDEX(tblProjectInfo[InfoValue],
        MATCH(1,(tblProjectInfo[ProjectName]=_xlpm.p)*
                 (UPPER(TRIM(tblProjectInfo[Info]))="PROJECT MANAGERS"),0)
), ""))</f>
        <v/>
      </c>
      <c r="E319" s="147"/>
      <c r="F319" s="147"/>
      <c r="G319" s="147"/>
      <c r="H319" s="162" t="str" cm="1">
        <f t="array" ref="H319">_xlfn.LET(_xlpm.p,$A319,_xlfn.IFNA(
  INDEX(tblProjectInfo[InfoValue],
        MATCH(1,(tblProjectInfo[ProjectName]=_xlpm.p)*
                 ISNUMBER(SEARCH("PHASE",UPPER(tblProjectInfo[Info]))),0)
), ""))</f>
        <v/>
      </c>
      <c r="I319" s="149"/>
      <c r="J319" s="149"/>
      <c r="K319" s="169"/>
      <c r="L319" s="169"/>
      <c r="M319" s="149"/>
      <c r="N319" s="149"/>
      <c r="O319" s="149"/>
      <c r="P319" s="150"/>
      <c r="Q319" s="150"/>
      <c r="R319" s="151"/>
      <c r="S319" s="152"/>
      <c r="T319" s="152"/>
      <c r="U319" s="150"/>
      <c r="V319" s="152"/>
      <c r="W319" s="152"/>
      <c r="X319" s="246"/>
      <c r="Y319" s="106"/>
    </row>
    <row r="320" spans="1:25">
      <c r="A320" t="str" cm="1">
        <f t="array" ref="A32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IFERROR(INDEX(_xlpm.sorted,ROWS(A$2:A320)),"")
)</f>
        <v/>
      </c>
      <c r="B320" s="147" t="str" cm="1">
        <f t="array" ref="B320">_xlfn.LET(_xlpm.p,$A320,_xlfn.IFNA(
  INDEX(tblProjectInfo[InfoValue],
        MATCH(1,(tblProjectInfo[ProjectName]=_xlpm.p)*
                 (UPPER(TRIM(tblProjectInfo[Info]))="PROJECT SIZE (KWP)"),0)
), ""))</f>
        <v/>
      </c>
      <c r="C320" s="147" t="str" cm="1">
        <f t="array" ref="C320">_xlfn.LET(_xlpm.p,$A320,_xlfn.IFNA(
  INDEX(tblProjectInfo[InfoValue],
        MATCH(1,(tblProjectInfo[ProjectName]=_xlpm.p)*
                 (UPPER(TRIM(tblProjectInfo[Info]))="PROJECT DEVELOPER"),0)
), ""))</f>
        <v/>
      </c>
      <c r="D320" s="148" t="str" cm="1">
        <f t="array" ref="D320">_xlfn.LET(_xlpm.p,$A320,_xlfn.IFNA(
  INDEX(tblProjectInfo[InfoValue],
        MATCH(1,(tblProjectInfo[ProjectName]=_xlpm.p)*
                 (UPPER(TRIM(tblProjectInfo[Info]))="PROJECT MANAGERS"),0)
), ""))</f>
        <v/>
      </c>
      <c r="E320" s="147"/>
      <c r="F320" s="147"/>
      <c r="G320" s="147"/>
      <c r="H320" s="162" t="str" cm="1">
        <f t="array" ref="H320">_xlfn.LET(_xlpm.p,$A320,_xlfn.IFNA(
  INDEX(tblProjectInfo[InfoValue],
        MATCH(1,(tblProjectInfo[ProjectName]=_xlpm.p)*
                 ISNUMBER(SEARCH("PHASE",UPPER(tblProjectInfo[Info]))),0)
), ""))</f>
        <v/>
      </c>
      <c r="I320" s="149"/>
      <c r="J320" s="149"/>
      <c r="K320" s="169"/>
      <c r="L320" s="169"/>
      <c r="M320" s="149"/>
      <c r="N320" s="149"/>
      <c r="O320" s="149"/>
      <c r="P320" s="150"/>
      <c r="Q320" s="150"/>
      <c r="R320" s="151"/>
      <c r="S320" s="152"/>
      <c r="T320" s="152"/>
      <c r="U320" s="150"/>
      <c r="V320" s="152"/>
      <c r="W320" s="152"/>
      <c r="X320" s="246"/>
      <c r="Y320" s="106"/>
    </row>
    <row r="321" spans="1:25">
      <c r="A321" t="str" cm="1">
        <f t="array" ref="A32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IFERROR(INDEX(_xlpm.sorted,ROWS(A$2:A321)),"")
)</f>
        <v/>
      </c>
      <c r="B321" s="147" t="str" cm="1">
        <f t="array" ref="B321">_xlfn.LET(_xlpm.p,$A321,_xlfn.IFNA(
  INDEX(tblProjectInfo[InfoValue],
        MATCH(1,(tblProjectInfo[ProjectName]=_xlpm.p)*
                 (UPPER(TRIM(tblProjectInfo[Info]))="PROJECT SIZE (KWP)"),0)
), ""))</f>
        <v/>
      </c>
      <c r="C321" s="147" t="str" cm="1">
        <f t="array" ref="C321">_xlfn.LET(_xlpm.p,$A321,_xlfn.IFNA(
  INDEX(tblProjectInfo[InfoValue],
        MATCH(1,(tblProjectInfo[ProjectName]=_xlpm.p)*
                 (UPPER(TRIM(tblProjectInfo[Info]))="PROJECT DEVELOPER"),0)
), ""))</f>
        <v/>
      </c>
      <c r="D321" s="148" t="str" cm="1">
        <f t="array" ref="D321">_xlfn.LET(_xlpm.p,$A321,_xlfn.IFNA(
  INDEX(tblProjectInfo[InfoValue],
        MATCH(1,(tblProjectInfo[ProjectName]=_xlpm.p)*
                 (UPPER(TRIM(tblProjectInfo[Info]))="PROJECT MANAGERS"),0)
), ""))</f>
        <v/>
      </c>
      <c r="E321" s="147"/>
      <c r="F321" s="147"/>
      <c r="G321" s="147"/>
      <c r="H321" s="162" t="str" cm="1">
        <f t="array" ref="H321">_xlfn.LET(_xlpm.p,$A321,_xlfn.IFNA(
  INDEX(tblProjectInfo[InfoValue],
        MATCH(1,(tblProjectInfo[ProjectName]=_xlpm.p)*
                 ISNUMBER(SEARCH("PHASE",UPPER(tblProjectInfo[Info]))),0)
), ""))</f>
        <v/>
      </c>
      <c r="I321" s="149"/>
      <c r="J321" s="149"/>
      <c r="K321" s="169"/>
      <c r="L321" s="169"/>
      <c r="M321" s="149"/>
      <c r="N321" s="149"/>
      <c r="O321" s="149"/>
      <c r="P321" s="150"/>
      <c r="Q321" s="150"/>
      <c r="R321" s="151"/>
      <c r="S321" s="152"/>
      <c r="T321" s="152"/>
      <c r="U321" s="150"/>
      <c r="V321" s="152"/>
      <c r="W321" s="152"/>
      <c r="X321" s="246"/>
      <c r="Y321" s="106"/>
    </row>
    <row r="322" spans="1:25">
      <c r="A322" t="str" cm="1">
        <f t="array" ref="A32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IFERROR(INDEX(_xlpm.sorted,ROWS(A$2:A322)),"")
)</f>
        <v/>
      </c>
      <c r="B322" s="147" t="str" cm="1">
        <f t="array" ref="B322">_xlfn.LET(_xlpm.p,$A322,_xlfn.IFNA(
  INDEX(tblProjectInfo[InfoValue],
        MATCH(1,(tblProjectInfo[ProjectName]=_xlpm.p)*
                 (UPPER(TRIM(tblProjectInfo[Info]))="PROJECT SIZE (KWP)"),0)
), ""))</f>
        <v/>
      </c>
      <c r="C322" s="147" t="str" cm="1">
        <f t="array" ref="C322">_xlfn.LET(_xlpm.p,$A322,_xlfn.IFNA(
  INDEX(tblProjectInfo[InfoValue],
        MATCH(1,(tblProjectInfo[ProjectName]=_xlpm.p)*
                 (UPPER(TRIM(tblProjectInfo[Info]))="PROJECT DEVELOPER"),0)
), ""))</f>
        <v/>
      </c>
      <c r="D322" s="148" t="str" cm="1">
        <f t="array" ref="D322">_xlfn.LET(_xlpm.p,$A322,_xlfn.IFNA(
  INDEX(tblProjectInfo[InfoValue],
        MATCH(1,(tblProjectInfo[ProjectName]=_xlpm.p)*
                 (UPPER(TRIM(tblProjectInfo[Info]))="PROJECT MANAGERS"),0)
), ""))</f>
        <v/>
      </c>
      <c r="E322" s="147"/>
      <c r="F322" s="147"/>
      <c r="G322" s="147"/>
      <c r="H322" s="162" t="str" cm="1">
        <f t="array" ref="H322">_xlfn.LET(_xlpm.p,$A322,_xlfn.IFNA(
  INDEX(tblProjectInfo[InfoValue],
        MATCH(1,(tblProjectInfo[ProjectName]=_xlpm.p)*
                 ISNUMBER(SEARCH("PHASE",UPPER(tblProjectInfo[Info]))),0)
), ""))</f>
        <v/>
      </c>
      <c r="I322" s="149"/>
      <c r="J322" s="149"/>
      <c r="K322" s="169"/>
      <c r="L322" s="169"/>
      <c r="M322" s="149"/>
      <c r="N322" s="149"/>
      <c r="O322" s="149"/>
      <c r="P322" s="150"/>
      <c r="Q322" s="150"/>
      <c r="R322" s="151"/>
      <c r="S322" s="152"/>
      <c r="T322" s="152"/>
      <c r="U322" s="150"/>
      <c r="V322" s="152"/>
      <c r="W322" s="152"/>
      <c r="X322" s="246"/>
      <c r="Y322" s="106"/>
    </row>
    <row r="323" spans="1:25">
      <c r="A323" t="str" cm="1">
        <f t="array" ref="A32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IFERROR(INDEX(_xlpm.sorted,ROWS(A$2:A323)),"")
)</f>
        <v/>
      </c>
      <c r="B323" s="147" t="str" cm="1">
        <f t="array" ref="B323">_xlfn.LET(_xlpm.p,$A323,_xlfn.IFNA(
  INDEX(tblProjectInfo[InfoValue],
        MATCH(1,(tblProjectInfo[ProjectName]=_xlpm.p)*
                 (UPPER(TRIM(tblProjectInfo[Info]))="PROJECT SIZE (KWP)"),0)
), ""))</f>
        <v/>
      </c>
      <c r="C323" s="147" t="str" cm="1">
        <f t="array" ref="C323">_xlfn.LET(_xlpm.p,$A323,_xlfn.IFNA(
  INDEX(tblProjectInfo[InfoValue],
        MATCH(1,(tblProjectInfo[ProjectName]=_xlpm.p)*
                 (UPPER(TRIM(tblProjectInfo[Info]))="PROJECT DEVELOPER"),0)
), ""))</f>
        <v/>
      </c>
      <c r="D323" s="148" t="str" cm="1">
        <f t="array" ref="D323">_xlfn.LET(_xlpm.p,$A323,_xlfn.IFNA(
  INDEX(tblProjectInfo[InfoValue],
        MATCH(1,(tblProjectInfo[ProjectName]=_xlpm.p)*
                 (UPPER(TRIM(tblProjectInfo[Info]))="PROJECT MANAGERS"),0)
), ""))</f>
        <v/>
      </c>
      <c r="E323" s="147"/>
      <c r="F323" s="147"/>
      <c r="G323" s="147"/>
      <c r="H323" s="162" t="str" cm="1">
        <f t="array" ref="H323">_xlfn.LET(_xlpm.p,$A323,_xlfn.IFNA(
  INDEX(tblProjectInfo[InfoValue],
        MATCH(1,(tblProjectInfo[ProjectName]=_xlpm.p)*
                 ISNUMBER(SEARCH("PHASE",UPPER(tblProjectInfo[Info]))),0)
), ""))</f>
        <v/>
      </c>
      <c r="I323" s="149"/>
      <c r="J323" s="149"/>
      <c r="K323" s="169"/>
      <c r="L323" s="169"/>
      <c r="M323" s="149"/>
      <c r="N323" s="149"/>
      <c r="O323" s="149"/>
      <c r="P323" s="150"/>
      <c r="Q323" s="150"/>
      <c r="R323" s="151"/>
      <c r="S323" s="152"/>
      <c r="T323" s="152"/>
      <c r="U323" s="150"/>
      <c r="V323" s="152"/>
      <c r="W323" s="152"/>
      <c r="X323" s="246"/>
      <c r="Y323" s="106"/>
    </row>
    <row r="324" spans="1:25">
      <c r="A324" t="str" cm="1">
        <f t="array" ref="A32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IFERROR(INDEX(_xlpm.sorted,ROWS(A$2:A324)),"")
)</f>
        <v/>
      </c>
      <c r="B324" s="147" t="str" cm="1">
        <f t="array" ref="B324">_xlfn.LET(_xlpm.p,$A324,_xlfn.IFNA(
  INDEX(tblProjectInfo[InfoValue],
        MATCH(1,(tblProjectInfo[ProjectName]=_xlpm.p)*
                 (UPPER(TRIM(tblProjectInfo[Info]))="PROJECT SIZE (KWP)"),0)
), ""))</f>
        <v/>
      </c>
      <c r="C324" s="147" t="str" cm="1">
        <f t="array" ref="C324">_xlfn.LET(_xlpm.p,$A324,_xlfn.IFNA(
  INDEX(tblProjectInfo[InfoValue],
        MATCH(1,(tblProjectInfo[ProjectName]=_xlpm.p)*
                 (UPPER(TRIM(tblProjectInfo[Info]))="PROJECT DEVELOPER"),0)
), ""))</f>
        <v/>
      </c>
      <c r="D324" s="148" t="str" cm="1">
        <f t="array" ref="D324">_xlfn.LET(_xlpm.p,$A324,_xlfn.IFNA(
  INDEX(tblProjectInfo[InfoValue],
        MATCH(1,(tblProjectInfo[ProjectName]=_xlpm.p)*
                 (UPPER(TRIM(tblProjectInfo[Info]))="PROJECT MANAGERS"),0)
), ""))</f>
        <v/>
      </c>
      <c r="E324" s="147"/>
      <c r="F324" s="147"/>
      <c r="G324" s="147"/>
      <c r="H324" s="162" t="str" cm="1">
        <f t="array" ref="H324">_xlfn.LET(_xlpm.p,$A324,_xlfn.IFNA(
  INDEX(tblProjectInfo[InfoValue],
        MATCH(1,(tblProjectInfo[ProjectName]=_xlpm.p)*
                 ISNUMBER(SEARCH("PHASE",UPPER(tblProjectInfo[Info]))),0)
), ""))</f>
        <v/>
      </c>
      <c r="I324" s="149"/>
      <c r="J324" s="149"/>
      <c r="K324" s="169"/>
      <c r="L324" s="169"/>
      <c r="M324" s="149"/>
      <c r="N324" s="149"/>
      <c r="O324" s="149"/>
      <c r="P324" s="150"/>
      <c r="Q324" s="150"/>
      <c r="R324" s="151"/>
      <c r="S324" s="152"/>
      <c r="T324" s="152"/>
      <c r="U324" s="150"/>
      <c r="V324" s="152"/>
      <c r="W324" s="152"/>
      <c r="X324" s="246"/>
      <c r="Y324" s="106"/>
    </row>
    <row r="325" spans="1:25">
      <c r="A325" t="str" cm="1">
        <f t="array" ref="A32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IFERROR(INDEX(_xlpm.sorted,ROWS(A$2:A325)),"")
)</f>
        <v/>
      </c>
      <c r="B325" s="147" t="str" cm="1">
        <f t="array" ref="B325">_xlfn.LET(_xlpm.p,$A325,_xlfn.IFNA(
  INDEX(tblProjectInfo[InfoValue],
        MATCH(1,(tblProjectInfo[ProjectName]=_xlpm.p)*
                 (UPPER(TRIM(tblProjectInfo[Info]))="PROJECT SIZE (KWP)"),0)
), ""))</f>
        <v/>
      </c>
      <c r="C325" s="147" t="str" cm="1">
        <f t="array" ref="C325">_xlfn.LET(_xlpm.p,$A325,_xlfn.IFNA(
  INDEX(tblProjectInfo[InfoValue],
        MATCH(1,(tblProjectInfo[ProjectName]=_xlpm.p)*
                 (UPPER(TRIM(tblProjectInfo[Info]))="PROJECT DEVELOPER"),0)
), ""))</f>
        <v/>
      </c>
      <c r="D325" s="148" t="str" cm="1">
        <f t="array" ref="D325">_xlfn.LET(_xlpm.p,$A325,_xlfn.IFNA(
  INDEX(tblProjectInfo[InfoValue],
        MATCH(1,(tblProjectInfo[ProjectName]=_xlpm.p)*
                 (UPPER(TRIM(tblProjectInfo[Info]))="PROJECT MANAGERS"),0)
), ""))</f>
        <v/>
      </c>
      <c r="E325" s="147"/>
      <c r="F325" s="147"/>
      <c r="G325" s="147"/>
      <c r="H325" s="162" t="str" cm="1">
        <f t="array" ref="H325">_xlfn.LET(_xlpm.p,$A325,_xlfn.IFNA(
  INDEX(tblProjectInfo[InfoValue],
        MATCH(1,(tblProjectInfo[ProjectName]=_xlpm.p)*
                 ISNUMBER(SEARCH("PHASE",UPPER(tblProjectInfo[Info]))),0)
), ""))</f>
        <v/>
      </c>
      <c r="I325" s="149"/>
      <c r="J325" s="149"/>
      <c r="K325" s="169"/>
      <c r="L325" s="169"/>
      <c r="M325" s="149"/>
      <c r="N325" s="149"/>
      <c r="O325" s="149"/>
      <c r="P325" s="150"/>
      <c r="Q325" s="150"/>
      <c r="R325" s="151"/>
      <c r="S325" s="152"/>
      <c r="T325" s="152"/>
      <c r="U325" s="150"/>
      <c r="V325" s="152"/>
      <c r="W325" s="152"/>
      <c r="X325" s="246"/>
      <c r="Y325" s="106"/>
    </row>
    <row r="326" spans="1:25">
      <c r="A326" t="str" cm="1">
        <f t="array" ref="A32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IFERROR(INDEX(_xlpm.sorted,ROWS(A$2:A326)),"")
)</f>
        <v/>
      </c>
      <c r="B326" s="147" t="str" cm="1">
        <f t="array" ref="B326">_xlfn.LET(_xlpm.p,$A326,_xlfn.IFNA(
  INDEX(tblProjectInfo[InfoValue],
        MATCH(1,(tblProjectInfo[ProjectName]=_xlpm.p)*
                 (UPPER(TRIM(tblProjectInfo[Info]))="PROJECT SIZE (KWP)"),0)
), ""))</f>
        <v/>
      </c>
      <c r="C326" s="147" t="str" cm="1">
        <f t="array" ref="C326">_xlfn.LET(_xlpm.p,$A326,_xlfn.IFNA(
  INDEX(tblProjectInfo[InfoValue],
        MATCH(1,(tblProjectInfo[ProjectName]=_xlpm.p)*
                 (UPPER(TRIM(tblProjectInfo[Info]))="PROJECT DEVELOPER"),0)
), ""))</f>
        <v/>
      </c>
      <c r="D326" s="148" t="str" cm="1">
        <f t="array" ref="D326">_xlfn.LET(_xlpm.p,$A326,_xlfn.IFNA(
  INDEX(tblProjectInfo[InfoValue],
        MATCH(1,(tblProjectInfo[ProjectName]=_xlpm.p)*
                 (UPPER(TRIM(tblProjectInfo[Info]))="PROJECT MANAGERS"),0)
), ""))</f>
        <v/>
      </c>
      <c r="E326" s="147"/>
      <c r="F326" s="147"/>
      <c r="G326" s="147"/>
      <c r="H326" s="162" t="str" cm="1">
        <f t="array" ref="H326">_xlfn.LET(_xlpm.p,$A326,_xlfn.IFNA(
  INDEX(tblProjectInfo[InfoValue],
        MATCH(1,(tblProjectInfo[ProjectName]=_xlpm.p)*
                 ISNUMBER(SEARCH("PHASE",UPPER(tblProjectInfo[Info]))),0)
), ""))</f>
        <v/>
      </c>
      <c r="I326" s="149"/>
      <c r="J326" s="149"/>
      <c r="K326" s="169"/>
      <c r="L326" s="169"/>
      <c r="M326" s="149"/>
      <c r="N326" s="149"/>
      <c r="O326" s="149"/>
      <c r="P326" s="150"/>
      <c r="Q326" s="150"/>
      <c r="R326" s="151"/>
      <c r="S326" s="152"/>
      <c r="T326" s="152"/>
      <c r="U326" s="150"/>
      <c r="V326" s="152"/>
      <c r="W326" s="152"/>
      <c r="X326" s="246"/>
      <c r="Y326" s="106"/>
    </row>
    <row r="327" spans="1:25">
      <c r="A327" t="str" cm="1">
        <f t="array" ref="A32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IFERROR(INDEX(_xlpm.sorted,ROWS(A$2:A327)),"")
)</f>
        <v/>
      </c>
      <c r="B327" s="147" t="str" cm="1">
        <f t="array" ref="B327">_xlfn.LET(_xlpm.p,$A327,_xlfn.IFNA(
  INDEX(tblProjectInfo[InfoValue],
        MATCH(1,(tblProjectInfo[ProjectName]=_xlpm.p)*
                 (UPPER(TRIM(tblProjectInfo[Info]))="PROJECT SIZE (KWP)"),0)
), ""))</f>
        <v/>
      </c>
      <c r="C327" s="147" t="str" cm="1">
        <f t="array" ref="C327">_xlfn.LET(_xlpm.p,$A327,_xlfn.IFNA(
  INDEX(tblProjectInfo[InfoValue],
        MATCH(1,(tblProjectInfo[ProjectName]=_xlpm.p)*
                 (UPPER(TRIM(tblProjectInfo[Info]))="PROJECT DEVELOPER"),0)
), ""))</f>
        <v/>
      </c>
      <c r="D327" s="148" t="str" cm="1">
        <f t="array" ref="D327">_xlfn.LET(_xlpm.p,$A327,_xlfn.IFNA(
  INDEX(tblProjectInfo[InfoValue],
        MATCH(1,(tblProjectInfo[ProjectName]=_xlpm.p)*
                 (UPPER(TRIM(tblProjectInfo[Info]))="PROJECT MANAGERS"),0)
), ""))</f>
        <v/>
      </c>
      <c r="E327" s="147"/>
      <c r="F327" s="147"/>
      <c r="G327" s="147"/>
      <c r="H327" s="162" t="str" cm="1">
        <f t="array" ref="H327">_xlfn.LET(_xlpm.p,$A327,_xlfn.IFNA(
  INDEX(tblProjectInfo[InfoValue],
        MATCH(1,(tblProjectInfo[ProjectName]=_xlpm.p)*
                 ISNUMBER(SEARCH("PHASE",UPPER(tblProjectInfo[Info]))),0)
), ""))</f>
        <v/>
      </c>
      <c r="I327" s="149"/>
      <c r="J327" s="149"/>
      <c r="K327" s="169"/>
      <c r="L327" s="169"/>
      <c r="M327" s="149"/>
      <c r="N327" s="149"/>
      <c r="O327" s="149"/>
      <c r="P327" s="150"/>
      <c r="Q327" s="150"/>
      <c r="R327" s="151"/>
      <c r="S327" s="152"/>
      <c r="T327" s="152"/>
      <c r="U327" s="150"/>
      <c r="V327" s="152"/>
      <c r="W327" s="152"/>
      <c r="X327" s="246"/>
      <c r="Y327" s="106"/>
    </row>
    <row r="328" spans="1:25">
      <c r="A328" t="str" cm="1">
        <f t="array" ref="A32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IFERROR(INDEX(_xlpm.sorted,ROWS(A$2:A328)),"")
)</f>
        <v/>
      </c>
      <c r="B328" s="147" t="str" cm="1">
        <f t="array" ref="B328">_xlfn.LET(_xlpm.p,$A328,_xlfn.IFNA(
  INDEX(tblProjectInfo[InfoValue],
        MATCH(1,(tblProjectInfo[ProjectName]=_xlpm.p)*
                 (UPPER(TRIM(tblProjectInfo[Info]))="PROJECT SIZE (KWP)"),0)
), ""))</f>
        <v/>
      </c>
      <c r="C328" s="147" t="str" cm="1">
        <f t="array" ref="C328">_xlfn.LET(_xlpm.p,$A328,_xlfn.IFNA(
  INDEX(tblProjectInfo[InfoValue],
        MATCH(1,(tblProjectInfo[ProjectName]=_xlpm.p)*
                 (UPPER(TRIM(tblProjectInfo[Info]))="PROJECT DEVELOPER"),0)
), ""))</f>
        <v/>
      </c>
      <c r="D328" s="148" t="str" cm="1">
        <f t="array" ref="D328">_xlfn.LET(_xlpm.p,$A328,_xlfn.IFNA(
  INDEX(tblProjectInfo[InfoValue],
        MATCH(1,(tblProjectInfo[ProjectName]=_xlpm.p)*
                 (UPPER(TRIM(tblProjectInfo[Info]))="PROJECT MANAGERS"),0)
), ""))</f>
        <v/>
      </c>
      <c r="E328" s="147"/>
      <c r="F328" s="147"/>
      <c r="G328" s="147"/>
      <c r="H328" s="162" t="str" cm="1">
        <f t="array" ref="H328">_xlfn.LET(_xlpm.p,$A328,_xlfn.IFNA(
  INDEX(tblProjectInfo[InfoValue],
        MATCH(1,(tblProjectInfo[ProjectName]=_xlpm.p)*
                 ISNUMBER(SEARCH("PHASE",UPPER(tblProjectInfo[Info]))),0)
), ""))</f>
        <v/>
      </c>
      <c r="I328" s="149"/>
      <c r="J328" s="149"/>
      <c r="K328" s="169"/>
      <c r="L328" s="169"/>
      <c r="M328" s="149"/>
      <c r="N328" s="149"/>
      <c r="O328" s="149"/>
      <c r="P328" s="150"/>
      <c r="Q328" s="150"/>
      <c r="R328" s="151"/>
      <c r="S328" s="152"/>
      <c r="T328" s="152"/>
      <c r="U328" s="150"/>
      <c r="V328" s="152"/>
      <c r="W328" s="152"/>
      <c r="X328" s="246"/>
      <c r="Y328" s="106"/>
    </row>
    <row r="329" spans="1:25">
      <c r="A329" t="str" cm="1">
        <f t="array" ref="A32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IFERROR(INDEX(_xlpm.sorted,ROWS(A$2:A329)),"")
)</f>
        <v/>
      </c>
      <c r="B329" s="147" t="str" cm="1">
        <f t="array" ref="B329">_xlfn.LET(_xlpm.p,$A329,_xlfn.IFNA(
  INDEX(tblProjectInfo[InfoValue],
        MATCH(1,(tblProjectInfo[ProjectName]=_xlpm.p)*
                 (UPPER(TRIM(tblProjectInfo[Info]))="PROJECT SIZE (KWP)"),0)
), ""))</f>
        <v/>
      </c>
      <c r="C329" s="147" t="str" cm="1">
        <f t="array" ref="C329">_xlfn.LET(_xlpm.p,$A329,_xlfn.IFNA(
  INDEX(tblProjectInfo[InfoValue],
        MATCH(1,(tblProjectInfo[ProjectName]=_xlpm.p)*
                 (UPPER(TRIM(tblProjectInfo[Info]))="PROJECT DEVELOPER"),0)
), ""))</f>
        <v/>
      </c>
      <c r="D329" s="148" t="str" cm="1">
        <f t="array" ref="D329">_xlfn.LET(_xlpm.p,$A329,_xlfn.IFNA(
  INDEX(tblProjectInfo[InfoValue],
        MATCH(1,(tblProjectInfo[ProjectName]=_xlpm.p)*
                 (UPPER(TRIM(tblProjectInfo[Info]))="PROJECT MANAGERS"),0)
), ""))</f>
        <v/>
      </c>
      <c r="E329" s="147"/>
      <c r="F329" s="147"/>
      <c r="G329" s="147"/>
      <c r="H329" s="162" t="str" cm="1">
        <f t="array" ref="H329">_xlfn.LET(_xlpm.p,$A329,_xlfn.IFNA(
  INDEX(tblProjectInfo[InfoValue],
        MATCH(1,(tblProjectInfo[ProjectName]=_xlpm.p)*
                 ISNUMBER(SEARCH("PHASE",UPPER(tblProjectInfo[Info]))),0)
), ""))</f>
        <v/>
      </c>
      <c r="I329" s="149"/>
      <c r="J329" s="149"/>
      <c r="K329" s="169"/>
      <c r="L329" s="169"/>
      <c r="M329" s="149"/>
      <c r="N329" s="149"/>
      <c r="O329" s="149"/>
      <c r="P329" s="150"/>
      <c r="Q329" s="150"/>
      <c r="R329" s="151"/>
      <c r="S329" s="152"/>
      <c r="T329" s="152"/>
      <c r="U329" s="150"/>
      <c r="V329" s="152"/>
      <c r="W329" s="152"/>
      <c r="X329" s="246"/>
      <c r="Y329" s="106"/>
    </row>
    <row r="330" spans="1:25">
      <c r="A330" t="str" cm="1">
        <f t="array" ref="A33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IFERROR(INDEX(_xlpm.sorted,ROWS(A$2:A330)),"")
)</f>
        <v/>
      </c>
      <c r="B330" s="147" t="str" cm="1">
        <f t="array" ref="B330">_xlfn.LET(_xlpm.p,$A330,_xlfn.IFNA(
  INDEX(tblProjectInfo[InfoValue],
        MATCH(1,(tblProjectInfo[ProjectName]=_xlpm.p)*
                 (UPPER(TRIM(tblProjectInfo[Info]))="PROJECT SIZE (KWP)"),0)
), ""))</f>
        <v/>
      </c>
      <c r="C330" s="147" t="str" cm="1">
        <f t="array" ref="C330">_xlfn.LET(_xlpm.p,$A330,_xlfn.IFNA(
  INDEX(tblProjectInfo[InfoValue],
        MATCH(1,(tblProjectInfo[ProjectName]=_xlpm.p)*
                 (UPPER(TRIM(tblProjectInfo[Info]))="PROJECT DEVELOPER"),0)
), ""))</f>
        <v/>
      </c>
      <c r="D330" s="148" t="str" cm="1">
        <f t="array" ref="D330">_xlfn.LET(_xlpm.p,$A330,_xlfn.IFNA(
  INDEX(tblProjectInfo[InfoValue],
        MATCH(1,(tblProjectInfo[ProjectName]=_xlpm.p)*
                 (UPPER(TRIM(tblProjectInfo[Info]))="PROJECT MANAGERS"),0)
), ""))</f>
        <v/>
      </c>
      <c r="E330" s="147"/>
      <c r="F330" s="147"/>
      <c r="G330" s="147"/>
      <c r="H330" s="162" t="str" cm="1">
        <f t="array" ref="H330">_xlfn.LET(_xlpm.p,$A330,_xlfn.IFNA(
  INDEX(tblProjectInfo[InfoValue],
        MATCH(1,(tblProjectInfo[ProjectName]=_xlpm.p)*
                 ISNUMBER(SEARCH("PHASE",UPPER(tblProjectInfo[Info]))),0)
), ""))</f>
        <v/>
      </c>
      <c r="I330" s="149"/>
      <c r="J330" s="149"/>
      <c r="K330" s="169"/>
      <c r="L330" s="169"/>
      <c r="M330" s="149"/>
      <c r="N330" s="149"/>
      <c r="O330" s="149"/>
      <c r="P330" s="150"/>
      <c r="Q330" s="150"/>
      <c r="R330" s="151"/>
      <c r="S330" s="152"/>
      <c r="T330" s="152"/>
      <c r="U330" s="150"/>
      <c r="V330" s="152"/>
      <c r="W330" s="152"/>
      <c r="X330" s="246"/>
      <c r="Y330" s="106"/>
    </row>
    <row r="331" spans="1:25">
      <c r="A331" t="str" cm="1">
        <f t="array" ref="A33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IFERROR(INDEX(_xlpm.sorted,ROWS(A$2:A331)),"")
)</f>
        <v/>
      </c>
      <c r="B331" s="147" t="str" cm="1">
        <f t="array" ref="B331">_xlfn.LET(_xlpm.p,$A331,_xlfn.IFNA(
  INDEX(tblProjectInfo[InfoValue],
        MATCH(1,(tblProjectInfo[ProjectName]=_xlpm.p)*
                 (UPPER(TRIM(tblProjectInfo[Info]))="PROJECT SIZE (KWP)"),0)
), ""))</f>
        <v/>
      </c>
      <c r="C331" s="147" t="str" cm="1">
        <f t="array" ref="C331">_xlfn.LET(_xlpm.p,$A331,_xlfn.IFNA(
  INDEX(tblProjectInfo[InfoValue],
        MATCH(1,(tblProjectInfo[ProjectName]=_xlpm.p)*
                 (UPPER(TRIM(tblProjectInfo[Info]))="PROJECT DEVELOPER"),0)
), ""))</f>
        <v/>
      </c>
      <c r="D331" s="148" t="str" cm="1">
        <f t="array" ref="D331">_xlfn.LET(_xlpm.p,$A331,_xlfn.IFNA(
  INDEX(tblProjectInfo[InfoValue],
        MATCH(1,(tblProjectInfo[ProjectName]=_xlpm.p)*
                 (UPPER(TRIM(tblProjectInfo[Info]))="PROJECT MANAGERS"),0)
), ""))</f>
        <v/>
      </c>
      <c r="E331" s="147"/>
      <c r="F331" s="147"/>
      <c r="G331" s="147"/>
      <c r="H331" s="162" t="str" cm="1">
        <f t="array" ref="H331">_xlfn.LET(_xlpm.p,$A331,_xlfn.IFNA(
  INDEX(tblProjectInfo[InfoValue],
        MATCH(1,(tblProjectInfo[ProjectName]=_xlpm.p)*
                 ISNUMBER(SEARCH("PHASE",UPPER(tblProjectInfo[Info]))),0)
), ""))</f>
        <v/>
      </c>
      <c r="I331" s="149"/>
      <c r="J331" s="149"/>
      <c r="K331" s="169"/>
      <c r="L331" s="169"/>
      <c r="M331" s="149"/>
      <c r="N331" s="149"/>
      <c r="O331" s="149"/>
      <c r="P331" s="150"/>
      <c r="Q331" s="150"/>
      <c r="R331" s="151"/>
      <c r="S331" s="152"/>
      <c r="T331" s="152"/>
      <c r="U331" s="150"/>
      <c r="V331" s="152"/>
      <c r="W331" s="152"/>
      <c r="X331" s="246"/>
      <c r="Y331" s="106"/>
    </row>
    <row r="332" spans="1:25">
      <c r="A332" t="str" cm="1">
        <f t="array" ref="A33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IFERROR(INDEX(_xlpm.sorted,ROWS(A$2:A332)),"")
)</f>
        <v/>
      </c>
      <c r="B332" s="147" t="str" cm="1">
        <f t="array" ref="B332">_xlfn.LET(_xlpm.p,$A332,_xlfn.IFNA(
  INDEX(tblProjectInfo[InfoValue],
        MATCH(1,(tblProjectInfo[ProjectName]=_xlpm.p)*
                 (UPPER(TRIM(tblProjectInfo[Info]))="PROJECT SIZE (KWP)"),0)
), ""))</f>
        <v/>
      </c>
      <c r="C332" s="147" t="str" cm="1">
        <f t="array" ref="C332">_xlfn.LET(_xlpm.p,$A332,_xlfn.IFNA(
  INDEX(tblProjectInfo[InfoValue],
        MATCH(1,(tblProjectInfo[ProjectName]=_xlpm.p)*
                 (UPPER(TRIM(tblProjectInfo[Info]))="PROJECT DEVELOPER"),0)
), ""))</f>
        <v/>
      </c>
      <c r="D332" s="148" t="str" cm="1">
        <f t="array" ref="D332">_xlfn.LET(_xlpm.p,$A332,_xlfn.IFNA(
  INDEX(tblProjectInfo[InfoValue],
        MATCH(1,(tblProjectInfo[ProjectName]=_xlpm.p)*
                 (UPPER(TRIM(tblProjectInfo[Info]))="PROJECT MANAGERS"),0)
), ""))</f>
        <v/>
      </c>
      <c r="E332" s="147"/>
      <c r="F332" s="147"/>
      <c r="G332" s="147"/>
      <c r="H332" s="162" t="str" cm="1">
        <f t="array" ref="H332">_xlfn.LET(_xlpm.p,$A332,_xlfn.IFNA(
  INDEX(tblProjectInfo[InfoValue],
        MATCH(1,(tblProjectInfo[ProjectName]=_xlpm.p)*
                 ISNUMBER(SEARCH("PHASE",UPPER(tblProjectInfo[Info]))),0)
), ""))</f>
        <v/>
      </c>
      <c r="I332" s="149"/>
      <c r="J332" s="149"/>
      <c r="K332" s="169"/>
      <c r="L332" s="169"/>
      <c r="M332" s="149"/>
      <c r="N332" s="149"/>
      <c r="O332" s="149"/>
      <c r="P332" s="150"/>
      <c r="Q332" s="150"/>
      <c r="R332" s="151"/>
      <c r="S332" s="152"/>
      <c r="T332" s="152"/>
      <c r="U332" s="150"/>
      <c r="V332" s="152"/>
      <c r="W332" s="152"/>
      <c r="X332" s="246"/>
      <c r="Y332" s="106"/>
    </row>
    <row r="333" spans="1:25">
      <c r="A333" t="str" cm="1">
        <f t="array" ref="A33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IFERROR(INDEX(_xlpm.sorted,ROWS(A$2:A333)),"")
)</f>
        <v/>
      </c>
      <c r="B333" s="147" t="str" cm="1">
        <f t="array" ref="B333">_xlfn.LET(_xlpm.p,$A333,_xlfn.IFNA(
  INDEX(tblProjectInfo[InfoValue],
        MATCH(1,(tblProjectInfo[ProjectName]=_xlpm.p)*
                 (UPPER(TRIM(tblProjectInfo[Info]))="PROJECT SIZE (KWP)"),0)
), ""))</f>
        <v/>
      </c>
      <c r="C333" s="147" t="str" cm="1">
        <f t="array" ref="C333">_xlfn.LET(_xlpm.p,$A333,_xlfn.IFNA(
  INDEX(tblProjectInfo[InfoValue],
        MATCH(1,(tblProjectInfo[ProjectName]=_xlpm.p)*
                 (UPPER(TRIM(tblProjectInfo[Info]))="PROJECT DEVELOPER"),0)
), ""))</f>
        <v/>
      </c>
      <c r="D333" s="148" t="str" cm="1">
        <f t="array" ref="D333">_xlfn.LET(_xlpm.p,$A333,_xlfn.IFNA(
  INDEX(tblProjectInfo[InfoValue],
        MATCH(1,(tblProjectInfo[ProjectName]=_xlpm.p)*
                 (UPPER(TRIM(tblProjectInfo[Info]))="PROJECT MANAGERS"),0)
), ""))</f>
        <v/>
      </c>
      <c r="E333" s="147"/>
      <c r="F333" s="147"/>
      <c r="G333" s="147"/>
      <c r="H333" s="162" t="str" cm="1">
        <f t="array" ref="H333">_xlfn.LET(_xlpm.p,$A333,_xlfn.IFNA(
  INDEX(tblProjectInfo[InfoValue],
        MATCH(1,(tblProjectInfo[ProjectName]=_xlpm.p)*
                 ISNUMBER(SEARCH("PHASE",UPPER(tblProjectInfo[Info]))),0)
), ""))</f>
        <v/>
      </c>
      <c r="I333" s="149"/>
      <c r="J333" s="149"/>
      <c r="K333" s="169"/>
      <c r="L333" s="169"/>
      <c r="M333" s="149"/>
      <c r="N333" s="149"/>
      <c r="O333" s="149"/>
      <c r="P333" s="150"/>
      <c r="Q333" s="150"/>
      <c r="R333" s="151"/>
      <c r="S333" s="152"/>
      <c r="T333" s="152"/>
      <c r="U333" s="150"/>
      <c r="V333" s="152"/>
      <c r="W333" s="152"/>
      <c r="X333" s="246"/>
      <c r="Y333" s="106"/>
    </row>
    <row r="334" spans="1:25">
      <c r="A334" t="str" cm="1">
        <f t="array" ref="A33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IFERROR(INDEX(_xlpm.sorted,ROWS(A$2:A334)),"")
)</f>
        <v/>
      </c>
      <c r="B334" s="147" t="str" cm="1">
        <f t="array" ref="B334">_xlfn.LET(_xlpm.p,$A334,_xlfn.IFNA(
  INDEX(tblProjectInfo[InfoValue],
        MATCH(1,(tblProjectInfo[ProjectName]=_xlpm.p)*
                 (UPPER(TRIM(tblProjectInfo[Info]))="PROJECT SIZE (KWP)"),0)
), ""))</f>
        <v/>
      </c>
      <c r="C334" s="147" t="str" cm="1">
        <f t="array" ref="C334">_xlfn.LET(_xlpm.p,$A334,_xlfn.IFNA(
  INDEX(tblProjectInfo[InfoValue],
        MATCH(1,(tblProjectInfo[ProjectName]=_xlpm.p)*
                 (UPPER(TRIM(tblProjectInfo[Info]))="PROJECT DEVELOPER"),0)
), ""))</f>
        <v/>
      </c>
      <c r="D334" s="148" t="str" cm="1">
        <f t="array" ref="D334">_xlfn.LET(_xlpm.p,$A334,_xlfn.IFNA(
  INDEX(tblProjectInfo[InfoValue],
        MATCH(1,(tblProjectInfo[ProjectName]=_xlpm.p)*
                 (UPPER(TRIM(tblProjectInfo[Info]))="PROJECT MANAGERS"),0)
), ""))</f>
        <v/>
      </c>
      <c r="E334" s="147"/>
      <c r="F334" s="147"/>
      <c r="G334" s="147"/>
      <c r="H334" s="162" t="str" cm="1">
        <f t="array" ref="H334">_xlfn.LET(_xlpm.p,$A334,_xlfn.IFNA(
  INDEX(tblProjectInfo[InfoValue],
        MATCH(1,(tblProjectInfo[ProjectName]=_xlpm.p)*
                 ISNUMBER(SEARCH("PHASE",UPPER(tblProjectInfo[Info]))),0)
), ""))</f>
        <v/>
      </c>
      <c r="I334" s="149"/>
      <c r="J334" s="149"/>
      <c r="K334" s="169"/>
      <c r="L334" s="169"/>
      <c r="M334" s="149"/>
      <c r="N334" s="149"/>
      <c r="O334" s="149"/>
      <c r="P334" s="150"/>
      <c r="Q334" s="150"/>
      <c r="R334" s="151"/>
      <c r="S334" s="152"/>
      <c r="T334" s="152"/>
      <c r="U334" s="150"/>
      <c r="V334" s="152"/>
      <c r="W334" s="152"/>
      <c r="X334" s="246"/>
      <c r="Y334" s="106"/>
    </row>
    <row r="335" spans="1:25">
      <c r="A335" t="str" cm="1">
        <f t="array" ref="A33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IFERROR(INDEX(_xlpm.sorted,ROWS(A$2:A335)),"")
)</f>
        <v/>
      </c>
      <c r="B335" s="147" t="str" cm="1">
        <f t="array" ref="B335">_xlfn.LET(_xlpm.p,$A335,_xlfn.IFNA(
  INDEX(tblProjectInfo[InfoValue],
        MATCH(1,(tblProjectInfo[ProjectName]=_xlpm.p)*
                 (UPPER(TRIM(tblProjectInfo[Info]))="PROJECT SIZE (KWP)"),0)
), ""))</f>
        <v/>
      </c>
      <c r="C335" s="147" t="str" cm="1">
        <f t="array" ref="C335">_xlfn.LET(_xlpm.p,$A335,_xlfn.IFNA(
  INDEX(tblProjectInfo[InfoValue],
        MATCH(1,(tblProjectInfo[ProjectName]=_xlpm.p)*
                 (UPPER(TRIM(tblProjectInfo[Info]))="PROJECT DEVELOPER"),0)
), ""))</f>
        <v/>
      </c>
      <c r="D335" s="148" t="str" cm="1">
        <f t="array" ref="D335">_xlfn.LET(_xlpm.p,$A335,_xlfn.IFNA(
  INDEX(tblProjectInfo[InfoValue],
        MATCH(1,(tblProjectInfo[ProjectName]=_xlpm.p)*
                 (UPPER(TRIM(tblProjectInfo[Info]))="PROJECT MANAGERS"),0)
), ""))</f>
        <v/>
      </c>
      <c r="E335" s="147"/>
      <c r="F335" s="147"/>
      <c r="G335" s="147"/>
      <c r="H335" s="162" t="str" cm="1">
        <f t="array" ref="H335">_xlfn.LET(_xlpm.p,$A335,_xlfn.IFNA(
  INDEX(tblProjectInfo[InfoValue],
        MATCH(1,(tblProjectInfo[ProjectName]=_xlpm.p)*
                 ISNUMBER(SEARCH("PHASE",UPPER(tblProjectInfo[Info]))),0)
), ""))</f>
        <v/>
      </c>
      <c r="I335" s="149"/>
      <c r="J335" s="149"/>
      <c r="K335" s="169"/>
      <c r="L335" s="169"/>
      <c r="M335" s="149"/>
      <c r="N335" s="149"/>
      <c r="O335" s="149"/>
      <c r="P335" s="150"/>
      <c r="Q335" s="150"/>
      <c r="R335" s="151"/>
      <c r="S335" s="152"/>
      <c r="T335" s="152"/>
      <c r="U335" s="150"/>
      <c r="V335" s="152"/>
      <c r="W335" s="152"/>
      <c r="X335" s="246"/>
      <c r="Y335" s="106"/>
    </row>
    <row r="336" spans="1:25">
      <c r="A336" t="str" cm="1">
        <f t="array" ref="A33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IFERROR(INDEX(_xlpm.sorted,ROWS(A$2:A336)),"")
)</f>
        <v/>
      </c>
      <c r="B336" s="147" t="str" cm="1">
        <f t="array" ref="B336">_xlfn.LET(_xlpm.p,$A336,_xlfn.IFNA(
  INDEX(tblProjectInfo[InfoValue],
        MATCH(1,(tblProjectInfo[ProjectName]=_xlpm.p)*
                 (UPPER(TRIM(tblProjectInfo[Info]))="PROJECT SIZE (KWP)"),0)
), ""))</f>
        <v/>
      </c>
      <c r="C336" s="147" t="str" cm="1">
        <f t="array" ref="C336">_xlfn.LET(_xlpm.p,$A336,_xlfn.IFNA(
  INDEX(tblProjectInfo[InfoValue],
        MATCH(1,(tblProjectInfo[ProjectName]=_xlpm.p)*
                 (UPPER(TRIM(tblProjectInfo[Info]))="PROJECT DEVELOPER"),0)
), ""))</f>
        <v/>
      </c>
      <c r="D336" s="148" t="str" cm="1">
        <f t="array" ref="D336">_xlfn.LET(_xlpm.p,$A336,_xlfn.IFNA(
  INDEX(tblProjectInfo[InfoValue],
        MATCH(1,(tblProjectInfo[ProjectName]=_xlpm.p)*
                 (UPPER(TRIM(tblProjectInfo[Info]))="PROJECT MANAGERS"),0)
), ""))</f>
        <v/>
      </c>
      <c r="E336" s="147"/>
      <c r="F336" s="147"/>
      <c r="G336" s="147"/>
      <c r="H336" s="162" t="str" cm="1">
        <f t="array" ref="H336">_xlfn.LET(_xlpm.p,$A336,_xlfn.IFNA(
  INDEX(tblProjectInfo[InfoValue],
        MATCH(1,(tblProjectInfo[ProjectName]=_xlpm.p)*
                 ISNUMBER(SEARCH("PHASE",UPPER(tblProjectInfo[Info]))),0)
), ""))</f>
        <v/>
      </c>
      <c r="I336" s="149"/>
      <c r="J336" s="149"/>
      <c r="K336" s="169"/>
      <c r="L336" s="169"/>
      <c r="M336" s="149"/>
      <c r="N336" s="149"/>
      <c r="O336" s="149"/>
      <c r="P336" s="150"/>
      <c r="Q336" s="150"/>
      <c r="R336" s="151"/>
      <c r="S336" s="152"/>
      <c r="T336" s="152"/>
      <c r="U336" s="150"/>
      <c r="V336" s="152"/>
      <c r="W336" s="152"/>
      <c r="X336" s="246"/>
      <c r="Y336" s="106"/>
    </row>
    <row r="337" spans="1:25">
      <c r="A337" t="str" cm="1">
        <f t="array" ref="A33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IFERROR(INDEX(_xlpm.sorted,ROWS(A$2:A337)),"")
)</f>
        <v/>
      </c>
      <c r="B337" s="147" t="str" cm="1">
        <f t="array" ref="B337">_xlfn.LET(_xlpm.p,$A337,_xlfn.IFNA(
  INDEX(tblProjectInfo[InfoValue],
        MATCH(1,(tblProjectInfo[ProjectName]=_xlpm.p)*
                 (UPPER(TRIM(tblProjectInfo[Info]))="PROJECT SIZE (KWP)"),0)
), ""))</f>
        <v/>
      </c>
      <c r="C337" s="147" t="str" cm="1">
        <f t="array" ref="C337">_xlfn.LET(_xlpm.p,$A337,_xlfn.IFNA(
  INDEX(tblProjectInfo[InfoValue],
        MATCH(1,(tblProjectInfo[ProjectName]=_xlpm.p)*
                 (UPPER(TRIM(tblProjectInfo[Info]))="PROJECT DEVELOPER"),0)
), ""))</f>
        <v/>
      </c>
      <c r="D337" s="148" t="str" cm="1">
        <f t="array" ref="D337">_xlfn.LET(_xlpm.p,$A337,_xlfn.IFNA(
  INDEX(tblProjectInfo[InfoValue],
        MATCH(1,(tblProjectInfo[ProjectName]=_xlpm.p)*
                 (UPPER(TRIM(tblProjectInfo[Info]))="PROJECT MANAGERS"),0)
), ""))</f>
        <v/>
      </c>
      <c r="E337" s="147"/>
      <c r="F337" s="147"/>
      <c r="G337" s="147"/>
      <c r="H337" s="162" t="str" cm="1">
        <f t="array" ref="H337">_xlfn.LET(_xlpm.p,$A337,_xlfn.IFNA(
  INDEX(tblProjectInfo[InfoValue],
        MATCH(1,(tblProjectInfo[ProjectName]=_xlpm.p)*
                 ISNUMBER(SEARCH("PHASE",UPPER(tblProjectInfo[Info]))),0)
), ""))</f>
        <v/>
      </c>
      <c r="I337" s="149"/>
      <c r="J337" s="149"/>
      <c r="K337" s="169"/>
      <c r="L337" s="169"/>
      <c r="M337" s="149"/>
      <c r="N337" s="149"/>
      <c r="O337" s="149"/>
      <c r="P337" s="150"/>
      <c r="Q337" s="150"/>
      <c r="R337" s="151"/>
      <c r="S337" s="152"/>
      <c r="T337" s="152"/>
      <c r="U337" s="150"/>
      <c r="V337" s="152"/>
      <c r="W337" s="152"/>
      <c r="X337" s="246"/>
      <c r="Y337" s="106"/>
    </row>
    <row r="338" spans="1:25">
      <c r="A338" t="str" cm="1">
        <f t="array" ref="A33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IFERROR(INDEX(_xlpm.sorted,ROWS(A$2:A338)),"")
)</f>
        <v/>
      </c>
      <c r="B338" s="147" t="str" cm="1">
        <f t="array" ref="B338">_xlfn.LET(_xlpm.p,$A338,_xlfn.IFNA(
  INDEX(tblProjectInfo[InfoValue],
        MATCH(1,(tblProjectInfo[ProjectName]=_xlpm.p)*
                 (UPPER(TRIM(tblProjectInfo[Info]))="PROJECT SIZE (KWP)"),0)
), ""))</f>
        <v/>
      </c>
      <c r="C338" s="147" t="str" cm="1">
        <f t="array" ref="C338">_xlfn.LET(_xlpm.p,$A338,_xlfn.IFNA(
  INDEX(tblProjectInfo[InfoValue],
        MATCH(1,(tblProjectInfo[ProjectName]=_xlpm.p)*
                 (UPPER(TRIM(tblProjectInfo[Info]))="PROJECT DEVELOPER"),0)
), ""))</f>
        <v/>
      </c>
      <c r="D338" s="148" t="str" cm="1">
        <f t="array" ref="D338">_xlfn.LET(_xlpm.p,$A338,_xlfn.IFNA(
  INDEX(tblProjectInfo[InfoValue],
        MATCH(1,(tblProjectInfo[ProjectName]=_xlpm.p)*
                 (UPPER(TRIM(tblProjectInfo[Info]))="PROJECT MANAGERS"),0)
), ""))</f>
        <v/>
      </c>
      <c r="E338" s="147"/>
      <c r="F338" s="147"/>
      <c r="G338" s="147"/>
      <c r="H338" s="162" t="str" cm="1">
        <f t="array" ref="H338">_xlfn.LET(_xlpm.p,$A338,_xlfn.IFNA(
  INDEX(tblProjectInfo[InfoValue],
        MATCH(1,(tblProjectInfo[ProjectName]=_xlpm.p)*
                 ISNUMBER(SEARCH("PHASE",UPPER(tblProjectInfo[Info]))),0)
), ""))</f>
        <v/>
      </c>
      <c r="I338" s="149"/>
      <c r="J338" s="149"/>
      <c r="K338" s="169"/>
      <c r="L338" s="169"/>
      <c r="M338" s="149"/>
      <c r="N338" s="149"/>
      <c r="O338" s="149"/>
      <c r="P338" s="150"/>
      <c r="Q338" s="150"/>
      <c r="R338" s="151"/>
      <c r="S338" s="152"/>
      <c r="T338" s="152"/>
      <c r="U338" s="150"/>
      <c r="V338" s="152"/>
      <c r="W338" s="152"/>
      <c r="X338" s="246"/>
      <c r="Y338" s="106"/>
    </row>
    <row r="339" spans="1:25">
      <c r="A339" t="str" cm="1">
        <f t="array" ref="A33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IFERROR(INDEX(_xlpm.sorted,ROWS(A$2:A339)),"")
)</f>
        <v/>
      </c>
      <c r="B339" s="147" t="str" cm="1">
        <f t="array" ref="B339">_xlfn.LET(_xlpm.p,$A339,_xlfn.IFNA(
  INDEX(tblProjectInfo[InfoValue],
        MATCH(1,(tblProjectInfo[ProjectName]=_xlpm.p)*
                 (UPPER(TRIM(tblProjectInfo[Info]))="PROJECT SIZE (KWP)"),0)
), ""))</f>
        <v/>
      </c>
      <c r="C339" s="147" t="str" cm="1">
        <f t="array" ref="C339">_xlfn.LET(_xlpm.p,$A339,_xlfn.IFNA(
  INDEX(tblProjectInfo[InfoValue],
        MATCH(1,(tblProjectInfo[ProjectName]=_xlpm.p)*
                 (UPPER(TRIM(tblProjectInfo[Info]))="PROJECT DEVELOPER"),0)
), ""))</f>
        <v/>
      </c>
      <c r="D339" s="148" t="str" cm="1">
        <f t="array" ref="D339">_xlfn.LET(_xlpm.p,$A339,_xlfn.IFNA(
  INDEX(tblProjectInfo[InfoValue],
        MATCH(1,(tblProjectInfo[ProjectName]=_xlpm.p)*
                 (UPPER(TRIM(tblProjectInfo[Info]))="PROJECT MANAGERS"),0)
), ""))</f>
        <v/>
      </c>
      <c r="E339" s="147"/>
      <c r="F339" s="147"/>
      <c r="G339" s="147"/>
      <c r="H339" s="162" t="str" cm="1">
        <f t="array" ref="H339">_xlfn.LET(_xlpm.p,$A339,_xlfn.IFNA(
  INDEX(tblProjectInfo[InfoValue],
        MATCH(1,(tblProjectInfo[ProjectName]=_xlpm.p)*
                 ISNUMBER(SEARCH("PHASE",UPPER(tblProjectInfo[Info]))),0)
), ""))</f>
        <v/>
      </c>
      <c r="I339" s="149"/>
      <c r="J339" s="149"/>
      <c r="K339" s="169"/>
      <c r="L339" s="169"/>
      <c r="M339" s="149"/>
      <c r="N339" s="149"/>
      <c r="O339" s="149"/>
      <c r="P339" s="150"/>
      <c r="Q339" s="150"/>
      <c r="R339" s="151"/>
      <c r="S339" s="152"/>
      <c r="T339" s="152"/>
      <c r="U339" s="150"/>
      <c r="V339" s="152"/>
      <c r="W339" s="152"/>
      <c r="X339" s="246"/>
      <c r="Y339" s="106"/>
    </row>
    <row r="340" spans="1:25">
      <c r="A340" t="str" cm="1">
        <f t="array" ref="A34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IFERROR(INDEX(_xlpm.sorted,ROWS(A$2:A340)),"")
)</f>
        <v/>
      </c>
      <c r="B340" s="147" t="str" cm="1">
        <f t="array" ref="B340">_xlfn.LET(_xlpm.p,$A340,_xlfn.IFNA(
  INDEX(tblProjectInfo[InfoValue],
        MATCH(1,(tblProjectInfo[ProjectName]=_xlpm.p)*
                 (UPPER(TRIM(tblProjectInfo[Info]))="PROJECT SIZE (KWP)"),0)
), ""))</f>
        <v/>
      </c>
      <c r="C340" s="147" t="str" cm="1">
        <f t="array" ref="C340">_xlfn.LET(_xlpm.p,$A340,_xlfn.IFNA(
  INDEX(tblProjectInfo[InfoValue],
        MATCH(1,(tblProjectInfo[ProjectName]=_xlpm.p)*
                 (UPPER(TRIM(tblProjectInfo[Info]))="PROJECT DEVELOPER"),0)
), ""))</f>
        <v/>
      </c>
      <c r="D340" s="148" t="str" cm="1">
        <f t="array" ref="D340">_xlfn.LET(_xlpm.p,$A340,_xlfn.IFNA(
  INDEX(tblProjectInfo[InfoValue],
        MATCH(1,(tblProjectInfo[ProjectName]=_xlpm.p)*
                 (UPPER(TRIM(tblProjectInfo[Info]))="PROJECT MANAGERS"),0)
), ""))</f>
        <v/>
      </c>
      <c r="E340" s="147"/>
      <c r="F340" s="147"/>
      <c r="G340" s="147"/>
      <c r="H340" s="162" t="str" cm="1">
        <f t="array" ref="H340">_xlfn.LET(_xlpm.p,$A340,_xlfn.IFNA(
  INDEX(tblProjectInfo[InfoValue],
        MATCH(1,(tblProjectInfo[ProjectName]=_xlpm.p)*
                 ISNUMBER(SEARCH("PHASE",UPPER(tblProjectInfo[Info]))),0)
), ""))</f>
        <v/>
      </c>
      <c r="I340" s="149"/>
      <c r="J340" s="149"/>
      <c r="K340" s="169"/>
      <c r="L340" s="169"/>
      <c r="M340" s="149"/>
      <c r="N340" s="149"/>
      <c r="O340" s="149"/>
      <c r="P340" s="150"/>
      <c r="Q340" s="150"/>
      <c r="R340" s="151"/>
      <c r="S340" s="152"/>
      <c r="T340" s="152"/>
      <c r="U340" s="150"/>
      <c r="V340" s="152"/>
      <c r="W340" s="152"/>
      <c r="X340" s="246"/>
      <c r="Y340" s="106"/>
    </row>
    <row r="341" spans="1:25">
      <c r="A341" t="str" cm="1">
        <f t="array" ref="A34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IFERROR(INDEX(_xlpm.sorted,ROWS(A$2:A341)),"")
)</f>
        <v/>
      </c>
      <c r="B341" s="147" t="str" cm="1">
        <f t="array" ref="B341">_xlfn.LET(_xlpm.p,$A341,_xlfn.IFNA(
  INDEX(tblProjectInfo[InfoValue],
        MATCH(1,(tblProjectInfo[ProjectName]=_xlpm.p)*
                 (UPPER(TRIM(tblProjectInfo[Info]))="PROJECT SIZE (KWP)"),0)
), ""))</f>
        <v/>
      </c>
      <c r="C341" s="147" t="str" cm="1">
        <f t="array" ref="C341">_xlfn.LET(_xlpm.p,$A341,_xlfn.IFNA(
  INDEX(tblProjectInfo[InfoValue],
        MATCH(1,(tblProjectInfo[ProjectName]=_xlpm.p)*
                 (UPPER(TRIM(tblProjectInfo[Info]))="PROJECT DEVELOPER"),0)
), ""))</f>
        <v/>
      </c>
      <c r="D341" s="148" t="str" cm="1">
        <f t="array" ref="D341">_xlfn.LET(_xlpm.p,$A341,_xlfn.IFNA(
  INDEX(tblProjectInfo[InfoValue],
        MATCH(1,(tblProjectInfo[ProjectName]=_xlpm.p)*
                 (UPPER(TRIM(tblProjectInfo[Info]))="PROJECT MANAGERS"),0)
), ""))</f>
        <v/>
      </c>
      <c r="E341" s="147"/>
      <c r="F341" s="147"/>
      <c r="G341" s="147"/>
      <c r="H341" s="162" t="str" cm="1">
        <f t="array" ref="H341">_xlfn.LET(_xlpm.p,$A341,_xlfn.IFNA(
  INDEX(tblProjectInfo[InfoValue],
        MATCH(1,(tblProjectInfo[ProjectName]=_xlpm.p)*
                 ISNUMBER(SEARCH("PHASE",UPPER(tblProjectInfo[Info]))),0)
), ""))</f>
        <v/>
      </c>
      <c r="I341" s="149"/>
      <c r="J341" s="149"/>
      <c r="K341" s="169"/>
      <c r="L341" s="169"/>
      <c r="M341" s="149"/>
      <c r="N341" s="149"/>
      <c r="O341" s="149"/>
      <c r="P341" s="150"/>
      <c r="Q341" s="150"/>
      <c r="R341" s="151"/>
      <c r="S341" s="152"/>
      <c r="T341" s="152"/>
      <c r="U341" s="150"/>
      <c r="V341" s="152"/>
      <c r="W341" s="152"/>
      <c r="X341" s="246"/>
      <c r="Y341" s="106"/>
    </row>
    <row r="342" spans="1:25">
      <c r="A342" t="str" cm="1">
        <f t="array" ref="A34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IFERROR(INDEX(_xlpm.sorted,ROWS(A$2:A342)),"")
)</f>
        <v/>
      </c>
      <c r="B342" s="147" t="str" cm="1">
        <f t="array" ref="B342">_xlfn.LET(_xlpm.p,$A342,_xlfn.IFNA(
  INDEX(tblProjectInfo[InfoValue],
        MATCH(1,(tblProjectInfo[ProjectName]=_xlpm.p)*
                 (UPPER(TRIM(tblProjectInfo[Info]))="PROJECT SIZE (KWP)"),0)
), ""))</f>
        <v/>
      </c>
      <c r="C342" s="147" t="str" cm="1">
        <f t="array" ref="C342">_xlfn.LET(_xlpm.p,$A342,_xlfn.IFNA(
  INDEX(tblProjectInfo[InfoValue],
        MATCH(1,(tblProjectInfo[ProjectName]=_xlpm.p)*
                 (UPPER(TRIM(tblProjectInfo[Info]))="PROJECT DEVELOPER"),0)
), ""))</f>
        <v/>
      </c>
      <c r="D342" s="148" t="str" cm="1">
        <f t="array" ref="D342">_xlfn.LET(_xlpm.p,$A342,_xlfn.IFNA(
  INDEX(tblProjectInfo[InfoValue],
        MATCH(1,(tblProjectInfo[ProjectName]=_xlpm.p)*
                 (UPPER(TRIM(tblProjectInfo[Info]))="PROJECT MANAGERS"),0)
), ""))</f>
        <v/>
      </c>
      <c r="E342" s="147"/>
      <c r="F342" s="147"/>
      <c r="G342" s="147"/>
      <c r="H342" s="162" t="str" cm="1">
        <f t="array" ref="H342">_xlfn.LET(_xlpm.p,$A342,_xlfn.IFNA(
  INDEX(tblProjectInfo[InfoValue],
        MATCH(1,(tblProjectInfo[ProjectName]=_xlpm.p)*
                 ISNUMBER(SEARCH("PHASE",UPPER(tblProjectInfo[Info]))),0)
), ""))</f>
        <v/>
      </c>
      <c r="I342" s="149"/>
      <c r="J342" s="149"/>
      <c r="K342" s="169"/>
      <c r="L342" s="169"/>
      <c r="M342" s="149"/>
      <c r="N342" s="149"/>
      <c r="O342" s="149"/>
      <c r="P342" s="150"/>
      <c r="Q342" s="150"/>
      <c r="R342" s="151"/>
      <c r="S342" s="152"/>
      <c r="T342" s="152"/>
      <c r="U342" s="150"/>
      <c r="V342" s="152"/>
      <c r="W342" s="152"/>
      <c r="X342" s="246"/>
      <c r="Y342" s="106"/>
    </row>
    <row r="343" spans="1:25">
      <c r="A343" t="str" cm="1">
        <f t="array" ref="A34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IFERROR(INDEX(_xlpm.sorted,ROWS(A$2:A343)),"")
)</f>
        <v/>
      </c>
      <c r="B343" s="147" t="str" cm="1">
        <f t="array" ref="B343">_xlfn.LET(_xlpm.p,$A343,_xlfn.IFNA(
  INDEX(tblProjectInfo[InfoValue],
        MATCH(1,(tblProjectInfo[ProjectName]=_xlpm.p)*
                 (UPPER(TRIM(tblProjectInfo[Info]))="PROJECT SIZE (KWP)"),0)
), ""))</f>
        <v/>
      </c>
      <c r="C343" s="147" t="str" cm="1">
        <f t="array" ref="C343">_xlfn.LET(_xlpm.p,$A343,_xlfn.IFNA(
  INDEX(tblProjectInfo[InfoValue],
        MATCH(1,(tblProjectInfo[ProjectName]=_xlpm.p)*
                 (UPPER(TRIM(tblProjectInfo[Info]))="PROJECT DEVELOPER"),0)
), ""))</f>
        <v/>
      </c>
      <c r="D343" s="148" t="str" cm="1">
        <f t="array" ref="D343">_xlfn.LET(_xlpm.p,$A343,_xlfn.IFNA(
  INDEX(tblProjectInfo[InfoValue],
        MATCH(1,(tblProjectInfo[ProjectName]=_xlpm.p)*
                 (UPPER(TRIM(tblProjectInfo[Info]))="PROJECT MANAGERS"),0)
), ""))</f>
        <v/>
      </c>
      <c r="E343" s="147"/>
      <c r="F343" s="147"/>
      <c r="G343" s="147"/>
      <c r="H343" s="162" t="str" cm="1">
        <f t="array" ref="H343">_xlfn.LET(_xlpm.p,$A343,_xlfn.IFNA(
  INDEX(tblProjectInfo[InfoValue],
        MATCH(1,(tblProjectInfo[ProjectName]=_xlpm.p)*
                 ISNUMBER(SEARCH("PHASE",UPPER(tblProjectInfo[Info]))),0)
), ""))</f>
        <v/>
      </c>
      <c r="I343" s="149"/>
      <c r="J343" s="149"/>
      <c r="K343" s="169"/>
      <c r="L343" s="169"/>
      <c r="M343" s="149"/>
      <c r="N343" s="149"/>
      <c r="O343" s="149"/>
      <c r="P343" s="150"/>
      <c r="Q343" s="150"/>
      <c r="R343" s="151"/>
      <c r="S343" s="152"/>
      <c r="T343" s="152"/>
      <c r="U343" s="150"/>
      <c r="V343" s="152"/>
      <c r="W343" s="152"/>
      <c r="X343" s="246"/>
      <c r="Y343" s="106"/>
    </row>
    <row r="344" spans="1:25">
      <c r="A344" t="str" cm="1">
        <f t="array" ref="A34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IFERROR(INDEX(_xlpm.sorted,ROWS(A$2:A344)),"")
)</f>
        <v/>
      </c>
      <c r="B344" s="147" t="str" cm="1">
        <f t="array" ref="B344">_xlfn.LET(_xlpm.p,$A344,_xlfn.IFNA(
  INDEX(tblProjectInfo[InfoValue],
        MATCH(1,(tblProjectInfo[ProjectName]=_xlpm.p)*
                 (UPPER(TRIM(tblProjectInfo[Info]))="PROJECT SIZE (KWP)"),0)
), ""))</f>
        <v/>
      </c>
      <c r="C344" s="147" t="str" cm="1">
        <f t="array" ref="C344">_xlfn.LET(_xlpm.p,$A344,_xlfn.IFNA(
  INDEX(tblProjectInfo[InfoValue],
        MATCH(1,(tblProjectInfo[ProjectName]=_xlpm.p)*
                 (UPPER(TRIM(tblProjectInfo[Info]))="PROJECT DEVELOPER"),0)
), ""))</f>
        <v/>
      </c>
      <c r="D344" s="148" t="str" cm="1">
        <f t="array" ref="D344">_xlfn.LET(_xlpm.p,$A344,_xlfn.IFNA(
  INDEX(tblProjectInfo[InfoValue],
        MATCH(1,(tblProjectInfo[ProjectName]=_xlpm.p)*
                 (UPPER(TRIM(tblProjectInfo[Info]))="PROJECT MANAGERS"),0)
), ""))</f>
        <v/>
      </c>
      <c r="E344" s="147"/>
      <c r="F344" s="147"/>
      <c r="G344" s="147"/>
      <c r="H344" s="162" t="str" cm="1">
        <f t="array" ref="H344">_xlfn.LET(_xlpm.p,$A344,_xlfn.IFNA(
  INDEX(tblProjectInfo[InfoValue],
        MATCH(1,(tblProjectInfo[ProjectName]=_xlpm.p)*
                 ISNUMBER(SEARCH("PHASE",UPPER(tblProjectInfo[Info]))),0)
), ""))</f>
        <v/>
      </c>
      <c r="I344" s="149"/>
      <c r="J344" s="149"/>
      <c r="K344" s="169"/>
      <c r="L344" s="169"/>
      <c r="M344" s="149"/>
      <c r="N344" s="149"/>
      <c r="O344" s="149"/>
      <c r="P344" s="150"/>
      <c r="Q344" s="150"/>
      <c r="R344" s="151"/>
      <c r="S344" s="152"/>
      <c r="T344" s="152"/>
      <c r="U344" s="150"/>
      <c r="V344" s="152"/>
      <c r="W344" s="152"/>
      <c r="X344" s="246"/>
      <c r="Y344" s="106"/>
    </row>
    <row r="345" spans="1:25">
      <c r="A345" t="str" cm="1">
        <f t="array" ref="A34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IFERROR(INDEX(_xlpm.sorted,ROWS(A$2:A345)),"")
)</f>
        <v/>
      </c>
      <c r="B345" s="147" t="str" cm="1">
        <f t="array" ref="B345">_xlfn.LET(_xlpm.p,$A345,_xlfn.IFNA(
  INDEX(tblProjectInfo[InfoValue],
        MATCH(1,(tblProjectInfo[ProjectName]=_xlpm.p)*
                 (UPPER(TRIM(tblProjectInfo[Info]))="PROJECT SIZE (KWP)"),0)
), ""))</f>
        <v/>
      </c>
      <c r="C345" s="147" t="str" cm="1">
        <f t="array" ref="C345">_xlfn.LET(_xlpm.p,$A345,_xlfn.IFNA(
  INDEX(tblProjectInfo[InfoValue],
        MATCH(1,(tblProjectInfo[ProjectName]=_xlpm.p)*
                 (UPPER(TRIM(tblProjectInfo[Info]))="PROJECT DEVELOPER"),0)
), ""))</f>
        <v/>
      </c>
      <c r="D345" s="148" t="str" cm="1">
        <f t="array" ref="D345">_xlfn.LET(_xlpm.p,$A345,_xlfn.IFNA(
  INDEX(tblProjectInfo[InfoValue],
        MATCH(1,(tblProjectInfo[ProjectName]=_xlpm.p)*
                 (UPPER(TRIM(tblProjectInfo[Info]))="PROJECT MANAGERS"),0)
), ""))</f>
        <v/>
      </c>
      <c r="E345" s="147"/>
      <c r="F345" s="147"/>
      <c r="G345" s="147"/>
      <c r="H345" s="162" t="str" cm="1">
        <f t="array" ref="H345">_xlfn.LET(_xlpm.p,$A345,_xlfn.IFNA(
  INDEX(tblProjectInfo[InfoValue],
        MATCH(1,(tblProjectInfo[ProjectName]=_xlpm.p)*
                 ISNUMBER(SEARCH("PHASE",UPPER(tblProjectInfo[Info]))),0)
), ""))</f>
        <v/>
      </c>
      <c r="I345" s="149"/>
      <c r="J345" s="149"/>
      <c r="K345" s="169"/>
      <c r="L345" s="169"/>
      <c r="M345" s="149"/>
      <c r="N345" s="149"/>
      <c r="O345" s="149"/>
      <c r="P345" s="150"/>
      <c r="Q345" s="150"/>
      <c r="R345" s="151"/>
      <c r="S345" s="152"/>
      <c r="T345" s="152"/>
      <c r="U345" s="150"/>
      <c r="V345" s="152"/>
      <c r="W345" s="152"/>
      <c r="X345" s="246"/>
      <c r="Y345" s="106"/>
    </row>
    <row r="346" spans="1:25">
      <c r="A346" t="str" cm="1">
        <f t="array" ref="A34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IFERROR(INDEX(_xlpm.sorted,ROWS(A$2:A346)),"")
)</f>
        <v/>
      </c>
      <c r="B346" s="147" t="str" cm="1">
        <f t="array" ref="B346">_xlfn.LET(_xlpm.p,$A346,_xlfn.IFNA(
  INDEX(tblProjectInfo[InfoValue],
        MATCH(1,(tblProjectInfo[ProjectName]=_xlpm.p)*
                 (UPPER(TRIM(tblProjectInfo[Info]))="PROJECT SIZE (KWP)"),0)
), ""))</f>
        <v/>
      </c>
      <c r="C346" s="147" t="str" cm="1">
        <f t="array" ref="C346">_xlfn.LET(_xlpm.p,$A346,_xlfn.IFNA(
  INDEX(tblProjectInfo[InfoValue],
        MATCH(1,(tblProjectInfo[ProjectName]=_xlpm.p)*
                 (UPPER(TRIM(tblProjectInfo[Info]))="PROJECT DEVELOPER"),0)
), ""))</f>
        <v/>
      </c>
      <c r="D346" s="148" t="str" cm="1">
        <f t="array" ref="D346">_xlfn.LET(_xlpm.p,$A346,_xlfn.IFNA(
  INDEX(tblProjectInfo[InfoValue],
        MATCH(1,(tblProjectInfo[ProjectName]=_xlpm.p)*
                 (UPPER(TRIM(tblProjectInfo[Info]))="PROJECT MANAGERS"),0)
), ""))</f>
        <v/>
      </c>
      <c r="E346" s="147"/>
      <c r="F346" s="147"/>
      <c r="G346" s="147"/>
      <c r="H346" s="162" t="str" cm="1">
        <f t="array" ref="H346">_xlfn.LET(_xlpm.p,$A346,_xlfn.IFNA(
  INDEX(tblProjectInfo[InfoValue],
        MATCH(1,(tblProjectInfo[ProjectName]=_xlpm.p)*
                 ISNUMBER(SEARCH("PHASE",UPPER(tblProjectInfo[Info]))),0)
), ""))</f>
        <v/>
      </c>
      <c r="I346" s="149"/>
      <c r="J346" s="149"/>
      <c r="K346" s="169"/>
      <c r="L346" s="169"/>
      <c r="M346" s="149"/>
      <c r="N346" s="149"/>
      <c r="O346" s="149"/>
      <c r="P346" s="150"/>
      <c r="Q346" s="150"/>
      <c r="R346" s="151"/>
      <c r="S346" s="152"/>
      <c r="T346" s="152"/>
      <c r="U346" s="150"/>
      <c r="V346" s="152"/>
      <c r="W346" s="152"/>
      <c r="X346" s="246"/>
      <c r="Y346" s="106"/>
    </row>
    <row r="347" spans="1:25">
      <c r="A347" t="str" cm="1">
        <f t="array" ref="A34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IFERROR(INDEX(_xlpm.sorted,ROWS(A$2:A347)),"")
)</f>
        <v/>
      </c>
      <c r="B347" s="147" t="str" cm="1">
        <f t="array" ref="B347">_xlfn.LET(_xlpm.p,$A347,_xlfn.IFNA(
  INDEX(tblProjectInfo[InfoValue],
        MATCH(1,(tblProjectInfo[ProjectName]=_xlpm.p)*
                 (UPPER(TRIM(tblProjectInfo[Info]))="PROJECT SIZE (KWP)"),0)
), ""))</f>
        <v/>
      </c>
      <c r="C347" s="147" t="str" cm="1">
        <f t="array" ref="C347">_xlfn.LET(_xlpm.p,$A347,_xlfn.IFNA(
  INDEX(tblProjectInfo[InfoValue],
        MATCH(1,(tblProjectInfo[ProjectName]=_xlpm.p)*
                 (UPPER(TRIM(tblProjectInfo[Info]))="PROJECT DEVELOPER"),0)
), ""))</f>
        <v/>
      </c>
      <c r="D347" s="148" t="str" cm="1">
        <f t="array" ref="D347">_xlfn.LET(_xlpm.p,$A347,_xlfn.IFNA(
  INDEX(tblProjectInfo[InfoValue],
        MATCH(1,(tblProjectInfo[ProjectName]=_xlpm.p)*
                 (UPPER(TRIM(tblProjectInfo[Info]))="PROJECT MANAGERS"),0)
), ""))</f>
        <v/>
      </c>
      <c r="E347" s="147"/>
      <c r="F347" s="147"/>
      <c r="G347" s="147"/>
      <c r="H347" s="162" t="str" cm="1">
        <f t="array" ref="H347">_xlfn.LET(_xlpm.p,$A347,_xlfn.IFNA(
  INDEX(tblProjectInfo[InfoValue],
        MATCH(1,(tblProjectInfo[ProjectName]=_xlpm.p)*
                 ISNUMBER(SEARCH("PHASE",UPPER(tblProjectInfo[Info]))),0)
), ""))</f>
        <v/>
      </c>
      <c r="I347" s="149"/>
      <c r="J347" s="149"/>
      <c r="K347" s="169"/>
      <c r="L347" s="169"/>
      <c r="M347" s="149"/>
      <c r="N347" s="149"/>
      <c r="O347" s="149"/>
      <c r="P347" s="150"/>
      <c r="Q347" s="150"/>
      <c r="R347" s="151"/>
      <c r="S347" s="152"/>
      <c r="T347" s="152"/>
      <c r="U347" s="150"/>
      <c r="V347" s="152"/>
      <c r="W347" s="152"/>
      <c r="X347" s="246"/>
      <c r="Y347" s="106"/>
    </row>
    <row r="348" spans="1:25">
      <c r="A348" t="str" cm="1">
        <f t="array" ref="A34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IFERROR(INDEX(_xlpm.sorted,ROWS(A$2:A348)),"")
)</f>
        <v/>
      </c>
      <c r="B348" s="147" t="str" cm="1">
        <f t="array" ref="B348">_xlfn.LET(_xlpm.p,$A348,_xlfn.IFNA(
  INDEX(tblProjectInfo[InfoValue],
        MATCH(1,(tblProjectInfo[ProjectName]=_xlpm.p)*
                 (UPPER(TRIM(tblProjectInfo[Info]))="PROJECT SIZE (KWP)"),0)
), ""))</f>
        <v/>
      </c>
      <c r="C348" s="147" t="str" cm="1">
        <f t="array" ref="C348">_xlfn.LET(_xlpm.p,$A348,_xlfn.IFNA(
  INDEX(tblProjectInfo[InfoValue],
        MATCH(1,(tblProjectInfo[ProjectName]=_xlpm.p)*
                 (UPPER(TRIM(tblProjectInfo[Info]))="PROJECT DEVELOPER"),0)
), ""))</f>
        <v/>
      </c>
      <c r="D348" s="148" t="str" cm="1">
        <f t="array" ref="D348">_xlfn.LET(_xlpm.p,$A348,_xlfn.IFNA(
  INDEX(tblProjectInfo[InfoValue],
        MATCH(1,(tblProjectInfo[ProjectName]=_xlpm.p)*
                 (UPPER(TRIM(tblProjectInfo[Info]))="PROJECT MANAGERS"),0)
), ""))</f>
        <v/>
      </c>
      <c r="E348" s="147"/>
      <c r="F348" s="147"/>
      <c r="G348" s="147"/>
      <c r="H348" s="162" t="str" cm="1">
        <f t="array" ref="H348">_xlfn.LET(_xlpm.p,$A348,_xlfn.IFNA(
  INDEX(tblProjectInfo[InfoValue],
        MATCH(1,(tblProjectInfo[ProjectName]=_xlpm.p)*
                 ISNUMBER(SEARCH("PHASE",UPPER(tblProjectInfo[Info]))),0)
), ""))</f>
        <v/>
      </c>
      <c r="I348" s="149"/>
      <c r="J348" s="149"/>
      <c r="K348" s="169"/>
      <c r="L348" s="169"/>
      <c r="M348" s="149"/>
      <c r="N348" s="149"/>
      <c r="O348" s="149"/>
      <c r="P348" s="150"/>
      <c r="Q348" s="150"/>
      <c r="R348" s="151"/>
      <c r="S348" s="152"/>
      <c r="T348" s="152"/>
      <c r="U348" s="150"/>
      <c r="V348" s="152"/>
      <c r="W348" s="152"/>
      <c r="X348" s="246"/>
      <c r="Y348" s="106"/>
    </row>
    <row r="349" spans="1:25">
      <c r="A349" t="str" cm="1">
        <f t="array" ref="A34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IFERROR(INDEX(_xlpm.sorted,ROWS(A$2:A349)),"")
)</f>
        <v/>
      </c>
      <c r="B349" s="147" t="str" cm="1">
        <f t="array" ref="B349">_xlfn.LET(_xlpm.p,$A349,_xlfn.IFNA(
  INDEX(tblProjectInfo[InfoValue],
        MATCH(1,(tblProjectInfo[ProjectName]=_xlpm.p)*
                 (UPPER(TRIM(tblProjectInfo[Info]))="PROJECT SIZE (KWP)"),0)
), ""))</f>
        <v/>
      </c>
      <c r="C349" s="147" t="str" cm="1">
        <f t="array" ref="C349">_xlfn.LET(_xlpm.p,$A349,_xlfn.IFNA(
  INDEX(tblProjectInfo[InfoValue],
        MATCH(1,(tblProjectInfo[ProjectName]=_xlpm.p)*
                 (UPPER(TRIM(tblProjectInfo[Info]))="PROJECT DEVELOPER"),0)
), ""))</f>
        <v/>
      </c>
      <c r="D349" s="148" t="str" cm="1">
        <f t="array" ref="D349">_xlfn.LET(_xlpm.p,$A349,_xlfn.IFNA(
  INDEX(tblProjectInfo[InfoValue],
        MATCH(1,(tblProjectInfo[ProjectName]=_xlpm.p)*
                 (UPPER(TRIM(tblProjectInfo[Info]))="PROJECT MANAGERS"),0)
), ""))</f>
        <v/>
      </c>
      <c r="E349" s="147"/>
      <c r="F349" s="147"/>
      <c r="G349" s="147"/>
      <c r="H349" s="162" t="str" cm="1">
        <f t="array" ref="H349">_xlfn.LET(_xlpm.p,$A349,_xlfn.IFNA(
  INDEX(tblProjectInfo[InfoValue],
        MATCH(1,(tblProjectInfo[ProjectName]=_xlpm.p)*
                 ISNUMBER(SEARCH("PHASE",UPPER(tblProjectInfo[Info]))),0)
), ""))</f>
        <v/>
      </c>
      <c r="I349" s="149"/>
      <c r="J349" s="149"/>
      <c r="K349" s="169"/>
      <c r="L349" s="169"/>
      <c r="M349" s="149"/>
      <c r="N349" s="149"/>
      <c r="O349" s="149"/>
      <c r="P349" s="150"/>
      <c r="Q349" s="150"/>
      <c r="R349" s="151"/>
      <c r="S349" s="152"/>
      <c r="T349" s="152"/>
      <c r="U349" s="150"/>
      <c r="V349" s="152"/>
      <c r="W349" s="152"/>
      <c r="X349" s="246"/>
      <c r="Y349" s="106"/>
    </row>
    <row r="350" spans="1:25">
      <c r="A350" t="str" cm="1">
        <f t="array" ref="A35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IFERROR(INDEX(_xlpm.sorted,ROWS(A$2:A350)),"")
)</f>
        <v/>
      </c>
      <c r="B350" s="147" t="str" cm="1">
        <f t="array" ref="B350">_xlfn.LET(_xlpm.p,$A350,_xlfn.IFNA(
  INDEX(tblProjectInfo[InfoValue],
        MATCH(1,(tblProjectInfo[ProjectName]=_xlpm.p)*
                 (UPPER(TRIM(tblProjectInfo[Info]))="PROJECT SIZE (KWP)"),0)
), ""))</f>
        <v/>
      </c>
      <c r="C350" s="147" t="str" cm="1">
        <f t="array" ref="C350">_xlfn.LET(_xlpm.p,$A350,_xlfn.IFNA(
  INDEX(tblProjectInfo[InfoValue],
        MATCH(1,(tblProjectInfo[ProjectName]=_xlpm.p)*
                 (UPPER(TRIM(tblProjectInfo[Info]))="PROJECT DEVELOPER"),0)
), ""))</f>
        <v/>
      </c>
      <c r="D350" s="148" t="str" cm="1">
        <f t="array" ref="D350">_xlfn.LET(_xlpm.p,$A350,_xlfn.IFNA(
  INDEX(tblProjectInfo[InfoValue],
        MATCH(1,(tblProjectInfo[ProjectName]=_xlpm.p)*
                 (UPPER(TRIM(tblProjectInfo[Info]))="PROJECT MANAGERS"),0)
), ""))</f>
        <v/>
      </c>
      <c r="E350" s="147"/>
      <c r="F350" s="147"/>
      <c r="G350" s="147"/>
      <c r="H350" s="162" t="str" cm="1">
        <f t="array" ref="H350">_xlfn.LET(_xlpm.p,$A350,_xlfn.IFNA(
  INDEX(tblProjectInfo[InfoValue],
        MATCH(1,(tblProjectInfo[ProjectName]=_xlpm.p)*
                 ISNUMBER(SEARCH("PHASE",UPPER(tblProjectInfo[Info]))),0)
), ""))</f>
        <v/>
      </c>
      <c r="I350" s="149"/>
      <c r="J350" s="149"/>
      <c r="K350" s="169"/>
      <c r="L350" s="169"/>
      <c r="M350" s="149"/>
      <c r="N350" s="149"/>
      <c r="O350" s="149"/>
      <c r="P350" s="150"/>
      <c r="Q350" s="150"/>
      <c r="R350" s="151"/>
      <c r="S350" s="152"/>
      <c r="T350" s="152"/>
      <c r="U350" s="150"/>
      <c r="V350" s="152"/>
      <c r="W350" s="152"/>
      <c r="X350" s="246"/>
      <c r="Y350" s="106"/>
    </row>
    <row r="351" spans="1:25">
      <c r="A351" t="str" cm="1">
        <f t="array" ref="A35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IFERROR(INDEX(_xlpm.sorted,ROWS(A$2:A351)),"")
)</f>
        <v/>
      </c>
      <c r="B351" s="147" t="str" cm="1">
        <f t="array" ref="B351">_xlfn.LET(_xlpm.p,$A351,_xlfn.IFNA(
  INDEX(tblProjectInfo[InfoValue],
        MATCH(1,(tblProjectInfo[ProjectName]=_xlpm.p)*
                 (UPPER(TRIM(tblProjectInfo[Info]))="PROJECT SIZE (KWP)"),0)
), ""))</f>
        <v/>
      </c>
      <c r="C351" s="147" t="str" cm="1">
        <f t="array" ref="C351">_xlfn.LET(_xlpm.p,$A351,_xlfn.IFNA(
  INDEX(tblProjectInfo[InfoValue],
        MATCH(1,(tblProjectInfo[ProjectName]=_xlpm.p)*
                 (UPPER(TRIM(tblProjectInfo[Info]))="PROJECT DEVELOPER"),0)
), ""))</f>
        <v/>
      </c>
      <c r="D351" s="148" t="str" cm="1">
        <f t="array" ref="D351">_xlfn.LET(_xlpm.p,$A351,_xlfn.IFNA(
  INDEX(tblProjectInfo[InfoValue],
        MATCH(1,(tblProjectInfo[ProjectName]=_xlpm.p)*
                 (UPPER(TRIM(tblProjectInfo[Info]))="PROJECT MANAGERS"),0)
), ""))</f>
        <v/>
      </c>
      <c r="E351" s="147"/>
      <c r="F351" s="147"/>
      <c r="G351" s="147"/>
      <c r="H351" s="162" t="str" cm="1">
        <f t="array" ref="H351">_xlfn.LET(_xlpm.p,$A351,_xlfn.IFNA(
  INDEX(tblProjectInfo[InfoValue],
        MATCH(1,(tblProjectInfo[ProjectName]=_xlpm.p)*
                 ISNUMBER(SEARCH("PHASE",UPPER(tblProjectInfo[Info]))),0)
), ""))</f>
        <v/>
      </c>
      <c r="I351" s="149"/>
      <c r="J351" s="149"/>
      <c r="K351" s="169"/>
      <c r="L351" s="169"/>
      <c r="M351" s="149"/>
      <c r="N351" s="149"/>
      <c r="O351" s="149"/>
      <c r="P351" s="150"/>
      <c r="Q351" s="150"/>
      <c r="R351" s="151"/>
      <c r="S351" s="152"/>
      <c r="T351" s="152"/>
      <c r="U351" s="150"/>
      <c r="V351" s="152"/>
      <c r="W351" s="152"/>
      <c r="X351" s="246"/>
      <c r="Y351" s="106"/>
    </row>
    <row r="352" spans="1:25">
      <c r="A352" t="str" cm="1">
        <f t="array" ref="A35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IFERROR(INDEX(_xlpm.sorted,ROWS(A$2:A352)),"")
)</f>
        <v/>
      </c>
      <c r="B352" s="147" t="str" cm="1">
        <f t="array" ref="B352">_xlfn.LET(_xlpm.p,$A352,_xlfn.IFNA(
  INDEX(tblProjectInfo[InfoValue],
        MATCH(1,(tblProjectInfo[ProjectName]=_xlpm.p)*
                 (UPPER(TRIM(tblProjectInfo[Info]))="PROJECT SIZE (KWP)"),0)
), ""))</f>
        <v/>
      </c>
      <c r="C352" s="147" t="str" cm="1">
        <f t="array" ref="C352">_xlfn.LET(_xlpm.p,$A352,_xlfn.IFNA(
  INDEX(tblProjectInfo[InfoValue],
        MATCH(1,(tblProjectInfo[ProjectName]=_xlpm.p)*
                 (UPPER(TRIM(tblProjectInfo[Info]))="PROJECT DEVELOPER"),0)
), ""))</f>
        <v/>
      </c>
      <c r="D352" s="148" t="str" cm="1">
        <f t="array" ref="D352">_xlfn.LET(_xlpm.p,$A352,_xlfn.IFNA(
  INDEX(tblProjectInfo[InfoValue],
        MATCH(1,(tblProjectInfo[ProjectName]=_xlpm.p)*
                 (UPPER(TRIM(tblProjectInfo[Info]))="PROJECT MANAGERS"),0)
), ""))</f>
        <v/>
      </c>
      <c r="E352" s="147"/>
      <c r="F352" s="147"/>
      <c r="G352" s="147"/>
      <c r="H352" s="162" t="str" cm="1">
        <f t="array" ref="H352">_xlfn.LET(_xlpm.p,$A352,_xlfn.IFNA(
  INDEX(tblProjectInfo[InfoValue],
        MATCH(1,(tblProjectInfo[ProjectName]=_xlpm.p)*
                 ISNUMBER(SEARCH("PHASE",UPPER(tblProjectInfo[Info]))),0)
), ""))</f>
        <v/>
      </c>
      <c r="I352" s="149"/>
      <c r="J352" s="149"/>
      <c r="K352" s="169"/>
      <c r="L352" s="169"/>
      <c r="M352" s="149"/>
      <c r="N352" s="149"/>
      <c r="O352" s="149"/>
      <c r="P352" s="150"/>
      <c r="Q352" s="150"/>
      <c r="R352" s="151"/>
      <c r="S352" s="152"/>
      <c r="T352" s="152"/>
      <c r="U352" s="150"/>
      <c r="V352" s="152"/>
      <c r="W352" s="152"/>
      <c r="X352" s="246"/>
      <c r="Y352" s="106"/>
    </row>
    <row r="353" spans="1:25">
      <c r="A353" t="str" cm="1">
        <f t="array" ref="A35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IFERROR(INDEX(_xlpm.sorted,ROWS(A$2:A353)),"")
)</f>
        <v/>
      </c>
      <c r="B353" s="147" t="str" cm="1">
        <f t="array" ref="B353">_xlfn.LET(_xlpm.p,$A353,_xlfn.IFNA(
  INDEX(tblProjectInfo[InfoValue],
        MATCH(1,(tblProjectInfo[ProjectName]=_xlpm.p)*
                 (UPPER(TRIM(tblProjectInfo[Info]))="PROJECT SIZE (KWP)"),0)
), ""))</f>
        <v/>
      </c>
      <c r="C353" s="147" t="str" cm="1">
        <f t="array" ref="C353">_xlfn.LET(_xlpm.p,$A353,_xlfn.IFNA(
  INDEX(tblProjectInfo[InfoValue],
        MATCH(1,(tblProjectInfo[ProjectName]=_xlpm.p)*
                 (UPPER(TRIM(tblProjectInfo[Info]))="PROJECT DEVELOPER"),0)
), ""))</f>
        <v/>
      </c>
      <c r="D353" s="148" t="str" cm="1">
        <f t="array" ref="D353">_xlfn.LET(_xlpm.p,$A353,_xlfn.IFNA(
  INDEX(tblProjectInfo[InfoValue],
        MATCH(1,(tblProjectInfo[ProjectName]=_xlpm.p)*
                 (UPPER(TRIM(tblProjectInfo[Info]))="PROJECT MANAGERS"),0)
), ""))</f>
        <v/>
      </c>
      <c r="E353" s="147"/>
      <c r="F353" s="147"/>
      <c r="G353" s="147"/>
      <c r="H353" s="162" t="str" cm="1">
        <f t="array" ref="H353">_xlfn.LET(_xlpm.p,$A353,_xlfn.IFNA(
  INDEX(tblProjectInfo[InfoValue],
        MATCH(1,(tblProjectInfo[ProjectName]=_xlpm.p)*
                 ISNUMBER(SEARCH("PHASE",UPPER(tblProjectInfo[Info]))),0)
), ""))</f>
        <v/>
      </c>
      <c r="I353" s="149"/>
      <c r="J353" s="149"/>
      <c r="K353" s="169"/>
      <c r="L353" s="169"/>
      <c r="M353" s="149"/>
      <c r="N353" s="149"/>
      <c r="O353" s="149"/>
      <c r="P353" s="150"/>
      <c r="Q353" s="150"/>
      <c r="R353" s="151"/>
      <c r="S353" s="152"/>
      <c r="T353" s="152"/>
      <c r="U353" s="150"/>
      <c r="V353" s="152"/>
      <c r="W353" s="152"/>
      <c r="X353" s="246"/>
      <c r="Y353" s="106"/>
    </row>
    <row r="354" spans="1:25">
      <c r="A354" t="str" cm="1">
        <f t="array" ref="A35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IFERROR(INDEX(_xlpm.sorted,ROWS(A$2:A354)),"")
)</f>
        <v/>
      </c>
      <c r="B354" s="147" t="str" cm="1">
        <f t="array" ref="B354">_xlfn.LET(_xlpm.p,$A354,_xlfn.IFNA(
  INDEX(tblProjectInfo[InfoValue],
        MATCH(1,(tblProjectInfo[ProjectName]=_xlpm.p)*
                 (UPPER(TRIM(tblProjectInfo[Info]))="PROJECT SIZE (KWP)"),0)
), ""))</f>
        <v/>
      </c>
      <c r="C354" s="147" t="str" cm="1">
        <f t="array" ref="C354">_xlfn.LET(_xlpm.p,$A354,_xlfn.IFNA(
  INDEX(tblProjectInfo[InfoValue],
        MATCH(1,(tblProjectInfo[ProjectName]=_xlpm.p)*
                 (UPPER(TRIM(tblProjectInfo[Info]))="PROJECT DEVELOPER"),0)
), ""))</f>
        <v/>
      </c>
      <c r="D354" s="148" t="str" cm="1">
        <f t="array" ref="D354">_xlfn.LET(_xlpm.p,$A354,_xlfn.IFNA(
  INDEX(tblProjectInfo[InfoValue],
        MATCH(1,(tblProjectInfo[ProjectName]=_xlpm.p)*
                 (UPPER(TRIM(tblProjectInfo[Info]))="PROJECT MANAGERS"),0)
), ""))</f>
        <v/>
      </c>
      <c r="E354" s="147"/>
      <c r="F354" s="147"/>
      <c r="G354" s="147"/>
      <c r="H354" s="162" t="str" cm="1">
        <f t="array" ref="H354">_xlfn.LET(_xlpm.p,$A354,_xlfn.IFNA(
  INDEX(tblProjectInfo[InfoValue],
        MATCH(1,(tblProjectInfo[ProjectName]=_xlpm.p)*
                 ISNUMBER(SEARCH("PHASE",UPPER(tblProjectInfo[Info]))),0)
), ""))</f>
        <v/>
      </c>
      <c r="I354" s="149"/>
      <c r="J354" s="149"/>
      <c r="K354" s="169"/>
      <c r="L354" s="169"/>
      <c r="M354" s="149"/>
      <c r="N354" s="149"/>
      <c r="O354" s="149"/>
      <c r="P354" s="150"/>
      <c r="Q354" s="150"/>
      <c r="R354" s="151"/>
      <c r="S354" s="152"/>
      <c r="T354" s="152"/>
      <c r="U354" s="150"/>
      <c r="V354" s="152"/>
      <c r="W354" s="152"/>
      <c r="X354" s="246"/>
      <c r="Y354" s="106"/>
    </row>
    <row r="355" spans="1:25">
      <c r="A355" t="str" cm="1">
        <f t="array" ref="A35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IFERROR(INDEX(_xlpm.sorted,ROWS(A$2:A355)),"")
)</f>
        <v/>
      </c>
      <c r="B355" s="147" t="str" cm="1">
        <f t="array" ref="B355">_xlfn.LET(_xlpm.p,$A355,_xlfn.IFNA(
  INDEX(tblProjectInfo[InfoValue],
        MATCH(1,(tblProjectInfo[ProjectName]=_xlpm.p)*
                 (UPPER(TRIM(tblProjectInfo[Info]))="PROJECT SIZE (KWP)"),0)
), ""))</f>
        <v/>
      </c>
      <c r="C355" s="147" t="str" cm="1">
        <f t="array" ref="C355">_xlfn.LET(_xlpm.p,$A355,_xlfn.IFNA(
  INDEX(tblProjectInfo[InfoValue],
        MATCH(1,(tblProjectInfo[ProjectName]=_xlpm.p)*
                 (UPPER(TRIM(tblProjectInfo[Info]))="PROJECT DEVELOPER"),0)
), ""))</f>
        <v/>
      </c>
      <c r="D355" s="148" t="str" cm="1">
        <f t="array" ref="D355">_xlfn.LET(_xlpm.p,$A355,_xlfn.IFNA(
  INDEX(tblProjectInfo[InfoValue],
        MATCH(1,(tblProjectInfo[ProjectName]=_xlpm.p)*
                 (UPPER(TRIM(tblProjectInfo[Info]))="PROJECT MANAGERS"),0)
), ""))</f>
        <v/>
      </c>
      <c r="E355" s="147"/>
      <c r="F355" s="147"/>
      <c r="G355" s="147"/>
      <c r="H355" s="162" t="str" cm="1">
        <f t="array" ref="H355">_xlfn.LET(_xlpm.p,$A355,_xlfn.IFNA(
  INDEX(tblProjectInfo[InfoValue],
        MATCH(1,(tblProjectInfo[ProjectName]=_xlpm.p)*
                 ISNUMBER(SEARCH("PHASE",UPPER(tblProjectInfo[Info]))),0)
), ""))</f>
        <v/>
      </c>
      <c r="I355" s="149"/>
      <c r="J355" s="149"/>
      <c r="K355" s="169"/>
      <c r="L355" s="169"/>
      <c r="M355" s="149"/>
      <c r="N355" s="149"/>
      <c r="O355" s="149"/>
      <c r="P355" s="150"/>
      <c r="Q355" s="150"/>
      <c r="R355" s="151"/>
      <c r="S355" s="152"/>
      <c r="T355" s="152"/>
      <c r="U355" s="150"/>
      <c r="V355" s="152"/>
      <c r="W355" s="152"/>
      <c r="X355" s="246"/>
      <c r="Y355" s="106"/>
    </row>
    <row r="356" spans="1:25">
      <c r="A356" t="str" cm="1">
        <f t="array" ref="A35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IFERROR(INDEX(_xlpm.sorted,ROWS(A$2:A356)),"")
)</f>
        <v/>
      </c>
      <c r="B356" s="147" t="str" cm="1">
        <f t="array" ref="B356">_xlfn.LET(_xlpm.p,$A356,_xlfn.IFNA(
  INDEX(tblProjectInfo[InfoValue],
        MATCH(1,(tblProjectInfo[ProjectName]=_xlpm.p)*
                 (UPPER(TRIM(tblProjectInfo[Info]))="PROJECT SIZE (KWP)"),0)
), ""))</f>
        <v/>
      </c>
      <c r="C356" s="147" t="str" cm="1">
        <f t="array" ref="C356">_xlfn.LET(_xlpm.p,$A356,_xlfn.IFNA(
  INDEX(tblProjectInfo[InfoValue],
        MATCH(1,(tblProjectInfo[ProjectName]=_xlpm.p)*
                 (UPPER(TRIM(tblProjectInfo[Info]))="PROJECT DEVELOPER"),0)
), ""))</f>
        <v/>
      </c>
      <c r="D356" s="148" t="str" cm="1">
        <f t="array" ref="D356">_xlfn.LET(_xlpm.p,$A356,_xlfn.IFNA(
  INDEX(tblProjectInfo[InfoValue],
        MATCH(1,(tblProjectInfo[ProjectName]=_xlpm.p)*
                 (UPPER(TRIM(tblProjectInfo[Info]))="PROJECT MANAGERS"),0)
), ""))</f>
        <v/>
      </c>
      <c r="E356" s="147"/>
      <c r="F356" s="147"/>
      <c r="G356" s="147"/>
      <c r="H356" s="162" t="str" cm="1">
        <f t="array" ref="H356">_xlfn.LET(_xlpm.p,$A356,_xlfn.IFNA(
  INDEX(tblProjectInfo[InfoValue],
        MATCH(1,(tblProjectInfo[ProjectName]=_xlpm.p)*
                 ISNUMBER(SEARCH("PHASE",UPPER(tblProjectInfo[Info]))),0)
), ""))</f>
        <v/>
      </c>
      <c r="I356" s="149"/>
      <c r="J356" s="149"/>
      <c r="K356" s="169"/>
      <c r="L356" s="169"/>
      <c r="M356" s="149"/>
      <c r="N356" s="149"/>
      <c r="O356" s="149"/>
      <c r="P356" s="150"/>
      <c r="Q356" s="150"/>
      <c r="R356" s="151"/>
      <c r="S356" s="152"/>
      <c r="T356" s="152"/>
      <c r="U356" s="150"/>
      <c r="V356" s="152"/>
      <c r="W356" s="152"/>
      <c r="X356" s="246"/>
      <c r="Y356" s="106"/>
    </row>
    <row r="357" spans="1:25">
      <c r="A357" t="str" cm="1">
        <f t="array" ref="A35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IFERROR(INDEX(_xlpm.sorted,ROWS(A$2:A357)),"")
)</f>
        <v/>
      </c>
      <c r="B357" s="147" t="str" cm="1">
        <f t="array" ref="B357">_xlfn.LET(_xlpm.p,$A357,_xlfn.IFNA(
  INDEX(tblProjectInfo[InfoValue],
        MATCH(1,(tblProjectInfo[ProjectName]=_xlpm.p)*
                 (UPPER(TRIM(tblProjectInfo[Info]))="PROJECT SIZE (KWP)"),0)
), ""))</f>
        <v/>
      </c>
      <c r="C357" s="147" t="str" cm="1">
        <f t="array" ref="C357">_xlfn.LET(_xlpm.p,$A357,_xlfn.IFNA(
  INDEX(tblProjectInfo[InfoValue],
        MATCH(1,(tblProjectInfo[ProjectName]=_xlpm.p)*
                 (UPPER(TRIM(tblProjectInfo[Info]))="PROJECT DEVELOPER"),0)
), ""))</f>
        <v/>
      </c>
      <c r="D357" s="148" t="str" cm="1">
        <f t="array" ref="D357">_xlfn.LET(_xlpm.p,$A357,_xlfn.IFNA(
  INDEX(tblProjectInfo[InfoValue],
        MATCH(1,(tblProjectInfo[ProjectName]=_xlpm.p)*
                 (UPPER(TRIM(tblProjectInfo[Info]))="PROJECT MANAGERS"),0)
), ""))</f>
        <v/>
      </c>
      <c r="E357" s="147"/>
      <c r="F357" s="147"/>
      <c r="G357" s="147"/>
      <c r="H357" s="162" t="str" cm="1">
        <f t="array" ref="H357">_xlfn.LET(_xlpm.p,$A357,_xlfn.IFNA(
  INDEX(tblProjectInfo[InfoValue],
        MATCH(1,(tblProjectInfo[ProjectName]=_xlpm.p)*
                 ISNUMBER(SEARCH("PHASE",UPPER(tblProjectInfo[Info]))),0)
), ""))</f>
        <v/>
      </c>
      <c r="I357" s="149"/>
      <c r="J357" s="149"/>
      <c r="K357" s="169"/>
      <c r="L357" s="169"/>
      <c r="M357" s="149"/>
      <c r="N357" s="149"/>
      <c r="O357" s="149"/>
      <c r="P357" s="150"/>
      <c r="Q357" s="150"/>
      <c r="R357" s="151"/>
      <c r="S357" s="152"/>
      <c r="T357" s="152"/>
      <c r="U357" s="150"/>
      <c r="V357" s="152"/>
      <c r="W357" s="152"/>
      <c r="X357" s="246"/>
      <c r="Y357" s="106"/>
    </row>
    <row r="358" spans="1:25">
      <c r="A358" t="str" cm="1">
        <f t="array" ref="A35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IFERROR(INDEX(_xlpm.sorted,ROWS(A$2:A358)),"")
)</f>
        <v/>
      </c>
      <c r="B358" s="147" t="str" cm="1">
        <f t="array" ref="B358">_xlfn.LET(_xlpm.p,$A358,_xlfn.IFNA(
  INDEX(tblProjectInfo[InfoValue],
        MATCH(1,(tblProjectInfo[ProjectName]=_xlpm.p)*
                 (UPPER(TRIM(tblProjectInfo[Info]))="PROJECT SIZE (KWP)"),0)
), ""))</f>
        <v/>
      </c>
      <c r="C358" s="147" t="str" cm="1">
        <f t="array" ref="C358">_xlfn.LET(_xlpm.p,$A358,_xlfn.IFNA(
  INDEX(tblProjectInfo[InfoValue],
        MATCH(1,(tblProjectInfo[ProjectName]=_xlpm.p)*
                 (UPPER(TRIM(tblProjectInfo[Info]))="PROJECT DEVELOPER"),0)
), ""))</f>
        <v/>
      </c>
      <c r="D358" s="148" t="str" cm="1">
        <f t="array" ref="D358">_xlfn.LET(_xlpm.p,$A358,_xlfn.IFNA(
  INDEX(tblProjectInfo[InfoValue],
        MATCH(1,(tblProjectInfo[ProjectName]=_xlpm.p)*
                 (UPPER(TRIM(tblProjectInfo[Info]))="PROJECT MANAGERS"),0)
), ""))</f>
        <v/>
      </c>
      <c r="E358" s="147"/>
      <c r="F358" s="147"/>
      <c r="G358" s="147"/>
      <c r="H358" s="162" t="str" cm="1">
        <f t="array" ref="H358">_xlfn.LET(_xlpm.p,$A358,_xlfn.IFNA(
  INDEX(tblProjectInfo[InfoValue],
        MATCH(1,(tblProjectInfo[ProjectName]=_xlpm.p)*
                 ISNUMBER(SEARCH("PHASE",UPPER(tblProjectInfo[Info]))),0)
), ""))</f>
        <v/>
      </c>
      <c r="I358" s="149"/>
      <c r="J358" s="149"/>
      <c r="K358" s="169"/>
      <c r="L358" s="169"/>
      <c r="M358" s="149"/>
      <c r="N358" s="149"/>
      <c r="O358" s="149"/>
      <c r="P358" s="150"/>
      <c r="Q358" s="150"/>
      <c r="R358" s="151"/>
      <c r="S358" s="152"/>
      <c r="T358" s="152"/>
      <c r="U358" s="150"/>
      <c r="V358" s="152"/>
      <c r="W358" s="152"/>
      <c r="X358" s="246"/>
      <c r="Y358" s="106"/>
    </row>
    <row r="359" spans="1:25">
      <c r="A359" t="str" cm="1">
        <f t="array" ref="A35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IFERROR(INDEX(_xlpm.sorted,ROWS(A$2:A359)),"")
)</f>
        <v/>
      </c>
      <c r="B359" s="147" t="str" cm="1">
        <f t="array" ref="B359">_xlfn.LET(_xlpm.p,$A359,_xlfn.IFNA(
  INDEX(tblProjectInfo[InfoValue],
        MATCH(1,(tblProjectInfo[ProjectName]=_xlpm.p)*
                 (UPPER(TRIM(tblProjectInfo[Info]))="PROJECT SIZE (KWP)"),0)
), ""))</f>
        <v/>
      </c>
      <c r="C359" s="147" t="str" cm="1">
        <f t="array" ref="C359">_xlfn.LET(_xlpm.p,$A359,_xlfn.IFNA(
  INDEX(tblProjectInfo[InfoValue],
        MATCH(1,(tblProjectInfo[ProjectName]=_xlpm.p)*
                 (UPPER(TRIM(tblProjectInfo[Info]))="PROJECT DEVELOPER"),0)
), ""))</f>
        <v/>
      </c>
      <c r="D359" s="148" t="str" cm="1">
        <f t="array" ref="D359">_xlfn.LET(_xlpm.p,$A359,_xlfn.IFNA(
  INDEX(tblProjectInfo[InfoValue],
        MATCH(1,(tblProjectInfo[ProjectName]=_xlpm.p)*
                 (UPPER(TRIM(tblProjectInfo[Info]))="PROJECT MANAGERS"),0)
), ""))</f>
        <v/>
      </c>
      <c r="E359" s="147"/>
      <c r="F359" s="147"/>
      <c r="G359" s="147"/>
      <c r="H359" s="162" t="str" cm="1">
        <f t="array" ref="H359">_xlfn.LET(_xlpm.p,$A359,_xlfn.IFNA(
  INDEX(tblProjectInfo[InfoValue],
        MATCH(1,(tblProjectInfo[ProjectName]=_xlpm.p)*
                 ISNUMBER(SEARCH("PHASE",UPPER(tblProjectInfo[Info]))),0)
), ""))</f>
        <v/>
      </c>
      <c r="I359" s="149"/>
      <c r="J359" s="149"/>
      <c r="K359" s="169"/>
      <c r="L359" s="169"/>
      <c r="M359" s="149"/>
      <c r="N359" s="149"/>
      <c r="O359" s="149"/>
      <c r="P359" s="150"/>
      <c r="Q359" s="150"/>
      <c r="R359" s="151"/>
      <c r="S359" s="152"/>
      <c r="T359" s="152"/>
      <c r="U359" s="150"/>
      <c r="V359" s="152"/>
      <c r="W359" s="152"/>
      <c r="X359" s="246"/>
      <c r="Y359" s="106"/>
    </row>
    <row r="360" spans="1:25">
      <c r="A360" t="str" cm="1">
        <f t="array" ref="A36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IFERROR(INDEX(_xlpm.sorted,ROWS(A$2:A360)),"")
)</f>
        <v/>
      </c>
      <c r="B360" s="147" t="str" cm="1">
        <f t="array" ref="B360">_xlfn.LET(_xlpm.p,$A360,_xlfn.IFNA(
  INDEX(tblProjectInfo[InfoValue],
        MATCH(1,(tblProjectInfo[ProjectName]=_xlpm.p)*
                 (UPPER(TRIM(tblProjectInfo[Info]))="PROJECT SIZE (KWP)"),0)
), ""))</f>
        <v/>
      </c>
      <c r="C360" s="147" t="str" cm="1">
        <f t="array" ref="C360">_xlfn.LET(_xlpm.p,$A360,_xlfn.IFNA(
  INDEX(tblProjectInfo[InfoValue],
        MATCH(1,(tblProjectInfo[ProjectName]=_xlpm.p)*
                 (UPPER(TRIM(tblProjectInfo[Info]))="PROJECT DEVELOPER"),0)
), ""))</f>
        <v/>
      </c>
      <c r="D360" s="148" t="str" cm="1">
        <f t="array" ref="D360">_xlfn.LET(_xlpm.p,$A360,_xlfn.IFNA(
  INDEX(tblProjectInfo[InfoValue],
        MATCH(1,(tblProjectInfo[ProjectName]=_xlpm.p)*
                 (UPPER(TRIM(tblProjectInfo[Info]))="PROJECT MANAGERS"),0)
), ""))</f>
        <v/>
      </c>
      <c r="E360" s="147"/>
      <c r="F360" s="147"/>
      <c r="G360" s="147"/>
      <c r="H360" s="162" t="str" cm="1">
        <f t="array" ref="H360">_xlfn.LET(_xlpm.p,$A360,_xlfn.IFNA(
  INDEX(tblProjectInfo[InfoValue],
        MATCH(1,(tblProjectInfo[ProjectName]=_xlpm.p)*
                 ISNUMBER(SEARCH("PHASE",UPPER(tblProjectInfo[Info]))),0)
), ""))</f>
        <v/>
      </c>
      <c r="I360" s="149"/>
      <c r="J360" s="149"/>
      <c r="K360" s="169"/>
      <c r="L360" s="169"/>
      <c r="M360" s="149"/>
      <c r="N360" s="149"/>
      <c r="O360" s="149"/>
      <c r="P360" s="150"/>
      <c r="Q360" s="150"/>
      <c r="R360" s="151"/>
      <c r="S360" s="152"/>
      <c r="T360" s="152"/>
      <c r="U360" s="150"/>
      <c r="V360" s="152"/>
      <c r="W360" s="152"/>
      <c r="X360" s="246"/>
      <c r="Y360" s="106"/>
    </row>
    <row r="361" spans="1:25">
      <c r="A361" t="str" cm="1">
        <f t="array" ref="A36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IFERROR(INDEX(_xlpm.sorted,ROWS(A$2:A361)),"")
)</f>
        <v/>
      </c>
      <c r="B361" s="147" t="str" cm="1">
        <f t="array" ref="B361">_xlfn.LET(_xlpm.p,$A361,_xlfn.IFNA(
  INDEX(tblProjectInfo[InfoValue],
        MATCH(1,(tblProjectInfo[ProjectName]=_xlpm.p)*
                 (UPPER(TRIM(tblProjectInfo[Info]))="PROJECT SIZE (KWP)"),0)
), ""))</f>
        <v/>
      </c>
      <c r="C361" s="147" t="str" cm="1">
        <f t="array" ref="C361">_xlfn.LET(_xlpm.p,$A361,_xlfn.IFNA(
  INDEX(tblProjectInfo[InfoValue],
        MATCH(1,(tblProjectInfo[ProjectName]=_xlpm.p)*
                 (UPPER(TRIM(tblProjectInfo[Info]))="PROJECT DEVELOPER"),0)
), ""))</f>
        <v/>
      </c>
      <c r="D361" s="148" t="str" cm="1">
        <f t="array" ref="D361">_xlfn.LET(_xlpm.p,$A361,_xlfn.IFNA(
  INDEX(tblProjectInfo[InfoValue],
        MATCH(1,(tblProjectInfo[ProjectName]=_xlpm.p)*
                 (UPPER(TRIM(tblProjectInfo[Info]))="PROJECT MANAGERS"),0)
), ""))</f>
        <v/>
      </c>
      <c r="E361" s="147"/>
      <c r="F361" s="147"/>
      <c r="G361" s="147"/>
      <c r="H361" s="162" t="str" cm="1">
        <f t="array" ref="H361">_xlfn.LET(_xlpm.p,$A361,_xlfn.IFNA(
  INDEX(tblProjectInfo[InfoValue],
        MATCH(1,(tblProjectInfo[ProjectName]=_xlpm.p)*
                 ISNUMBER(SEARCH("PHASE",UPPER(tblProjectInfo[Info]))),0)
), ""))</f>
        <v/>
      </c>
      <c r="I361" s="149"/>
      <c r="J361" s="149"/>
      <c r="K361" s="169"/>
      <c r="L361" s="169"/>
      <c r="M361" s="149"/>
      <c r="N361" s="149"/>
      <c r="O361" s="149"/>
      <c r="P361" s="150"/>
      <c r="Q361" s="150"/>
      <c r="R361" s="151"/>
      <c r="S361" s="152"/>
      <c r="T361" s="152"/>
      <c r="U361" s="150"/>
      <c r="V361" s="152"/>
      <c r="W361" s="152"/>
      <c r="X361" s="246"/>
      <c r="Y361" s="106"/>
    </row>
    <row r="362" spans="1:25">
      <c r="A362" t="str" cm="1">
        <f t="array" ref="A36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IFERROR(INDEX(_xlpm.sorted,ROWS(A$2:A362)),"")
)</f>
        <v/>
      </c>
      <c r="B362" s="147" t="str" cm="1">
        <f t="array" ref="B362">_xlfn.LET(_xlpm.p,$A362,_xlfn.IFNA(
  INDEX(tblProjectInfo[InfoValue],
        MATCH(1,(tblProjectInfo[ProjectName]=_xlpm.p)*
                 (UPPER(TRIM(tblProjectInfo[Info]))="PROJECT SIZE (KWP)"),0)
), ""))</f>
        <v/>
      </c>
      <c r="C362" s="147" t="str" cm="1">
        <f t="array" ref="C362">_xlfn.LET(_xlpm.p,$A362,_xlfn.IFNA(
  INDEX(tblProjectInfo[InfoValue],
        MATCH(1,(tblProjectInfo[ProjectName]=_xlpm.p)*
                 (UPPER(TRIM(tblProjectInfo[Info]))="PROJECT DEVELOPER"),0)
), ""))</f>
        <v/>
      </c>
      <c r="D362" s="148" t="str" cm="1">
        <f t="array" ref="D362">_xlfn.LET(_xlpm.p,$A362,_xlfn.IFNA(
  INDEX(tblProjectInfo[InfoValue],
        MATCH(1,(tblProjectInfo[ProjectName]=_xlpm.p)*
                 (UPPER(TRIM(tblProjectInfo[Info]))="PROJECT MANAGERS"),0)
), ""))</f>
        <v/>
      </c>
      <c r="E362" s="147"/>
      <c r="F362" s="147"/>
      <c r="G362" s="147"/>
      <c r="H362" s="162" t="str" cm="1">
        <f t="array" ref="H362">_xlfn.LET(_xlpm.p,$A362,_xlfn.IFNA(
  INDEX(tblProjectInfo[InfoValue],
        MATCH(1,(tblProjectInfo[ProjectName]=_xlpm.p)*
                 ISNUMBER(SEARCH("PHASE",UPPER(tblProjectInfo[Info]))),0)
), ""))</f>
        <v/>
      </c>
      <c r="I362" s="149"/>
      <c r="J362" s="149"/>
      <c r="K362" s="169"/>
      <c r="L362" s="169"/>
      <c r="M362" s="149"/>
      <c r="N362" s="149"/>
      <c r="O362" s="149"/>
      <c r="P362" s="150"/>
      <c r="Q362" s="150"/>
      <c r="R362" s="151"/>
      <c r="S362" s="152"/>
      <c r="T362" s="152"/>
      <c r="U362" s="150"/>
      <c r="V362" s="152"/>
      <c r="W362" s="152"/>
      <c r="X362" s="246"/>
      <c r="Y362" s="106"/>
    </row>
    <row r="363" spans="1:25">
      <c r="A363" t="str" cm="1">
        <f t="array" ref="A36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IFERROR(INDEX(_xlpm.sorted,ROWS(A$2:A363)),"")
)</f>
        <v/>
      </c>
      <c r="B363" s="147" t="str" cm="1">
        <f t="array" ref="B363">_xlfn.LET(_xlpm.p,$A363,_xlfn.IFNA(
  INDEX(tblProjectInfo[InfoValue],
        MATCH(1,(tblProjectInfo[ProjectName]=_xlpm.p)*
                 (UPPER(TRIM(tblProjectInfo[Info]))="PROJECT SIZE (KWP)"),0)
), ""))</f>
        <v/>
      </c>
      <c r="C363" s="147" t="str" cm="1">
        <f t="array" ref="C363">_xlfn.LET(_xlpm.p,$A363,_xlfn.IFNA(
  INDEX(tblProjectInfo[InfoValue],
        MATCH(1,(tblProjectInfo[ProjectName]=_xlpm.p)*
                 (UPPER(TRIM(tblProjectInfo[Info]))="PROJECT DEVELOPER"),0)
), ""))</f>
        <v/>
      </c>
      <c r="D363" s="148" t="str" cm="1">
        <f t="array" ref="D363">_xlfn.LET(_xlpm.p,$A363,_xlfn.IFNA(
  INDEX(tblProjectInfo[InfoValue],
        MATCH(1,(tblProjectInfo[ProjectName]=_xlpm.p)*
                 (UPPER(TRIM(tblProjectInfo[Info]))="PROJECT MANAGERS"),0)
), ""))</f>
        <v/>
      </c>
      <c r="E363" s="147"/>
      <c r="F363" s="147"/>
      <c r="G363" s="147"/>
      <c r="H363" s="162" t="str" cm="1">
        <f t="array" ref="H363">_xlfn.LET(_xlpm.p,$A363,_xlfn.IFNA(
  INDEX(tblProjectInfo[InfoValue],
        MATCH(1,(tblProjectInfo[ProjectName]=_xlpm.p)*
                 ISNUMBER(SEARCH("PHASE",UPPER(tblProjectInfo[Info]))),0)
), ""))</f>
        <v/>
      </c>
      <c r="I363" s="149"/>
      <c r="J363" s="149"/>
      <c r="K363" s="169"/>
      <c r="L363" s="169"/>
      <c r="M363" s="149"/>
      <c r="N363" s="149"/>
      <c r="O363" s="149"/>
      <c r="P363" s="150"/>
      <c r="Q363" s="150"/>
      <c r="R363" s="151"/>
      <c r="S363" s="152"/>
      <c r="T363" s="152"/>
      <c r="U363" s="150"/>
      <c r="V363" s="152"/>
      <c r="W363" s="152"/>
      <c r="X363" s="246"/>
      <c r="Y363" s="106"/>
    </row>
    <row r="364" spans="1:25">
      <c r="A364" t="str" cm="1">
        <f t="array" ref="A36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IFERROR(INDEX(_xlpm.sorted,ROWS(A$2:A364)),"")
)</f>
        <v/>
      </c>
      <c r="B364" s="147" t="str" cm="1">
        <f t="array" ref="B364">_xlfn.LET(_xlpm.p,$A364,_xlfn.IFNA(
  INDEX(tblProjectInfo[InfoValue],
        MATCH(1,(tblProjectInfo[ProjectName]=_xlpm.p)*
                 (UPPER(TRIM(tblProjectInfo[Info]))="PROJECT SIZE (KWP)"),0)
), ""))</f>
        <v/>
      </c>
      <c r="C364" s="147" t="str" cm="1">
        <f t="array" ref="C364">_xlfn.LET(_xlpm.p,$A364,_xlfn.IFNA(
  INDEX(tblProjectInfo[InfoValue],
        MATCH(1,(tblProjectInfo[ProjectName]=_xlpm.p)*
                 (UPPER(TRIM(tblProjectInfo[Info]))="PROJECT DEVELOPER"),0)
), ""))</f>
        <v/>
      </c>
      <c r="D364" s="148" t="str" cm="1">
        <f t="array" ref="D364">_xlfn.LET(_xlpm.p,$A364,_xlfn.IFNA(
  INDEX(tblProjectInfo[InfoValue],
        MATCH(1,(tblProjectInfo[ProjectName]=_xlpm.p)*
                 (UPPER(TRIM(tblProjectInfo[Info]))="PROJECT MANAGERS"),0)
), ""))</f>
        <v/>
      </c>
      <c r="E364" s="147"/>
      <c r="F364" s="147"/>
      <c r="G364" s="147"/>
      <c r="H364" s="162" t="str" cm="1">
        <f t="array" ref="H364">_xlfn.LET(_xlpm.p,$A364,_xlfn.IFNA(
  INDEX(tblProjectInfo[InfoValue],
        MATCH(1,(tblProjectInfo[ProjectName]=_xlpm.p)*
                 ISNUMBER(SEARCH("PHASE",UPPER(tblProjectInfo[Info]))),0)
), ""))</f>
        <v/>
      </c>
      <c r="I364" s="149"/>
      <c r="J364" s="149"/>
      <c r="K364" s="169"/>
      <c r="L364" s="169"/>
      <c r="M364" s="149"/>
      <c r="N364" s="149"/>
      <c r="O364" s="149"/>
      <c r="P364" s="150"/>
      <c r="Q364" s="150"/>
      <c r="R364" s="151"/>
      <c r="S364" s="152"/>
      <c r="T364" s="152"/>
      <c r="U364" s="150"/>
      <c r="V364" s="152"/>
      <c r="W364" s="152"/>
      <c r="X364" s="246"/>
      <c r="Y364" s="106"/>
    </row>
    <row r="365" spans="1:25">
      <c r="A365" t="str" cm="1">
        <f t="array" ref="A36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IFERROR(INDEX(_xlpm.sorted,ROWS(A$2:A365)),"")
)</f>
        <v/>
      </c>
      <c r="B365" s="147" t="str" cm="1">
        <f t="array" ref="B365">_xlfn.LET(_xlpm.p,$A365,_xlfn.IFNA(
  INDEX(tblProjectInfo[InfoValue],
        MATCH(1,(tblProjectInfo[ProjectName]=_xlpm.p)*
                 (UPPER(TRIM(tblProjectInfo[Info]))="PROJECT SIZE (KWP)"),0)
), ""))</f>
        <v/>
      </c>
      <c r="C365" s="147" t="str" cm="1">
        <f t="array" ref="C365">_xlfn.LET(_xlpm.p,$A365,_xlfn.IFNA(
  INDEX(tblProjectInfo[InfoValue],
        MATCH(1,(tblProjectInfo[ProjectName]=_xlpm.p)*
                 (UPPER(TRIM(tblProjectInfo[Info]))="PROJECT DEVELOPER"),0)
), ""))</f>
        <v/>
      </c>
      <c r="D365" s="148" t="str" cm="1">
        <f t="array" ref="D365">_xlfn.LET(_xlpm.p,$A365,_xlfn.IFNA(
  INDEX(tblProjectInfo[InfoValue],
        MATCH(1,(tblProjectInfo[ProjectName]=_xlpm.p)*
                 (UPPER(TRIM(tblProjectInfo[Info]))="PROJECT MANAGERS"),0)
), ""))</f>
        <v/>
      </c>
      <c r="E365" s="147"/>
      <c r="F365" s="147"/>
      <c r="G365" s="147"/>
      <c r="H365" s="162" t="str" cm="1">
        <f t="array" ref="H365">_xlfn.LET(_xlpm.p,$A365,_xlfn.IFNA(
  INDEX(tblProjectInfo[InfoValue],
        MATCH(1,(tblProjectInfo[ProjectName]=_xlpm.p)*
                 ISNUMBER(SEARCH("PHASE",UPPER(tblProjectInfo[Info]))),0)
), ""))</f>
        <v/>
      </c>
      <c r="I365" s="149"/>
      <c r="J365" s="149"/>
      <c r="K365" s="169"/>
      <c r="L365" s="169"/>
      <c r="M365" s="149"/>
      <c r="N365" s="149"/>
      <c r="O365" s="149"/>
      <c r="P365" s="150"/>
      <c r="Q365" s="150"/>
      <c r="R365" s="151"/>
      <c r="S365" s="152"/>
      <c r="T365" s="152"/>
      <c r="U365" s="150"/>
      <c r="V365" s="152"/>
      <c r="W365" s="152"/>
      <c r="X365" s="246"/>
      <c r="Y365" s="106"/>
    </row>
    <row r="366" spans="1:25">
      <c r="A366" t="str" cm="1">
        <f t="array" ref="A36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IFERROR(INDEX(_xlpm.sorted,ROWS(A$2:A366)),"")
)</f>
        <v/>
      </c>
      <c r="B366" s="147" t="str" cm="1">
        <f t="array" ref="B366">_xlfn.LET(_xlpm.p,$A366,_xlfn.IFNA(
  INDEX(tblProjectInfo[InfoValue],
        MATCH(1,(tblProjectInfo[ProjectName]=_xlpm.p)*
                 (UPPER(TRIM(tblProjectInfo[Info]))="PROJECT SIZE (KWP)"),0)
), ""))</f>
        <v/>
      </c>
      <c r="C366" s="147" t="str" cm="1">
        <f t="array" ref="C366">_xlfn.LET(_xlpm.p,$A366,_xlfn.IFNA(
  INDEX(tblProjectInfo[InfoValue],
        MATCH(1,(tblProjectInfo[ProjectName]=_xlpm.p)*
                 (UPPER(TRIM(tblProjectInfo[Info]))="PROJECT DEVELOPER"),0)
), ""))</f>
        <v/>
      </c>
      <c r="D366" s="148" t="str" cm="1">
        <f t="array" ref="D366">_xlfn.LET(_xlpm.p,$A366,_xlfn.IFNA(
  INDEX(tblProjectInfo[InfoValue],
        MATCH(1,(tblProjectInfo[ProjectName]=_xlpm.p)*
                 (UPPER(TRIM(tblProjectInfo[Info]))="PROJECT MANAGERS"),0)
), ""))</f>
        <v/>
      </c>
      <c r="E366" s="147"/>
      <c r="F366" s="147"/>
      <c r="G366" s="147"/>
      <c r="H366" s="162" t="str" cm="1">
        <f t="array" ref="H366">_xlfn.LET(_xlpm.p,$A366,_xlfn.IFNA(
  INDEX(tblProjectInfo[InfoValue],
        MATCH(1,(tblProjectInfo[ProjectName]=_xlpm.p)*
                 ISNUMBER(SEARCH("PHASE",UPPER(tblProjectInfo[Info]))),0)
), ""))</f>
        <v/>
      </c>
      <c r="I366" s="149"/>
      <c r="J366" s="149"/>
      <c r="K366" s="169"/>
      <c r="L366" s="169"/>
      <c r="M366" s="149"/>
      <c r="N366" s="149"/>
      <c r="O366" s="149"/>
      <c r="P366" s="150"/>
      <c r="Q366" s="150"/>
      <c r="R366" s="151"/>
      <c r="S366" s="152"/>
      <c r="T366" s="152"/>
      <c r="U366" s="150"/>
      <c r="V366" s="152"/>
      <c r="W366" s="152"/>
      <c r="X366" s="246"/>
      <c r="Y366" s="106"/>
    </row>
    <row r="367" spans="1:25">
      <c r="A367" t="str" cm="1">
        <f t="array" ref="A36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IFERROR(INDEX(_xlpm.sorted,ROWS(A$2:A367)),"")
)</f>
        <v/>
      </c>
      <c r="B367" s="147" t="str" cm="1">
        <f t="array" ref="B367">_xlfn.LET(_xlpm.p,$A367,_xlfn.IFNA(
  INDEX(tblProjectInfo[InfoValue],
        MATCH(1,(tblProjectInfo[ProjectName]=_xlpm.p)*
                 (UPPER(TRIM(tblProjectInfo[Info]))="PROJECT SIZE (KWP)"),0)
), ""))</f>
        <v/>
      </c>
      <c r="C367" s="147" t="str" cm="1">
        <f t="array" ref="C367">_xlfn.LET(_xlpm.p,$A367,_xlfn.IFNA(
  INDEX(tblProjectInfo[InfoValue],
        MATCH(1,(tblProjectInfo[ProjectName]=_xlpm.p)*
                 (UPPER(TRIM(tblProjectInfo[Info]))="PROJECT DEVELOPER"),0)
), ""))</f>
        <v/>
      </c>
      <c r="D367" s="148" t="str" cm="1">
        <f t="array" ref="D367">_xlfn.LET(_xlpm.p,$A367,_xlfn.IFNA(
  INDEX(tblProjectInfo[InfoValue],
        MATCH(1,(tblProjectInfo[ProjectName]=_xlpm.p)*
                 (UPPER(TRIM(tblProjectInfo[Info]))="PROJECT MANAGERS"),0)
), ""))</f>
        <v/>
      </c>
      <c r="E367" s="147"/>
      <c r="F367" s="147"/>
      <c r="G367" s="147"/>
      <c r="H367" s="162" t="str" cm="1">
        <f t="array" ref="H367">_xlfn.LET(_xlpm.p,$A367,_xlfn.IFNA(
  INDEX(tblProjectInfo[InfoValue],
        MATCH(1,(tblProjectInfo[ProjectName]=_xlpm.p)*
                 ISNUMBER(SEARCH("PHASE",UPPER(tblProjectInfo[Info]))),0)
), ""))</f>
        <v/>
      </c>
      <c r="I367" s="149"/>
      <c r="J367" s="149"/>
      <c r="K367" s="169"/>
      <c r="L367" s="169"/>
      <c r="M367" s="149"/>
      <c r="N367" s="149"/>
      <c r="O367" s="149"/>
      <c r="P367" s="150"/>
      <c r="Q367" s="150"/>
      <c r="R367" s="151"/>
      <c r="S367" s="152"/>
      <c r="T367" s="152"/>
      <c r="U367" s="150"/>
      <c r="V367" s="152"/>
      <c r="W367" s="152"/>
      <c r="X367" s="246"/>
      <c r="Y367" s="106"/>
    </row>
    <row r="368" spans="1:25">
      <c r="A368" t="str" cm="1">
        <f t="array" ref="A36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IFERROR(INDEX(_xlpm.sorted,ROWS(A$2:A368)),"")
)</f>
        <v/>
      </c>
      <c r="B368" s="147" t="str" cm="1">
        <f t="array" ref="B368">_xlfn.LET(_xlpm.p,$A368,_xlfn.IFNA(
  INDEX(tblProjectInfo[InfoValue],
        MATCH(1,(tblProjectInfo[ProjectName]=_xlpm.p)*
                 (UPPER(TRIM(tblProjectInfo[Info]))="PROJECT SIZE (KWP)"),0)
), ""))</f>
        <v/>
      </c>
      <c r="C368" s="147" t="str" cm="1">
        <f t="array" ref="C368">_xlfn.LET(_xlpm.p,$A368,_xlfn.IFNA(
  INDEX(tblProjectInfo[InfoValue],
        MATCH(1,(tblProjectInfo[ProjectName]=_xlpm.p)*
                 (UPPER(TRIM(tblProjectInfo[Info]))="PROJECT DEVELOPER"),0)
), ""))</f>
        <v/>
      </c>
      <c r="D368" s="148" t="str" cm="1">
        <f t="array" ref="D368">_xlfn.LET(_xlpm.p,$A368,_xlfn.IFNA(
  INDEX(tblProjectInfo[InfoValue],
        MATCH(1,(tblProjectInfo[ProjectName]=_xlpm.p)*
                 (UPPER(TRIM(tblProjectInfo[Info]))="PROJECT MANAGERS"),0)
), ""))</f>
        <v/>
      </c>
      <c r="E368" s="147"/>
      <c r="F368" s="147"/>
      <c r="G368" s="147"/>
      <c r="H368" s="162" t="str" cm="1">
        <f t="array" ref="H368">_xlfn.LET(_xlpm.p,$A368,_xlfn.IFNA(
  INDEX(tblProjectInfo[InfoValue],
        MATCH(1,(tblProjectInfo[ProjectName]=_xlpm.p)*
                 ISNUMBER(SEARCH("PHASE",UPPER(tblProjectInfo[Info]))),0)
), ""))</f>
        <v/>
      </c>
      <c r="I368" s="149"/>
      <c r="J368" s="149"/>
      <c r="K368" s="169"/>
      <c r="L368" s="169"/>
      <c r="M368" s="149"/>
      <c r="N368" s="149"/>
      <c r="O368" s="149"/>
      <c r="P368" s="150"/>
      <c r="Q368" s="150"/>
      <c r="R368" s="151"/>
      <c r="S368" s="152"/>
      <c r="T368" s="152"/>
      <c r="U368" s="150"/>
      <c r="V368" s="152"/>
      <c r="W368" s="152"/>
      <c r="X368" s="246"/>
      <c r="Y368" s="106"/>
    </row>
    <row r="369" spans="1:25">
      <c r="A369" t="str" cm="1">
        <f t="array" ref="A36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IFERROR(INDEX(_xlpm.sorted,ROWS(A$2:A369)),"")
)</f>
        <v/>
      </c>
      <c r="B369" s="147" t="str" cm="1">
        <f t="array" ref="B369">_xlfn.LET(_xlpm.p,$A369,_xlfn.IFNA(
  INDEX(tblProjectInfo[InfoValue],
        MATCH(1,(tblProjectInfo[ProjectName]=_xlpm.p)*
                 (UPPER(TRIM(tblProjectInfo[Info]))="PROJECT SIZE (KWP)"),0)
), ""))</f>
        <v/>
      </c>
      <c r="C369" s="147" t="str" cm="1">
        <f t="array" ref="C369">_xlfn.LET(_xlpm.p,$A369,_xlfn.IFNA(
  INDEX(tblProjectInfo[InfoValue],
        MATCH(1,(tblProjectInfo[ProjectName]=_xlpm.p)*
                 (UPPER(TRIM(tblProjectInfo[Info]))="PROJECT DEVELOPER"),0)
), ""))</f>
        <v/>
      </c>
      <c r="D369" s="148" t="str" cm="1">
        <f t="array" ref="D369">_xlfn.LET(_xlpm.p,$A369,_xlfn.IFNA(
  INDEX(tblProjectInfo[InfoValue],
        MATCH(1,(tblProjectInfo[ProjectName]=_xlpm.p)*
                 (UPPER(TRIM(tblProjectInfo[Info]))="PROJECT MANAGERS"),0)
), ""))</f>
        <v/>
      </c>
      <c r="E369" s="147"/>
      <c r="F369" s="147"/>
      <c r="G369" s="147"/>
      <c r="H369" s="162" t="str" cm="1">
        <f t="array" ref="H369">_xlfn.LET(_xlpm.p,$A369,_xlfn.IFNA(
  INDEX(tblProjectInfo[InfoValue],
        MATCH(1,(tblProjectInfo[ProjectName]=_xlpm.p)*
                 ISNUMBER(SEARCH("PHASE",UPPER(tblProjectInfo[Info]))),0)
), ""))</f>
        <v/>
      </c>
      <c r="I369" s="149"/>
      <c r="J369" s="149"/>
      <c r="K369" s="169"/>
      <c r="L369" s="169"/>
      <c r="M369" s="149"/>
      <c r="N369" s="149"/>
      <c r="O369" s="149"/>
      <c r="P369" s="150"/>
      <c r="Q369" s="150"/>
      <c r="R369" s="151"/>
      <c r="S369" s="152"/>
      <c r="T369" s="152"/>
      <c r="U369" s="150"/>
      <c r="V369" s="152"/>
      <c r="W369" s="152"/>
      <c r="X369" s="246"/>
      <c r="Y369" s="106"/>
    </row>
    <row r="370" spans="1:25">
      <c r="A370" t="str" cm="1">
        <f t="array" ref="A37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IFERROR(INDEX(_xlpm.sorted,ROWS(A$2:A370)),"")
)</f>
        <v/>
      </c>
      <c r="B370" s="147" t="str" cm="1">
        <f t="array" ref="B370">_xlfn.LET(_xlpm.p,$A370,_xlfn.IFNA(
  INDEX(tblProjectInfo[InfoValue],
        MATCH(1,(tblProjectInfo[ProjectName]=_xlpm.p)*
                 (UPPER(TRIM(tblProjectInfo[Info]))="PROJECT SIZE (KWP)"),0)
), ""))</f>
        <v/>
      </c>
      <c r="C370" s="147" t="str" cm="1">
        <f t="array" ref="C370">_xlfn.LET(_xlpm.p,$A370,_xlfn.IFNA(
  INDEX(tblProjectInfo[InfoValue],
        MATCH(1,(tblProjectInfo[ProjectName]=_xlpm.p)*
                 (UPPER(TRIM(tblProjectInfo[Info]))="PROJECT DEVELOPER"),0)
), ""))</f>
        <v/>
      </c>
      <c r="D370" s="148" t="str" cm="1">
        <f t="array" ref="D370">_xlfn.LET(_xlpm.p,$A370,_xlfn.IFNA(
  INDEX(tblProjectInfo[InfoValue],
        MATCH(1,(tblProjectInfo[ProjectName]=_xlpm.p)*
                 (UPPER(TRIM(tblProjectInfo[Info]))="PROJECT MANAGERS"),0)
), ""))</f>
        <v/>
      </c>
      <c r="E370" s="147"/>
      <c r="F370" s="147"/>
      <c r="G370" s="147"/>
      <c r="H370" s="162" t="str" cm="1">
        <f t="array" ref="H370">_xlfn.LET(_xlpm.p,$A370,_xlfn.IFNA(
  INDEX(tblProjectInfo[InfoValue],
        MATCH(1,(tblProjectInfo[ProjectName]=_xlpm.p)*
                 ISNUMBER(SEARCH("PHASE",UPPER(tblProjectInfo[Info]))),0)
), ""))</f>
        <v/>
      </c>
      <c r="I370" s="149"/>
      <c r="J370" s="149"/>
      <c r="K370" s="169"/>
      <c r="L370" s="169"/>
      <c r="M370" s="149"/>
      <c r="N370" s="149"/>
      <c r="O370" s="149"/>
      <c r="P370" s="150"/>
      <c r="Q370" s="150"/>
      <c r="R370" s="151"/>
      <c r="S370" s="152"/>
      <c r="T370" s="152"/>
      <c r="U370" s="150"/>
      <c r="V370" s="152"/>
      <c r="W370" s="152"/>
      <c r="X370" s="246"/>
      <c r="Y370" s="106"/>
    </row>
    <row r="371" spans="1:25">
      <c r="A371" t="str" cm="1">
        <f t="array" ref="A37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IFERROR(INDEX(_xlpm.sorted,ROWS(A$2:A371)),"")
)</f>
        <v/>
      </c>
      <c r="B371" s="147" t="str" cm="1">
        <f t="array" ref="B371">_xlfn.LET(_xlpm.p,$A371,_xlfn.IFNA(
  INDEX(tblProjectInfo[InfoValue],
        MATCH(1,(tblProjectInfo[ProjectName]=_xlpm.p)*
                 (UPPER(TRIM(tblProjectInfo[Info]))="PROJECT SIZE (KWP)"),0)
), ""))</f>
        <v/>
      </c>
      <c r="C371" s="147" t="str" cm="1">
        <f t="array" ref="C371">_xlfn.LET(_xlpm.p,$A371,_xlfn.IFNA(
  INDEX(tblProjectInfo[InfoValue],
        MATCH(1,(tblProjectInfo[ProjectName]=_xlpm.p)*
                 (UPPER(TRIM(tblProjectInfo[Info]))="PROJECT DEVELOPER"),0)
), ""))</f>
        <v/>
      </c>
      <c r="D371" s="148" t="str" cm="1">
        <f t="array" ref="D371">_xlfn.LET(_xlpm.p,$A371,_xlfn.IFNA(
  INDEX(tblProjectInfo[InfoValue],
        MATCH(1,(tblProjectInfo[ProjectName]=_xlpm.p)*
                 (UPPER(TRIM(tblProjectInfo[Info]))="PROJECT MANAGERS"),0)
), ""))</f>
        <v/>
      </c>
      <c r="E371" s="147"/>
      <c r="F371" s="147"/>
      <c r="G371" s="147"/>
      <c r="H371" s="162" t="str" cm="1">
        <f t="array" ref="H371">_xlfn.LET(_xlpm.p,$A371,_xlfn.IFNA(
  INDEX(tblProjectInfo[InfoValue],
        MATCH(1,(tblProjectInfo[ProjectName]=_xlpm.p)*
                 ISNUMBER(SEARCH("PHASE",UPPER(tblProjectInfo[Info]))),0)
), ""))</f>
        <v/>
      </c>
      <c r="I371" s="149"/>
      <c r="J371" s="149"/>
      <c r="K371" s="169"/>
      <c r="L371" s="169"/>
      <c r="M371" s="149"/>
      <c r="N371" s="149"/>
      <c r="O371" s="149"/>
      <c r="P371" s="150"/>
      <c r="Q371" s="150"/>
      <c r="R371" s="151"/>
      <c r="S371" s="152"/>
      <c r="T371" s="152"/>
      <c r="U371" s="150"/>
      <c r="V371" s="152"/>
      <c r="W371" s="152"/>
      <c r="X371" s="246"/>
      <c r="Y371" s="106"/>
    </row>
    <row r="372" spans="1:25">
      <c r="A372" t="str" cm="1">
        <f t="array" ref="A37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IFERROR(INDEX(_xlpm.sorted,ROWS(A$2:A372)),"")
)</f>
        <v/>
      </c>
      <c r="B372" s="147" t="str" cm="1">
        <f t="array" ref="B372">_xlfn.LET(_xlpm.p,$A372,_xlfn.IFNA(
  INDEX(tblProjectInfo[InfoValue],
        MATCH(1,(tblProjectInfo[ProjectName]=_xlpm.p)*
                 (UPPER(TRIM(tblProjectInfo[Info]))="PROJECT SIZE (KWP)"),0)
), ""))</f>
        <v/>
      </c>
      <c r="C372" s="147" t="str" cm="1">
        <f t="array" ref="C372">_xlfn.LET(_xlpm.p,$A372,_xlfn.IFNA(
  INDEX(tblProjectInfo[InfoValue],
        MATCH(1,(tblProjectInfo[ProjectName]=_xlpm.p)*
                 (UPPER(TRIM(tblProjectInfo[Info]))="PROJECT DEVELOPER"),0)
), ""))</f>
        <v/>
      </c>
      <c r="D372" s="148" t="str" cm="1">
        <f t="array" ref="D372">_xlfn.LET(_xlpm.p,$A372,_xlfn.IFNA(
  INDEX(tblProjectInfo[InfoValue],
        MATCH(1,(tblProjectInfo[ProjectName]=_xlpm.p)*
                 (UPPER(TRIM(tblProjectInfo[Info]))="PROJECT MANAGERS"),0)
), ""))</f>
        <v/>
      </c>
      <c r="E372" s="147"/>
      <c r="F372" s="147"/>
      <c r="G372" s="147"/>
      <c r="H372" s="162" t="str" cm="1">
        <f t="array" ref="H372">_xlfn.LET(_xlpm.p,$A372,_xlfn.IFNA(
  INDEX(tblProjectInfo[InfoValue],
        MATCH(1,(tblProjectInfo[ProjectName]=_xlpm.p)*
                 ISNUMBER(SEARCH("PHASE",UPPER(tblProjectInfo[Info]))),0)
), ""))</f>
        <v/>
      </c>
      <c r="I372" s="149"/>
      <c r="J372" s="149"/>
      <c r="K372" s="169"/>
      <c r="L372" s="169"/>
      <c r="M372" s="149"/>
      <c r="N372" s="149"/>
      <c r="O372" s="149"/>
      <c r="P372" s="150"/>
      <c r="Q372" s="150"/>
      <c r="R372" s="151"/>
      <c r="S372" s="152"/>
      <c r="T372" s="152"/>
      <c r="U372" s="150"/>
      <c r="V372" s="152"/>
      <c r="W372" s="152"/>
      <c r="X372" s="246"/>
      <c r="Y372" s="106"/>
    </row>
    <row r="373" spans="1:25">
      <c r="A373" t="str" cm="1">
        <f t="array" ref="A37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IFERROR(INDEX(_xlpm.sorted,ROWS(A$2:A373)),"")
)</f>
        <v/>
      </c>
      <c r="B373" s="147" t="str" cm="1">
        <f t="array" ref="B373">_xlfn.LET(_xlpm.p,$A373,_xlfn.IFNA(
  INDEX(tblProjectInfo[InfoValue],
        MATCH(1,(tblProjectInfo[ProjectName]=_xlpm.p)*
                 (UPPER(TRIM(tblProjectInfo[Info]))="PROJECT SIZE (KWP)"),0)
), ""))</f>
        <v/>
      </c>
      <c r="C373" s="147" t="str" cm="1">
        <f t="array" ref="C373">_xlfn.LET(_xlpm.p,$A373,_xlfn.IFNA(
  INDEX(tblProjectInfo[InfoValue],
        MATCH(1,(tblProjectInfo[ProjectName]=_xlpm.p)*
                 (UPPER(TRIM(tblProjectInfo[Info]))="PROJECT DEVELOPER"),0)
), ""))</f>
        <v/>
      </c>
      <c r="D373" s="148" t="str" cm="1">
        <f t="array" ref="D373">_xlfn.LET(_xlpm.p,$A373,_xlfn.IFNA(
  INDEX(tblProjectInfo[InfoValue],
        MATCH(1,(tblProjectInfo[ProjectName]=_xlpm.p)*
                 (UPPER(TRIM(tblProjectInfo[Info]))="PROJECT MANAGERS"),0)
), ""))</f>
        <v/>
      </c>
      <c r="E373" s="147"/>
      <c r="F373" s="147"/>
      <c r="G373" s="147"/>
      <c r="H373" s="162" t="str" cm="1">
        <f t="array" ref="H373">_xlfn.LET(_xlpm.p,$A373,_xlfn.IFNA(
  INDEX(tblProjectInfo[InfoValue],
        MATCH(1,(tblProjectInfo[ProjectName]=_xlpm.p)*
                 ISNUMBER(SEARCH("PHASE",UPPER(tblProjectInfo[Info]))),0)
), ""))</f>
        <v/>
      </c>
      <c r="I373" s="149"/>
      <c r="J373" s="149"/>
      <c r="K373" s="169"/>
      <c r="L373" s="169"/>
      <c r="M373" s="149"/>
      <c r="N373" s="149"/>
      <c r="O373" s="149"/>
      <c r="P373" s="150"/>
      <c r="Q373" s="150"/>
      <c r="R373" s="151"/>
      <c r="S373" s="152"/>
      <c r="T373" s="152"/>
      <c r="U373" s="150"/>
      <c r="V373" s="152"/>
      <c r="W373" s="152"/>
      <c r="X373" s="246"/>
      <c r="Y373" s="106"/>
    </row>
    <row r="374" spans="1:25">
      <c r="A374" t="str" cm="1">
        <f t="array" ref="A37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IFERROR(INDEX(_xlpm.sorted,ROWS(A$2:A374)),"")
)</f>
        <v/>
      </c>
      <c r="B374" s="147" t="str" cm="1">
        <f t="array" ref="B374">_xlfn.LET(_xlpm.p,$A374,_xlfn.IFNA(
  INDEX(tblProjectInfo[InfoValue],
        MATCH(1,(tblProjectInfo[ProjectName]=_xlpm.p)*
                 (UPPER(TRIM(tblProjectInfo[Info]))="PROJECT SIZE (KWP)"),0)
), ""))</f>
        <v/>
      </c>
      <c r="C374" s="147" t="str" cm="1">
        <f t="array" ref="C374">_xlfn.LET(_xlpm.p,$A374,_xlfn.IFNA(
  INDEX(tblProjectInfo[InfoValue],
        MATCH(1,(tblProjectInfo[ProjectName]=_xlpm.p)*
                 (UPPER(TRIM(tblProjectInfo[Info]))="PROJECT DEVELOPER"),0)
), ""))</f>
        <v/>
      </c>
      <c r="D374" s="148" t="str" cm="1">
        <f t="array" ref="D374">_xlfn.LET(_xlpm.p,$A374,_xlfn.IFNA(
  INDEX(tblProjectInfo[InfoValue],
        MATCH(1,(tblProjectInfo[ProjectName]=_xlpm.p)*
                 (UPPER(TRIM(tblProjectInfo[Info]))="PROJECT MANAGERS"),0)
), ""))</f>
        <v/>
      </c>
      <c r="E374" s="147"/>
      <c r="F374" s="147"/>
      <c r="G374" s="147"/>
      <c r="H374" s="162" t="str" cm="1">
        <f t="array" ref="H374">_xlfn.LET(_xlpm.p,$A374,_xlfn.IFNA(
  INDEX(tblProjectInfo[InfoValue],
        MATCH(1,(tblProjectInfo[ProjectName]=_xlpm.p)*
                 ISNUMBER(SEARCH("PHASE",UPPER(tblProjectInfo[Info]))),0)
), ""))</f>
        <v/>
      </c>
      <c r="I374" s="149"/>
      <c r="J374" s="149"/>
      <c r="K374" s="169"/>
      <c r="L374" s="169"/>
      <c r="M374" s="149"/>
      <c r="N374" s="149"/>
      <c r="O374" s="149"/>
      <c r="P374" s="150"/>
      <c r="Q374" s="150"/>
      <c r="R374" s="151"/>
      <c r="S374" s="152"/>
      <c r="T374" s="152"/>
      <c r="U374" s="150"/>
      <c r="V374" s="152"/>
      <c r="W374" s="152"/>
      <c r="X374" s="246"/>
      <c r="Y374" s="106"/>
    </row>
    <row r="375" spans="1:25">
      <c r="A375" t="str" cm="1">
        <f t="array" ref="A37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IFERROR(INDEX(_xlpm.sorted,ROWS(A$2:A375)),"")
)</f>
        <v/>
      </c>
      <c r="B375" s="147" t="str" cm="1">
        <f t="array" ref="B375">_xlfn.LET(_xlpm.p,$A375,_xlfn.IFNA(
  INDEX(tblProjectInfo[InfoValue],
        MATCH(1,(tblProjectInfo[ProjectName]=_xlpm.p)*
                 (UPPER(TRIM(tblProjectInfo[Info]))="PROJECT SIZE (KWP)"),0)
), ""))</f>
        <v/>
      </c>
      <c r="C375" s="147" t="str" cm="1">
        <f t="array" ref="C375">_xlfn.LET(_xlpm.p,$A375,_xlfn.IFNA(
  INDEX(tblProjectInfo[InfoValue],
        MATCH(1,(tblProjectInfo[ProjectName]=_xlpm.p)*
                 (UPPER(TRIM(tblProjectInfo[Info]))="PROJECT DEVELOPER"),0)
), ""))</f>
        <v/>
      </c>
      <c r="D375" s="148" t="str" cm="1">
        <f t="array" ref="D375">_xlfn.LET(_xlpm.p,$A375,_xlfn.IFNA(
  INDEX(tblProjectInfo[InfoValue],
        MATCH(1,(tblProjectInfo[ProjectName]=_xlpm.p)*
                 (UPPER(TRIM(tblProjectInfo[Info]))="PROJECT MANAGERS"),0)
), ""))</f>
        <v/>
      </c>
      <c r="E375" s="147"/>
      <c r="F375" s="147"/>
      <c r="G375" s="147"/>
      <c r="H375" s="162" t="str" cm="1">
        <f t="array" ref="H375">_xlfn.LET(_xlpm.p,$A375,_xlfn.IFNA(
  INDEX(tblProjectInfo[InfoValue],
        MATCH(1,(tblProjectInfo[ProjectName]=_xlpm.p)*
                 ISNUMBER(SEARCH("PHASE",UPPER(tblProjectInfo[Info]))),0)
), ""))</f>
        <v/>
      </c>
      <c r="I375" s="149"/>
      <c r="J375" s="149"/>
      <c r="K375" s="169"/>
      <c r="L375" s="169"/>
      <c r="M375" s="149"/>
      <c r="N375" s="149"/>
      <c r="O375" s="149"/>
      <c r="P375" s="150"/>
      <c r="Q375" s="150"/>
      <c r="R375" s="151"/>
      <c r="S375" s="152"/>
      <c r="T375" s="152"/>
      <c r="U375" s="150"/>
      <c r="V375" s="152"/>
      <c r="W375" s="152"/>
      <c r="X375" s="246"/>
      <c r="Y375" s="106"/>
    </row>
    <row r="376" spans="1:25">
      <c r="A376" t="str" cm="1">
        <f t="array" ref="A37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IFERROR(INDEX(_xlpm.sorted,ROWS(A$2:A376)),"")
)</f>
        <v/>
      </c>
      <c r="B376" s="147" t="str" cm="1">
        <f t="array" ref="B376">_xlfn.LET(_xlpm.p,$A376,_xlfn.IFNA(
  INDEX(tblProjectInfo[InfoValue],
        MATCH(1,(tblProjectInfo[ProjectName]=_xlpm.p)*
                 (UPPER(TRIM(tblProjectInfo[Info]))="PROJECT SIZE (KWP)"),0)
), ""))</f>
        <v/>
      </c>
      <c r="C376" s="147" t="str" cm="1">
        <f t="array" ref="C376">_xlfn.LET(_xlpm.p,$A376,_xlfn.IFNA(
  INDEX(tblProjectInfo[InfoValue],
        MATCH(1,(tblProjectInfo[ProjectName]=_xlpm.p)*
                 (UPPER(TRIM(tblProjectInfo[Info]))="PROJECT DEVELOPER"),0)
), ""))</f>
        <v/>
      </c>
      <c r="D376" s="148" t="str" cm="1">
        <f t="array" ref="D376">_xlfn.LET(_xlpm.p,$A376,_xlfn.IFNA(
  INDEX(tblProjectInfo[InfoValue],
        MATCH(1,(tblProjectInfo[ProjectName]=_xlpm.p)*
                 (UPPER(TRIM(tblProjectInfo[Info]))="PROJECT MANAGERS"),0)
), ""))</f>
        <v/>
      </c>
      <c r="E376" s="147"/>
      <c r="F376" s="147"/>
      <c r="G376" s="147"/>
      <c r="H376" s="162" t="str" cm="1">
        <f t="array" ref="H376">_xlfn.LET(_xlpm.p,$A376,_xlfn.IFNA(
  INDEX(tblProjectInfo[InfoValue],
        MATCH(1,(tblProjectInfo[ProjectName]=_xlpm.p)*
                 ISNUMBER(SEARCH("PHASE",UPPER(tblProjectInfo[Info]))),0)
), ""))</f>
        <v/>
      </c>
      <c r="I376" s="149"/>
      <c r="J376" s="149"/>
      <c r="K376" s="169"/>
      <c r="L376" s="169"/>
      <c r="M376" s="149"/>
      <c r="N376" s="149"/>
      <c r="O376" s="149"/>
      <c r="P376" s="150"/>
      <c r="Q376" s="150"/>
      <c r="R376" s="151"/>
      <c r="S376" s="152"/>
      <c r="T376" s="152"/>
      <c r="U376" s="150"/>
      <c r="V376" s="152"/>
      <c r="W376" s="152"/>
      <c r="X376" s="246"/>
      <c r="Y376" s="106"/>
    </row>
    <row r="377" spans="1:25">
      <c r="A377" t="str" cm="1">
        <f t="array" ref="A37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IFERROR(INDEX(_xlpm.sorted,ROWS(A$2:A377)),"")
)</f>
        <v/>
      </c>
      <c r="B377" s="147" t="str" cm="1">
        <f t="array" ref="B377">_xlfn.LET(_xlpm.p,$A377,_xlfn.IFNA(
  INDEX(tblProjectInfo[InfoValue],
        MATCH(1,(tblProjectInfo[ProjectName]=_xlpm.p)*
                 (UPPER(TRIM(tblProjectInfo[Info]))="PROJECT SIZE (KWP)"),0)
), ""))</f>
        <v/>
      </c>
      <c r="C377" s="147" t="str" cm="1">
        <f t="array" ref="C377">_xlfn.LET(_xlpm.p,$A377,_xlfn.IFNA(
  INDEX(tblProjectInfo[InfoValue],
        MATCH(1,(tblProjectInfo[ProjectName]=_xlpm.p)*
                 (UPPER(TRIM(tblProjectInfo[Info]))="PROJECT DEVELOPER"),0)
), ""))</f>
        <v/>
      </c>
      <c r="D377" s="148" t="str" cm="1">
        <f t="array" ref="D377">_xlfn.LET(_xlpm.p,$A377,_xlfn.IFNA(
  INDEX(tblProjectInfo[InfoValue],
        MATCH(1,(tblProjectInfo[ProjectName]=_xlpm.p)*
                 (UPPER(TRIM(tblProjectInfo[Info]))="PROJECT MANAGERS"),0)
), ""))</f>
        <v/>
      </c>
      <c r="E377" s="147"/>
      <c r="F377" s="147"/>
      <c r="G377" s="147"/>
      <c r="H377" s="162" t="str" cm="1">
        <f t="array" ref="H377">_xlfn.LET(_xlpm.p,$A377,_xlfn.IFNA(
  INDEX(tblProjectInfo[InfoValue],
        MATCH(1,(tblProjectInfo[ProjectName]=_xlpm.p)*
                 ISNUMBER(SEARCH("PHASE",UPPER(tblProjectInfo[Info]))),0)
), ""))</f>
        <v/>
      </c>
      <c r="I377" s="149"/>
      <c r="J377" s="149"/>
      <c r="K377" s="169"/>
      <c r="L377" s="169"/>
      <c r="M377" s="149"/>
      <c r="N377" s="149"/>
      <c r="O377" s="149"/>
      <c r="P377" s="150"/>
      <c r="Q377" s="150"/>
      <c r="R377" s="151"/>
      <c r="S377" s="152"/>
      <c r="T377" s="152"/>
      <c r="U377" s="150"/>
      <c r="V377" s="152"/>
      <c r="W377" s="152"/>
      <c r="X377" s="246"/>
      <c r="Y377" s="106"/>
    </row>
    <row r="378" spans="1:25">
      <c r="A378" t="str" cm="1">
        <f t="array" ref="A37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IFERROR(INDEX(_xlpm.sorted,ROWS(A$2:A378)),"")
)</f>
        <v/>
      </c>
      <c r="B378" s="147" t="str" cm="1">
        <f t="array" ref="B378">_xlfn.LET(_xlpm.p,$A378,_xlfn.IFNA(
  INDEX(tblProjectInfo[InfoValue],
        MATCH(1,(tblProjectInfo[ProjectName]=_xlpm.p)*
                 (UPPER(TRIM(tblProjectInfo[Info]))="PROJECT SIZE (KWP)"),0)
), ""))</f>
        <v/>
      </c>
      <c r="C378" s="147" t="str" cm="1">
        <f t="array" ref="C378">_xlfn.LET(_xlpm.p,$A378,_xlfn.IFNA(
  INDEX(tblProjectInfo[InfoValue],
        MATCH(1,(tblProjectInfo[ProjectName]=_xlpm.p)*
                 (UPPER(TRIM(tblProjectInfo[Info]))="PROJECT DEVELOPER"),0)
), ""))</f>
        <v/>
      </c>
      <c r="D378" s="148" t="str" cm="1">
        <f t="array" ref="D378">_xlfn.LET(_xlpm.p,$A378,_xlfn.IFNA(
  INDEX(tblProjectInfo[InfoValue],
        MATCH(1,(tblProjectInfo[ProjectName]=_xlpm.p)*
                 (UPPER(TRIM(tblProjectInfo[Info]))="PROJECT MANAGERS"),0)
), ""))</f>
        <v/>
      </c>
      <c r="E378" s="147"/>
      <c r="F378" s="147"/>
      <c r="G378" s="147"/>
      <c r="H378" s="162" t="str" cm="1">
        <f t="array" ref="H378">_xlfn.LET(_xlpm.p,$A378,_xlfn.IFNA(
  INDEX(tblProjectInfo[InfoValue],
        MATCH(1,(tblProjectInfo[ProjectName]=_xlpm.p)*
                 ISNUMBER(SEARCH("PHASE",UPPER(tblProjectInfo[Info]))),0)
), ""))</f>
        <v/>
      </c>
      <c r="I378" s="149"/>
      <c r="J378" s="149"/>
      <c r="K378" s="169"/>
      <c r="L378" s="169"/>
      <c r="M378" s="149"/>
      <c r="N378" s="149"/>
      <c r="O378" s="149"/>
      <c r="P378" s="150"/>
      <c r="Q378" s="150"/>
      <c r="R378" s="151"/>
      <c r="S378" s="152"/>
      <c r="T378" s="152"/>
      <c r="U378" s="150"/>
      <c r="V378" s="152"/>
      <c r="W378" s="152"/>
      <c r="X378" s="246"/>
      <c r="Y378" s="106"/>
    </row>
    <row r="379" spans="1:25">
      <c r="A379" t="str" cm="1">
        <f t="array" ref="A37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IFERROR(INDEX(_xlpm.sorted,ROWS(A$2:A379)),"")
)</f>
        <v/>
      </c>
      <c r="B379" s="147" t="str" cm="1">
        <f t="array" ref="B379">_xlfn.LET(_xlpm.p,$A379,_xlfn.IFNA(
  INDEX(tblProjectInfo[InfoValue],
        MATCH(1,(tblProjectInfo[ProjectName]=_xlpm.p)*
                 (UPPER(TRIM(tblProjectInfo[Info]))="PROJECT SIZE (KWP)"),0)
), ""))</f>
        <v/>
      </c>
      <c r="C379" s="147" t="str" cm="1">
        <f t="array" ref="C379">_xlfn.LET(_xlpm.p,$A379,_xlfn.IFNA(
  INDEX(tblProjectInfo[InfoValue],
        MATCH(1,(tblProjectInfo[ProjectName]=_xlpm.p)*
                 (UPPER(TRIM(tblProjectInfo[Info]))="PROJECT DEVELOPER"),0)
), ""))</f>
        <v/>
      </c>
      <c r="D379" s="148" t="str" cm="1">
        <f t="array" ref="D379">_xlfn.LET(_xlpm.p,$A379,_xlfn.IFNA(
  INDEX(tblProjectInfo[InfoValue],
        MATCH(1,(tblProjectInfo[ProjectName]=_xlpm.p)*
                 (UPPER(TRIM(tblProjectInfo[Info]))="PROJECT MANAGERS"),0)
), ""))</f>
        <v/>
      </c>
      <c r="E379" s="147"/>
      <c r="F379" s="147"/>
      <c r="G379" s="147"/>
      <c r="H379" s="162" t="str" cm="1">
        <f t="array" ref="H379">_xlfn.LET(_xlpm.p,$A379,_xlfn.IFNA(
  INDEX(tblProjectInfo[InfoValue],
        MATCH(1,(tblProjectInfo[ProjectName]=_xlpm.p)*
                 ISNUMBER(SEARCH("PHASE",UPPER(tblProjectInfo[Info]))),0)
), ""))</f>
        <v/>
      </c>
      <c r="I379" s="149"/>
      <c r="J379" s="149"/>
      <c r="K379" s="169"/>
      <c r="L379" s="169"/>
      <c r="M379" s="149"/>
      <c r="N379" s="149"/>
      <c r="O379" s="149"/>
      <c r="P379" s="150"/>
      <c r="Q379" s="150"/>
      <c r="R379" s="151"/>
      <c r="S379" s="152"/>
      <c r="T379" s="152"/>
      <c r="U379" s="150"/>
      <c r="V379" s="152"/>
      <c r="W379" s="152"/>
      <c r="X379" s="246"/>
      <c r="Y379" s="106"/>
    </row>
    <row r="380" spans="1:25">
      <c r="A380" t="str" cm="1">
        <f t="array" ref="A38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IFERROR(INDEX(_xlpm.sorted,ROWS(A$2:A380)),"")
)</f>
        <v/>
      </c>
      <c r="B380" s="147" t="str" cm="1">
        <f t="array" ref="B380">_xlfn.LET(_xlpm.p,$A380,_xlfn.IFNA(
  INDEX(tblProjectInfo[InfoValue],
        MATCH(1,(tblProjectInfo[ProjectName]=_xlpm.p)*
                 (UPPER(TRIM(tblProjectInfo[Info]))="PROJECT SIZE (KWP)"),0)
), ""))</f>
        <v/>
      </c>
      <c r="C380" s="147" t="str" cm="1">
        <f t="array" ref="C380">_xlfn.LET(_xlpm.p,$A380,_xlfn.IFNA(
  INDEX(tblProjectInfo[InfoValue],
        MATCH(1,(tblProjectInfo[ProjectName]=_xlpm.p)*
                 (UPPER(TRIM(tblProjectInfo[Info]))="PROJECT DEVELOPER"),0)
), ""))</f>
        <v/>
      </c>
      <c r="D380" s="148" t="str" cm="1">
        <f t="array" ref="D380">_xlfn.LET(_xlpm.p,$A380,_xlfn.IFNA(
  INDEX(tblProjectInfo[InfoValue],
        MATCH(1,(tblProjectInfo[ProjectName]=_xlpm.p)*
                 (UPPER(TRIM(tblProjectInfo[Info]))="PROJECT MANAGERS"),0)
), ""))</f>
        <v/>
      </c>
      <c r="E380" s="147"/>
      <c r="F380" s="147"/>
      <c r="G380" s="147"/>
      <c r="H380" s="162" t="str" cm="1">
        <f t="array" ref="H380">_xlfn.LET(_xlpm.p,$A380,_xlfn.IFNA(
  INDEX(tblProjectInfo[InfoValue],
        MATCH(1,(tblProjectInfo[ProjectName]=_xlpm.p)*
                 ISNUMBER(SEARCH("PHASE",UPPER(tblProjectInfo[Info]))),0)
), ""))</f>
        <v/>
      </c>
      <c r="I380" s="149"/>
      <c r="J380" s="149"/>
      <c r="K380" s="169"/>
      <c r="L380" s="169"/>
      <c r="M380" s="149"/>
      <c r="N380" s="149"/>
      <c r="O380" s="149"/>
      <c r="P380" s="150"/>
      <c r="Q380" s="150"/>
      <c r="R380" s="151"/>
      <c r="S380" s="152"/>
      <c r="T380" s="152"/>
      <c r="U380" s="150"/>
      <c r="V380" s="152"/>
      <c r="W380" s="152"/>
      <c r="X380" s="246"/>
      <c r="Y380" s="106"/>
    </row>
    <row r="381" spans="1:25">
      <c r="A381" t="str" cm="1">
        <f t="array" ref="A38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IFERROR(INDEX(_xlpm.sorted,ROWS(A$2:A381)),"")
)</f>
        <v/>
      </c>
      <c r="B381" s="147" t="str" cm="1">
        <f t="array" ref="B381">_xlfn.LET(_xlpm.p,$A381,_xlfn.IFNA(
  INDEX(tblProjectInfo[InfoValue],
        MATCH(1,(tblProjectInfo[ProjectName]=_xlpm.p)*
                 (UPPER(TRIM(tblProjectInfo[Info]))="PROJECT SIZE (KWP)"),0)
), ""))</f>
        <v/>
      </c>
      <c r="C381" s="147" t="str" cm="1">
        <f t="array" ref="C381">_xlfn.LET(_xlpm.p,$A381,_xlfn.IFNA(
  INDEX(tblProjectInfo[InfoValue],
        MATCH(1,(tblProjectInfo[ProjectName]=_xlpm.p)*
                 (UPPER(TRIM(tblProjectInfo[Info]))="PROJECT DEVELOPER"),0)
), ""))</f>
        <v/>
      </c>
      <c r="D381" s="148" t="str" cm="1">
        <f t="array" ref="D381">_xlfn.LET(_xlpm.p,$A381,_xlfn.IFNA(
  INDEX(tblProjectInfo[InfoValue],
        MATCH(1,(tblProjectInfo[ProjectName]=_xlpm.p)*
                 (UPPER(TRIM(tblProjectInfo[Info]))="PROJECT MANAGERS"),0)
), ""))</f>
        <v/>
      </c>
      <c r="E381" s="147"/>
      <c r="F381" s="147"/>
      <c r="G381" s="147"/>
      <c r="H381" s="162" t="str" cm="1">
        <f t="array" ref="H381">_xlfn.LET(_xlpm.p,$A381,_xlfn.IFNA(
  INDEX(tblProjectInfo[InfoValue],
        MATCH(1,(tblProjectInfo[ProjectName]=_xlpm.p)*
                 ISNUMBER(SEARCH("PHASE",UPPER(tblProjectInfo[Info]))),0)
), ""))</f>
        <v/>
      </c>
      <c r="I381" s="149"/>
      <c r="J381" s="149"/>
      <c r="K381" s="169"/>
      <c r="L381" s="169"/>
      <c r="M381" s="149"/>
      <c r="N381" s="149"/>
      <c r="O381" s="149"/>
      <c r="P381" s="150"/>
      <c r="Q381" s="150"/>
      <c r="R381" s="151"/>
      <c r="S381" s="152"/>
      <c r="T381" s="152"/>
      <c r="U381" s="150"/>
      <c r="V381" s="152"/>
      <c r="W381" s="152"/>
      <c r="X381" s="246"/>
      <c r="Y381" s="106"/>
    </row>
    <row r="382" spans="1:25">
      <c r="A382" t="str" cm="1">
        <f t="array" ref="A38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IFERROR(INDEX(_xlpm.sorted,ROWS(A$2:A382)),"")
)</f>
        <v/>
      </c>
      <c r="B382" s="147" t="str" cm="1">
        <f t="array" ref="B382">_xlfn.LET(_xlpm.p,$A382,_xlfn.IFNA(
  INDEX(tblProjectInfo[InfoValue],
        MATCH(1,(tblProjectInfo[ProjectName]=_xlpm.p)*
                 (UPPER(TRIM(tblProjectInfo[Info]))="PROJECT SIZE (KWP)"),0)
), ""))</f>
        <v/>
      </c>
      <c r="C382" s="147" t="str" cm="1">
        <f t="array" ref="C382">_xlfn.LET(_xlpm.p,$A382,_xlfn.IFNA(
  INDEX(tblProjectInfo[InfoValue],
        MATCH(1,(tblProjectInfo[ProjectName]=_xlpm.p)*
                 (UPPER(TRIM(tblProjectInfo[Info]))="PROJECT DEVELOPER"),0)
), ""))</f>
        <v/>
      </c>
      <c r="D382" s="148" t="str" cm="1">
        <f t="array" ref="D382">_xlfn.LET(_xlpm.p,$A382,_xlfn.IFNA(
  INDEX(tblProjectInfo[InfoValue],
        MATCH(1,(tblProjectInfo[ProjectName]=_xlpm.p)*
                 (UPPER(TRIM(tblProjectInfo[Info]))="PROJECT MANAGERS"),0)
), ""))</f>
        <v/>
      </c>
      <c r="E382" s="147"/>
      <c r="F382" s="147"/>
      <c r="G382" s="147"/>
      <c r="H382" s="162" t="str" cm="1">
        <f t="array" ref="H382">_xlfn.LET(_xlpm.p,$A382,_xlfn.IFNA(
  INDEX(tblProjectInfo[InfoValue],
        MATCH(1,(tblProjectInfo[ProjectName]=_xlpm.p)*
                 ISNUMBER(SEARCH("PHASE",UPPER(tblProjectInfo[Info]))),0)
), ""))</f>
        <v/>
      </c>
      <c r="I382" s="149"/>
      <c r="J382" s="149"/>
      <c r="K382" s="169"/>
      <c r="L382" s="169"/>
      <c r="M382" s="149"/>
      <c r="N382" s="149"/>
      <c r="O382" s="149"/>
      <c r="P382" s="150"/>
      <c r="Q382" s="150"/>
      <c r="R382" s="151"/>
      <c r="S382" s="152"/>
      <c r="T382" s="152"/>
      <c r="U382" s="150"/>
      <c r="V382" s="152"/>
      <c r="W382" s="152"/>
      <c r="X382" s="246"/>
      <c r="Y382" s="106"/>
    </row>
    <row r="383" spans="1:25">
      <c r="A383" t="str" cm="1">
        <f t="array" ref="A38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IFERROR(INDEX(_xlpm.sorted,ROWS(A$2:A383)),"")
)</f>
        <v/>
      </c>
      <c r="B383" s="147" t="str" cm="1">
        <f t="array" ref="B383">_xlfn.LET(_xlpm.p,$A383,_xlfn.IFNA(
  INDEX(tblProjectInfo[InfoValue],
        MATCH(1,(tblProjectInfo[ProjectName]=_xlpm.p)*
                 (UPPER(TRIM(tblProjectInfo[Info]))="PROJECT SIZE (KWP)"),0)
), ""))</f>
        <v/>
      </c>
      <c r="C383" s="147" t="str" cm="1">
        <f t="array" ref="C383">_xlfn.LET(_xlpm.p,$A383,_xlfn.IFNA(
  INDEX(tblProjectInfo[InfoValue],
        MATCH(1,(tblProjectInfo[ProjectName]=_xlpm.p)*
                 (UPPER(TRIM(tblProjectInfo[Info]))="PROJECT DEVELOPER"),0)
), ""))</f>
        <v/>
      </c>
      <c r="D383" s="148" t="str" cm="1">
        <f t="array" ref="D383">_xlfn.LET(_xlpm.p,$A383,_xlfn.IFNA(
  INDEX(tblProjectInfo[InfoValue],
        MATCH(1,(tblProjectInfo[ProjectName]=_xlpm.p)*
                 (UPPER(TRIM(tblProjectInfo[Info]))="PROJECT MANAGERS"),0)
), ""))</f>
        <v/>
      </c>
      <c r="E383" s="147"/>
      <c r="F383" s="147"/>
      <c r="G383" s="147"/>
      <c r="H383" s="162" t="str" cm="1">
        <f t="array" ref="H383">_xlfn.LET(_xlpm.p,$A383,_xlfn.IFNA(
  INDEX(tblProjectInfo[InfoValue],
        MATCH(1,(tblProjectInfo[ProjectName]=_xlpm.p)*
                 ISNUMBER(SEARCH("PHASE",UPPER(tblProjectInfo[Info]))),0)
), ""))</f>
        <v/>
      </c>
      <c r="I383" s="149"/>
      <c r="J383" s="149"/>
      <c r="K383" s="169"/>
      <c r="L383" s="169"/>
      <c r="M383" s="149"/>
      <c r="N383" s="149"/>
      <c r="O383" s="149"/>
      <c r="P383" s="150"/>
      <c r="Q383" s="150"/>
      <c r="R383" s="151"/>
      <c r="S383" s="152"/>
      <c r="T383" s="152"/>
      <c r="U383" s="150"/>
      <c r="V383" s="152"/>
      <c r="W383" s="152"/>
      <c r="X383" s="246"/>
      <c r="Y383" s="106"/>
    </row>
    <row r="384" spans="1:25">
      <c r="A384" t="str" cm="1">
        <f t="array" ref="A38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IFERROR(INDEX(_xlpm.sorted,ROWS(A$2:A384)),"")
)</f>
        <v/>
      </c>
      <c r="B384" s="147" t="str" cm="1">
        <f t="array" ref="B384">_xlfn.LET(_xlpm.p,$A384,_xlfn.IFNA(
  INDEX(tblProjectInfo[InfoValue],
        MATCH(1,(tblProjectInfo[ProjectName]=_xlpm.p)*
                 (UPPER(TRIM(tblProjectInfo[Info]))="PROJECT SIZE (KWP)"),0)
), ""))</f>
        <v/>
      </c>
      <c r="C384" s="147" t="str" cm="1">
        <f t="array" ref="C384">_xlfn.LET(_xlpm.p,$A384,_xlfn.IFNA(
  INDEX(tblProjectInfo[InfoValue],
        MATCH(1,(tblProjectInfo[ProjectName]=_xlpm.p)*
                 (UPPER(TRIM(tblProjectInfo[Info]))="PROJECT DEVELOPER"),0)
), ""))</f>
        <v/>
      </c>
      <c r="D384" s="148" t="str" cm="1">
        <f t="array" ref="D384">_xlfn.LET(_xlpm.p,$A384,_xlfn.IFNA(
  INDEX(tblProjectInfo[InfoValue],
        MATCH(1,(tblProjectInfo[ProjectName]=_xlpm.p)*
                 (UPPER(TRIM(tblProjectInfo[Info]))="PROJECT MANAGERS"),0)
), ""))</f>
        <v/>
      </c>
      <c r="E384" s="147"/>
      <c r="F384" s="147"/>
      <c r="G384" s="147"/>
      <c r="H384" s="162" t="str" cm="1">
        <f t="array" ref="H384">_xlfn.LET(_xlpm.p,$A384,_xlfn.IFNA(
  INDEX(tblProjectInfo[InfoValue],
        MATCH(1,(tblProjectInfo[ProjectName]=_xlpm.p)*
                 ISNUMBER(SEARCH("PHASE",UPPER(tblProjectInfo[Info]))),0)
), ""))</f>
        <v/>
      </c>
      <c r="I384" s="149"/>
      <c r="J384" s="149"/>
      <c r="K384" s="169"/>
      <c r="L384" s="169"/>
      <c r="M384" s="149"/>
      <c r="N384" s="149"/>
      <c r="O384" s="149"/>
      <c r="P384" s="150"/>
      <c r="Q384" s="150"/>
      <c r="R384" s="151"/>
      <c r="S384" s="152"/>
      <c r="T384" s="152"/>
      <c r="U384" s="150"/>
      <c r="V384" s="152"/>
      <c r="W384" s="152"/>
      <c r="X384" s="246"/>
      <c r="Y384" s="106"/>
    </row>
    <row r="385" spans="1:25">
      <c r="A385" t="str" cm="1">
        <f t="array" ref="A38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IFERROR(INDEX(_xlpm.sorted,ROWS(A$2:A385)),"")
)</f>
        <v/>
      </c>
      <c r="B385" s="147" t="str" cm="1">
        <f t="array" ref="B385">_xlfn.LET(_xlpm.p,$A385,_xlfn.IFNA(
  INDEX(tblProjectInfo[InfoValue],
        MATCH(1,(tblProjectInfo[ProjectName]=_xlpm.p)*
                 (UPPER(TRIM(tblProjectInfo[Info]))="PROJECT SIZE (KWP)"),0)
), ""))</f>
        <v/>
      </c>
      <c r="C385" s="147" t="str" cm="1">
        <f t="array" ref="C385">_xlfn.LET(_xlpm.p,$A385,_xlfn.IFNA(
  INDEX(tblProjectInfo[InfoValue],
        MATCH(1,(tblProjectInfo[ProjectName]=_xlpm.p)*
                 (UPPER(TRIM(tblProjectInfo[Info]))="PROJECT DEVELOPER"),0)
), ""))</f>
        <v/>
      </c>
      <c r="D385" s="148" t="str" cm="1">
        <f t="array" ref="D385">_xlfn.LET(_xlpm.p,$A385,_xlfn.IFNA(
  INDEX(tblProjectInfo[InfoValue],
        MATCH(1,(tblProjectInfo[ProjectName]=_xlpm.p)*
                 (UPPER(TRIM(tblProjectInfo[Info]))="PROJECT MANAGERS"),0)
), ""))</f>
        <v/>
      </c>
      <c r="E385" s="147"/>
      <c r="F385" s="147"/>
      <c r="G385" s="147"/>
      <c r="H385" s="162" t="str" cm="1">
        <f t="array" ref="H385">_xlfn.LET(_xlpm.p,$A385,_xlfn.IFNA(
  INDEX(tblProjectInfo[InfoValue],
        MATCH(1,(tblProjectInfo[ProjectName]=_xlpm.p)*
                 ISNUMBER(SEARCH("PHASE",UPPER(tblProjectInfo[Info]))),0)
), ""))</f>
        <v/>
      </c>
      <c r="I385" s="149"/>
      <c r="J385" s="149"/>
      <c r="K385" s="169"/>
      <c r="L385" s="169"/>
      <c r="M385" s="149"/>
      <c r="N385" s="149"/>
      <c r="O385" s="149"/>
      <c r="P385" s="150"/>
      <c r="Q385" s="150"/>
      <c r="R385" s="151"/>
      <c r="S385" s="152"/>
      <c r="T385" s="152"/>
      <c r="U385" s="150"/>
      <c r="V385" s="152"/>
      <c r="W385" s="152"/>
      <c r="X385" s="246"/>
      <c r="Y385" s="106"/>
    </row>
    <row r="386" spans="1:25">
      <c r="A386" t="str" cm="1">
        <f t="array" ref="A38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IFERROR(INDEX(_xlpm.sorted,ROWS(A$2:A386)),"")
)</f>
        <v/>
      </c>
      <c r="B386" s="147" t="str" cm="1">
        <f t="array" ref="B386">_xlfn.LET(_xlpm.p,$A386,_xlfn.IFNA(
  INDEX(tblProjectInfo[InfoValue],
        MATCH(1,(tblProjectInfo[ProjectName]=_xlpm.p)*
                 (UPPER(TRIM(tblProjectInfo[Info]))="PROJECT SIZE (KWP)"),0)
), ""))</f>
        <v/>
      </c>
      <c r="C386" s="147" t="str" cm="1">
        <f t="array" ref="C386">_xlfn.LET(_xlpm.p,$A386,_xlfn.IFNA(
  INDEX(tblProjectInfo[InfoValue],
        MATCH(1,(tblProjectInfo[ProjectName]=_xlpm.p)*
                 (UPPER(TRIM(tblProjectInfo[Info]))="PROJECT DEVELOPER"),0)
), ""))</f>
        <v/>
      </c>
      <c r="D386" s="148" t="str" cm="1">
        <f t="array" ref="D386">_xlfn.LET(_xlpm.p,$A386,_xlfn.IFNA(
  INDEX(tblProjectInfo[InfoValue],
        MATCH(1,(tblProjectInfo[ProjectName]=_xlpm.p)*
                 (UPPER(TRIM(tblProjectInfo[Info]))="PROJECT MANAGERS"),0)
), ""))</f>
        <v/>
      </c>
      <c r="E386" s="147"/>
      <c r="F386" s="147"/>
      <c r="G386" s="147"/>
      <c r="H386" s="162" t="str" cm="1">
        <f t="array" ref="H386">_xlfn.LET(_xlpm.p,$A386,_xlfn.IFNA(
  INDEX(tblProjectInfo[InfoValue],
        MATCH(1,(tblProjectInfo[ProjectName]=_xlpm.p)*
                 ISNUMBER(SEARCH("PHASE",UPPER(tblProjectInfo[Info]))),0)
), ""))</f>
        <v/>
      </c>
      <c r="I386" s="149"/>
      <c r="J386" s="149"/>
      <c r="K386" s="169"/>
      <c r="L386" s="169"/>
      <c r="M386" s="149"/>
      <c r="N386" s="149"/>
      <c r="O386" s="149"/>
      <c r="P386" s="150"/>
      <c r="Q386" s="150"/>
      <c r="R386" s="151"/>
      <c r="S386" s="152"/>
      <c r="T386" s="152"/>
      <c r="U386" s="150"/>
      <c r="V386" s="152"/>
      <c r="W386" s="152"/>
      <c r="X386" s="246"/>
      <c r="Y386" s="106"/>
    </row>
    <row r="387" spans="1:25">
      <c r="A387" t="str" cm="1">
        <f t="array" ref="A38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IFERROR(INDEX(_xlpm.sorted,ROWS(A$2:A387)),"")
)</f>
        <v/>
      </c>
      <c r="B387" s="147" t="str" cm="1">
        <f t="array" ref="B387">_xlfn.LET(_xlpm.p,$A387,_xlfn.IFNA(
  INDEX(tblProjectInfo[InfoValue],
        MATCH(1,(tblProjectInfo[ProjectName]=_xlpm.p)*
                 (UPPER(TRIM(tblProjectInfo[Info]))="PROJECT SIZE (KWP)"),0)
), ""))</f>
        <v/>
      </c>
      <c r="C387" s="147" t="str" cm="1">
        <f t="array" ref="C387">_xlfn.LET(_xlpm.p,$A387,_xlfn.IFNA(
  INDEX(tblProjectInfo[InfoValue],
        MATCH(1,(tblProjectInfo[ProjectName]=_xlpm.p)*
                 (UPPER(TRIM(tblProjectInfo[Info]))="PROJECT DEVELOPER"),0)
), ""))</f>
        <v/>
      </c>
      <c r="D387" s="148" t="str" cm="1">
        <f t="array" ref="D387">_xlfn.LET(_xlpm.p,$A387,_xlfn.IFNA(
  INDEX(tblProjectInfo[InfoValue],
        MATCH(1,(tblProjectInfo[ProjectName]=_xlpm.p)*
                 (UPPER(TRIM(tblProjectInfo[Info]))="PROJECT MANAGERS"),0)
), ""))</f>
        <v/>
      </c>
      <c r="E387" s="147"/>
      <c r="F387" s="147"/>
      <c r="G387" s="147"/>
      <c r="H387" s="162" t="str" cm="1">
        <f t="array" ref="H387">_xlfn.LET(_xlpm.p,$A387,_xlfn.IFNA(
  INDEX(tblProjectInfo[InfoValue],
        MATCH(1,(tblProjectInfo[ProjectName]=_xlpm.p)*
                 ISNUMBER(SEARCH("PHASE",UPPER(tblProjectInfo[Info]))),0)
), ""))</f>
        <v/>
      </c>
      <c r="I387" s="149"/>
      <c r="J387" s="149"/>
      <c r="K387" s="169"/>
      <c r="L387" s="169"/>
      <c r="M387" s="149"/>
      <c r="N387" s="149"/>
      <c r="O387" s="149"/>
      <c r="P387" s="150"/>
      <c r="Q387" s="150"/>
      <c r="R387" s="151"/>
      <c r="S387" s="152"/>
      <c r="T387" s="152"/>
      <c r="U387" s="150"/>
      <c r="V387" s="152"/>
      <c r="W387" s="152"/>
      <c r="X387" s="246"/>
      <c r="Y387" s="106"/>
    </row>
    <row r="388" spans="1:25">
      <c r="A388" t="str" cm="1">
        <f t="array" ref="A38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IFERROR(INDEX(_xlpm.sorted,ROWS(A$2:A388)),"")
)</f>
        <v/>
      </c>
      <c r="B388" s="147" t="str" cm="1">
        <f t="array" ref="B388">_xlfn.LET(_xlpm.p,$A388,_xlfn.IFNA(
  INDEX(tblProjectInfo[InfoValue],
        MATCH(1,(tblProjectInfo[ProjectName]=_xlpm.p)*
                 (UPPER(TRIM(tblProjectInfo[Info]))="PROJECT SIZE (KWP)"),0)
), ""))</f>
        <v/>
      </c>
      <c r="C388" s="147" t="str" cm="1">
        <f t="array" ref="C388">_xlfn.LET(_xlpm.p,$A388,_xlfn.IFNA(
  INDEX(tblProjectInfo[InfoValue],
        MATCH(1,(tblProjectInfo[ProjectName]=_xlpm.p)*
                 (UPPER(TRIM(tblProjectInfo[Info]))="PROJECT DEVELOPER"),0)
), ""))</f>
        <v/>
      </c>
      <c r="D388" s="148" t="str" cm="1">
        <f t="array" ref="D388">_xlfn.LET(_xlpm.p,$A388,_xlfn.IFNA(
  INDEX(tblProjectInfo[InfoValue],
        MATCH(1,(tblProjectInfo[ProjectName]=_xlpm.p)*
                 (UPPER(TRIM(tblProjectInfo[Info]))="PROJECT MANAGERS"),0)
), ""))</f>
        <v/>
      </c>
      <c r="E388" s="147"/>
      <c r="F388" s="147"/>
      <c r="G388" s="147"/>
      <c r="H388" s="162" t="str" cm="1">
        <f t="array" ref="H388">_xlfn.LET(_xlpm.p,$A388,_xlfn.IFNA(
  INDEX(tblProjectInfo[InfoValue],
        MATCH(1,(tblProjectInfo[ProjectName]=_xlpm.p)*
                 ISNUMBER(SEARCH("PHASE",UPPER(tblProjectInfo[Info]))),0)
), ""))</f>
        <v/>
      </c>
      <c r="I388" s="149"/>
      <c r="J388" s="149"/>
      <c r="K388" s="169"/>
      <c r="L388" s="169"/>
      <c r="M388" s="149"/>
      <c r="N388" s="149"/>
      <c r="O388" s="149"/>
      <c r="P388" s="150"/>
      <c r="Q388" s="150"/>
      <c r="R388" s="151"/>
      <c r="S388" s="152"/>
      <c r="T388" s="152"/>
      <c r="U388" s="150"/>
      <c r="V388" s="152"/>
      <c r="W388" s="152"/>
      <c r="X388" s="246"/>
      <c r="Y388" s="106"/>
    </row>
    <row r="389" spans="1:25">
      <c r="A389" t="str" cm="1">
        <f t="array" ref="A38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IFERROR(INDEX(_xlpm.sorted,ROWS(A$2:A389)),"")
)</f>
        <v/>
      </c>
      <c r="B389" s="147" t="str" cm="1">
        <f t="array" ref="B389">_xlfn.LET(_xlpm.p,$A389,_xlfn.IFNA(
  INDEX(tblProjectInfo[InfoValue],
        MATCH(1,(tblProjectInfo[ProjectName]=_xlpm.p)*
                 (UPPER(TRIM(tblProjectInfo[Info]))="PROJECT SIZE (KWP)"),0)
), ""))</f>
        <v/>
      </c>
      <c r="C389" s="147" t="str" cm="1">
        <f t="array" ref="C389">_xlfn.LET(_xlpm.p,$A389,_xlfn.IFNA(
  INDEX(tblProjectInfo[InfoValue],
        MATCH(1,(tblProjectInfo[ProjectName]=_xlpm.p)*
                 (UPPER(TRIM(tblProjectInfo[Info]))="PROJECT DEVELOPER"),0)
), ""))</f>
        <v/>
      </c>
      <c r="D389" s="148" t="str" cm="1">
        <f t="array" ref="D389">_xlfn.LET(_xlpm.p,$A389,_xlfn.IFNA(
  INDEX(tblProjectInfo[InfoValue],
        MATCH(1,(tblProjectInfo[ProjectName]=_xlpm.p)*
                 (UPPER(TRIM(tblProjectInfo[Info]))="PROJECT MANAGERS"),0)
), ""))</f>
        <v/>
      </c>
      <c r="E389" s="147"/>
      <c r="F389" s="147"/>
      <c r="G389" s="147"/>
      <c r="H389" s="162" t="str" cm="1">
        <f t="array" ref="H389">_xlfn.LET(_xlpm.p,$A389,_xlfn.IFNA(
  INDEX(tblProjectInfo[InfoValue],
        MATCH(1,(tblProjectInfo[ProjectName]=_xlpm.p)*
                 ISNUMBER(SEARCH("PHASE",UPPER(tblProjectInfo[Info]))),0)
), ""))</f>
        <v/>
      </c>
      <c r="I389" s="149"/>
      <c r="J389" s="149"/>
      <c r="K389" s="169"/>
      <c r="L389" s="169"/>
      <c r="M389" s="149"/>
      <c r="N389" s="149"/>
      <c r="O389" s="149"/>
      <c r="P389" s="150"/>
      <c r="Q389" s="150"/>
      <c r="R389" s="151"/>
      <c r="S389" s="152"/>
      <c r="T389" s="152"/>
      <c r="U389" s="150"/>
      <c r="V389" s="152"/>
      <c r="W389" s="152"/>
      <c r="X389" s="246"/>
      <c r="Y389" s="106"/>
    </row>
    <row r="390" spans="1:25">
      <c r="A390" t="str" cm="1">
        <f t="array" ref="A390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IFERROR(INDEX(_xlpm.sorted,ROWS(A$2:A390)),"")
)</f>
        <v/>
      </c>
      <c r="B390" s="147" t="str" cm="1">
        <f t="array" ref="B390">_xlfn.LET(_xlpm.p,$A390,_xlfn.IFNA(
  INDEX(tblProjectInfo[InfoValue],
        MATCH(1,(tblProjectInfo[ProjectName]=_xlpm.p)*
                 (UPPER(TRIM(tblProjectInfo[Info]))="PROJECT SIZE (KWP)"),0)
), ""))</f>
        <v/>
      </c>
      <c r="C390" s="147" t="str" cm="1">
        <f t="array" ref="C390">_xlfn.LET(_xlpm.p,$A390,_xlfn.IFNA(
  INDEX(tblProjectInfo[InfoValue],
        MATCH(1,(tblProjectInfo[ProjectName]=_xlpm.p)*
                 (UPPER(TRIM(tblProjectInfo[Info]))="PROJECT DEVELOPER"),0)
), ""))</f>
        <v/>
      </c>
      <c r="D390" s="148" t="str" cm="1">
        <f t="array" ref="D390">_xlfn.LET(_xlpm.p,$A390,_xlfn.IFNA(
  INDEX(tblProjectInfo[InfoValue],
        MATCH(1,(tblProjectInfo[ProjectName]=_xlpm.p)*
                 (UPPER(TRIM(tblProjectInfo[Info]))="PROJECT MANAGERS"),0)
), ""))</f>
        <v/>
      </c>
      <c r="E390" s="147"/>
      <c r="F390" s="147"/>
      <c r="G390" s="147"/>
      <c r="H390" s="162" t="str" cm="1">
        <f t="array" ref="H390">_xlfn.LET(_xlpm.p,$A390,_xlfn.IFNA(
  INDEX(tblProjectInfo[InfoValue],
        MATCH(1,(tblProjectInfo[ProjectName]=_xlpm.p)*
                 ISNUMBER(SEARCH("PHASE",UPPER(tblProjectInfo[Info]))),0)
), ""))</f>
        <v/>
      </c>
      <c r="I390" s="149"/>
      <c r="J390" s="149"/>
      <c r="K390" s="169"/>
      <c r="L390" s="169"/>
      <c r="M390" s="149"/>
      <c r="N390" s="149"/>
      <c r="O390" s="149"/>
      <c r="P390" s="150"/>
      <c r="Q390" s="150"/>
      <c r="R390" s="151"/>
      <c r="S390" s="152"/>
      <c r="T390" s="152"/>
      <c r="U390" s="150"/>
      <c r="V390" s="152"/>
      <c r="W390" s="152"/>
      <c r="X390" s="246"/>
      <c r="Y390" s="106"/>
    </row>
    <row r="391" spans="1:25">
      <c r="A391" t="str" cm="1">
        <f t="array" ref="A391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IFERROR(INDEX(_xlpm.sorted,ROWS(A$2:A391)),"")
)</f>
        <v/>
      </c>
      <c r="B391" s="147" t="str" cm="1">
        <f t="array" ref="B391">_xlfn.LET(_xlpm.p,$A391,_xlfn.IFNA(
  INDEX(tblProjectInfo[InfoValue],
        MATCH(1,(tblProjectInfo[ProjectName]=_xlpm.p)*
                 (UPPER(TRIM(tblProjectInfo[Info]))="PROJECT SIZE (KWP)"),0)
), ""))</f>
        <v/>
      </c>
      <c r="C391" s="147" t="str" cm="1">
        <f t="array" ref="C391">_xlfn.LET(_xlpm.p,$A391,_xlfn.IFNA(
  INDEX(tblProjectInfo[InfoValue],
        MATCH(1,(tblProjectInfo[ProjectName]=_xlpm.p)*
                 (UPPER(TRIM(tblProjectInfo[Info]))="PROJECT DEVELOPER"),0)
), ""))</f>
        <v/>
      </c>
      <c r="D391" s="148" t="str" cm="1">
        <f t="array" ref="D391">_xlfn.LET(_xlpm.p,$A391,_xlfn.IFNA(
  INDEX(tblProjectInfo[InfoValue],
        MATCH(1,(tblProjectInfo[ProjectName]=_xlpm.p)*
                 (UPPER(TRIM(tblProjectInfo[Info]))="PROJECT MANAGERS"),0)
), ""))</f>
        <v/>
      </c>
      <c r="E391" s="147"/>
      <c r="F391" s="147"/>
      <c r="G391" s="147"/>
      <c r="H391" s="162" t="str" cm="1">
        <f t="array" ref="H391">_xlfn.LET(_xlpm.p,$A391,_xlfn.IFNA(
  INDEX(tblProjectInfo[InfoValue],
        MATCH(1,(tblProjectInfo[ProjectName]=_xlpm.p)*
                 ISNUMBER(SEARCH("PHASE",UPPER(tblProjectInfo[Info]))),0)
), ""))</f>
        <v/>
      </c>
      <c r="I391" s="149"/>
      <c r="J391" s="149"/>
      <c r="K391" s="169"/>
      <c r="L391" s="169"/>
      <c r="M391" s="149"/>
      <c r="N391" s="149"/>
      <c r="O391" s="149"/>
      <c r="P391" s="150"/>
      <c r="Q391" s="150"/>
      <c r="R391" s="151"/>
      <c r="S391" s="152"/>
      <c r="T391" s="152"/>
      <c r="U391" s="150"/>
      <c r="V391" s="152"/>
      <c r="W391" s="152"/>
      <c r="X391" s="246"/>
      <c r="Y391" s="106"/>
    </row>
    <row r="392" spans="1:25">
      <c r="A392" t="str" cm="1">
        <f t="array" ref="A392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IFERROR(INDEX(_xlpm.sorted,ROWS(A$2:A392)),"")
)</f>
        <v/>
      </c>
      <c r="B392" s="147" t="str" cm="1">
        <f t="array" ref="B392">_xlfn.LET(_xlpm.p,$A392,_xlfn.IFNA(
  INDEX(tblProjectInfo[InfoValue],
        MATCH(1,(tblProjectInfo[ProjectName]=_xlpm.p)*
                 (UPPER(TRIM(tblProjectInfo[Info]))="PROJECT SIZE (KWP)"),0)
), ""))</f>
        <v/>
      </c>
      <c r="C392" s="147" t="str" cm="1">
        <f t="array" ref="C392">_xlfn.LET(_xlpm.p,$A392,_xlfn.IFNA(
  INDEX(tblProjectInfo[InfoValue],
        MATCH(1,(tblProjectInfo[ProjectName]=_xlpm.p)*
                 (UPPER(TRIM(tblProjectInfo[Info]))="PROJECT DEVELOPER"),0)
), ""))</f>
        <v/>
      </c>
      <c r="D392" s="148" t="str" cm="1">
        <f t="array" ref="D392">_xlfn.LET(_xlpm.p,$A392,_xlfn.IFNA(
  INDEX(tblProjectInfo[InfoValue],
        MATCH(1,(tblProjectInfo[ProjectName]=_xlpm.p)*
                 (UPPER(TRIM(tblProjectInfo[Info]))="PROJECT MANAGERS"),0)
), ""))</f>
        <v/>
      </c>
      <c r="E392" s="147"/>
      <c r="F392" s="147"/>
      <c r="G392" s="147"/>
      <c r="H392" s="162" t="str" cm="1">
        <f t="array" ref="H392">_xlfn.LET(_xlpm.p,$A392,_xlfn.IFNA(
  INDEX(tblProjectInfo[InfoValue],
        MATCH(1,(tblProjectInfo[ProjectName]=_xlpm.p)*
                 ISNUMBER(SEARCH("PHASE",UPPER(tblProjectInfo[Info]))),0)
), ""))</f>
        <v/>
      </c>
      <c r="I392" s="149"/>
      <c r="J392" s="149"/>
      <c r="K392" s="169"/>
      <c r="L392" s="169"/>
      <c r="M392" s="149"/>
      <c r="N392" s="149"/>
      <c r="O392" s="149"/>
      <c r="P392" s="150"/>
      <c r="Q392" s="150"/>
      <c r="R392" s="151"/>
      <c r="S392" s="152"/>
      <c r="T392" s="152"/>
      <c r="U392" s="150"/>
      <c r="V392" s="152"/>
      <c r="W392" s="152"/>
      <c r="X392" s="246"/>
      <c r="Y392" s="106"/>
    </row>
    <row r="393" spans="1:25">
      <c r="A393" t="str" cm="1">
        <f t="array" ref="A393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IFERROR(INDEX(_xlpm.sorted,ROWS(A$2:A393)),"")
)</f>
        <v/>
      </c>
      <c r="B393" s="147" t="str" cm="1">
        <f t="array" ref="B393">_xlfn.LET(_xlpm.p,$A393,_xlfn.IFNA(
  INDEX(tblProjectInfo[InfoValue],
        MATCH(1,(tblProjectInfo[ProjectName]=_xlpm.p)*
                 (UPPER(TRIM(tblProjectInfo[Info]))="PROJECT SIZE (KWP)"),0)
), ""))</f>
        <v/>
      </c>
      <c r="C393" s="147" t="str" cm="1">
        <f t="array" ref="C393">_xlfn.LET(_xlpm.p,$A393,_xlfn.IFNA(
  INDEX(tblProjectInfo[InfoValue],
        MATCH(1,(tblProjectInfo[ProjectName]=_xlpm.p)*
                 (UPPER(TRIM(tblProjectInfo[Info]))="PROJECT DEVELOPER"),0)
), ""))</f>
        <v/>
      </c>
      <c r="D393" s="148" t="str" cm="1">
        <f t="array" ref="D393">_xlfn.LET(_xlpm.p,$A393,_xlfn.IFNA(
  INDEX(tblProjectInfo[InfoValue],
        MATCH(1,(tblProjectInfo[ProjectName]=_xlpm.p)*
                 (UPPER(TRIM(tblProjectInfo[Info]))="PROJECT MANAGERS"),0)
), ""))</f>
        <v/>
      </c>
      <c r="E393" s="147"/>
      <c r="F393" s="147"/>
      <c r="G393" s="147"/>
      <c r="H393" s="162" t="str" cm="1">
        <f t="array" ref="H393">_xlfn.LET(_xlpm.p,$A393,_xlfn.IFNA(
  INDEX(tblProjectInfo[InfoValue],
        MATCH(1,(tblProjectInfo[ProjectName]=_xlpm.p)*
                 ISNUMBER(SEARCH("PHASE",UPPER(tblProjectInfo[Info]))),0)
), ""))</f>
        <v/>
      </c>
      <c r="I393" s="149"/>
      <c r="J393" s="149"/>
      <c r="K393" s="169"/>
      <c r="L393" s="169"/>
      <c r="M393" s="149"/>
      <c r="N393" s="149"/>
      <c r="O393" s="149"/>
      <c r="P393" s="150"/>
      <c r="Q393" s="150"/>
      <c r="R393" s="151"/>
      <c r="S393" s="152"/>
      <c r="T393" s="152"/>
      <c r="U393" s="150"/>
      <c r="V393" s="152"/>
      <c r="W393" s="152"/>
      <c r="X393" s="246"/>
      <c r="Y393" s="106"/>
    </row>
    <row r="394" spans="1:25">
      <c r="A394" t="str" cm="1">
        <f t="array" ref="A394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IFERROR(INDEX(_xlpm.sorted,ROWS(A$2:A394)),"")
)</f>
        <v/>
      </c>
      <c r="B394" s="147" t="str" cm="1">
        <f t="array" ref="B394">_xlfn.LET(_xlpm.p,$A394,_xlfn.IFNA(
  INDEX(tblProjectInfo[InfoValue],
        MATCH(1,(tblProjectInfo[ProjectName]=_xlpm.p)*
                 (UPPER(TRIM(tblProjectInfo[Info]))="PROJECT SIZE (KWP)"),0)
), ""))</f>
        <v/>
      </c>
      <c r="C394" s="147" t="str" cm="1">
        <f t="array" ref="C394">_xlfn.LET(_xlpm.p,$A394,_xlfn.IFNA(
  INDEX(tblProjectInfo[InfoValue],
        MATCH(1,(tblProjectInfo[ProjectName]=_xlpm.p)*
                 (UPPER(TRIM(tblProjectInfo[Info]))="PROJECT DEVELOPER"),0)
), ""))</f>
        <v/>
      </c>
      <c r="D394" s="148" t="str" cm="1">
        <f t="array" ref="D394">_xlfn.LET(_xlpm.p,$A394,_xlfn.IFNA(
  INDEX(tblProjectInfo[InfoValue],
        MATCH(1,(tblProjectInfo[ProjectName]=_xlpm.p)*
                 (UPPER(TRIM(tblProjectInfo[Info]))="PROJECT MANAGERS"),0)
), ""))</f>
        <v/>
      </c>
      <c r="E394" s="147"/>
      <c r="F394" s="147"/>
      <c r="G394" s="147"/>
      <c r="H394" s="162" t="str" cm="1">
        <f t="array" ref="H394">_xlfn.LET(_xlpm.p,$A394,_xlfn.IFNA(
  INDEX(tblProjectInfo[InfoValue],
        MATCH(1,(tblProjectInfo[ProjectName]=_xlpm.p)*
                 ISNUMBER(SEARCH("PHASE",UPPER(tblProjectInfo[Info]))),0)
), ""))</f>
        <v/>
      </c>
      <c r="I394" s="149"/>
      <c r="J394" s="149"/>
      <c r="K394" s="169"/>
      <c r="L394" s="169"/>
      <c r="M394" s="149"/>
      <c r="N394" s="149"/>
      <c r="O394" s="149"/>
      <c r="P394" s="150"/>
      <c r="Q394" s="150"/>
      <c r="R394" s="151"/>
      <c r="S394" s="152"/>
      <c r="T394" s="152"/>
      <c r="U394" s="150"/>
      <c r="V394" s="152"/>
      <c r="W394" s="152"/>
      <c r="X394" s="246"/>
      <c r="Y394" s="106"/>
    </row>
    <row r="395" spans="1:25">
      <c r="A395" t="str" cm="1">
        <f t="array" ref="A395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IFERROR(INDEX(_xlpm.sorted,ROWS(A$2:A395)),"")
)</f>
        <v/>
      </c>
      <c r="B395" s="147" t="str" cm="1">
        <f t="array" ref="B395">_xlfn.LET(_xlpm.p,$A395,_xlfn.IFNA(
  INDEX(tblProjectInfo[InfoValue],
        MATCH(1,(tblProjectInfo[ProjectName]=_xlpm.p)*
                 (UPPER(TRIM(tblProjectInfo[Info]))="PROJECT SIZE (KWP)"),0)
), ""))</f>
        <v/>
      </c>
      <c r="C395" s="147" t="str" cm="1">
        <f t="array" ref="C395">_xlfn.LET(_xlpm.p,$A395,_xlfn.IFNA(
  INDEX(tblProjectInfo[InfoValue],
        MATCH(1,(tblProjectInfo[ProjectName]=_xlpm.p)*
                 (UPPER(TRIM(tblProjectInfo[Info]))="PROJECT DEVELOPER"),0)
), ""))</f>
        <v/>
      </c>
      <c r="D395" s="148" t="str" cm="1">
        <f t="array" ref="D395">_xlfn.LET(_xlpm.p,$A395,_xlfn.IFNA(
  INDEX(tblProjectInfo[InfoValue],
        MATCH(1,(tblProjectInfo[ProjectName]=_xlpm.p)*
                 (UPPER(TRIM(tblProjectInfo[Info]))="PROJECT MANAGERS"),0)
), ""))</f>
        <v/>
      </c>
      <c r="E395" s="147"/>
      <c r="F395" s="147"/>
      <c r="G395" s="147"/>
      <c r="H395" s="162" t="str" cm="1">
        <f t="array" ref="H395">_xlfn.LET(_xlpm.p,$A395,_xlfn.IFNA(
  INDEX(tblProjectInfo[InfoValue],
        MATCH(1,(tblProjectInfo[ProjectName]=_xlpm.p)*
                 ISNUMBER(SEARCH("PHASE",UPPER(tblProjectInfo[Info]))),0)
), ""))</f>
        <v/>
      </c>
      <c r="I395" s="149"/>
      <c r="J395" s="149"/>
      <c r="K395" s="169"/>
      <c r="L395" s="169"/>
      <c r="M395" s="149"/>
      <c r="N395" s="149"/>
      <c r="O395" s="149"/>
      <c r="P395" s="150"/>
      <c r="Q395" s="150"/>
      <c r="R395" s="151"/>
      <c r="S395" s="152"/>
      <c r="T395" s="152"/>
      <c r="U395" s="150"/>
      <c r="V395" s="152"/>
      <c r="W395" s="152"/>
      <c r="X395" s="246"/>
      <c r="Y395" s="106"/>
    </row>
    <row r="396" spans="1:25">
      <c r="A396" t="str" cm="1">
        <f t="array" ref="A396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IFERROR(INDEX(_xlpm.sorted,ROWS(A$2:A396)),"")
)</f>
        <v/>
      </c>
      <c r="B396" s="147" t="str" cm="1">
        <f t="array" ref="B396">_xlfn.LET(_xlpm.p,$A396,_xlfn.IFNA(
  INDEX(tblProjectInfo[InfoValue],
        MATCH(1,(tblProjectInfo[ProjectName]=_xlpm.p)*
                 (UPPER(TRIM(tblProjectInfo[Info]))="PROJECT SIZE (KWP)"),0)
), ""))</f>
        <v/>
      </c>
      <c r="C396" s="147" t="str" cm="1">
        <f t="array" ref="C396">_xlfn.LET(_xlpm.p,$A396,_xlfn.IFNA(
  INDEX(tblProjectInfo[InfoValue],
        MATCH(1,(tblProjectInfo[ProjectName]=_xlpm.p)*
                 (UPPER(TRIM(tblProjectInfo[Info]))="PROJECT DEVELOPER"),0)
), ""))</f>
        <v/>
      </c>
      <c r="D396" s="148" t="str" cm="1">
        <f t="array" ref="D396">_xlfn.LET(_xlpm.p,$A396,_xlfn.IFNA(
  INDEX(tblProjectInfo[InfoValue],
        MATCH(1,(tblProjectInfo[ProjectName]=_xlpm.p)*
                 (UPPER(TRIM(tblProjectInfo[Info]))="PROJECT MANAGERS"),0)
), ""))</f>
        <v/>
      </c>
      <c r="E396" s="147"/>
      <c r="F396" s="147"/>
      <c r="G396" s="147"/>
      <c r="H396" s="162" t="str" cm="1">
        <f t="array" ref="H396">_xlfn.LET(_xlpm.p,$A396,_xlfn.IFNA(
  INDEX(tblProjectInfo[InfoValue],
        MATCH(1,(tblProjectInfo[ProjectName]=_xlpm.p)*
                 ISNUMBER(SEARCH("PHASE",UPPER(tblProjectInfo[Info]))),0)
), ""))</f>
        <v/>
      </c>
      <c r="I396" s="149"/>
      <c r="J396" s="149"/>
      <c r="K396" s="169"/>
      <c r="L396" s="169"/>
      <c r="M396" s="149"/>
      <c r="N396" s="149"/>
      <c r="O396" s="149"/>
      <c r="P396" s="150"/>
      <c r="Q396" s="150"/>
      <c r="R396" s="151"/>
      <c r="S396" s="152"/>
      <c r="T396" s="152"/>
      <c r="U396" s="150"/>
      <c r="V396" s="152"/>
      <c r="W396" s="152"/>
      <c r="X396" s="246"/>
      <c r="Y396" s="106"/>
    </row>
    <row r="397" spans="1:25">
      <c r="A397" t="str" cm="1">
        <f t="array" ref="A397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IFERROR(INDEX(_xlpm.sorted,ROWS(A$2:A397)),"")
)</f>
        <v/>
      </c>
      <c r="B397" s="147" t="str" cm="1">
        <f t="array" ref="B397">_xlfn.LET(_xlpm.p,$A397,_xlfn.IFNA(
  INDEX(tblProjectInfo[InfoValue],
        MATCH(1,(tblProjectInfo[ProjectName]=_xlpm.p)*
                 (UPPER(TRIM(tblProjectInfo[Info]))="PROJECT SIZE (KWP)"),0)
), ""))</f>
        <v/>
      </c>
      <c r="C397" s="147" t="str" cm="1">
        <f t="array" ref="C397">_xlfn.LET(_xlpm.p,$A397,_xlfn.IFNA(
  INDEX(tblProjectInfo[InfoValue],
        MATCH(1,(tblProjectInfo[ProjectName]=_xlpm.p)*
                 (UPPER(TRIM(tblProjectInfo[Info]))="PROJECT DEVELOPER"),0)
), ""))</f>
        <v/>
      </c>
      <c r="D397" s="148" t="str" cm="1">
        <f t="array" ref="D397">_xlfn.LET(_xlpm.p,$A397,_xlfn.IFNA(
  INDEX(tblProjectInfo[InfoValue],
        MATCH(1,(tblProjectInfo[ProjectName]=_xlpm.p)*
                 (UPPER(TRIM(tblProjectInfo[Info]))="PROJECT MANAGERS"),0)
), ""))</f>
        <v/>
      </c>
      <c r="E397" s="147"/>
      <c r="F397" s="147"/>
      <c r="G397" s="147"/>
      <c r="H397" s="162" t="str" cm="1">
        <f t="array" ref="H397">_xlfn.LET(_xlpm.p,$A397,_xlfn.IFNA(
  INDEX(tblProjectInfo[InfoValue],
        MATCH(1,(tblProjectInfo[ProjectName]=_xlpm.p)*
                 ISNUMBER(SEARCH("PHASE",UPPER(tblProjectInfo[Info]))),0)
), ""))</f>
        <v/>
      </c>
      <c r="I397" s="149"/>
      <c r="J397" s="149"/>
      <c r="K397" s="169"/>
      <c r="L397" s="169"/>
      <c r="M397" s="149"/>
      <c r="N397" s="149"/>
      <c r="O397" s="149"/>
      <c r="P397" s="150"/>
      <c r="Q397" s="150"/>
      <c r="R397" s="151"/>
      <c r="S397" s="152"/>
      <c r="T397" s="152"/>
      <c r="U397" s="150"/>
      <c r="V397" s="152"/>
      <c r="W397" s="152"/>
      <c r="X397" s="246"/>
      <c r="Y397" s="106"/>
    </row>
    <row r="398" spans="1:25">
      <c r="A398" t="str" cm="1">
        <f t="array" ref="A398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IFERROR(INDEX(_xlpm.sorted,ROWS(A$2:A398)),"")
)</f>
        <v/>
      </c>
      <c r="B398" s="147" t="str" cm="1">
        <f t="array" ref="B398">_xlfn.LET(_xlpm.p,$A398,_xlfn.IFNA(
  INDEX(tblProjectInfo[InfoValue],
        MATCH(1,(tblProjectInfo[ProjectName]=_xlpm.p)*
                 (UPPER(TRIM(tblProjectInfo[Info]))="PROJECT SIZE (KWP)"),0)
), ""))</f>
        <v/>
      </c>
      <c r="C398" s="147" t="str" cm="1">
        <f t="array" ref="C398">_xlfn.LET(_xlpm.p,$A398,_xlfn.IFNA(
  INDEX(tblProjectInfo[InfoValue],
        MATCH(1,(tblProjectInfo[ProjectName]=_xlpm.p)*
                 (UPPER(TRIM(tblProjectInfo[Info]))="PROJECT DEVELOPER"),0)
), ""))</f>
        <v/>
      </c>
      <c r="D398" s="148" t="str" cm="1">
        <f t="array" ref="D398">_xlfn.LET(_xlpm.p,$A398,_xlfn.IFNA(
  INDEX(tblProjectInfo[InfoValue],
        MATCH(1,(tblProjectInfo[ProjectName]=_xlpm.p)*
                 (UPPER(TRIM(tblProjectInfo[Info]))="PROJECT MANAGERS"),0)
), ""))</f>
        <v/>
      </c>
      <c r="E398" s="147"/>
      <c r="F398" s="147"/>
      <c r="G398" s="147"/>
      <c r="H398" s="162" t="str" cm="1">
        <f t="array" ref="H398">_xlfn.LET(_xlpm.p,$A398,_xlfn.IFNA(
  INDEX(tblProjectInfo[InfoValue],
        MATCH(1,(tblProjectInfo[ProjectName]=_xlpm.p)*
                 ISNUMBER(SEARCH("PHASE",UPPER(tblProjectInfo[Info]))),0)
), ""))</f>
        <v/>
      </c>
      <c r="I398" s="149"/>
      <c r="J398" s="149"/>
      <c r="K398" s="169"/>
      <c r="L398" s="169"/>
      <c r="M398" s="149"/>
      <c r="N398" s="149"/>
      <c r="O398" s="149"/>
      <c r="P398" s="150"/>
      <c r="Q398" s="150"/>
      <c r="R398" s="151"/>
      <c r="S398" s="152"/>
      <c r="T398" s="152"/>
      <c r="U398" s="150"/>
      <c r="V398" s="152"/>
      <c r="W398" s="152"/>
      <c r="X398" s="246"/>
      <c r="Y398" s="106"/>
    </row>
    <row r="399" spans="1:25">
      <c r="A399" t="str" cm="1">
        <f t="array" ref="A399">_xlfn.LET(
  _xlpm.src,TRIM(tblProjectInfo[ProjectName]),
  _xlpm.u,_xlfn.UNIQUE(_xlfn._xlws.FILTER(_xlpm.src,_xlpm.src&lt;&gt;"")),
  _xlpm.mask,ISNUMBER(SEARCH("PHASE",UPPER(tblProjectInfo[Info]))),
  _xlpm.phTbl,_xlfn._xlws.FILTER(_xlfn.HSTACK(TRIM(tblProjectInfo[ProjectName]),SUBSTITUTE(TRIM(tblProjectInfo[InfoValue]),CHAR(160)," ")),_xlpm.mask),
  _xlpm.ph,IFERROR(INDEX(INDEX(_xlpm.phTbl,,2),MATCH(_xlpm.u,INDEX(_xlpm.phTbl,,1),0)),""),
  _xlpm.order,_xlfn.VSTACK("DLP","Financial Close","Pre Planning","Planning","Construction","QA","Handover","Commercial Close Out","Compliance Handover","Closed","Hold"),
  _xlpm.rk,IFERROR(MATCH(_xlpm.ph,_xlpm.order,0),999),
  _xlpm.sorted,_xlfn.SORTBY(_xlpm.u,_xlpm.rk,1,_xlpm.u,1),
  IFERROR(INDEX(_xlpm.sorted,ROWS(A$2:A399)),"")
)</f>
        <v/>
      </c>
      <c r="B399" s="147" t="str" cm="1">
        <f t="array" ref="B399">_xlfn.LET(_xlpm.p,$A399,_xlfn.IFNA(
  INDEX(tblProjectInfo[InfoValue],
        MATCH(1,(tblProjectInfo[ProjectName]=_xlpm.p)*
                 (UPPER(TRIM(tblProjectInfo[Info]))="PROJECT SIZE (KWP)"),0)
), ""))</f>
        <v/>
      </c>
      <c r="C399" s="147" t="str" cm="1">
        <f t="array" ref="C399">_xlfn.LET(_xlpm.p,$A399,_xlfn.IFNA(
  INDEX(tblProjectInfo[InfoValue],
        MATCH(1,(tblProjectInfo[ProjectName]=_xlpm.p)*
                 (UPPER(TRIM(tblProjectInfo[Info]))="PROJECT DEVELOPER"),0)
), ""))</f>
        <v/>
      </c>
      <c r="D399" s="148" t="str" cm="1">
        <f t="array" ref="D399">_xlfn.LET(_xlpm.p,$A399,_xlfn.IFNA(
  INDEX(tblProjectInfo[InfoValue],
        MATCH(1,(tblProjectInfo[ProjectName]=_xlpm.p)*
                 (UPPER(TRIM(tblProjectInfo[Info]))="PROJECT MANAGERS"),0)
), ""))</f>
        <v/>
      </c>
      <c r="E399" s="147"/>
      <c r="F399" s="147"/>
      <c r="G399" s="147"/>
      <c r="H399" s="162" t="str" cm="1">
        <f t="array" ref="H399">_xlfn.LET(_xlpm.p,$A399,_xlfn.IFNA(
  INDEX(tblProjectInfo[InfoValue],
        MATCH(1,(tblProjectInfo[ProjectName]=_xlpm.p)*
                 ISNUMBER(SEARCH("PHASE",UPPER(tblProjectInfo[Info]))),0)
), ""))</f>
        <v/>
      </c>
      <c r="I399" s="149"/>
      <c r="J399" s="149"/>
      <c r="K399" s="169"/>
      <c r="L399" s="169"/>
      <c r="M399" s="149"/>
      <c r="N399" s="149"/>
      <c r="O399" s="149"/>
      <c r="P399" s="150"/>
      <c r="Q399" s="150"/>
      <c r="R399" s="151"/>
      <c r="S399" s="152"/>
      <c r="T399" s="152"/>
      <c r="U399" s="150"/>
      <c r="V399" s="152"/>
      <c r="W399" s="152"/>
      <c r="X399" s="246"/>
      <c r="Y399" s="106"/>
    </row>
    <row r="400" spans="1:25">
      <c r="A400"/>
      <c r="B400" s="147"/>
      <c r="C400" s="148"/>
      <c r="D400" s="147"/>
      <c r="E400" s="147"/>
      <c r="F400" s="147"/>
      <c r="R400" s="147"/>
    </row>
    <row r="401" spans="1:18">
      <c r="A401"/>
      <c r="B401" s="147"/>
      <c r="C401" s="148"/>
      <c r="D401" s="147"/>
      <c r="E401" s="147"/>
      <c r="F401" s="147"/>
      <c r="R401" s="147"/>
    </row>
    <row r="402" spans="1:18">
      <c r="A402"/>
      <c r="B402" s="147"/>
      <c r="C402" s="148"/>
      <c r="D402" s="147"/>
      <c r="E402" s="147"/>
      <c r="F402" s="147"/>
      <c r="R402" s="147"/>
    </row>
    <row r="403" spans="1:18">
      <c r="A403"/>
      <c r="B403" s="147"/>
      <c r="C403" s="148"/>
      <c r="D403" s="147"/>
      <c r="E403" s="147"/>
      <c r="F403" s="147"/>
      <c r="R403" s="147"/>
    </row>
    <row r="404" spans="1:18">
      <c r="A404"/>
      <c r="B404" s="147"/>
      <c r="C404" s="148"/>
      <c r="D404" s="147"/>
      <c r="E404" s="147"/>
      <c r="F404" s="147"/>
      <c r="R404" s="147"/>
    </row>
    <row r="405" spans="1:18">
      <c r="A405"/>
      <c r="B405" s="147"/>
      <c r="C405" s="148"/>
      <c r="D405" s="147"/>
      <c r="E405" s="147"/>
      <c r="F405" s="147"/>
      <c r="R405" s="147"/>
    </row>
    <row r="406" spans="1:18">
      <c r="A406"/>
      <c r="B406" s="147"/>
      <c r="C406" s="148"/>
      <c r="D406" s="147"/>
      <c r="E406" s="147"/>
      <c r="F406" s="147"/>
      <c r="R406" s="147"/>
    </row>
    <row r="407" spans="1:18">
      <c r="A407"/>
      <c r="B407" s="147"/>
      <c r="C407" s="148"/>
      <c r="D407" s="147"/>
      <c r="E407" s="147"/>
      <c r="F407" s="147"/>
      <c r="R407" s="147"/>
    </row>
    <row r="408" spans="1:18">
      <c r="A408"/>
      <c r="B408" s="147"/>
      <c r="C408" s="148"/>
      <c r="D408" s="147"/>
      <c r="E408" s="147"/>
      <c r="F408" s="147"/>
      <c r="R408" s="147"/>
    </row>
    <row r="409" spans="1:18">
      <c r="A409"/>
      <c r="B409" s="147"/>
      <c r="C409" s="148"/>
      <c r="D409" s="147"/>
      <c r="E409" s="147"/>
      <c r="F409" s="147"/>
      <c r="R409" s="147"/>
    </row>
    <row r="410" spans="1:18">
      <c r="A410"/>
      <c r="B410" s="147"/>
      <c r="C410" s="148"/>
      <c r="D410" s="147"/>
      <c r="E410" s="147"/>
      <c r="F410" s="147"/>
      <c r="R410" s="147"/>
    </row>
    <row r="411" spans="1:18">
      <c r="A411"/>
      <c r="B411" s="147"/>
      <c r="C411" s="148"/>
      <c r="D411" s="147"/>
      <c r="E411" s="147"/>
      <c r="F411" s="147"/>
      <c r="R411" s="147"/>
    </row>
    <row r="412" spans="1:18">
      <c r="A412"/>
      <c r="B412" s="147"/>
      <c r="C412" s="148"/>
      <c r="D412" s="147"/>
      <c r="E412" s="147"/>
      <c r="F412" s="147"/>
      <c r="R412" s="147"/>
    </row>
    <row r="413" spans="1:18">
      <c r="A413"/>
      <c r="B413" s="147"/>
      <c r="C413" s="148"/>
      <c r="D413" s="147"/>
      <c r="E413" s="147"/>
      <c r="F413" s="147"/>
      <c r="R413" s="147"/>
    </row>
    <row r="414" spans="1:18">
      <c r="A414"/>
      <c r="B414" s="147"/>
      <c r="C414" s="148"/>
      <c r="D414" s="147"/>
      <c r="E414" s="147"/>
      <c r="F414" s="147"/>
      <c r="R414" s="147"/>
    </row>
    <row r="415" spans="1:18">
      <c r="A415"/>
      <c r="B415" s="147"/>
      <c r="C415" s="148"/>
      <c r="D415" s="147"/>
      <c r="E415" s="147"/>
      <c r="F415" s="147"/>
      <c r="R415" s="147"/>
    </row>
    <row r="416" spans="1:18">
      <c r="A416"/>
      <c r="B416" s="147"/>
      <c r="C416" s="148"/>
      <c r="D416" s="147"/>
      <c r="E416" s="147"/>
      <c r="F416" s="147"/>
      <c r="R416" s="147"/>
    </row>
    <row r="417" spans="1:18">
      <c r="A417"/>
      <c r="B417" s="147"/>
      <c r="C417" s="148"/>
      <c r="D417" s="147"/>
      <c r="E417" s="147"/>
      <c r="F417" s="147"/>
      <c r="R417" s="147"/>
    </row>
    <row r="418" spans="1:18">
      <c r="A418"/>
      <c r="B418" s="147"/>
      <c r="C418" s="148"/>
      <c r="D418" s="147"/>
      <c r="E418" s="147"/>
      <c r="F418" s="147"/>
      <c r="R418" s="147"/>
    </row>
    <row r="419" spans="1:18">
      <c r="A419"/>
      <c r="B419" s="147"/>
      <c r="C419" s="148"/>
      <c r="D419" s="147"/>
      <c r="E419" s="147"/>
      <c r="F419" s="147"/>
      <c r="R419" s="147"/>
    </row>
    <row r="420" spans="1:18">
      <c r="A420"/>
      <c r="B420" s="147"/>
      <c r="C420" s="148"/>
      <c r="D420" s="147"/>
      <c r="E420" s="147"/>
      <c r="F420" s="147"/>
      <c r="R420" s="147"/>
    </row>
    <row r="421" spans="1:18">
      <c r="A421"/>
      <c r="B421" s="147"/>
      <c r="C421" s="148"/>
      <c r="D421" s="147"/>
      <c r="E421" s="147"/>
      <c r="F421" s="147"/>
      <c r="R421" s="147"/>
    </row>
    <row r="422" spans="1:18">
      <c r="A422"/>
      <c r="B422" s="147"/>
      <c r="C422" s="148"/>
      <c r="D422" s="147"/>
      <c r="E422" s="147"/>
      <c r="F422" s="147"/>
      <c r="R422" s="147"/>
    </row>
    <row r="423" spans="1:18">
      <c r="A423"/>
      <c r="B423" s="147"/>
      <c r="C423" s="148"/>
      <c r="D423" s="147"/>
      <c r="E423" s="147"/>
      <c r="F423" s="147"/>
      <c r="R423" s="147"/>
    </row>
    <row r="424" spans="1:18">
      <c r="A424"/>
      <c r="B424" s="147"/>
      <c r="C424" s="148"/>
      <c r="D424" s="147"/>
      <c r="E424" s="147"/>
      <c r="F424" s="147"/>
      <c r="R424" s="147"/>
    </row>
    <row r="425" spans="1:18">
      <c r="A425"/>
      <c r="B425" s="147"/>
      <c r="C425" s="148"/>
      <c r="D425" s="147"/>
      <c r="E425" s="147"/>
      <c r="F425" s="147"/>
      <c r="R425" s="147"/>
    </row>
    <row r="426" spans="1:18">
      <c r="A426"/>
      <c r="B426" s="147"/>
      <c r="C426" s="148"/>
      <c r="D426" s="147"/>
      <c r="E426" s="147"/>
      <c r="F426" s="147"/>
      <c r="R426" s="147"/>
    </row>
    <row r="427" spans="1:18">
      <c r="A427"/>
      <c r="B427" s="147"/>
      <c r="C427" s="148"/>
      <c r="D427" s="147"/>
      <c r="E427" s="147"/>
      <c r="F427" s="147"/>
      <c r="R427" s="147"/>
    </row>
    <row r="428" spans="1:18">
      <c r="A428"/>
      <c r="B428" s="147"/>
      <c r="C428" s="148"/>
      <c r="D428" s="147"/>
      <c r="E428" s="147"/>
      <c r="F428" s="147"/>
      <c r="R428" s="147"/>
    </row>
    <row r="429" spans="1:18">
      <c r="A429"/>
      <c r="B429" s="147"/>
      <c r="C429" s="148"/>
      <c r="D429" s="147"/>
      <c r="E429" s="147"/>
      <c r="F429" s="147"/>
      <c r="R429" s="147"/>
    </row>
    <row r="430" spans="1:18">
      <c r="A430"/>
      <c r="B430" s="147"/>
      <c r="C430" s="148"/>
      <c r="D430" s="147"/>
      <c r="E430" s="147"/>
      <c r="F430" s="147"/>
      <c r="R430" s="147"/>
    </row>
    <row r="431" spans="1:18">
      <c r="A431"/>
      <c r="B431" s="147"/>
      <c r="C431" s="148"/>
      <c r="D431" s="147"/>
      <c r="E431" s="147"/>
      <c r="F431" s="147"/>
      <c r="R431" s="147"/>
    </row>
    <row r="432" spans="1:18">
      <c r="A432"/>
      <c r="B432" s="147"/>
      <c r="C432" s="148"/>
      <c r="D432" s="147"/>
      <c r="E432" s="147"/>
      <c r="F432" s="147"/>
      <c r="R432" s="147"/>
    </row>
    <row r="433" spans="1:18">
      <c r="A433"/>
      <c r="B433" s="147"/>
      <c r="C433" s="148"/>
      <c r="D433" s="147"/>
      <c r="E433" s="147"/>
      <c r="F433" s="147"/>
      <c r="R433" s="147"/>
    </row>
    <row r="434" spans="1:18">
      <c r="A434"/>
      <c r="B434" s="147"/>
      <c r="C434" s="148"/>
      <c r="D434" s="147"/>
      <c r="E434" s="147"/>
      <c r="F434" s="147"/>
      <c r="R434" s="147"/>
    </row>
    <row r="435" spans="1:18">
      <c r="A435"/>
      <c r="B435" s="147"/>
      <c r="C435" s="148"/>
      <c r="D435" s="147"/>
      <c r="E435" s="147"/>
      <c r="F435" s="147"/>
      <c r="R435" s="147"/>
    </row>
    <row r="436" spans="1:18">
      <c r="A436"/>
      <c r="B436" s="147"/>
      <c r="C436" s="148"/>
      <c r="D436" s="147"/>
      <c r="E436" s="147"/>
      <c r="F436" s="147"/>
      <c r="R436" s="147"/>
    </row>
    <row r="437" spans="1:18">
      <c r="A437"/>
      <c r="B437" s="147"/>
      <c r="C437" s="148"/>
      <c r="D437" s="147"/>
      <c r="E437" s="147"/>
      <c r="F437" s="147"/>
      <c r="R437" s="147"/>
    </row>
    <row r="438" spans="1:18">
      <c r="A438"/>
      <c r="B438" s="147"/>
      <c r="C438" s="148"/>
      <c r="D438" s="147"/>
      <c r="E438" s="147"/>
      <c r="F438" s="147"/>
      <c r="R438" s="147"/>
    </row>
    <row r="439" spans="1:18">
      <c r="A439"/>
      <c r="B439" s="147"/>
      <c r="C439" s="148"/>
      <c r="D439" s="147"/>
      <c r="E439" s="147"/>
      <c r="F439" s="147"/>
      <c r="R439" s="147"/>
    </row>
    <row r="440" spans="1:18">
      <c r="A440"/>
      <c r="B440" s="147"/>
      <c r="C440" s="148"/>
      <c r="D440" s="147"/>
      <c r="E440" s="147"/>
      <c r="F440" s="147"/>
      <c r="R440" s="147"/>
    </row>
    <row r="441" spans="1:18">
      <c r="A441"/>
      <c r="B441" s="147"/>
      <c r="C441" s="148"/>
      <c r="D441" s="147"/>
      <c r="E441" s="147"/>
      <c r="F441" s="147"/>
      <c r="R441" s="147"/>
    </row>
    <row r="442" spans="1:18">
      <c r="A442"/>
      <c r="B442" s="147"/>
      <c r="C442" s="148"/>
      <c r="D442" s="147"/>
      <c r="E442" s="147"/>
      <c r="F442" s="147"/>
      <c r="R442" s="147"/>
    </row>
    <row r="443" spans="1:18">
      <c r="A443"/>
      <c r="B443" s="147"/>
      <c r="C443" s="148"/>
      <c r="D443" s="147"/>
      <c r="E443" s="147"/>
      <c r="F443" s="147"/>
      <c r="R443" s="147"/>
    </row>
    <row r="444" spans="1:18">
      <c r="A444"/>
      <c r="B444" s="147"/>
      <c r="C444" s="148"/>
      <c r="D444" s="147"/>
      <c r="E444" s="147"/>
      <c r="F444" s="147"/>
      <c r="R444" s="147"/>
    </row>
    <row r="445" spans="1:18">
      <c r="A445"/>
      <c r="B445" s="147"/>
      <c r="C445" s="148"/>
      <c r="D445" s="147"/>
      <c r="E445" s="147"/>
      <c r="F445" s="147"/>
      <c r="R445" s="147"/>
    </row>
    <row r="446" spans="1:18">
      <c r="A446"/>
      <c r="B446" s="147"/>
      <c r="C446" s="148"/>
      <c r="D446" s="147"/>
      <c r="E446" s="147"/>
      <c r="F446" s="147"/>
      <c r="R446" s="147"/>
    </row>
    <row r="447" spans="1:18">
      <c r="A447"/>
      <c r="B447" s="147"/>
      <c r="C447" s="148"/>
      <c r="D447" s="147"/>
      <c r="E447" s="147"/>
      <c r="F447" s="147"/>
      <c r="R447" s="147"/>
    </row>
    <row r="448" spans="1:18">
      <c r="A448"/>
      <c r="B448"/>
      <c r="C448" s="144"/>
      <c r="D448"/>
      <c r="E448"/>
      <c r="F448"/>
    </row>
    <row r="449" spans="1:6">
      <c r="A449"/>
      <c r="B449"/>
      <c r="C449" s="144"/>
      <c r="D449"/>
      <c r="E449"/>
      <c r="F449"/>
    </row>
    <row r="450" spans="1:6">
      <c r="A450"/>
      <c r="B450"/>
      <c r="C450" s="144"/>
      <c r="D450"/>
      <c r="E450"/>
      <c r="F450"/>
    </row>
    <row r="451" spans="1:6">
      <c r="A451"/>
      <c r="B451"/>
      <c r="C451" s="144"/>
      <c r="D451"/>
      <c r="E451"/>
      <c r="F451"/>
    </row>
    <row r="452" spans="1:6">
      <c r="A452"/>
      <c r="B452"/>
      <c r="C452" s="144"/>
      <c r="D452"/>
      <c r="E452"/>
      <c r="F452"/>
    </row>
    <row r="453" spans="1:6">
      <c r="A453"/>
      <c r="B453"/>
      <c r="C453" s="144"/>
      <c r="D453"/>
      <c r="E453"/>
      <c r="F453"/>
    </row>
    <row r="454" spans="1:6">
      <c r="A454"/>
      <c r="B454"/>
      <c r="C454" s="144"/>
      <c r="D454"/>
      <c r="E454"/>
      <c r="F454"/>
    </row>
    <row r="455" spans="1:6">
      <c r="A455"/>
      <c r="B455"/>
      <c r="C455" s="144"/>
      <c r="D455"/>
      <c r="E455"/>
      <c r="F455"/>
    </row>
    <row r="456" spans="1:6">
      <c r="A456"/>
      <c r="B456"/>
      <c r="C456" s="144"/>
      <c r="D456"/>
      <c r="E456"/>
      <c r="F456"/>
    </row>
    <row r="457" spans="1:6">
      <c r="A457"/>
      <c r="B457"/>
      <c r="C457" s="144"/>
      <c r="D457"/>
      <c r="E457"/>
      <c r="F457"/>
    </row>
    <row r="458" spans="1:6">
      <c r="A458"/>
      <c r="B458"/>
      <c r="C458" s="144"/>
      <c r="D458"/>
      <c r="E458"/>
      <c r="F458"/>
    </row>
    <row r="459" spans="1:6">
      <c r="A459"/>
      <c r="B459"/>
      <c r="C459" s="144"/>
      <c r="D459"/>
      <c r="E459"/>
      <c r="F459"/>
    </row>
    <row r="460" spans="1:6">
      <c r="A460"/>
      <c r="B460"/>
      <c r="C460" s="144"/>
      <c r="D460"/>
      <c r="E460"/>
      <c r="F460"/>
    </row>
    <row r="461" spans="1:6">
      <c r="A461"/>
      <c r="B461"/>
      <c r="C461" s="144"/>
      <c r="D461"/>
      <c r="E461"/>
      <c r="F461"/>
    </row>
    <row r="462" spans="1:6">
      <c r="A462"/>
      <c r="B462"/>
      <c r="C462" s="144"/>
      <c r="D462"/>
      <c r="E462"/>
      <c r="F462"/>
    </row>
    <row r="463" spans="1:6">
      <c r="A463"/>
      <c r="B463"/>
      <c r="C463" s="144"/>
      <c r="D463"/>
      <c r="E463"/>
      <c r="F463"/>
    </row>
    <row r="464" spans="1:6">
      <c r="A464"/>
      <c r="B464"/>
      <c r="C464" s="144"/>
      <c r="D464"/>
      <c r="E464"/>
      <c r="F464"/>
    </row>
    <row r="465" spans="1:6">
      <c r="A465"/>
      <c r="B465"/>
      <c r="C465" s="144"/>
      <c r="D465"/>
      <c r="E465"/>
      <c r="F465"/>
    </row>
    <row r="466" spans="1:6">
      <c r="A466"/>
      <c r="B466"/>
      <c r="C466" s="144"/>
      <c r="D466"/>
      <c r="E466"/>
      <c r="F466"/>
    </row>
    <row r="467" spans="1:6">
      <c r="A467"/>
      <c r="B467"/>
      <c r="C467" s="144"/>
      <c r="D467"/>
      <c r="E467"/>
      <c r="F467"/>
    </row>
    <row r="468" spans="1:6">
      <c r="A468"/>
      <c r="B468"/>
      <c r="C468" s="144"/>
      <c r="D468"/>
      <c r="E468"/>
      <c r="F468"/>
    </row>
    <row r="469" spans="1:6">
      <c r="A469"/>
      <c r="B469"/>
      <c r="C469" s="144"/>
      <c r="D469"/>
      <c r="E469"/>
      <c r="F469"/>
    </row>
    <row r="470" spans="1:6">
      <c r="A470"/>
      <c r="B470"/>
      <c r="C470" s="144"/>
      <c r="D470"/>
      <c r="E470"/>
      <c r="F470"/>
    </row>
    <row r="471" spans="1:6">
      <c r="A471"/>
      <c r="B471"/>
      <c r="C471" s="144"/>
      <c r="D471"/>
      <c r="E471"/>
      <c r="F471"/>
    </row>
    <row r="472" spans="1:6">
      <c r="A472"/>
      <c r="B472"/>
      <c r="C472" s="144"/>
      <c r="D472"/>
      <c r="E472"/>
      <c r="F472"/>
    </row>
    <row r="473" spans="1:6">
      <c r="A473"/>
      <c r="B473"/>
      <c r="C473" s="144"/>
      <c r="D473"/>
      <c r="E473"/>
      <c r="F473"/>
    </row>
    <row r="474" spans="1:6">
      <c r="A474"/>
      <c r="B474"/>
      <c r="C474" s="144"/>
      <c r="D474"/>
      <c r="E474"/>
      <c r="F474"/>
    </row>
    <row r="475" spans="1:6">
      <c r="A475"/>
      <c r="B475"/>
      <c r="C475" s="144"/>
      <c r="D475"/>
      <c r="E475"/>
      <c r="F475"/>
    </row>
    <row r="476" spans="1:6">
      <c r="A476"/>
      <c r="B476"/>
      <c r="C476" s="144"/>
      <c r="D476"/>
      <c r="E476"/>
      <c r="F476"/>
    </row>
    <row r="477" spans="1:6">
      <c r="A477"/>
      <c r="B477"/>
      <c r="C477" s="144"/>
      <c r="D477"/>
      <c r="E477"/>
      <c r="F477"/>
    </row>
    <row r="478" spans="1:6">
      <c r="A478"/>
      <c r="B478"/>
      <c r="C478" s="144"/>
      <c r="D478"/>
      <c r="E478"/>
      <c r="F478"/>
    </row>
    <row r="479" spans="1:6">
      <c r="A479"/>
      <c r="B479"/>
      <c r="C479" s="144"/>
      <c r="D479"/>
      <c r="E479"/>
      <c r="F479"/>
    </row>
    <row r="480" spans="1:6">
      <c r="A480"/>
      <c r="B480"/>
      <c r="C480" s="144"/>
      <c r="D480"/>
      <c r="E480"/>
      <c r="F480"/>
    </row>
    <row r="481" spans="1:6">
      <c r="A481"/>
      <c r="B481"/>
      <c r="C481" s="144"/>
      <c r="D481"/>
      <c r="E481"/>
      <c r="F481"/>
    </row>
    <row r="482" spans="1:6">
      <c r="A482"/>
      <c r="B482"/>
      <c r="C482" s="144"/>
      <c r="D482"/>
      <c r="E482"/>
      <c r="F482"/>
    </row>
    <row r="483" spans="1:6">
      <c r="A483"/>
      <c r="B483"/>
      <c r="C483" s="144"/>
      <c r="D483"/>
      <c r="E483"/>
      <c r="F483"/>
    </row>
    <row r="484" spans="1:6">
      <c r="A484"/>
      <c r="B484"/>
      <c r="C484" s="144"/>
      <c r="D484"/>
      <c r="E484"/>
      <c r="F484"/>
    </row>
    <row r="485" spans="1:6">
      <c r="A485"/>
      <c r="B485"/>
      <c r="C485" s="144"/>
      <c r="D485"/>
      <c r="E485"/>
      <c r="F485"/>
    </row>
    <row r="486" spans="1:6">
      <c r="A486"/>
      <c r="B486"/>
      <c r="C486" s="144"/>
      <c r="D486"/>
      <c r="E486"/>
      <c r="F486"/>
    </row>
    <row r="487" spans="1:6">
      <c r="A487"/>
      <c r="B487"/>
      <c r="C487" s="144"/>
      <c r="D487"/>
      <c r="E487"/>
      <c r="F487"/>
    </row>
    <row r="488" spans="1:6">
      <c r="A488"/>
      <c r="B488"/>
      <c r="C488" s="144"/>
      <c r="D488"/>
      <c r="E488"/>
      <c r="F488"/>
    </row>
    <row r="489" spans="1:6">
      <c r="A489"/>
      <c r="B489"/>
      <c r="C489" s="144"/>
      <c r="D489"/>
      <c r="E489"/>
      <c r="F489"/>
    </row>
  </sheetData>
  <sheetProtection formatColumns="0" sort="0"/>
  <phoneticPr fontId="4" type="noConversion"/>
  <conditionalFormatting sqref="H2:H399 Q2:R399">
    <cfRule type="cellIs" dxfId="60" priority="1" operator="equal">
      <formula>"DLP"</formula>
    </cfRule>
    <cfRule type="cellIs" dxfId="59" priority="2" operator="equal">
      <formula>"Commercial Close Out"</formula>
    </cfRule>
    <cfRule type="cellIs" dxfId="58" priority="55" operator="equal">
      <formula>"Pre Planning"</formula>
    </cfRule>
    <cfRule type="cellIs" dxfId="57" priority="62" operator="equal">
      <formula>"Construction"</formula>
    </cfRule>
    <cfRule type="cellIs" dxfId="56" priority="63" operator="equal">
      <formula>"Compliance Handover"</formula>
    </cfRule>
    <cfRule type="cellIs" dxfId="55" priority="64" operator="equal">
      <formula>"Financial Close"</formula>
    </cfRule>
    <cfRule type="cellIs" dxfId="54" priority="65" operator="equal">
      <formula>"Planning"</formula>
    </cfRule>
    <cfRule type="cellIs" dxfId="53" priority="66" operator="equal">
      <formula>"Pre Planning"</formula>
    </cfRule>
  </conditionalFormatting>
  <conditionalFormatting sqref="H2:H399 Q2:R399">
    <cfRule type="cellIs" dxfId="52" priority="58" operator="equal">
      <formula>"Hold"</formula>
    </cfRule>
    <cfRule type="cellIs" dxfId="51" priority="59" operator="equal">
      <formula>"Closed"</formula>
    </cfRule>
    <cfRule type="cellIs" dxfId="50" priority="60" operator="equal">
      <formula>"Handover"</formula>
    </cfRule>
    <cfRule type="cellIs" dxfId="49" priority="61" operator="equal">
      <formula>"QA"</formula>
    </cfRule>
  </conditionalFormatting>
  <conditionalFormatting sqref="Z211:Z1048576">
    <cfRule type="colorScale" priority="49">
      <colorScale>
        <cfvo type="num" val="0"/>
        <cfvo type="num" val="1"/>
        <cfvo type="num" val="2"/>
        <color rgb="FFF8696B"/>
        <color rgb="FFFFEB84"/>
        <color rgb="FF63BE7B"/>
      </colorScale>
    </cfRule>
  </conditionalFormatting>
  <conditionalFormatting sqref="Z2">
    <cfRule type="dataBar" priority="2827">
      <dataBar>
        <cfvo type="percent" val="0"/>
        <cfvo type="percent" val="100"/>
        <color rgb="FF04AC08"/>
      </dataBar>
      <extLst>
        <ext xmlns:x14="http://schemas.microsoft.com/office/spreadsheetml/2009/9/main" uri="{B025F937-C7B1-47D3-B67F-A62EFF666E3E}">
          <x14:id>{21566BF7-A457-4F1F-9AC4-DD202647D0C5}</x14:id>
        </ext>
      </extLst>
    </cfRule>
  </conditionalFormatting>
  <conditionalFormatting sqref="Y2">
    <cfRule type="dataBar" priority="2831">
      <dataBar>
        <cfvo type="percent" val="0"/>
        <cfvo type="percent" val="100"/>
        <color rgb="FF04AC08"/>
      </dataBar>
      <extLst>
        <ext xmlns:x14="http://schemas.microsoft.com/office/spreadsheetml/2009/9/main" uri="{B025F937-C7B1-47D3-B67F-A62EFF666E3E}">
          <x14:id>{2B1A2D46-1F6F-48AF-A547-85B1AC805BA7}</x14:id>
        </ext>
      </extLst>
    </cfRule>
  </conditionalFormatting>
  <conditionalFormatting sqref="AG2:AI3">
    <cfRule type="containsText" dxfId="48" priority="11" operator="containsText" text="Negative">
      <formula>NOT(ISERROR(SEARCH("Negative",AG2)))</formula>
    </cfRule>
  </conditionalFormatting>
  <conditionalFormatting sqref="O400:O1048576 P1:P399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{30838D01-D0A2-4B8E-AA66-461DDA749367}</x14:id>
        </ext>
      </extLst>
    </cfRule>
  </conditionalFormatting>
  <conditionalFormatting sqref="P400:P1048576 Q1:Q399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{44E24C74-B180-4D3F-9B9D-3FDF1704184B}</x14:id>
        </ext>
      </extLst>
    </cfRule>
  </conditionalFormatting>
  <conditionalFormatting sqref="Q400:Q1048576 R1:R399">
    <cfRule type="iconSet" priority="4">
      <iconSet iconSet="3Symbols">
        <cfvo type="percent" val="0"/>
        <cfvo type="num" val="-0.05"/>
        <cfvo type="num" val="0"/>
      </iconSet>
    </cfRule>
  </conditionalFormatting>
  <conditionalFormatting sqref="L1:L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2:H399" xr:uid="{22AB2908-1E46-41B3-8D59-86E711A247D5}">
      <formula1>FullList</formula1>
    </dataValidation>
  </dataValidations>
  <pageMargins left="0.7" right="0.7" top="0.75" bottom="0.75" header="0.3" footer="0.3"/>
  <pageSetup scale="6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1566BF7-A457-4F1F-9AC4-DD202647D0C5}">
            <x14:dataBar minLength="0" maxLength="100" border="1" gradient="0" direction="leftToRight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Z2</xm:sqref>
        </x14:conditionalFormatting>
        <x14:conditionalFormatting xmlns:xm="http://schemas.microsoft.com/office/excel/2006/main">
          <x14:cfRule type="dataBar" id="{2B1A2D46-1F6F-48AF-A547-85B1AC805BA7}">
            <x14:dataBar minLength="0" maxLength="100" border="1" gradient="0" direction="leftToRight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Y2</xm:sqref>
        </x14:conditionalFormatting>
        <x14:conditionalFormatting xmlns:xm="http://schemas.microsoft.com/office/excel/2006/main">
          <x14:cfRule type="dataBar" id="{30838D01-D0A2-4B8E-AA66-461DDA74936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O400:O1048576 P1:P399</xm:sqref>
        </x14:conditionalFormatting>
        <x14:conditionalFormatting xmlns:xm="http://schemas.microsoft.com/office/excel/2006/main">
          <x14:cfRule type="dataBar" id="{44E24C74-B180-4D3F-9B9D-3FDF1704184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P400:P1048576 Q1:Q399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5123D-0744-4812-8003-F2B22F6A354C}">
  <sheetPr codeName="Sheet2"/>
  <dimension ref="A1:BE321"/>
  <sheetViews>
    <sheetView zoomScaleNormal="100" workbookViewId="0">
      <pane xSplit="2" topLeftCell="F1" activePane="topRight" state="frozen"/>
      <selection activeCell="A145" sqref="A145"/>
      <selection pane="topRight" activeCell="A145" sqref="A145"/>
    </sheetView>
  </sheetViews>
  <sheetFormatPr defaultColWidth="15.453125" defaultRowHeight="14.5"/>
  <cols>
    <col min="1" max="1" width="15.453125" style="13"/>
    <col min="2" max="2" width="22.1796875" style="13" customWidth="1"/>
    <col min="3" max="3" width="15.453125" style="13"/>
    <col min="4" max="4" width="33" style="13" bestFit="1" customWidth="1"/>
    <col min="5" max="5" width="34.54296875" style="13" bestFit="1" customWidth="1"/>
    <col min="6" max="14" width="15.453125" style="13"/>
    <col min="15" max="15" width="18" style="13" customWidth="1"/>
    <col min="16" max="16" width="16" style="13" customWidth="1"/>
    <col min="17" max="19" width="15.453125" style="13"/>
    <col min="20" max="20" width="14.81640625" style="13" customWidth="1"/>
    <col min="21" max="43" width="15.453125" style="13"/>
    <col min="44" max="44" width="15.453125" style="10"/>
    <col min="45" max="16384" width="15.453125" style="13"/>
  </cols>
  <sheetData>
    <row r="1" spans="2:57" s="10" customFormat="1" ht="15" customHeight="1">
      <c r="B1" s="20" t="s">
        <v>93</v>
      </c>
      <c r="C1" s="12">
        <v>45901</v>
      </c>
      <c r="D1" s="12">
        <f>C1+7</f>
        <v>45908</v>
      </c>
      <c r="E1" s="12">
        <f t="shared" ref="E1:BC1" si="0">D1+7</f>
        <v>45915</v>
      </c>
      <c r="F1" s="12">
        <f t="shared" si="0"/>
        <v>45922</v>
      </c>
      <c r="G1" s="12">
        <f t="shared" si="0"/>
        <v>45929</v>
      </c>
      <c r="H1" s="12">
        <f t="shared" si="0"/>
        <v>45936</v>
      </c>
      <c r="I1" s="12">
        <f t="shared" si="0"/>
        <v>45943</v>
      </c>
      <c r="J1" s="12">
        <f t="shared" si="0"/>
        <v>45950</v>
      </c>
      <c r="K1" s="12">
        <f t="shared" si="0"/>
        <v>45957</v>
      </c>
      <c r="L1" s="12">
        <f t="shared" si="0"/>
        <v>45964</v>
      </c>
      <c r="M1" s="12">
        <f t="shared" si="0"/>
        <v>45971</v>
      </c>
      <c r="N1" s="12">
        <f t="shared" si="0"/>
        <v>45978</v>
      </c>
      <c r="O1" s="12">
        <f t="shared" si="0"/>
        <v>45985</v>
      </c>
      <c r="P1" s="12">
        <f t="shared" si="0"/>
        <v>45992</v>
      </c>
      <c r="Q1" s="12">
        <f t="shared" si="0"/>
        <v>45999</v>
      </c>
      <c r="R1" s="12">
        <f t="shared" si="0"/>
        <v>46006</v>
      </c>
      <c r="S1" s="12">
        <f t="shared" si="0"/>
        <v>46013</v>
      </c>
      <c r="T1" s="12">
        <f t="shared" si="0"/>
        <v>46020</v>
      </c>
      <c r="U1" s="12">
        <f t="shared" si="0"/>
        <v>46027</v>
      </c>
      <c r="V1" s="12">
        <f t="shared" si="0"/>
        <v>46034</v>
      </c>
      <c r="W1" s="12">
        <f t="shared" si="0"/>
        <v>46041</v>
      </c>
      <c r="X1" s="12">
        <f t="shared" si="0"/>
        <v>46048</v>
      </c>
      <c r="Y1" s="12">
        <f t="shared" si="0"/>
        <v>46055</v>
      </c>
      <c r="Z1" s="12">
        <f t="shared" si="0"/>
        <v>46062</v>
      </c>
      <c r="AA1" s="12">
        <f t="shared" si="0"/>
        <v>46069</v>
      </c>
      <c r="AB1" s="12">
        <f t="shared" si="0"/>
        <v>46076</v>
      </c>
      <c r="AC1" s="12">
        <f t="shared" si="0"/>
        <v>46083</v>
      </c>
      <c r="AD1" s="12">
        <f t="shared" si="0"/>
        <v>46090</v>
      </c>
      <c r="AE1" s="12">
        <f t="shared" si="0"/>
        <v>46097</v>
      </c>
      <c r="AF1" s="12">
        <f t="shared" si="0"/>
        <v>46104</v>
      </c>
      <c r="AG1" s="12">
        <f t="shared" si="0"/>
        <v>46111</v>
      </c>
      <c r="AH1" s="12">
        <f t="shared" si="0"/>
        <v>46118</v>
      </c>
      <c r="AI1" s="12">
        <f t="shared" si="0"/>
        <v>46125</v>
      </c>
      <c r="AJ1" s="12">
        <f t="shared" si="0"/>
        <v>46132</v>
      </c>
      <c r="AK1" s="12">
        <f t="shared" si="0"/>
        <v>46139</v>
      </c>
      <c r="AL1" s="12">
        <f t="shared" si="0"/>
        <v>46146</v>
      </c>
      <c r="AM1" s="12">
        <f>AL1+7</f>
        <v>46153</v>
      </c>
      <c r="AN1" s="12">
        <f>AM1+7</f>
        <v>46160</v>
      </c>
      <c r="AO1" s="12">
        <f t="shared" si="0"/>
        <v>46167</v>
      </c>
      <c r="AP1" s="12">
        <f t="shared" si="0"/>
        <v>46174</v>
      </c>
      <c r="AQ1" s="12">
        <f t="shared" si="0"/>
        <v>46181</v>
      </c>
      <c r="AR1" s="12">
        <f t="shared" si="0"/>
        <v>46188</v>
      </c>
      <c r="AS1" s="12">
        <f t="shared" si="0"/>
        <v>46195</v>
      </c>
      <c r="AT1" s="12">
        <f t="shared" si="0"/>
        <v>46202</v>
      </c>
      <c r="AU1" s="12">
        <f t="shared" si="0"/>
        <v>46209</v>
      </c>
      <c r="AV1" s="12">
        <f t="shared" si="0"/>
        <v>46216</v>
      </c>
      <c r="AW1" s="12">
        <f t="shared" si="0"/>
        <v>46223</v>
      </c>
      <c r="AX1" s="12">
        <f t="shared" si="0"/>
        <v>46230</v>
      </c>
      <c r="AY1" s="12">
        <f t="shared" si="0"/>
        <v>46237</v>
      </c>
      <c r="AZ1" s="12">
        <f t="shared" si="0"/>
        <v>46244</v>
      </c>
      <c r="BA1" s="12">
        <f t="shared" si="0"/>
        <v>46251</v>
      </c>
      <c r="BB1" s="12">
        <f t="shared" si="0"/>
        <v>46258</v>
      </c>
      <c r="BC1" s="12">
        <f t="shared" si="0"/>
        <v>46265</v>
      </c>
      <c r="BD1" s="7" t="str" cm="1">
        <f t="array" ref="BD1:BD58">_xlfn.VSTACK("(All projects)", _xlfn._xlws.SORT(_xlfn.UNIQUE(tblProjectInfo[ProjectName])))</f>
        <v>(All projects)</v>
      </c>
      <c r="BE1" s="41"/>
    </row>
    <row r="2" spans="2:57" s="46" customFormat="1">
      <c r="B2" s="46" t="s">
        <v>94</v>
      </c>
      <c r="C2" s="45">
        <v>1556526</v>
      </c>
      <c r="D2" s="45">
        <v>3580340</v>
      </c>
      <c r="E2" s="45">
        <v>527515</v>
      </c>
      <c r="F2" s="45">
        <v>7875482</v>
      </c>
      <c r="G2" s="45">
        <v>1204726</v>
      </c>
      <c r="H2" s="45">
        <v>-4374408.7853796342</v>
      </c>
      <c r="I2" s="45">
        <v>973662.18</v>
      </c>
      <c r="J2" s="45">
        <v>1960047.58</v>
      </c>
      <c r="K2" s="45">
        <f>-1441343</f>
        <v>-1441343</v>
      </c>
      <c r="L2" s="45">
        <f>-6174050</f>
        <v>-6174050</v>
      </c>
      <c r="M2" s="45">
        <f>130113</f>
        <v>130113</v>
      </c>
      <c r="N2" s="45">
        <v>11600815</v>
      </c>
      <c r="O2" s="45">
        <v>9456413</v>
      </c>
      <c r="P2" s="45">
        <v>-1234955</v>
      </c>
      <c r="Q2" s="45">
        <v>3446697</v>
      </c>
      <c r="R2" s="45">
        <v>735773</v>
      </c>
      <c r="S2" s="45">
        <v>-5837489</v>
      </c>
      <c r="T2" s="45">
        <v>-7081812</v>
      </c>
      <c r="U2" s="45">
        <v>945482</v>
      </c>
      <c r="V2" s="45">
        <v>-3832882</v>
      </c>
      <c r="W2" s="45">
        <f>-3859225.23</f>
        <v>-3859225.23</v>
      </c>
      <c r="X2" s="45">
        <f>-6551577+16000000</f>
        <v>9448423</v>
      </c>
      <c r="Y2" s="45">
        <v>1353049</v>
      </c>
      <c r="Z2" s="45">
        <v>-2072823</v>
      </c>
      <c r="AA2" s="45">
        <v>5702444</v>
      </c>
      <c r="AB2" s="45">
        <f t="shared" ref="AB2:AG2" si="1">AA6</f>
        <v>234353.58158546127</v>
      </c>
      <c r="AC2" s="45">
        <f t="shared" si="1"/>
        <v>26206895.701587453</v>
      </c>
      <c r="AD2" s="45">
        <f t="shared" si="1"/>
        <v>26347165.815402076</v>
      </c>
      <c r="AE2" s="45">
        <f t="shared" si="1"/>
        <v>25127899.736769326</v>
      </c>
      <c r="AF2" s="45">
        <f t="shared" si="1"/>
        <v>23782832.786567569</v>
      </c>
      <c r="AG2" s="45">
        <f t="shared" si="1"/>
        <v>30553777.40567822</v>
      </c>
      <c r="AH2" s="45">
        <f t="shared" ref="AH2:AN2" si="2">AG6</f>
        <v>25143856.574428678</v>
      </c>
      <c r="AI2" s="46">
        <f t="shared" si="2"/>
        <v>22837912.039418854</v>
      </c>
      <c r="AJ2" s="46">
        <f t="shared" si="2"/>
        <v>22093283.123075694</v>
      </c>
      <c r="AK2" s="46">
        <f t="shared" si="2"/>
        <v>20492379.244121183</v>
      </c>
      <c r="AL2" s="46">
        <f t="shared" si="2"/>
        <v>-1110960.7155012675</v>
      </c>
      <c r="AM2" s="46">
        <f t="shared" si="2"/>
        <v>-6906738.2544062538</v>
      </c>
      <c r="AN2" s="46">
        <f t="shared" si="2"/>
        <v>-8064105.9262183839</v>
      </c>
      <c r="BD2" s="47" t="str">
        <v>1 Bolt Ave_Tracker.xlsx</v>
      </c>
      <c r="BE2" s="48"/>
    </row>
    <row r="3" spans="2:57" s="317" customFormat="1">
      <c r="B3" s="317" t="s">
        <v>95</v>
      </c>
      <c r="C3" s="318">
        <f>IFERROR(
  SUMIFS(tblProgramInflows[MilstoneAmount],tblProgramInflows[PaymentRecievedDate],
 "&gt;=" &amp; C$1,tblProgramInflows[PaymentRecievedDate],
 "&lt;"  &amp; C$1+7),
  0)</f>
        <v>1508831.2925</v>
      </c>
      <c r="D3" s="318">
        <f>IFERROR(
  SUMIFS(tblProgramInflows[MilstoneAmount],tblProgramInflows[PaymentRecievedDate],
 "&gt;=" &amp; D$1,tblProgramInflows[PaymentRecievedDate],
 "&lt;"  &amp; D$1+7),
  0)</f>
        <v>996017.31196017505</v>
      </c>
      <c r="E3" s="318">
        <f>IFERROR(
  SUMIFS(tblProgramInflows[MilstoneAmount],tblProgramInflows[PaymentRecievedDate],
 "&gt;=" &amp; E$1,tblProgramInflows[PaymentRecievedDate],
 "&lt;"  &amp; E$1+7),
  0)</f>
        <v>9608788.4159327913</v>
      </c>
      <c r="F3" s="318">
        <f>IFERROR(
  SUMIFS(tblProgramInflows[MilstoneAmount],tblProgramInflows[PaymentRecievedDate],
 "&gt;=" &amp; F$1,tblProgramInflows[PaymentRecievedDate],
 "&lt;"  &amp; F$1+7),
  0)</f>
        <v>714674.03604477551</v>
      </c>
      <c r="G3" s="318">
        <f>IFERROR(
  SUMIFS(tblProgramInflows[MilstoneAmount],tblProgramInflows[PaymentRecievedDate],
 "&gt;=" &amp; G$1,tblProgramInflows[PaymentRecievedDate],
 "&lt;"  &amp; G$1+7),
  0)</f>
        <v>0</v>
      </c>
      <c r="H3" s="318">
        <f>IFERROR(
  SUMIFS(tblProgramInflows[MilstoneAmount],tblProgramInflows[PaymentRecievedDate],
 "&gt;=" &amp; H$1,tblProgramInflows[PaymentRecievedDate],
 "&lt;"  &amp; H$1+7),
  0)</f>
        <v>3454247.6638685586</v>
      </c>
      <c r="I3" s="318">
        <f>IFERROR(
  SUMIFS(tblProgramInflows[MilstoneAmount],tblProgramInflows[PaymentRecievedDate],
 "&gt;=" &amp; I$1,tblProgramInflows[PaymentRecievedDate],
 "&lt;"  &amp; I$1+7),
  0)</f>
        <v>4548213.3031710703</v>
      </c>
      <c r="J3" s="318">
        <f>IFERROR(
  SUMIFS(tblProgramInflows[MilstoneAmount],tblProgramInflows[PaymentRecievedDate],
 "&gt;=" &amp; J$1,tblProgramInflows[PaymentRecievedDate],
 "&lt;"  &amp; J$1+7),
  0)</f>
        <v>4244204.3650000002</v>
      </c>
      <c r="K3" s="318">
        <f>IFERROR(
  SUMIFS(tblProgramInflows[MilstoneAmount],tblProgramInflows[PaymentRecievedDate],
 "&gt;=" &amp; K$1,tblProgramInflows[PaymentRecievedDate],
 "&lt;"  &amp; K$1+7),
  0)</f>
        <v>256659.63060825705</v>
      </c>
      <c r="L3" s="318">
        <f>IFERROR(
  SUMIFS(tblProgramInflows[MilstoneAmount],tblProgramInflows[PaymentRecievedDate],
 "&gt;=" &amp; L$1,tblProgramInflows[PaymentRecievedDate],
 "&lt;"  &amp; L$1+7),
  0)</f>
        <v>2328044.5251537953</v>
      </c>
      <c r="M3" s="318">
        <f>IFERROR(
  SUMIFS(tblProgramInflows[MilstoneAmount],tblProgramInflows[PaymentRecievedDate],
 "&gt;=" &amp; M$1,tblProgramInflows[PaymentRecievedDate],
 "&lt;"  &amp; M$1+7),
  0)</f>
        <v>14614012.578354398</v>
      </c>
      <c r="N3" s="318">
        <f>IFERROR(
  SUMIFS(tblProgramInflows[MilstoneAmount],tblProgramInflows[PaymentRecievedDate],
 "&gt;=" &amp; N$1,tblProgramInflows[PaymentRecievedDate],
 "&lt;"  &amp; N$1+7),
  0)</f>
        <v>154070.40000000002</v>
      </c>
      <c r="O3" s="318">
        <f>IFERROR(
  SUMIFS(tblProgramInflows[MilstoneAmount],tblProgramInflows[PaymentRecievedDate],
 "&gt;=" &amp; O$1,tblProgramInflows[PaymentRecievedDate],
 "&lt;"  &amp; O$1+7),
  0)</f>
        <v>969440.42125763465</v>
      </c>
      <c r="P3" s="318">
        <f>IFERROR(
  SUMIFS(tblProgramInflows[MilstoneAmount],tblProgramInflows[PaymentRecievedDate],
 "&gt;=" &amp; P$1,tblProgramInflows[PaymentRecievedDate],
 "&lt;"  &amp; P$1+7),
  0)</f>
        <v>3028418.250833333</v>
      </c>
      <c r="Q3" s="318">
        <f>IFERROR(
  SUMIFS(tblProgramInflows[MilstoneAmount],tblProgramInflows[PaymentRecievedDate],
 "&gt;=" &amp; Q$1,tblProgramInflows[PaymentRecievedDate],
 "&lt;"  &amp; Q$1+7),
  0)</f>
        <v>5998643.1587385656</v>
      </c>
      <c r="R3" s="318">
        <f>IFERROR(
  SUMIFS(tblProgramInflows[MilstoneAmount],tblProgramInflows[PaymentRecievedDate],
 "&gt;=" &amp; R$1,tblProgramInflows[PaymentRecievedDate],
 "&lt;"  &amp; R$1+7),
  0)</f>
        <v>4009086.5804205807</v>
      </c>
      <c r="S3" s="318">
        <f>IFERROR(
  SUMIFS(tblProgramInflows[MilstoneAmount],tblProgramInflows[PaymentRecievedDate],
 "&gt;=" &amp; S$1,tblProgramInflows[PaymentRecievedDate],
 "&lt;"  &amp; S$1+7),
  0)</f>
        <v>0</v>
      </c>
      <c r="T3" s="318">
        <f>IFERROR(
  SUMIFS(tblProgramInflows[MilstoneAmount],tblProgramInflows[PaymentRecievedDate],
 "&gt;=" &amp; T$1,tblProgramInflows[PaymentRecievedDate],
 "&lt;"  &amp; T$1+7),
  0)</f>
        <v>7339326.7755633863</v>
      </c>
      <c r="U3" s="318">
        <f>IFERROR(
  SUMIFS(tblProgramInflows[MilstoneAmount],tblProgramInflows[PaymentRecievedDate],
 "&gt;=" &amp; U$1,tblProgramInflows[PaymentRecievedDate],
 "&lt;"  &amp; U$1+7),
  0)</f>
        <v>646738.55607388192</v>
      </c>
      <c r="V3" s="318">
        <f>IFERROR(
  SUMIFS(tblProgramInflows[MilstoneAmount],tblProgramInflows[PaymentRecievedDate],
 "&gt;=" &amp; V$1,tblProgramInflows[PaymentRecievedDate],
 "&lt;"  &amp; V$1+7),
  0)</f>
        <v>3150976.5849149711</v>
      </c>
      <c r="W3" s="318">
        <f>IFERROR(
  SUMIFS(tblProgramInflows[MilstoneAmount],tblProgramInflows[PaymentRecievedDate],
 "&gt;=" &amp; W$1,tblProgramInflows[PaymentRecievedDate],
 "&lt;"  &amp; W$1+7),
  0)</f>
        <v>6255</v>
      </c>
      <c r="X3" s="318">
        <f>IFERROR(
  SUMIFS(tblProgramInflows[MilstoneAmount],tblProgramInflows[PaymentRecievedDate],
 "&gt;=" &amp; X$1,tblProgramInflows[PaymentRecievedDate],
 "&lt;"  &amp; X$1+7),
  0)</f>
        <v>172433.76155814462</v>
      </c>
      <c r="Y3" s="318">
        <f>IFERROR(
  SUMIFS(tblProgramInflows[MilstoneAmount],tblProgramInflows[PaymentRecievedDate],
 "&gt;=" &amp; Y$1,tblProgramInflows[PaymentRecievedDate],
 "&lt;"  &amp; Y$1+7),
  0)</f>
        <v>1117774.2905900902</v>
      </c>
      <c r="Z3" s="318">
        <f>IFERROR(
  SUMIFS(tblProgramInflows[MilstoneAmount],tblProgramInflows[PaymentRecievedDate],
 "&gt;=" &amp; Z$1,tblProgramInflows[PaymentRecievedDate],
 "&lt;"  &amp; Z$1+7),
  0)</f>
        <v>910429.15561740345</v>
      </c>
      <c r="AA3" s="318">
        <f>IFERROR(
  SUMIFS(tblProgramInflows[MilstoneAmount],tblProgramInflows[PaymentRecievedDate],
 "&gt;=" &amp; AA$1,tblProgramInflows[PaymentRecievedDate],
 "&lt;"  &amp; AA$1+7),
  0)</f>
        <v>5960554.8865885772</v>
      </c>
      <c r="AB3" s="318">
        <f>IFERROR(
  SUMIFS(tblProgramInflows[MilstoneAmount],tblProgramInflows[PaymentRecievedDate],
 "&gt;=" &amp; AB$1,tblProgramInflows[PaymentRecievedDate],
 "&lt;"  &amp; AB$1+7),
  0)</f>
        <v>33435812.468674973</v>
      </c>
      <c r="AC3" s="318">
        <f>IFERROR(
  SUMIFS(tblProgramInflows[MilstoneAmount],tblProgramInflows[PaymentRecievedDate],
 "&gt;=" &amp; AC$1,tblProgramInflows[PaymentRecievedDate],
 "&lt;"  &amp; AC$1+7),
  0)</f>
        <v>3213512.696060075</v>
      </c>
      <c r="AD3" s="318">
        <f>IFERROR(
  SUMIFS(tblProgramInflows[MilstoneAmount],tblProgramInflows[PaymentRecievedDate],
 "&gt;=" &amp; AD$1,tblProgramInflows[PaymentRecievedDate],
 "&lt;"  &amp; AD$1+7),
  0)</f>
        <v>156643.12083333335</v>
      </c>
      <c r="AE3" s="318">
        <f>IFERROR(
  SUMIFS(tblProgramInflows[MilstoneAmount],tblProgramInflows[PaymentRecievedDate],
 "&gt;=" &amp; AE$1,tblProgramInflows[PaymentRecievedDate],
 "&lt;"  &amp; AE$1+7),
  0)</f>
        <v>186295.71509834839</v>
      </c>
      <c r="AF3" s="318">
        <f>IFERROR(
  SUMIFS(tblProgramInflows[MilstoneAmount],tblProgramInflows[PaymentRecievedDate],
 "&gt;=" &amp; AF$1,tblProgramInflows[PaymentRecievedDate],
 "&lt;"  &amp; AF$1+7),
  0)</f>
        <v>9382531.7317058817</v>
      </c>
      <c r="AG3" s="318">
        <f>IFERROR(
  SUMIFS(tblProgramInflows[MilstoneAmount],tblProgramInflows[PaymentRecievedDate],
 "&gt;=" &amp; AG$1,tblProgramInflows[PaymentRecievedDate],
 "&lt;"  &amp; AG$1+7),
  0)</f>
        <v>3504874.8428894575</v>
      </c>
      <c r="AH3" s="318">
        <f>IFERROR(
  SUMIFS(tblProgramInflows[MilstoneAmount],tblProgramInflows[PaymentRecievedDate],
 "&gt;=" &amp; AH$1,tblProgramInflows[PaymentRecievedDate],
 "&lt;"  &amp; AG$1+7),
  0)</f>
        <v>0</v>
      </c>
      <c r="AI3" s="318">
        <f>IFERROR(
  SUMIFS(tblProgramInflows[MilstoneAmount],tblProgramInflows[PaymentRecievedDate],
 "&gt;=" &amp; AI$1,tblProgramInflows[PaymentRecievedDate],
 "&lt;"  &amp; AH$1+7),
  0)</f>
        <v>0</v>
      </c>
      <c r="AJ3" s="318">
        <f>IFERROR(
  SUMIFS(tblProgramInflows[MilstoneAmount],tblProgramInflows[PaymentRecievedDate],
 "&gt;=" &amp; AJ$1,tblProgramInflows[PaymentRecievedDate],
 "&lt;"  &amp; AI$1+7),
  0)</f>
        <v>0</v>
      </c>
      <c r="AK3" s="318">
        <f>IFERROR(
  SUMIFS(tblProgramInflows[MilstoneAmount],tblProgramInflows[PaymentRecievedDate],
 "&gt;=" &amp; AK$1,tblProgramInflows[PaymentRecievedDate],
 "&lt;"  &amp; AJ$1+7),
  0)</f>
        <v>0</v>
      </c>
      <c r="AL3" s="318">
        <f>IFERROR(
  SUMIFS(tblProgramInflows[MilstoneAmount],tblProgramInflows[PaymentRecievedDate],
 "&gt;=" &amp; AL$1,tblProgramInflows[PaymentRecievedDate],
 "&lt;"  &amp; AK$1+7),
  0)</f>
        <v>0</v>
      </c>
      <c r="AM3" s="318">
        <f>IFERROR(
  SUMIFS(tblProgramInflows[MilstoneAmount],tblProgramInflows[PaymentRecievedDate],
 "&gt;=" &amp; AM$1,tblProgramInflows[PaymentRecievedDate],
 "&lt;"  &amp; AL$1+7),
  0)</f>
        <v>0</v>
      </c>
      <c r="AN3" s="318">
        <f>IFERROR(
  SUMIFS(tblProgramInflows[MilstoneAmount],tblProgramInflows[PaymentRecievedDate],
 "&gt;=" &amp; AN$1,tblProgramInflows[PaymentRecievedDate],
 "&lt;"  &amp; AM$1+7),
  0)</f>
        <v>0</v>
      </c>
      <c r="AO3" s="318"/>
      <c r="AP3" s="318"/>
      <c r="BD3" s="319" t="str">
        <v>25 Superior Road_Tracker.xlsx</v>
      </c>
      <c r="BE3" s="320"/>
    </row>
    <row r="4" spans="2:57" s="331" customFormat="1">
      <c r="B4" s="331" t="s">
        <v>96</v>
      </c>
      <c r="C4" s="307" cm="1">
        <f t="array" ref="C4">IF(C$1="","",
   _xlfn.LET(
     _xlpm.m, C$1,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527918.73046761192</v>
      </c>
      <c r="D4" s="307" cm="1">
        <f t="array" ref="D4">IF(D$1="","",
   _xlfn.LET(
     _xlpm.m, D$1,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527918.73046761192</v>
      </c>
      <c r="E4" s="307" cm="1">
        <f t="array" ref="E4">IF(E$1="","",
   _xlfn.LET(
     _xlpm.m, E$1,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527918.73046761192</v>
      </c>
      <c r="F4" s="307" cm="1">
        <f t="array" ref="F4">IF(F$1="","",
   _xlfn.LET(
     _xlpm.m, F$1,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527918.73046761192</v>
      </c>
      <c r="G4" s="307" cm="1">
        <f t="array" ref="G4">IF(G$1="","",
   _xlfn.LET(
     _xlpm.m, G$1,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527918.73046761192</v>
      </c>
      <c r="H4" s="307" cm="1">
        <f t="array" ref="H4">IF(H$1="","",
   _xlfn.LET(
     _xlpm.m, H$1,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588134.64778348256</v>
      </c>
      <c r="I4" s="307" cm="1">
        <f t="array" ref="I4">IF(I$1="","",
   _xlfn.LET(
     _xlpm.m, I$1,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588134.64778348256</v>
      </c>
      <c r="J4" s="307" cm="1">
        <f t="array" ref="J4">IF(J$1="","",
   _xlfn.LET(
     _xlpm.m, J$1,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588134.64778348256</v>
      </c>
      <c r="K4" s="307" cm="1">
        <f t="array" ref="K4">IF(K$1="","",
   _xlfn.LET(
     _xlpm.m, K$1,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588134.64778348256</v>
      </c>
      <c r="L4" s="307" cm="1">
        <f t="array" ref="L4">IF(L$1="","",
   _xlfn.LET(
     _xlpm.m, L$1,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590602.29880341457</v>
      </c>
      <c r="M4" s="307" cm="1">
        <f t="array" ref="M4">IF(M$1="","",
   _xlfn.LET(
     _xlpm.m, M$1,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590602.29880341457</v>
      </c>
      <c r="N4" s="307" cm="1">
        <f t="array" ref="N4">IF(N$1="","",
   _xlfn.LET(
     _xlpm.m, N$1,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590602.29880341457</v>
      </c>
      <c r="O4" s="307" cm="1">
        <f t="array" ref="O4">IF(O$1="","",
   _xlfn.LET(
     _xlpm.m, O$1,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590602.29880341457</v>
      </c>
      <c r="P4" s="307" cm="1">
        <f t="array" ref="P4">IF(P$1="","",
   _xlfn.LET(
     _xlpm.m, P$1,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482989.70753783669</v>
      </c>
      <c r="Q4" s="307" cm="1">
        <f t="array" ref="Q4">IF(Q$1="","",
   _xlfn.LET(
     _xlpm.m, Q$1,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482989.70753783669</v>
      </c>
      <c r="R4" s="307" cm="1">
        <f t="array" ref="R4">IF(R$1="","",
   _xlfn.LET(
     _xlpm.m, R$1,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482989.70753783669</v>
      </c>
      <c r="S4" s="307" cm="1">
        <f t="array" ref="S4">IF(S$1="","",
   _xlfn.LET(
     _xlpm.m, S$1,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482989.70753783669</v>
      </c>
      <c r="T4" s="307" cm="1">
        <f t="array" ref="T4">IF(T$1="","",
   _xlfn.LET(
     _xlpm.m, T$1,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482989.70753783669</v>
      </c>
      <c r="U4" s="307" cm="1">
        <f t="array" ref="U4">IF(U$1="","",
   _xlfn.LET(
     _xlpm.m, U$1,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602042.33114842873</v>
      </c>
      <c r="V4" s="307" cm="1">
        <f t="array" ref="V4">IF(V$1="","",
   _xlfn.LET(
     _xlpm.m, V$1,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602042.33114842873</v>
      </c>
      <c r="W4" s="307" cm="1">
        <f t="array" ref="W4">IF(W$1="","",
   _xlfn.LET(
     _xlpm.m, W$1,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602042.33114842873</v>
      </c>
      <c r="X4" s="307" cm="1">
        <f t="array" ref="X4">IF(X$1="","",
   _xlfn.LET(
     _xlpm.m, X$1,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602042.33114842873</v>
      </c>
      <c r="Y4" s="307" cm="1">
        <f t="array" ref="Y4">IF(Y$1="","",
   _xlfn.LET(
     _xlpm.m, Y$1,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603297.20273543801</v>
      </c>
      <c r="Z4" s="307" cm="1">
        <f t="array" ref="Z4">IF(Z$1="","",
   _xlfn.LET(
     _xlpm.m, Z$1,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603297.20273543801</v>
      </c>
      <c r="AA4" s="307" cm="1">
        <f t="array" ref="AA4">IF(AA$1="","",
   _xlfn.LET(
     _xlpm.m, AA$1,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603297.20273543801</v>
      </c>
      <c r="AB4" s="307" cm="1">
        <f t="array" ref="AB4">IF(AB$1="","",
   _xlfn.LET(
     _xlpm.m, AB$1,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603297.20273543801</v>
      </c>
      <c r="AC4" s="307" cm="1">
        <f t="array" ref="AC4">IF(AC$1="","",
   _xlfn.LET(
     _xlpm.m, AC$1,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537777.45007878938</v>
      </c>
      <c r="AD4" s="307" cm="1">
        <f t="array" ref="AD4">IF(AD$1="","",
   _xlfn.LET(
     _xlpm.m, AD$1,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537777.45007878938</v>
      </c>
      <c r="AE4" s="307" cm="1">
        <f t="array" ref="AE4">IF(AE$1="","",
   _xlfn.LET(
     _xlpm.m, AE$1,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537777.45007878938</v>
      </c>
      <c r="AF4" s="307" cm="1">
        <f t="array" ref="AF4">IF(AF$1="","",
   _xlfn.LET(
     _xlpm.m, AF$1,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537777.45007878938</v>
      </c>
      <c r="AG4" s="307" cm="1">
        <f t="array" ref="AG4">IF(AG$1="","",
   _xlfn.LET(
     _xlpm.m, AG$1,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537777.45007878938</v>
      </c>
      <c r="AH4" s="307" cm="1">
        <f t="array" ref="AH4">IF(AH$1="","",
   _xlfn.LET(
     _xlpm.m, AH$1,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683283.45784315979</v>
      </c>
      <c r="AI4" s="307" cm="1">
        <f t="array" ref="AI4">IF(AI$1="","",
   _xlfn.LET(
     _xlpm.m, AI$1,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683283.45784315979</v>
      </c>
      <c r="AJ4" s="307" cm="1">
        <f t="array" ref="AJ4">IF(AJ$1="","",
   _xlfn.LET(
     _xlpm.m, AJ$1,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683283.45784315979</v>
      </c>
      <c r="AK4" s="307" cm="1">
        <f t="array" ref="AK4">IF(AK$1="","",
   _xlfn.LET(
     _xlpm.m, AK$1,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683283.45784315979</v>
      </c>
      <c r="AL4" s="307" cm="1">
        <f t="array" ref="AL4">IF(AL$1="","",
   _xlfn.LET(
     _xlpm.m, AL$1,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696658.91723483533</v>
      </c>
      <c r="AM4" s="307" cm="1">
        <f t="array" ref="AM4">IF(AM$1="","",
   _xlfn.LET(
     _xlpm.m, AM$1,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696658.91723483533</v>
      </c>
      <c r="AN4" s="307" cm="1">
        <f t="array" ref="AN4">IF(AN$1="","",
   _xlfn.LET(
     _xlpm.m, AN$1,
     _xlpm.rng, '[1]Income Statement'!$I$63:$T$63,
     _xlpm.k,  MOD(MONTH(_xlpm.m)-9,12)+1,
     _xlpm.n,  COUNTIFS($C$1:$ZZ$1,"&gt;="&amp;EOMONTH(_xlpm.m,-1)+1,
                  $C$1:$ZZ$1,"&lt;="&amp;EOMONTH(_xlpm.m,0)),
     IF(_xlpm.n=0, 0, -INDEX(_xlpm.rng,1,_xlpm.k)/_xlpm.n)
   )
)</f>
        <v>696658.91723483533</v>
      </c>
      <c r="AO4" s="307"/>
      <c r="AP4" s="307"/>
      <c r="BD4" s="332" t="str">
        <v>7th Avenue Park_Tracker.xlsx</v>
      </c>
      <c r="BE4" s="333"/>
    </row>
    <row r="5" spans="2:57" s="321" customFormat="1">
      <c r="B5" s="321" t="s">
        <v>97</v>
      </c>
      <c r="C5" s="322">
        <f>IFERROR(
  SUMIFS(tblProgramExpense[ExpenseActualTotal],tblProgramExpense[ExpensePaymentDate],
 "&gt;=" &amp; C$1,tblProgramExpense[ExpensePaymentDate],
 "&lt;"  &amp; C$1+7),
  0)</f>
        <v>7980967.6324999984</v>
      </c>
      <c r="D5" s="322">
        <f>IFERROR(
  SUMIFS(tblProgramExpense[ExpenseActualTotal],tblProgramExpense[ExpensePaymentDate],
 "&gt;=" &amp; D$1,tblProgramExpense[ExpensePaymentDate],
 "&lt;"  &amp; D$1+7),
  0)</f>
        <v>1145138.0200000003</v>
      </c>
      <c r="E5" s="322">
        <f>IFERROR(
  SUMIFS(tblProgramExpense[ExpenseActualTotal],tblProgramExpense[ExpensePaymentDate],
 "&gt;=" &amp; E$1,tblProgramExpense[ExpensePaymentDate],
 "&lt;"  &amp; E$1+7),
  0)</f>
        <v>697080.31499999994</v>
      </c>
      <c r="F5" s="322">
        <f>IFERROR(
  SUMIFS(tblProgramExpense[ExpenseActualTotal],tblProgramExpense[ExpensePaymentDate],
 "&gt;=" &amp; F$1,tblProgramExpense[ExpensePaymentDate],
 "&lt;"  &amp; F$1+7),
  0)</f>
        <v>2962870.1291739126</v>
      </c>
      <c r="G5" s="322">
        <f>IFERROR(
  SUMIFS(tblProgramExpense[ExpenseActualTotal],tblProgramExpense[ExpensePaymentDate],
 "&gt;=" &amp; G$1,tblProgramExpense[ExpensePaymentDate],
 "&lt;"  &amp; G$1+7),
  0)</f>
        <v>4987336.5290100118</v>
      </c>
      <c r="H5" s="322">
        <f>IFERROR(
  SUMIFS(tblProgramExpense[ExpenseActualTotal],tblProgramExpense[ExpensePaymentDate],
 "&gt;=" &amp; H$1,tblProgramExpense[ExpensePaymentDate],
 "&lt;"  &amp; H$1+7),
  0)</f>
        <v>1738338.7235000001</v>
      </c>
      <c r="I5" s="322">
        <f>IFERROR(
  SUMIFS(tblProgramExpense[ExpenseActualTotal],tblProgramExpense[ExpensePaymentDate],
 "&gt;=" &amp; I$1,tblProgramExpense[ExpensePaymentDate],
 "&lt;"  &amp; I$1+7),
  0)</f>
        <v>6512356.4615000002</v>
      </c>
      <c r="J5" s="322">
        <f>IFERROR(
  SUMIFS(tblProgramExpense[ExpenseActualTotal],tblProgramExpense[ExpensePaymentDate],
 "&gt;=" &amp; J$1,tblProgramExpense[ExpensePaymentDate],
 "&lt;"  &amp; J$1+7),
  0)</f>
        <v>4594576.2075000005</v>
      </c>
      <c r="K5" s="322">
        <f>IFERROR(
  SUMIFS(tblProgramExpense[ExpenseActualTotal],tblProgramExpense[ExpensePaymentDate],
 "&gt;=" &amp; K$1,tblProgramExpense[ExpensePaymentDate],
 "&lt;"  &amp; K$1+7),
  0)</f>
        <v>2963161.6780000008</v>
      </c>
      <c r="L5" s="322">
        <f>IFERROR(
  SUMIFS(tblProgramExpense[ExpenseActualTotal],tblProgramExpense[ExpensePaymentDate],
 "&gt;=" &amp; L$1,tblProgramExpense[ExpensePaymentDate],
 "&lt;"  &amp; L$1+7),
  0)</f>
        <v>1676295.9140000001</v>
      </c>
      <c r="M5" s="322">
        <f>IFERROR(
  SUMIFS(tblProgramExpense[ExpenseActualTotal],tblProgramExpense[ExpensePaymentDate],
 "&gt;=" &amp; M$1,tblProgramExpense[ExpensePaymentDate],
 "&lt;"  &amp; M$1+7),
  0)</f>
        <v>704290.495</v>
      </c>
      <c r="N5" s="322">
        <f>IFERROR(
  SUMIFS(tblProgramExpense[ExpenseActualTotal],tblProgramExpense[ExpensePaymentDate],
 "&gt;=" &amp; N$1,tblProgramExpense[ExpensePaymentDate],
 "&lt;"  &amp; N$1+7),
  0)</f>
        <v>788530.87950000027</v>
      </c>
      <c r="O5" s="322">
        <f>IFERROR(
  SUMIFS(tblProgramExpense[ExpenseActualTotal],tblProgramExpense[ExpensePaymentDate],
 "&gt;=" &amp; O$1,tblProgramExpense[ExpensePaymentDate],
 "&lt;"  &amp; O$1+7),
  0)</f>
        <v>8251445.1101343045</v>
      </c>
      <c r="P5" s="322">
        <f>IFERROR(
  SUMIFS(tblProgramExpense[ExpenseActualTotal],tblProgramExpense[ExpensePaymentDate],
 "&gt;=" &amp; P$1,tblProgramExpense[ExpensePaymentDate],
 "&lt;"  &amp; P$1+7),
  0)</f>
        <v>2062601.5374999999</v>
      </c>
      <c r="Q5" s="322">
        <f>IFERROR(
  SUMIFS(tblProgramExpense[ExpenseActualTotal],tblProgramExpense[ExpensePaymentDate],
 "&gt;=" &amp; Q$1,tblProgramExpense[ExpensePaymentDate],
 "&lt;"  &amp; Q$1+7),
  0)</f>
        <v>5487967.3789260685</v>
      </c>
      <c r="R5" s="322">
        <f>IFERROR(
  SUMIFS(tblProgramExpense[ExpenseActualTotal],tblProgramExpense[ExpensePaymentDate],
 "&gt;=" &amp; R$1,tblProgramExpense[ExpensePaymentDate],
 "&lt;"  &amp; R$1+7),
  0)</f>
        <v>8732166.1660807431</v>
      </c>
      <c r="S5" s="322">
        <f>IFERROR(
  SUMIFS(tblProgramExpense[ExpenseActualTotal],tblProgramExpense[ExpensePaymentDate],
 "&gt;=" &amp; S$1,tblProgramExpense[ExpensePaymentDate],
 "&lt;"  &amp; S$1+7),
  0)</f>
        <v>2147359.6300000004</v>
      </c>
      <c r="T5" s="322">
        <f>IFERROR(
  SUMIFS(tblProgramExpense[ExpenseActualTotal],tblProgramExpense[ExpensePaymentDate],
 "&gt;=" &amp; T$1,tblProgramExpense[ExpensePaymentDate],
 "&lt;"  &amp; T$1+7),
  0)</f>
        <v>1262366.3999999999</v>
      </c>
      <c r="U5" s="322">
        <f>IFERROR(
  SUMIFS(tblProgramExpense[ExpenseActualTotal],tblProgramExpense[ExpensePaymentDate],
 "&gt;=" &amp; U$1,tblProgramExpense[ExpensePaymentDate],
 "&lt;"  &amp; U$1+7),
  0)</f>
        <v>2758730.8433260857</v>
      </c>
      <c r="V5" s="322">
        <v>4149286</v>
      </c>
      <c r="W5" s="322">
        <f>IFERROR(
  SUMIFS(tblProgramExpense[ExpenseActualTotal],tblProgramExpense[ExpensePaymentDate],
 "&gt;=" &amp; W$1,tblProgramExpense[ExpensePaymentDate],
 "&lt;"  &amp; W$1+7),
  0)</f>
        <v>2503883.1189999999</v>
      </c>
      <c r="X5" s="322">
        <f>IFERROR(
  SUMIFS(tblProgramExpense[ExpenseActualTotal],tblProgramExpense[ExpensePaymentDate],
 "&gt;=" &amp; X$1,tblProgramExpense[ExpensePaymentDate],
 "&lt;"  &amp; X$1+7),
  0)</f>
        <v>6553946.0907644201</v>
      </c>
      <c r="Y5" s="322">
        <f>IFERROR(
  SUMIFS(tblProgramExpense[ExpenseActualTotal],tblProgramExpense[ExpensePaymentDate],
 "&gt;=" &amp; Y$1,tblProgramExpense[ExpensePaymentDate],
 "&lt;"  &amp; Y$1+7),
  0)</f>
        <v>3376385.1810000013</v>
      </c>
      <c r="Z5" s="322">
        <f>IFERROR(
  SUMIFS(tblProgramExpense[ExpenseActualTotal],tblProgramExpense[ExpensePaymentDate],
 "&gt;=" &amp; Z$1,tblProgramExpense[ExpensePaymentDate],
 "&lt;"  &amp; Z$1+7),
  0)</f>
        <v>1842509.5252130411</v>
      </c>
      <c r="AA5" s="322">
        <f>IFERROR(
  SUMIFS(tblProgramExpense[ExpenseActualTotal],tblProgramExpense[ExpensePaymentDate],
 "&gt;=" &amp; AA$1,tblProgramExpense[ExpensePaymentDate],
 "&lt;"  &amp; AA$1+7),
  0)</f>
        <v>10825348.102267677</v>
      </c>
      <c r="AB5" s="322">
        <f>IFERROR(
  SUMIFS(tblProgramExpense[ExpenseActualTotal],tblProgramExpense[ExpensePaymentDate],
 "&gt;=" &amp; AB$1,tblProgramExpense[ExpensePaymentDate],
 "&lt;"  &amp; AB$1+7),
  0)</f>
        <v>6859973.1459375387</v>
      </c>
      <c r="AC5" s="322">
        <f>IFERROR(
  SUMIFS(tblProgramExpense[ExpenseActualTotal],tblProgramExpense[ExpensePaymentDate],
 "&gt;=" &amp; AC$1,tblProgramExpense[ExpensePaymentDate],
 "&lt;"  &amp; AC$1+7),
  0)</f>
        <v>2535465.132166666</v>
      </c>
      <c r="AD5" s="322">
        <f>IFERROR(
  SUMIFS(tblProgramExpense[ExpenseActualTotal],tblProgramExpense[ExpensePaymentDate],
 "&gt;=" &amp; AD$1,tblProgramExpense[ExpensePaymentDate],
 "&lt;"  &amp; AD$1+7),
  0)</f>
        <v>838131.7493872937</v>
      </c>
      <c r="AE5" s="322">
        <f>IFERROR(
  SUMIFS(tblProgramExpense[ExpenseActualTotal],tblProgramExpense[ExpensePaymentDate],
 "&gt;=" &amp; AE$1,tblProgramExpense[ExpensePaymentDate],
 "&lt;"  &amp; AE$1+7),
  0)</f>
        <v>993585.21522131527</v>
      </c>
      <c r="AF5" s="322">
        <f>IFERROR(
  SUMIFS(tblProgramExpense[ExpenseActualTotal],tblProgramExpense[ExpensePaymentDate],
 "&gt;=" &amp; AF$1,tblProgramExpense[ExpensePaymentDate],
 "&lt;"  &amp; AF$1+7),
  0)</f>
        <v>2073809.6625164396</v>
      </c>
      <c r="AG5" s="322">
        <f>IFERROR(
  SUMIFS(tblProgramExpense[ExpenseActualTotal],tblProgramExpense[ExpensePaymentDate],
 "&gt;=" &amp; AG$1,tblProgramExpense[ExpensePaymentDate],
 "&lt;"  &amp; AG$1+7),
  0)</f>
        <v>8377018.2240602132</v>
      </c>
      <c r="AH5" s="322">
        <f>IFERROR(
  SUMIFS(tblProgramExpense[ExpenseActualTotal],tblProgramExpense[ExpensePaymentDate],
 "&gt;=" &amp; AH$1,tblProgramExpense[ExpensePaymentDate],
 "&lt;"  &amp; AH$1+7),
  0)</f>
        <v>1622661.0771666665</v>
      </c>
      <c r="AI5" s="322">
        <f>IFERROR(
  SUMIFS(tblProgramExpense[ExpenseActualTotal],tblProgramExpense[ExpensePaymentDate],
 "&gt;=" &amp; AI$1,tblProgramExpense[ExpensePaymentDate],
 "&lt;"  &amp; AI$1+7),
  0)</f>
        <v>61345.458500000001</v>
      </c>
      <c r="AJ5" s="322">
        <f>IFERROR(
  SUMIFS(tblProgramExpense[ExpenseActualTotal],tblProgramExpense[ExpensePaymentDate],
 "&gt;=" &amp; AJ$1,tblProgramExpense[ExpensePaymentDate],
 "&lt;"  &amp; AJ$1+7),
  0)</f>
        <v>917620.42111135263</v>
      </c>
      <c r="AK5" s="322">
        <f>IFERROR(
  SUMIFS(tblProgramExpense[ExpenseActualTotal],tblProgramExpense[ExpensePaymentDate],
 "&gt;=" &amp; AK$1,tblProgramExpense[ExpensePaymentDate],
 "&lt;"  &amp; AK$1+7),
  0)</f>
        <v>20920056.501779292</v>
      </c>
      <c r="AL5" s="322">
        <f>IFERROR(
  SUMIFS(tblProgramExpense[ExpenseActualTotal],tblProgramExpense[ExpensePaymentDate],
 "&gt;=" &amp; AL$1,tblProgramExpense[ExpensePaymentDate],
 "&lt;"  &amp; AL$1+7),
  0)</f>
        <v>5099118.6216701511</v>
      </c>
      <c r="AM5" s="322">
        <f>IFERROR(
  SUMIFS(tblProgramExpense[ExpenseActualTotal],tblProgramExpense[ExpensePaymentDate],
 "&gt;=" &amp; AM$1,tblProgramExpense[ExpensePaymentDate],
 "&lt;"  &amp; AM$1+7),
  0)</f>
        <v>460708.75457729457</v>
      </c>
      <c r="AN5" s="322">
        <f>IFERROR(
  SUMIFS(tblProgramExpense[ExpenseActualTotal],tblProgramExpense[ExpensePaymentDate],
 "&gt;=" &amp; AN$1,tblProgramExpense[ExpensePaymentDate],
 "&lt;"  &amp; AN$1+7),
  0)</f>
        <v>2338751.8040172593</v>
      </c>
      <c r="AO5" s="322"/>
      <c r="AP5" s="322"/>
      <c r="BD5" s="323" t="str">
        <v>Blackheath Park_Tracker.xlsx</v>
      </c>
      <c r="BE5" s="324"/>
    </row>
    <row r="6" spans="2:57" s="46" customFormat="1">
      <c r="B6" s="46" t="s">
        <v>98</v>
      </c>
      <c r="C6" s="45">
        <f>C2+C3-C4-C5</f>
        <v>-5443529.0704676099</v>
      </c>
      <c r="D6" s="45">
        <f t="shared" ref="D6:G6" si="3">D2+D3-D4-D5</f>
        <v>2903300.5614925623</v>
      </c>
      <c r="E6" s="45">
        <f t="shared" si="3"/>
        <v>8911304.3704651799</v>
      </c>
      <c r="F6" s="45">
        <f t="shared" si="3"/>
        <v>5099367.1764032524</v>
      </c>
      <c r="G6" s="45">
        <f t="shared" si="3"/>
        <v>-4310529.2594776237</v>
      </c>
      <c r="H6" s="45">
        <f t="shared" ref="H6:L6" si="4">H2+H3-H4-H5</f>
        <v>-3246634.4927945584</v>
      </c>
      <c r="I6" s="45">
        <f t="shared" si="4"/>
        <v>-1578615.6261124127</v>
      </c>
      <c r="J6" s="45">
        <f t="shared" si="4"/>
        <v>1021541.0897165174</v>
      </c>
      <c r="K6" s="45">
        <f t="shared" si="4"/>
        <v>-4735979.6951752268</v>
      </c>
      <c r="L6" s="45">
        <f t="shared" si="4"/>
        <v>-6112903.6876496188</v>
      </c>
      <c r="M6" s="45">
        <f t="shared" ref="M6:T6" si="5">M2+M3-M4-M5</f>
        <v>13449232.784550983</v>
      </c>
      <c r="N6" s="45">
        <f t="shared" si="5"/>
        <v>10375752.221696585</v>
      </c>
      <c r="O6" s="45">
        <f t="shared" si="5"/>
        <v>1583806.0123199141</v>
      </c>
      <c r="P6" s="45">
        <f t="shared" si="5"/>
        <v>-752127.99420450348</v>
      </c>
      <c r="Q6" s="45">
        <f t="shared" si="5"/>
        <v>3474383.0722746588</v>
      </c>
      <c r="R6" s="45">
        <f t="shared" si="5"/>
        <v>-4470296.2931979988</v>
      </c>
      <c r="S6" s="45">
        <f t="shared" si="5"/>
        <v>-8467838.3375378363</v>
      </c>
      <c r="T6" s="45">
        <f t="shared" si="5"/>
        <v>-1487841.3319744503</v>
      </c>
      <c r="U6" s="45">
        <f t="shared" ref="U6:AG6" si="6">U2+U3-U4-U5</f>
        <v>-1768552.6184006324</v>
      </c>
      <c r="V6" s="45">
        <f t="shared" si="6"/>
        <v>-5433233.7462334577</v>
      </c>
      <c r="W6" s="45">
        <f>W2+W3-W4-W5</f>
        <v>-6958895.6801484283</v>
      </c>
      <c r="X6" s="45">
        <f t="shared" si="6"/>
        <v>2464868.3396452963</v>
      </c>
      <c r="Y6" s="45">
        <f t="shared" si="6"/>
        <v>-1508859.0931453491</v>
      </c>
      <c r="Z6" s="45">
        <f t="shared" si="6"/>
        <v>-3608200.5723310756</v>
      </c>
      <c r="AA6" s="45">
        <f>AA2+AA3-AA4-AA5</f>
        <v>234353.58158546127</v>
      </c>
      <c r="AB6" s="45">
        <f t="shared" si="6"/>
        <v>26206895.701587453</v>
      </c>
      <c r="AC6" s="45">
        <f t="shared" si="6"/>
        <v>26347165.815402076</v>
      </c>
      <c r="AD6" s="45">
        <f t="shared" si="6"/>
        <v>25127899.736769326</v>
      </c>
      <c r="AE6" s="45">
        <f t="shared" si="6"/>
        <v>23782832.786567569</v>
      </c>
      <c r="AF6" s="45">
        <f t="shared" si="6"/>
        <v>30553777.40567822</v>
      </c>
      <c r="AG6" s="45">
        <f t="shared" si="6"/>
        <v>25143856.574428678</v>
      </c>
      <c r="AH6" s="45">
        <f t="shared" ref="AH6:AN6" si="7">AH2+AH3-AH4-AH5</f>
        <v>22837912.039418854</v>
      </c>
      <c r="AI6" s="45">
        <f t="shared" si="7"/>
        <v>22093283.123075694</v>
      </c>
      <c r="AJ6" s="45">
        <f t="shared" si="7"/>
        <v>20492379.244121183</v>
      </c>
      <c r="AK6" s="45">
        <f t="shared" si="7"/>
        <v>-1110960.7155012675</v>
      </c>
      <c r="AL6" s="45">
        <f t="shared" si="7"/>
        <v>-6906738.2544062538</v>
      </c>
      <c r="AM6" s="45">
        <f t="shared" si="7"/>
        <v>-8064105.9262183839</v>
      </c>
      <c r="AN6" s="45">
        <f t="shared" si="7"/>
        <v>-11099516.647470478</v>
      </c>
      <c r="AO6" s="45"/>
      <c r="AP6" s="45"/>
      <c r="BD6" s="47" t="str">
        <v>BMG Fluid Tech_Tracker.xlsx</v>
      </c>
      <c r="BE6" s="48"/>
    </row>
    <row r="7" spans="2:57" s="46" customFormat="1">
      <c r="B7" s="46" t="s">
        <v>99</v>
      </c>
      <c r="C7" s="45">
        <f>C2+C3</f>
        <v>3065357.2925</v>
      </c>
      <c r="D7" s="45">
        <f t="shared" ref="D7:G7" si="8">D2+D3</f>
        <v>4576357.3119601747</v>
      </c>
      <c r="E7" s="45">
        <f t="shared" si="8"/>
        <v>10136303.415932791</v>
      </c>
      <c r="F7" s="45">
        <f t="shared" si="8"/>
        <v>8590156.0360447764</v>
      </c>
      <c r="G7" s="45">
        <f t="shared" si="8"/>
        <v>1204726</v>
      </c>
      <c r="H7" s="45">
        <f t="shared" ref="H7:L7" si="9">H2+H3</f>
        <v>-920161.12151107565</v>
      </c>
      <c r="I7" s="45">
        <f t="shared" si="9"/>
        <v>5521875.48317107</v>
      </c>
      <c r="J7" s="45">
        <f t="shared" si="9"/>
        <v>6204251.9450000003</v>
      </c>
      <c r="K7" s="45">
        <f t="shared" si="9"/>
        <v>-1184683.3693917429</v>
      </c>
      <c r="L7" s="45">
        <f t="shared" si="9"/>
        <v>-3846005.4748462047</v>
      </c>
      <c r="M7" s="45">
        <f t="shared" ref="M7:T7" si="10">M2+M3</f>
        <v>14744125.578354398</v>
      </c>
      <c r="N7" s="45">
        <f t="shared" si="10"/>
        <v>11754885.4</v>
      </c>
      <c r="O7" s="45">
        <f t="shared" si="10"/>
        <v>10425853.421257634</v>
      </c>
      <c r="P7" s="45">
        <f t="shared" si="10"/>
        <v>1793463.250833333</v>
      </c>
      <c r="Q7" s="45">
        <f t="shared" si="10"/>
        <v>9445340.1587385647</v>
      </c>
      <c r="R7" s="45">
        <f t="shared" si="10"/>
        <v>4744859.5804205807</v>
      </c>
      <c r="S7" s="45">
        <f t="shared" si="10"/>
        <v>-5837489</v>
      </c>
      <c r="T7" s="45">
        <f t="shared" si="10"/>
        <v>257514.77556338627</v>
      </c>
      <c r="U7" s="45">
        <f t="shared" ref="U7:AG7" si="11">U2+U3</f>
        <v>1592220.5560738819</v>
      </c>
      <c r="V7" s="45">
        <f t="shared" si="11"/>
        <v>-681905.41508502886</v>
      </c>
      <c r="W7" s="45">
        <f t="shared" si="11"/>
        <v>-3852970.23</v>
      </c>
      <c r="X7" s="45">
        <f t="shared" si="11"/>
        <v>9620856.7615581453</v>
      </c>
      <c r="Y7" s="45">
        <f t="shared" si="11"/>
        <v>2470823.2905900902</v>
      </c>
      <c r="Z7" s="45">
        <f t="shared" si="11"/>
        <v>-1162393.8443825967</v>
      </c>
      <c r="AA7" s="45">
        <f t="shared" si="11"/>
        <v>11662998.886588577</v>
      </c>
      <c r="AB7" s="45">
        <f t="shared" si="11"/>
        <v>33670166.050260432</v>
      </c>
      <c r="AC7" s="45">
        <f t="shared" si="11"/>
        <v>29420408.39764753</v>
      </c>
      <c r="AD7" s="45">
        <f t="shared" si="11"/>
        <v>26503808.936235409</v>
      </c>
      <c r="AE7" s="45">
        <f t="shared" si="11"/>
        <v>25314195.451867674</v>
      </c>
      <c r="AF7" s="45">
        <f t="shared" si="11"/>
        <v>33165364.51827345</v>
      </c>
      <c r="AG7" s="45">
        <f t="shared" si="11"/>
        <v>34058652.248567678</v>
      </c>
      <c r="AH7" s="45">
        <f t="shared" ref="AH7:AN7" si="12">AH2+AH3</f>
        <v>25143856.574428678</v>
      </c>
      <c r="AI7" s="45">
        <f t="shared" si="12"/>
        <v>22837912.039418854</v>
      </c>
      <c r="AJ7" s="45">
        <f t="shared" si="12"/>
        <v>22093283.123075694</v>
      </c>
      <c r="AK7" s="45">
        <f t="shared" si="12"/>
        <v>20492379.244121183</v>
      </c>
      <c r="AL7" s="45">
        <f t="shared" si="12"/>
        <v>-1110960.7155012675</v>
      </c>
      <c r="AM7" s="45">
        <f t="shared" si="12"/>
        <v>-6906738.2544062538</v>
      </c>
      <c r="AN7" s="45">
        <f t="shared" si="12"/>
        <v>-8064105.9262183839</v>
      </c>
      <c r="AO7" s="45"/>
      <c r="AP7" s="45"/>
      <c r="BD7" s="47" t="str">
        <v>Boundary Terraces_Tracker.xlsx</v>
      </c>
      <c r="BE7" s="48"/>
    </row>
    <row r="8" spans="2:57" s="8" customFormat="1">
      <c r="B8" s="30" t="s">
        <v>100</v>
      </c>
      <c r="C8" s="31"/>
      <c r="D8" s="31">
        <f t="shared" ref="D8:AN8" si="13">D2-C6</f>
        <v>9023869.0704676099</v>
      </c>
      <c r="E8" s="31">
        <f t="shared" si="13"/>
        <v>-2375785.5614925623</v>
      </c>
      <c r="F8" s="31">
        <f t="shared" si="13"/>
        <v>-1035822.3704651799</v>
      </c>
      <c r="G8" s="31">
        <f t="shared" si="13"/>
        <v>-3894641.1764032524</v>
      </c>
      <c r="H8" s="31">
        <f t="shared" si="13"/>
        <v>-63879.5259020105</v>
      </c>
      <c r="I8" s="31">
        <f t="shared" si="13"/>
        <v>4220296.6727945581</v>
      </c>
      <c r="J8" s="31">
        <f t="shared" si="13"/>
        <v>3538663.2061124127</v>
      </c>
      <c r="K8" s="31">
        <f t="shared" si="13"/>
        <v>-2462884.0897165174</v>
      </c>
      <c r="L8" s="31">
        <f t="shared" si="13"/>
        <v>-1438070.3048247732</v>
      </c>
      <c r="M8" s="31">
        <f t="shared" si="13"/>
        <v>6243016.6876496188</v>
      </c>
      <c r="N8" s="31">
        <f t="shared" si="13"/>
        <v>-1848417.7845509835</v>
      </c>
      <c r="O8" s="31">
        <f t="shared" si="13"/>
        <v>-919339.22169658542</v>
      </c>
      <c r="P8" s="31">
        <f t="shared" si="13"/>
        <v>-2818761.0123199141</v>
      </c>
      <c r="Q8" s="31">
        <f t="shared" si="13"/>
        <v>4198824.9942045035</v>
      </c>
      <c r="R8" s="31">
        <f t="shared" si="13"/>
        <v>-2738610.0722746588</v>
      </c>
      <c r="S8" s="31">
        <f t="shared" si="13"/>
        <v>-1367192.7068020012</v>
      </c>
      <c r="T8" s="31">
        <f t="shared" si="13"/>
        <v>1386026.3375378363</v>
      </c>
      <c r="U8" s="31">
        <f t="shared" si="13"/>
        <v>2433323.3319744505</v>
      </c>
      <c r="V8" s="31">
        <f t="shared" si="13"/>
        <v>-2064329.3815993676</v>
      </c>
      <c r="W8" s="31">
        <f t="shared" si="13"/>
        <v>1574008.5162334577</v>
      </c>
      <c r="X8" s="31">
        <f t="shared" si="13"/>
        <v>16407318.680148428</v>
      </c>
      <c r="Y8" s="31">
        <f t="shared" si="13"/>
        <v>-1111819.3396452963</v>
      </c>
      <c r="Z8" s="31">
        <f t="shared" si="13"/>
        <v>-563963.90685465094</v>
      </c>
      <c r="AA8" s="31">
        <f t="shared" si="13"/>
        <v>9310644.5723310746</v>
      </c>
      <c r="AB8" s="31">
        <f t="shared" si="13"/>
        <v>0</v>
      </c>
      <c r="AC8" s="31">
        <f t="shared" si="13"/>
        <v>0</v>
      </c>
      <c r="AD8" s="31">
        <f t="shared" si="13"/>
        <v>0</v>
      </c>
      <c r="AE8" s="31">
        <f t="shared" si="13"/>
        <v>0</v>
      </c>
      <c r="AF8" s="31">
        <f t="shared" si="13"/>
        <v>0</v>
      </c>
      <c r="AG8" s="31">
        <f t="shared" si="13"/>
        <v>0</v>
      </c>
      <c r="AH8" s="31">
        <f t="shared" si="13"/>
        <v>0</v>
      </c>
      <c r="AI8" s="31">
        <f t="shared" si="13"/>
        <v>0</v>
      </c>
      <c r="AJ8" s="31">
        <f t="shared" si="13"/>
        <v>0</v>
      </c>
      <c r="AK8" s="31">
        <f t="shared" si="13"/>
        <v>0</v>
      </c>
      <c r="AL8" s="31">
        <f t="shared" si="13"/>
        <v>0</v>
      </c>
      <c r="AM8" s="31">
        <f t="shared" si="13"/>
        <v>0</v>
      </c>
      <c r="AN8" s="31">
        <f t="shared" si="13"/>
        <v>0</v>
      </c>
      <c r="AO8" s="31"/>
      <c r="AP8" s="31"/>
      <c r="AQ8" s="7"/>
      <c r="AR8" s="32"/>
      <c r="AS8" s="32"/>
      <c r="AT8" s="32"/>
      <c r="BD8" s="8" t="str">
        <v>Cascades_Tracker.xlsx</v>
      </c>
    </row>
    <row r="9" spans="2:57" s="27" customFormat="1">
      <c r="B9" s="11" t="s">
        <v>101</v>
      </c>
      <c r="C9" s="15" t="s">
        <v>102</v>
      </c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7"/>
      <c r="AR9" s="32"/>
      <c r="AS9" s="32"/>
      <c r="AT9" s="32"/>
      <c r="AU9" s="8"/>
      <c r="AV9" s="8"/>
      <c r="AW9" s="8"/>
      <c r="AX9" s="8"/>
      <c r="AY9" s="8"/>
      <c r="AZ9" s="8"/>
      <c r="BA9" s="8"/>
      <c r="BB9" s="8"/>
      <c r="BC9" s="8"/>
      <c r="BD9" s="8" t="str">
        <v>Cassia_Tracker.xlsx</v>
      </c>
      <c r="BE9" s="35"/>
    </row>
    <row r="10" spans="2:57" s="11" customFormat="1">
      <c r="B10" s="11" t="s">
        <v>103</v>
      </c>
      <c r="C10" s="215">
        <v>46076</v>
      </c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7"/>
      <c r="AR10" s="32"/>
      <c r="AS10" s="32"/>
      <c r="AT10" s="32"/>
      <c r="AU10" s="8"/>
      <c r="AV10" s="8"/>
      <c r="AW10" s="8"/>
      <c r="AX10" s="8"/>
      <c r="AY10" s="8"/>
      <c r="AZ10" s="8"/>
      <c r="BA10" s="8"/>
      <c r="BB10" s="8"/>
      <c r="BC10" s="8"/>
      <c r="BD10" s="8" t="str">
        <v>China Town Adhoc_Tracker.xlsx</v>
      </c>
      <c r="BE10" s="36"/>
    </row>
    <row r="11" spans="2:57" s="26" customFormat="1">
      <c r="B11" s="11" t="s">
        <v>104</v>
      </c>
      <c r="C11" s="10" t="s">
        <v>105</v>
      </c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7"/>
      <c r="AR11" s="32"/>
      <c r="AS11" s="32"/>
      <c r="AT11" s="32"/>
      <c r="AU11" s="8"/>
      <c r="AV11" s="8"/>
      <c r="AW11" s="8"/>
      <c r="AX11" s="8"/>
      <c r="AY11" s="8"/>
      <c r="AZ11" s="8"/>
      <c r="BA11" s="8"/>
      <c r="BB11" s="8"/>
      <c r="BC11" s="8"/>
      <c r="BD11" s="8" t="str">
        <v>Coega Steels Ph2_Tracker.xlsx</v>
      </c>
      <c r="BE11" s="37"/>
    </row>
    <row r="12" spans="2:57" s="8" customFormat="1"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7"/>
      <c r="AR12" s="32"/>
      <c r="AS12" s="32"/>
      <c r="AT12" s="32"/>
      <c r="BD12" s="8" t="str">
        <v>Corporate Park_Tracker.xlsx</v>
      </c>
    </row>
    <row r="13" spans="2:57" s="8" customFormat="1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7"/>
      <c r="AR13" s="32"/>
      <c r="AS13" s="32"/>
      <c r="AT13" s="32"/>
      <c r="BD13" s="8" t="str">
        <v>De Drift_Tracker.xlsx</v>
      </c>
    </row>
    <row r="14" spans="2:57" s="8" customFormat="1">
      <c r="B14" s="30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7"/>
      <c r="AR14" s="32"/>
      <c r="AS14" s="32"/>
      <c r="AT14" s="32"/>
      <c r="BD14" s="8" t="str">
        <v>Dobsonpoint_Tracker.xlsx</v>
      </c>
    </row>
    <row r="15" spans="2:57" s="8" customFormat="1"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6"/>
      <c r="P15" s="316"/>
      <c r="Q15" s="316"/>
      <c r="R15" s="316"/>
      <c r="S15" s="316"/>
      <c r="T15" s="316"/>
      <c r="U15" s="316"/>
      <c r="V15" s="316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7"/>
      <c r="AR15" s="32"/>
      <c r="AS15" s="32"/>
      <c r="AT15" s="32"/>
      <c r="BD15" s="8" t="str">
        <v>FY 2026 Adhoc_Tracker.xlsx</v>
      </c>
    </row>
    <row r="16" spans="2:57" s="8" customFormat="1">
      <c r="B16" s="30"/>
      <c r="C16" s="34"/>
      <c r="D16" s="34"/>
      <c r="E16" s="34"/>
      <c r="F16" s="34"/>
      <c r="G16" s="100">
        <f>IF($C$9="Show", SUM(_xlfn.CHOOSECOLS(_xlfn.ANCHORARRAY(B18),6)), 0)</f>
        <v>6859973.1459375387</v>
      </c>
      <c r="H16" s="101"/>
      <c r="I16" s="34"/>
      <c r="J16" s="296"/>
      <c r="K16" s="296"/>
      <c r="L16" s="296"/>
      <c r="M16" s="296"/>
      <c r="N16" s="297"/>
      <c r="O16" s="281"/>
      <c r="P16" s="279"/>
      <c r="Q16" s="279"/>
      <c r="R16" s="279"/>
      <c r="S16" s="280">
        <f>IF($C$9="Show", SUM(_xlfn.CHOOSECOLS(_xlfn.ANCHORARRAY(O18),5)), 0)</f>
        <v>33435812.468674973</v>
      </c>
      <c r="T16" s="279"/>
      <c r="U16" s="279"/>
      <c r="V16" s="279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7"/>
      <c r="AR16" s="32"/>
      <c r="AS16" s="32"/>
      <c r="AT16" s="32"/>
      <c r="BD16" s="8" t="str">
        <v>Gezina Galleries_Tracker.xlsx</v>
      </c>
    </row>
    <row r="17" spans="2:57" s="11" customFormat="1">
      <c r="B17" s="11" t="s">
        <v>106</v>
      </c>
      <c r="C17" s="14" t="s">
        <v>107</v>
      </c>
      <c r="D17" s="14" t="s">
        <v>108</v>
      </c>
      <c r="E17" s="14" t="s">
        <v>109</v>
      </c>
      <c r="F17" s="14" t="s">
        <v>110</v>
      </c>
      <c r="G17" s="14" t="s">
        <v>111</v>
      </c>
      <c r="H17" s="14" t="s">
        <v>112</v>
      </c>
      <c r="I17" s="16"/>
      <c r="J17" s="298"/>
      <c r="K17" s="298"/>
      <c r="L17" s="298"/>
      <c r="M17" s="298"/>
      <c r="N17" s="298"/>
      <c r="O17" s="282" t="s">
        <v>104</v>
      </c>
      <c r="P17" s="282" t="s">
        <v>113</v>
      </c>
      <c r="Q17" s="282" t="s">
        <v>109</v>
      </c>
      <c r="R17" s="282" t="s">
        <v>110</v>
      </c>
      <c r="S17" s="282" t="s">
        <v>111</v>
      </c>
      <c r="T17" s="283" t="s">
        <v>114</v>
      </c>
      <c r="U17" s="282" t="s">
        <v>115</v>
      </c>
      <c r="V17" s="282" t="s">
        <v>116</v>
      </c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2"/>
      <c r="AR17" s="14"/>
      <c r="AS17" s="14"/>
      <c r="AT17" s="14"/>
      <c r="BD17" s="11" t="str">
        <v>Gillwell_Tracker.xlsx</v>
      </c>
    </row>
    <row r="18" spans="2:57" s="27" customFormat="1">
      <c r="B18" s="42" t="str" cm="1">
        <f t="array" ref="B18:H185">IF($C$9&lt;&gt;"Show", "",
  _xlfn.LET(
    _xlpm.w,    $C$10,
    _xlpm.p,    $C$11,
    _xlpm.proj,tblProgramExpense[ProjectName],
    _xlpm.cat,tblProgramExpense[ExpenseCategory],
    _xlpm.it,tblProgramExpense[ExpenseLineItem],
    _xlpm.inv,tblProgramExpense[ExpenseInvoiceNumber],
    _xlpm.pay,tblProgramExpense[ExpensePaymentDate],
    _xlpm.amt,tblProgramExpense[ExpenseActualTotal],
    _xlpm.loc, tblProgramExpense[TrackerLocator],
    _xlpm.mask, (            _xlpm.pay&gt;=_xlpm.w)*(_xlpm.pay&lt;_xlpm.w+7)*IF(OR(_xlpm.p="", _xlpm.p="(All projects)"), 1, _xlpm.proj=_xlpm.p),
    _xlfn._xlws.FILTER(_xlfn.HSTACK(_xlpm.proj, _xlpm.cat, _xlpm.it, _xlpm.inv, _xlpm.pay, _xlpm.amt, _xlpm.loc), _xlpm.mask, "No lines")
))</f>
        <v>7th Avenue Park_Tracker.xlsx</v>
      </c>
      <c r="C18" s="33" t="str">
        <v>5. Monitoring</v>
      </c>
      <c r="D18" s="33" t="str">
        <v>CTs &amp; Meters</v>
      </c>
      <c r="E18" s="33" t="str">
        <v>Accuenergy Inv: ASAI-007259</v>
      </c>
      <c r="F18" s="43">
        <v>46080</v>
      </c>
      <c r="G18" s="113">
        <v>13984.5</v>
      </c>
      <c r="H18" s="44" t="str">
        <v>7th Avenue Park_Tracker.xlsx | Table row 45 | CTs &amp; Meters | Inv Accuenergy Inv: ASAI-007259 | Col ExpenseActualTotal</v>
      </c>
      <c r="I18" s="33"/>
      <c r="J18" s="299"/>
      <c r="K18" s="300"/>
      <c r="L18" s="301"/>
      <c r="M18" s="302"/>
      <c r="N18" s="303"/>
      <c r="O18" s="284" t="str" cm="1">
        <f t="array" ref="O18:U47">IF(C9&lt;&gt;"Show", "",
  _xlfn.LET(
    _xlpm.w, C10,
    _xlpm.p, C11,
    _xlpm.proj,tblProgramInflows[ProjectName],
    _xlpm.mile,tblProgramInflows[MilestoneDesciption],
    _xlpm.inv,   tblProgramInflows[MilestoneInvoiceNumber],
    _xlpm.pay, tblProgramInflows[PaymentRecievedDate],
    _xlpm.amt,tblProgramInflows[MilstoneAmount],
    _xlpm.req,tblProgramInflows[MilestoneRequirement],
    _xlpm.reqcom,tblProgramInflows[MilestoneCompleted],
    _xlpm.mask, ( _xlpm.pay&gt;=_xlpm.w)*(_xlpm.pay&lt;_xlpm.w+7)*IF(OR(_xlpm.p="", _xlpm.p="(All projects)"), 1, _xlpm.proj=_xlpm.p),
    _xlfn._xlws.FILTER(_xlfn.HSTACK(_xlpm.proj, _xlpm.mile, _xlpm.inv, _xlpm.pay, _xlpm.amt, _xlpm.req,_xlpm.reqcom), _xlpm.mask, "No lines")
))</f>
        <v>1 Bolt Ave_Tracker.xlsx</v>
      </c>
      <c r="P18" s="285" t="str">
        <v>Handover</v>
      </c>
      <c r="Q18" s="325">
        <v>0</v>
      </c>
      <c r="R18" s="334">
        <v>46080</v>
      </c>
      <c r="S18" s="284">
        <v>164190.5275</v>
      </c>
      <c r="T18" s="284" t="str">
        <v>awaiting HO meeting date</v>
      </c>
      <c r="U18" s="284" t="b">
        <v>1</v>
      </c>
      <c r="V18" s="284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28"/>
      <c r="AR18" s="29"/>
      <c r="AS18" s="29"/>
      <c r="AT18" s="29"/>
      <c r="BC18" s="40"/>
      <c r="BD18" s="8" t="str">
        <v>Hungry Lion_Citrusdal_Tracker.xlsx</v>
      </c>
      <c r="BE18" s="35"/>
    </row>
    <row r="19" spans="2:57" s="11" customFormat="1">
      <c r="B19" s="13" t="str">
        <v>7th Avenue Park_Tracker.xlsx</v>
      </c>
      <c r="C19" s="16" t="str">
        <v>5. Monitoring</v>
      </c>
      <c r="D19" s="16" t="str">
        <v>Revenue Grade Meter</v>
      </c>
      <c r="E19" s="16">
        <v>0</v>
      </c>
      <c r="F19" s="23">
        <v>46080</v>
      </c>
      <c r="G19" s="45">
        <v>15000</v>
      </c>
      <c r="H19" s="19" t="str">
        <v>7th Avenue Park_Tracker.xlsx | Table row 46 | Revenue Grade Meter | Inv  | Col ExpenseActualTotal</v>
      </c>
      <c r="I19" s="16"/>
      <c r="J19" s="304"/>
      <c r="K19" s="304"/>
      <c r="L19" s="305"/>
      <c r="M19" s="306"/>
      <c r="N19" s="307"/>
      <c r="O19" s="288" t="str">
        <v>Coega Steels Ph2_Tracker.xlsx</v>
      </c>
      <c r="P19" s="287" t="str">
        <v>Practical Completion</v>
      </c>
      <c r="Q19" s="326" t="str">
        <v>004933</v>
      </c>
      <c r="R19" s="335">
        <v>46076</v>
      </c>
      <c r="S19" s="286">
        <v>5949659.2695652172</v>
      </c>
      <c r="T19" s="286" t="str">
        <v>Completion Certificate to be shared</v>
      </c>
      <c r="U19" s="286">
        <v>0</v>
      </c>
      <c r="V19" s="28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2"/>
      <c r="AR19" s="14"/>
      <c r="AS19" s="14"/>
      <c r="AT19" s="14"/>
      <c r="BC19" s="39"/>
      <c r="BD19" s="8" t="str">
        <v>IconsSA_KZN_Tracker.xlsx</v>
      </c>
      <c r="BE19" s="36"/>
    </row>
    <row r="20" spans="2:57" s="11" customFormat="1">
      <c r="B20" s="13" t="str">
        <v>7th Avenue Park_Tracker.xlsx</v>
      </c>
      <c r="C20" s="10" t="str">
        <v xml:space="preserve">8. Product Add On </v>
      </c>
      <c r="D20" s="10" t="str">
        <v>Balance refundable to EE by Hi-Safe</v>
      </c>
      <c r="E20" s="10">
        <v>0</v>
      </c>
      <c r="F20" s="21">
        <v>46081</v>
      </c>
      <c r="G20" s="45">
        <v>-2604.9000000000015</v>
      </c>
      <c r="H20" s="19" t="str">
        <v>7th Avenue Park_Tracker.xlsx | Table row 82 | Balance refundable to EE by Hi-Safe | Inv  | Col ExpenseActualTotal</v>
      </c>
      <c r="I20" s="10"/>
      <c r="J20" s="308"/>
      <c r="K20" s="308"/>
      <c r="L20" s="309"/>
      <c r="M20" s="310"/>
      <c r="N20" s="307"/>
      <c r="O20" s="288" t="str">
        <v>Mondi_Tracker_Rev02.xlsm</v>
      </c>
      <c r="P20" s="290" t="str">
        <v>IEP First Milestone</v>
      </c>
      <c r="Q20" s="327">
        <v>0</v>
      </c>
      <c r="R20" s="336">
        <v>46081</v>
      </c>
      <c r="S20" s="289">
        <v>5500000</v>
      </c>
      <c r="T20" s="289">
        <v>0</v>
      </c>
      <c r="U20" s="289">
        <v>0</v>
      </c>
      <c r="V20" s="289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2"/>
      <c r="AR20" s="14"/>
      <c r="AS20" s="14"/>
      <c r="AT20" s="14"/>
      <c r="BC20" s="39"/>
      <c r="BD20" s="8" t="str">
        <v>Kroonstad_Tracker.xlsx</v>
      </c>
      <c r="BE20" s="36"/>
    </row>
    <row r="21" spans="2:57" s="11" customFormat="1">
      <c r="B21" s="13" t="str">
        <v>BMG Fluid Tech_Tracker.xlsx</v>
      </c>
      <c r="C21" s="10" t="str">
        <v>4. DC Equipment</v>
      </c>
      <c r="D21" s="10" t="str">
        <v>End of Defects Period</v>
      </c>
      <c r="E21" s="10" t="str">
        <v>Cosmic Sun - CS_BMG_002_AC DC</v>
      </c>
      <c r="F21" s="21">
        <v>46081</v>
      </c>
      <c r="G21" s="45">
        <v>4864.75</v>
      </c>
      <c r="H21" s="19" t="str">
        <v>BMG Fluid Tech_Tracker.xlsx | Table row 53 | End of Defects Period | Inv Cosmic Sun - CS_BMG_002_AC DC | Col ExpenseActualTotal</v>
      </c>
      <c r="I21" s="10"/>
      <c r="J21" s="308"/>
      <c r="K21" s="304"/>
      <c r="L21" s="311"/>
      <c r="M21" s="306"/>
      <c r="N21" s="307"/>
      <c r="O21" s="288" t="str">
        <v>Mondi_Tracker_Rev02.xlsm</v>
      </c>
      <c r="P21" s="287" t="str">
        <v>Procurement Deposits (Long Lead Items)</v>
      </c>
      <c r="Q21" s="326">
        <v>0</v>
      </c>
      <c r="R21" s="335">
        <v>46081</v>
      </c>
      <c r="S21" s="286">
        <v>15500000</v>
      </c>
      <c r="T21" s="286">
        <v>0</v>
      </c>
      <c r="U21" s="286">
        <v>0</v>
      </c>
      <c r="V21" s="28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2"/>
      <c r="AR21" s="14"/>
      <c r="AS21" s="14"/>
      <c r="AT21" s="14"/>
      <c r="BC21" s="39"/>
      <c r="BD21" s="8" t="str">
        <v>Lynnridge Mall_Tracker_1.xlsx</v>
      </c>
      <c r="BE21" s="36"/>
    </row>
    <row r="22" spans="2:57" s="11" customFormat="1">
      <c r="B22" s="13" t="str">
        <v>BMG Fluid Tech_Tracker.xlsx</v>
      </c>
      <c r="C22" s="10" t="str">
        <v>6. AC Equipment</v>
      </c>
      <c r="D22" s="10" t="str">
        <v>End of Defects Period</v>
      </c>
      <c r="E22" s="10" t="str">
        <v>Cosmic Sun - CS_BMG_002_AC DC</v>
      </c>
      <c r="F22" s="21">
        <v>46081</v>
      </c>
      <c r="G22" s="45">
        <v>17529.53</v>
      </c>
      <c r="H22" s="19" t="str">
        <v>BMG Fluid Tech_Tracker.xlsx | Table row 80 | End of Defects Period | Inv Cosmic Sun - CS_BMG_002_AC DC | Col ExpenseActualTotal</v>
      </c>
      <c r="I22" s="10"/>
      <c r="J22" s="308"/>
      <c r="K22" s="308"/>
      <c r="L22" s="309"/>
      <c r="M22" s="310"/>
      <c r="N22" s="307"/>
      <c r="O22" s="288" t="str">
        <v>Pimville_Tracker.xlsx</v>
      </c>
      <c r="P22" s="290" t="str">
        <v>Handover</v>
      </c>
      <c r="Q22" s="327" t="str">
        <v>004735</v>
      </c>
      <c r="R22" s="336">
        <v>46078</v>
      </c>
      <c r="S22" s="289">
        <v>170005.30000000002</v>
      </c>
      <c r="T22" s="289" t="str">
        <v>Portfolio handover</v>
      </c>
      <c r="U22" s="289">
        <v>0</v>
      </c>
      <c r="V22" s="289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2"/>
      <c r="AR22" s="14"/>
      <c r="AS22" s="14"/>
      <c r="AT22" s="14"/>
      <c r="BC22" s="39"/>
      <c r="BD22" s="8" t="str">
        <v>Mahikeng Builders Express_Tracker.xlsx</v>
      </c>
      <c r="BE22" s="36"/>
    </row>
    <row r="23" spans="2:57" s="11" customFormat="1">
      <c r="B23" s="13" t="str">
        <v>BMG Fluid Tech_Tracker.xlsx</v>
      </c>
      <c r="C23" s="10" t="str">
        <v>9. AC &amp; DC installation</v>
      </c>
      <c r="D23" s="10" t="str">
        <v>End of Defects Period</v>
      </c>
      <c r="E23" s="10">
        <v>0</v>
      </c>
      <c r="F23" s="21">
        <v>46081</v>
      </c>
      <c r="G23" s="45">
        <v>11016</v>
      </c>
      <c r="H23" s="19" t="str">
        <v>BMG Fluid Tech_Tracker.xlsx | Table row 125 | End of Defects Period | Inv  | Col ExpenseActualTotal</v>
      </c>
      <c r="I23" s="10"/>
      <c r="J23" s="308"/>
      <c r="K23" s="308"/>
      <c r="L23" s="308"/>
      <c r="M23" s="310"/>
      <c r="N23" s="307"/>
      <c r="O23" s="288" t="str">
        <v>PnP Bethal_Tracker.xlsx</v>
      </c>
      <c r="P23" s="290" t="str">
        <v>Acceptance and Initial Deposit</v>
      </c>
      <c r="Q23" s="327">
        <v>0</v>
      </c>
      <c r="R23" s="336">
        <v>46081</v>
      </c>
      <c r="S23" s="289">
        <v>1647842.7428508946</v>
      </c>
      <c r="T23" s="289" t="str">
        <v>We have a SSEG requirment from Standard Bank. Causing delays</v>
      </c>
      <c r="U23" s="289">
        <v>0</v>
      </c>
      <c r="V23" s="289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2"/>
      <c r="AR23" s="14"/>
      <c r="AS23" s="14"/>
      <c r="AT23" s="14"/>
      <c r="BC23" s="39"/>
      <c r="BD23" s="8" t="str">
        <v>Malvern Ph2_Tracker.xlsx</v>
      </c>
      <c r="BE23" s="36"/>
    </row>
    <row r="24" spans="2:57" s="11" customFormat="1">
      <c r="B24" s="13" t="str">
        <v>BMG Fluid Tech_Tracker.xlsx</v>
      </c>
      <c r="C24" s="10" t="str">
        <v>10. Site Logistics</v>
      </c>
      <c r="D24" s="10" t="str">
        <v>End of Defects Period</v>
      </c>
      <c r="E24" s="10" t="str">
        <v>Cosmic Sun - CS_BMG_002_AC DC</v>
      </c>
      <c r="F24" s="21">
        <v>46081</v>
      </c>
      <c r="G24" s="45">
        <v>4012.5</v>
      </c>
      <c r="H24" s="19" t="str">
        <v>BMG Fluid Tech_Tracker.xlsx | Table row 141 | End of Defects Period | Inv Cosmic Sun - CS_BMG_002_AC DC | Col ExpenseActualTotal</v>
      </c>
      <c r="I24" s="10"/>
      <c r="J24" s="308"/>
      <c r="K24" s="308"/>
      <c r="L24" s="308"/>
      <c r="M24" s="310"/>
      <c r="N24" s="307"/>
      <c r="O24" s="288" t="str">
        <v>SA Metal_14 Christiaan_A_Tracker.xlsx</v>
      </c>
      <c r="P24" s="290" t="str">
        <v>Practical Completion</v>
      </c>
      <c r="Q24" s="327" t="str">
        <v>004678</v>
      </c>
      <c r="R24" s="336">
        <v>46080</v>
      </c>
      <c r="S24" s="289">
        <v>553108.64512388606</v>
      </c>
      <c r="T24" s="289">
        <v>0</v>
      </c>
      <c r="U24" s="289">
        <v>0</v>
      </c>
      <c r="V24" s="289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2"/>
      <c r="AR24" s="14"/>
      <c r="AS24" s="14"/>
      <c r="AT24" s="14"/>
      <c r="BC24" s="39"/>
      <c r="BD24" s="8" t="str">
        <v>Marikana Old Church_Tracker.xlsx</v>
      </c>
      <c r="BE24" s="36"/>
    </row>
    <row r="25" spans="2:57" s="11" customFormat="1">
      <c r="B25" s="13" t="str">
        <v>BMG Fluid Tech_Tracker.xlsx</v>
      </c>
      <c r="C25" s="17" t="str">
        <v>11. Due Dilligence</v>
      </c>
      <c r="D25" s="16" t="str">
        <v>Red Team Inspection</v>
      </c>
      <c r="E25" s="16" t="str">
        <v>Matriarch - INV-6235</v>
      </c>
      <c r="F25" s="23">
        <v>46079</v>
      </c>
      <c r="G25" s="45">
        <v>6000</v>
      </c>
      <c r="H25" s="19" t="str">
        <v>BMG Fluid Tech_Tracker.xlsx | Table row 149 | Red Team Inspection | Inv Matriarch - INV-6235 | Col ExpenseActualTotal</v>
      </c>
      <c r="I25" s="16"/>
      <c r="J25" s="304"/>
      <c r="K25" s="304"/>
      <c r="L25" s="312"/>
      <c r="M25" s="306"/>
      <c r="N25" s="307"/>
      <c r="O25" s="288" t="str">
        <v>SA Metal_14 Christiaan_A_Tracker.xlsx</v>
      </c>
      <c r="P25" s="287" t="str">
        <v>Credit Note Walkways</v>
      </c>
      <c r="Q25" s="326" t="str">
        <v>004898</v>
      </c>
      <c r="R25" s="335">
        <v>46080</v>
      </c>
      <c r="S25" s="286">
        <v>-20909.009999999998</v>
      </c>
      <c r="T25" s="286">
        <v>0</v>
      </c>
      <c r="U25" s="286">
        <v>0</v>
      </c>
      <c r="V25" s="28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2"/>
      <c r="AR25" s="14"/>
      <c r="AS25" s="14"/>
      <c r="AT25" s="14"/>
      <c r="BC25" s="39"/>
      <c r="BD25" s="8" t="str">
        <v>Marikana Shoprite_Tracker.xlsx</v>
      </c>
      <c r="BE25" s="36"/>
    </row>
    <row r="26" spans="2:57" s="11" customFormat="1">
      <c r="B26" s="13" t="str">
        <v>BMG Fluid Tech_Tracker.xlsx</v>
      </c>
      <c r="C26" s="10" t="str">
        <v>13. Engineering</v>
      </c>
      <c r="D26" s="10" t="str">
        <v>Matriarch Defects Period - 1.25%</v>
      </c>
      <c r="E26" s="10">
        <v>0</v>
      </c>
      <c r="F26" s="21">
        <v>46079</v>
      </c>
      <c r="G26" s="45">
        <v>49800.865598008757</v>
      </c>
      <c r="H26" s="19" t="str">
        <v>BMG Fluid Tech_Tracker.xlsx | Table row 155 | Matriarch Defects Period - 1.25% | Inv  | Col ExpenseActualTotal</v>
      </c>
      <c r="I26" s="10"/>
      <c r="J26" s="308"/>
      <c r="K26" s="308"/>
      <c r="L26" s="308"/>
      <c r="M26" s="310"/>
      <c r="N26" s="307"/>
      <c r="O26" s="288" t="str">
        <v>SA Metal_14 Christiaan_A_Tracker.xlsx</v>
      </c>
      <c r="P26" s="290" t="str">
        <v>Credit Note Walkways</v>
      </c>
      <c r="Q26" s="327" t="str">
        <v>004931</v>
      </c>
      <c r="R26" s="289">
        <v>46080</v>
      </c>
      <c r="S26" s="289">
        <v>-17220.75</v>
      </c>
      <c r="T26" s="289">
        <v>0</v>
      </c>
      <c r="U26" s="289">
        <v>0</v>
      </c>
      <c r="V26" s="289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2"/>
      <c r="AR26" s="14"/>
      <c r="AS26" s="14"/>
      <c r="AT26" s="14"/>
      <c r="BC26" s="39"/>
      <c r="BD26" s="8" t="str">
        <v>Mayo Macs_Tracker.xlsx</v>
      </c>
      <c r="BE26" s="36"/>
    </row>
    <row r="27" spans="2:57" s="11" customFormat="1">
      <c r="B27" s="13" t="str">
        <v>Boundary Terraces_Tracker.xlsx</v>
      </c>
      <c r="C27" s="15" t="str">
        <v>4. DC Equipment</v>
      </c>
      <c r="D27" s="15" t="str">
        <v>End of Defects Period</v>
      </c>
      <c r="E27" s="15" t="str">
        <v>Happy Solar INV-0331</v>
      </c>
      <c r="F27" s="24">
        <v>46081</v>
      </c>
      <c r="G27" s="114">
        <v>17282.112499999999</v>
      </c>
      <c r="H27" s="22" t="str">
        <v>Boundary Terraces_Tracker.xlsx | Table row 41 | End of Defects Period | Inv Happy Solar INV-0331 | Col ExpenseActualTotal</v>
      </c>
      <c r="I27" s="15"/>
      <c r="J27" s="313"/>
      <c r="K27" s="313"/>
      <c r="L27" s="313"/>
      <c r="M27" s="314"/>
      <c r="N27" s="315"/>
      <c r="O27" s="294" t="str">
        <v>SA Metal_14 Christiaan_B_Tracker.xlsx</v>
      </c>
      <c r="P27" s="295" t="str">
        <v>Credit Note - Walk ways</v>
      </c>
      <c r="Q27" s="328" t="str">
        <v>004931</v>
      </c>
      <c r="R27" s="293">
        <v>46080</v>
      </c>
      <c r="S27" s="293">
        <v>-15277.28</v>
      </c>
      <c r="T27" s="293">
        <v>0</v>
      </c>
      <c r="U27" s="293">
        <v>0</v>
      </c>
      <c r="V27" s="293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2"/>
      <c r="AR27" s="14"/>
      <c r="AS27" s="14"/>
      <c r="AT27" s="14"/>
      <c r="BC27" s="39"/>
      <c r="BD27" s="8" t="str">
        <v>MEGA_PARK_P2_Tracker.xlsx</v>
      </c>
      <c r="BE27" s="36"/>
    </row>
    <row r="28" spans="2:57" s="11" customFormat="1">
      <c r="B28" s="13" t="str">
        <v>Boundary Terraces_Tracker.xlsx</v>
      </c>
      <c r="C28" s="10" t="str">
        <v>6. AC Equipment</v>
      </c>
      <c r="D28" s="10" t="str">
        <v>End of Defects Period</v>
      </c>
      <c r="E28" s="10" t="str">
        <v>Happy Solar INV-0331</v>
      </c>
      <c r="F28" s="21">
        <v>46081</v>
      </c>
      <c r="G28" s="45">
        <v>6151.3</v>
      </c>
      <c r="H28" s="19" t="str">
        <v>Boundary Terraces_Tracker.xlsx | Table row 69 | End of Defects Period | Inv Happy Solar INV-0331 | Col ExpenseActualTotal</v>
      </c>
      <c r="I28" s="10"/>
      <c r="J28" s="10"/>
      <c r="K28" s="10"/>
      <c r="L28" s="10"/>
      <c r="M28" s="21"/>
      <c r="N28" s="45"/>
      <c r="O28" s="288" t="str">
        <v>SA Metal_20 Christiaan_Tracker.xlsx</v>
      </c>
      <c r="P28" s="290" t="str">
        <v>Credit Note - Walk ways</v>
      </c>
      <c r="Q28" s="327" t="str">
        <v>004931</v>
      </c>
      <c r="R28" s="289">
        <v>46080</v>
      </c>
      <c r="S28" s="289">
        <v>-8907.31</v>
      </c>
      <c r="T28" s="289">
        <v>0</v>
      </c>
      <c r="U28" s="289">
        <v>0</v>
      </c>
      <c r="V28" s="289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2"/>
      <c r="AR28" s="14"/>
      <c r="AS28" s="14"/>
      <c r="AT28" s="14"/>
      <c r="BD28" s="27" t="str">
        <v>Meraki Ph3_Tracker.xlsx</v>
      </c>
    </row>
    <row r="29" spans="2:57" s="11" customFormat="1">
      <c r="B29" s="13" t="str">
        <v>Boundary Terraces_Tracker.xlsx</v>
      </c>
      <c r="C29" s="10" t="str">
        <v>9. AC &amp; DC installation</v>
      </c>
      <c r="D29" s="10" t="str">
        <v>End of Defects Period</v>
      </c>
      <c r="E29" s="10" t="str">
        <v>Happy Solar INV-0331</v>
      </c>
      <c r="F29" s="21">
        <v>46081</v>
      </c>
      <c r="G29" s="45">
        <v>15778.320000000002</v>
      </c>
      <c r="H29" s="19" t="str">
        <v>Boundary Terraces_Tracker.xlsx | Table row 101 | End of Defects Period | Inv Happy Solar INV-0331 | Col ExpenseActualTotal</v>
      </c>
      <c r="I29" s="10"/>
      <c r="J29" s="10"/>
      <c r="K29" s="10"/>
      <c r="L29" s="10"/>
      <c r="M29" s="21"/>
      <c r="N29" s="45"/>
      <c r="O29" s="288" t="str">
        <v>SA Metal_22 Christiaan_Tracker.xlsx</v>
      </c>
      <c r="P29" s="290" t="str">
        <v>Credit Note - Walkways</v>
      </c>
      <c r="Q29" s="327" t="str">
        <v>004931</v>
      </c>
      <c r="R29" s="289">
        <v>46081</v>
      </c>
      <c r="S29" s="289">
        <v>-9329.65</v>
      </c>
      <c r="T29" s="289">
        <v>0</v>
      </c>
      <c r="U29" s="289">
        <v>0</v>
      </c>
      <c r="V29" s="289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2"/>
      <c r="AR29" s="14"/>
      <c r="AS29" s="14"/>
      <c r="AT29" s="14"/>
      <c r="BD29" s="11" t="str">
        <v>Milkwood_Square_Tracker.xlsx</v>
      </c>
    </row>
    <row r="30" spans="2:57" s="11" customFormat="1">
      <c r="B30" s="13" t="str">
        <v>Boundary Terraces_Tracker.xlsx</v>
      </c>
      <c r="C30" s="10" t="str">
        <v>10. Site Logistics</v>
      </c>
      <c r="D30" s="10" t="str">
        <v>End of Defects Period</v>
      </c>
      <c r="E30" s="10" t="str">
        <v>Happy Solar INV-0331</v>
      </c>
      <c r="F30" s="21">
        <v>46081</v>
      </c>
      <c r="G30" s="45">
        <v>8056</v>
      </c>
      <c r="H30" s="19" t="str">
        <v>Boundary Terraces_Tracker.xlsx | Table row 117 | End of Defects Period | Inv Happy Solar INV-0331 | Col ExpenseActualTotal</v>
      </c>
      <c r="I30" s="10"/>
      <c r="J30" s="10"/>
      <c r="K30" s="10"/>
      <c r="L30" s="10"/>
      <c r="M30" s="21"/>
      <c r="N30" s="45"/>
      <c r="O30" s="288" t="str">
        <v>STD GQ_Tracker.xlsx</v>
      </c>
      <c r="P30" s="290" t="str">
        <v>Milestone 2: DC Installation Partial Completion</v>
      </c>
      <c r="Q30" s="327" t="str">
        <v>004884</v>
      </c>
      <c r="R30" s="289">
        <v>46081</v>
      </c>
      <c r="S30" s="289">
        <v>349081.98</v>
      </c>
      <c r="T30" s="289">
        <v>0</v>
      </c>
      <c r="U30" s="289">
        <v>0</v>
      </c>
      <c r="V30" s="289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2"/>
      <c r="AR30" s="14"/>
      <c r="AS30" s="14"/>
      <c r="AT30" s="14"/>
      <c r="BD30" s="11" t="str">
        <v>Mondi_Tracker_Rev02.xlsm</v>
      </c>
    </row>
    <row r="31" spans="2:57" s="11" customFormat="1">
      <c r="B31" s="13" t="str">
        <v>China Town Adhoc_Tracker.xlsx</v>
      </c>
      <c r="C31" s="17" t="str">
        <v xml:space="preserve">8. Product Add On </v>
      </c>
      <c r="D31" s="17" t="str">
        <v>Contigency Fund</v>
      </c>
      <c r="E31" s="17">
        <v>0</v>
      </c>
      <c r="F31" s="25">
        <v>46080</v>
      </c>
      <c r="G31" s="114">
        <v>0</v>
      </c>
      <c r="H31" s="22" t="str">
        <v>China Town Adhoc_Tracker.xlsx | Table row 78 | Contigency Fund | Inv  | Col ExpenseActualTotal</v>
      </c>
      <c r="I31" s="17"/>
      <c r="J31" s="17"/>
      <c r="K31" s="17"/>
      <c r="L31" s="17"/>
      <c r="M31" s="25"/>
      <c r="N31" s="114"/>
      <c r="O31" s="294" t="str">
        <v>STD GQ_Tracker.xlsx</v>
      </c>
      <c r="P31" s="291" t="str">
        <v>Milestone 2: DC Installation Final Completion</v>
      </c>
      <c r="Q31" s="329" t="str">
        <v>004904</v>
      </c>
      <c r="R31" s="292">
        <v>46081</v>
      </c>
      <c r="S31" s="292">
        <v>38786.89</v>
      </c>
      <c r="T31" s="292">
        <v>0</v>
      </c>
      <c r="U31" s="292">
        <v>0</v>
      </c>
      <c r="V31" s="292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2"/>
      <c r="AR31" s="14"/>
      <c r="AS31" s="14"/>
      <c r="AT31" s="14"/>
      <c r="BD31" s="11" t="str">
        <v>Northpoint_Tracker.xlsx</v>
      </c>
    </row>
    <row r="32" spans="2:57" s="11" customFormat="1">
      <c r="B32" s="13" t="str">
        <v>Coega Steels Ph2_Tracker.xlsx</v>
      </c>
      <c r="C32" s="10" t="str">
        <v>5. Monitoring</v>
      </c>
      <c r="D32" s="10" t="str">
        <v>AcuRev Energy Meter</v>
      </c>
      <c r="E32" s="10" t="str">
        <v>AccuEnergy - ASAI-007302</v>
      </c>
      <c r="F32" s="21">
        <v>46081</v>
      </c>
      <c r="G32" s="45">
        <v>3170</v>
      </c>
      <c r="H32" s="19" t="str">
        <v>Coega Steels Ph2_Tracker.xlsx | Table row 88 | AcuRev Energy Meter | Inv AccuEnergy - ASAI-007302 | Col ExpenseActualTotal</v>
      </c>
      <c r="I32" s="10"/>
      <c r="J32" s="10"/>
      <c r="K32" s="10"/>
      <c r="L32" s="10"/>
      <c r="M32" s="21"/>
      <c r="N32" s="45"/>
      <c r="O32" s="288" t="str">
        <v>STD GQ_Tracker.xlsx</v>
      </c>
      <c r="P32" s="290" t="str">
        <v>Milestone 3: AC Installation Partial Completion</v>
      </c>
      <c r="Q32" s="290" t="str">
        <v>004884</v>
      </c>
      <c r="R32" s="289">
        <v>46081</v>
      </c>
      <c r="S32" s="289">
        <v>116360.66</v>
      </c>
      <c r="T32" s="289">
        <v>0</v>
      </c>
      <c r="U32" s="289">
        <v>0</v>
      </c>
      <c r="V32" s="289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2"/>
      <c r="AR32" s="14"/>
      <c r="AS32" s="14"/>
      <c r="AT32" s="14"/>
      <c r="BD32" s="11" t="str">
        <v>Pimville_Tracker.xlsx</v>
      </c>
    </row>
    <row r="33" spans="2:56" s="11" customFormat="1">
      <c r="B33" s="13" t="str">
        <v>Coega Steels Ph2_Tracker.xlsx</v>
      </c>
      <c r="C33" s="10" t="str">
        <v xml:space="preserve">8. Product Add On </v>
      </c>
      <c r="D33" s="10" t="str">
        <v>Waterpoints - Ground Mount &amp; Roof</v>
      </c>
      <c r="E33" s="10">
        <v>0</v>
      </c>
      <c r="F33" s="21">
        <v>46081</v>
      </c>
      <c r="G33" s="45">
        <v>50000</v>
      </c>
      <c r="H33" s="19" t="str">
        <v>Coega Steels Ph2_Tracker.xlsx | Table row 177 | Waterpoints - Ground Mount &amp; Roof | Inv  | Col ExpenseActualTotal</v>
      </c>
      <c r="I33" s="10"/>
      <c r="J33" s="10"/>
      <c r="K33" s="10"/>
      <c r="L33" s="10"/>
      <c r="M33" s="21"/>
      <c r="N33" s="10"/>
      <c r="O33" s="288" t="str">
        <v>STD GQ_Tracker.xlsx</v>
      </c>
      <c r="P33" s="290" t="str">
        <v>Milestone 3: AC Installation Final Completion</v>
      </c>
      <c r="Q33" s="290" t="str">
        <v>004904</v>
      </c>
      <c r="R33" s="289">
        <v>46081</v>
      </c>
      <c r="S33" s="289">
        <v>271508.21000000002</v>
      </c>
      <c r="T33" s="289">
        <v>0</v>
      </c>
      <c r="U33" s="289">
        <v>0</v>
      </c>
      <c r="V33" s="289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2"/>
      <c r="AR33" s="14"/>
      <c r="AS33" s="14"/>
      <c r="AT33" s="14"/>
      <c r="BD33" s="11" t="str">
        <v>PnP Bethal_Tracker.xlsx</v>
      </c>
    </row>
    <row r="34" spans="2:56" s="11" customFormat="1">
      <c r="B34" s="13" t="str">
        <v>Coega Steels Ph2_Tracker.xlsx</v>
      </c>
      <c r="C34" s="10" t="str">
        <v>11. Due Dilligence</v>
      </c>
      <c r="D34" s="10" t="str">
        <v>Electrical PrEng sign off</v>
      </c>
      <c r="E34" s="10">
        <v>0</v>
      </c>
      <c r="F34" s="21">
        <v>46081</v>
      </c>
      <c r="G34" s="45">
        <v>236000</v>
      </c>
      <c r="H34" s="19" t="str">
        <v>Coega Steels Ph2_Tracker.xlsx | Table row 283 | Electrical PrEng sign off | Inv  | Col ExpenseActualTotal</v>
      </c>
      <c r="I34" s="10"/>
      <c r="J34" s="10"/>
      <c r="K34" s="10"/>
      <c r="L34" s="10"/>
      <c r="M34" s="21"/>
      <c r="N34" s="10"/>
      <c r="O34" s="288" t="str">
        <v>STD GQ_Tracker.xlsx</v>
      </c>
      <c r="P34" s="290" t="str">
        <v>Milestone 4: Commissioning Complete</v>
      </c>
      <c r="Q34" s="290" t="str">
        <v>004904</v>
      </c>
      <c r="R34" s="289">
        <v>46081</v>
      </c>
      <c r="S34" s="289">
        <v>183727.35</v>
      </c>
      <c r="T34" s="289">
        <v>0</v>
      </c>
      <c r="U34" s="289">
        <v>0</v>
      </c>
      <c r="V34" s="289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2"/>
      <c r="AR34" s="14"/>
      <c r="AS34" s="14"/>
      <c r="AT34" s="14"/>
      <c r="BD34" s="11" t="str">
        <v>Pretoria North_Tracker.xlsx</v>
      </c>
    </row>
    <row r="35" spans="2:56" s="11" customFormat="1">
      <c r="B35" s="13" t="str">
        <v>Coega Steels Ph2_Tracker.xlsx</v>
      </c>
      <c r="C35" s="15" t="str">
        <v>11. Due Dilligence</v>
      </c>
      <c r="D35" s="15" t="str">
        <v>Red Team Inspection - Dec - 1</v>
      </c>
      <c r="E35" s="15">
        <v>0</v>
      </c>
      <c r="F35" s="24">
        <v>46081</v>
      </c>
      <c r="G35" s="114">
        <v>8000</v>
      </c>
      <c r="H35" s="22" t="str">
        <v>Coega Steels Ph2_Tracker.xlsx | Table row 295 | Red Team Inspection - Dec - 1 | Inv  | Col ExpenseActualTotal</v>
      </c>
      <c r="I35" s="15"/>
      <c r="J35" s="15"/>
      <c r="K35" s="15"/>
      <c r="L35" s="15"/>
      <c r="M35" s="24"/>
      <c r="N35" s="15"/>
      <c r="O35" s="294" t="str">
        <v>STD GQ_Tracker.xlsx</v>
      </c>
      <c r="P35" s="293" t="str">
        <v>Milestone 4:Retention</v>
      </c>
      <c r="Q35" s="293">
        <v>0</v>
      </c>
      <c r="R35" s="293">
        <v>46081</v>
      </c>
      <c r="S35" s="293">
        <v>0</v>
      </c>
      <c r="T35" s="293">
        <v>0</v>
      </c>
      <c r="U35" s="293">
        <v>0</v>
      </c>
      <c r="V35" s="293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2"/>
      <c r="AR35" s="14"/>
      <c r="AS35" s="14"/>
      <c r="AT35" s="14"/>
      <c r="BD35" s="11" t="str">
        <v>Randfontein_Tracker.xlsx</v>
      </c>
    </row>
    <row r="36" spans="2:56" s="11" customFormat="1">
      <c r="B36" s="13" t="str">
        <v>Coega Steels Ph2_Tracker.xlsx</v>
      </c>
      <c r="C36" s="10" t="str">
        <v>11. Due Dilligence</v>
      </c>
      <c r="D36" s="10" t="str">
        <v>Red Team Inspection - Dec - 2</v>
      </c>
      <c r="E36" s="10">
        <v>0</v>
      </c>
      <c r="F36" s="21">
        <v>46081</v>
      </c>
      <c r="G36" s="45">
        <v>8000</v>
      </c>
      <c r="H36" s="19" t="str">
        <v>Coega Steels Ph2_Tracker.xlsx | Table row 296 | Red Team Inspection - Dec - 2 | Inv  | Col ExpenseActualTotal</v>
      </c>
      <c r="I36" s="10"/>
      <c r="J36" s="10"/>
      <c r="K36" s="10"/>
      <c r="L36" s="10"/>
      <c r="M36" s="21"/>
      <c r="N36" s="10"/>
      <c r="O36" s="288" t="str">
        <v>STD GQ_Tracker.xlsx</v>
      </c>
      <c r="P36" s="289" t="str">
        <v>Milestone 5: QA Inspections Complete</v>
      </c>
      <c r="Q36" s="289" t="str">
        <v>004930</v>
      </c>
      <c r="R36" s="289">
        <v>46081</v>
      </c>
      <c r="S36" s="289">
        <v>96967.22</v>
      </c>
      <c r="T36" s="289" t="str">
        <v>Coupa portal issues preventing payment</v>
      </c>
      <c r="U36" s="289">
        <v>0</v>
      </c>
      <c r="V36" s="289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2"/>
      <c r="AR36" s="14"/>
      <c r="AS36" s="14"/>
      <c r="AT36" s="14"/>
      <c r="BD36" s="11" t="str">
        <v>Red Rocket_Tracker.xlsx</v>
      </c>
    </row>
    <row r="37" spans="2:56" s="11" customFormat="1">
      <c r="B37" s="13" t="str">
        <v>Coega Steels Ph2_Tracker.xlsx</v>
      </c>
      <c r="C37" s="10" t="str">
        <v>13. Engineering</v>
      </c>
      <c r="D37" s="10" t="str">
        <v>Matriarch O &amp; M Fee - Phase 1 - Jan</v>
      </c>
      <c r="E37" s="10" t="str">
        <v>Matriarch - INV-6102</v>
      </c>
      <c r="F37" s="21">
        <v>46081</v>
      </c>
      <c r="G37" s="45">
        <v>2843</v>
      </c>
      <c r="H37" s="19" t="str">
        <v>Coega Steels Ph2_Tracker.xlsx | Table row 307 | Matriarch O &amp; M Fee - Phase 1 - Jan | Inv Matriarch - INV-6102 | Col ExpenseActualTotal</v>
      </c>
      <c r="I37" s="10"/>
      <c r="J37" s="10"/>
      <c r="K37" s="10"/>
      <c r="L37" s="10"/>
      <c r="M37" s="21"/>
      <c r="N37" s="10"/>
      <c r="O37" s="288" t="str">
        <v>STD GQ_Tracker.xlsx</v>
      </c>
      <c r="P37" s="289" t="str">
        <v>Milestone 5:Retention</v>
      </c>
      <c r="Q37" s="289">
        <v>0</v>
      </c>
      <c r="R37" s="289">
        <v>46081</v>
      </c>
      <c r="S37" s="289">
        <v>0</v>
      </c>
      <c r="T37" s="289">
        <v>0</v>
      </c>
      <c r="U37" s="289">
        <v>0</v>
      </c>
      <c r="V37" s="289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2"/>
      <c r="AR37" s="14"/>
      <c r="AS37" s="14"/>
      <c r="AT37" s="14"/>
      <c r="BD37" s="11" t="str">
        <v>Ridgeview Mall_Tracker.xlsx</v>
      </c>
    </row>
    <row r="38" spans="2:56" s="11" customFormat="1">
      <c r="B38" s="13" t="str">
        <v>Coega Steels Ph2_Tracker.xlsx</v>
      </c>
      <c r="C38" s="10" t="str">
        <v>13. Engineering</v>
      </c>
      <c r="D38" s="10" t="str">
        <v>Panel Clean</v>
      </c>
      <c r="E38" s="10" t="str">
        <v>Matriarch - INV-6216</v>
      </c>
      <c r="F38" s="21">
        <v>46081</v>
      </c>
      <c r="G38" s="45">
        <v>8737.26</v>
      </c>
      <c r="H38" s="19" t="str">
        <v>Coega Steels Ph2_Tracker.xlsx | Table row 308 | Panel Clean | Inv Matriarch - INV-6216 | Col ExpenseActualTotal</v>
      </c>
      <c r="I38" s="10"/>
      <c r="J38" s="10"/>
      <c r="K38" s="10"/>
      <c r="L38" s="10"/>
      <c r="M38" s="21"/>
      <c r="N38" s="10"/>
      <c r="O38" s="19" t="str">
        <v>STD GQ_Tracker.xlsx</v>
      </c>
      <c r="P38" s="10" t="str">
        <v>Milestone 6: Project Closure</v>
      </c>
      <c r="Q38" s="10" t="str">
        <v>004930</v>
      </c>
      <c r="R38" s="10">
        <v>46081</v>
      </c>
      <c r="S38" s="10">
        <v>290901.65999999997</v>
      </c>
      <c r="T38" s="10">
        <v>0</v>
      </c>
      <c r="U38" s="10">
        <v>0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2"/>
      <c r="AR38" s="14"/>
      <c r="AS38" s="14"/>
      <c r="AT38" s="14"/>
      <c r="BD38" s="11" t="str">
        <v>Riverside Mall_Tracker.xlsx</v>
      </c>
    </row>
    <row r="39" spans="2:56" s="11" customFormat="1">
      <c r="B39" s="13" t="str">
        <v>Coega Steels Ph2_Tracker.xlsx</v>
      </c>
      <c r="C39" s="10" t="str">
        <v>14. General Expenses</v>
      </c>
      <c r="D39" s="10" t="str">
        <v>Travel</v>
      </c>
      <c r="E39" s="10">
        <v>0</v>
      </c>
      <c r="F39" s="21">
        <v>46081</v>
      </c>
      <c r="G39" s="45">
        <v>30662.5</v>
      </c>
      <c r="H39" s="19" t="str">
        <v>Coega Steels Ph2_Tracker.xlsx | Table row 320 | Travel | Inv  | Col ExpenseActualTotal</v>
      </c>
      <c r="I39" s="10"/>
      <c r="J39" s="10"/>
      <c r="K39" s="10"/>
      <c r="L39" s="10"/>
      <c r="M39" s="21"/>
      <c r="N39" s="10"/>
      <c r="O39" s="10" t="str">
        <v>STD GQ_Tracker.xlsx</v>
      </c>
      <c r="P39" s="10" t="str">
        <v>Milestone 6:Retention</v>
      </c>
      <c r="Q39" s="10">
        <v>0</v>
      </c>
      <c r="R39" s="10">
        <v>46081</v>
      </c>
      <c r="S39" s="10">
        <v>0</v>
      </c>
      <c r="T39" s="10">
        <v>0</v>
      </c>
      <c r="U39" s="10">
        <v>0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2"/>
      <c r="AR39" s="14"/>
      <c r="AS39" s="14"/>
      <c r="AT39" s="14"/>
      <c r="BD39" s="11" t="str">
        <v>SA Metal_14 Christiaan_A_Tracker.xlsx</v>
      </c>
    </row>
    <row r="40" spans="2:56" s="11" customFormat="1">
      <c r="B40" s="13" t="str">
        <v>Coega Steels Ph2_Tracker.xlsx</v>
      </c>
      <c r="C40" s="10" t="str">
        <v>15. Service Add On</v>
      </c>
      <c r="D40" s="10" t="str">
        <v>Labour Management Fee</v>
      </c>
      <c r="E40" s="10" t="str">
        <v>Coega Development Corporation - 06-02-26</v>
      </c>
      <c r="F40" s="21">
        <v>46081</v>
      </c>
      <c r="G40" s="45">
        <v>5215.6099999999997</v>
      </c>
      <c r="H40" s="19" t="str">
        <v>Coega Steels Ph2_Tracker.xlsx | Table row 340 | Labour Management Fee | Inv Coega Development Corporation - 06-02-26 | Col ExpenseActualTotal</v>
      </c>
      <c r="I40" s="10"/>
      <c r="J40" s="10"/>
      <c r="K40" s="10"/>
      <c r="L40" s="10"/>
      <c r="M40" s="21"/>
      <c r="N40" s="10"/>
      <c r="O40" s="10" t="str">
        <v>STD GQ_Tracker.xlsx</v>
      </c>
      <c r="P40" s="10" t="str">
        <v>Retentions</v>
      </c>
      <c r="Q40" s="10" t="str">
        <v>004930</v>
      </c>
      <c r="R40" s="10">
        <v>46081</v>
      </c>
      <c r="S40" s="10">
        <v>102070.75</v>
      </c>
      <c r="T40" s="10">
        <v>0</v>
      </c>
      <c r="U40" s="10">
        <v>0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2"/>
      <c r="AR40" s="14"/>
      <c r="AS40" s="14"/>
      <c r="AT40" s="14"/>
      <c r="BD40" s="11" t="str">
        <v>SA Metal_14 Christiaan_B_Tracker.xlsx</v>
      </c>
    </row>
    <row r="41" spans="2:56" s="11" customFormat="1">
      <c r="B41" s="13" t="str">
        <v>Coega Steels Ph2_Tracker.xlsx</v>
      </c>
      <c r="C41" s="10" t="str">
        <v>15. Service Add On</v>
      </c>
      <c r="D41" s="10" t="str">
        <v>Delay Damages</v>
      </c>
      <c r="E41" s="10">
        <v>0</v>
      </c>
      <c r="F41" s="21">
        <v>46081</v>
      </c>
      <c r="G41" s="45">
        <v>1151150.17</v>
      </c>
      <c r="H41" s="19" t="str">
        <v>Coega Steels Ph2_Tracker.xlsx | Table row 357 | Delay Damages | Inv  | Col ExpenseActualTotal</v>
      </c>
      <c r="I41" s="10"/>
      <c r="J41" s="10"/>
      <c r="K41" s="10"/>
      <c r="L41" s="10"/>
      <c r="M41" s="21"/>
      <c r="N41" s="10"/>
      <c r="O41" s="10" t="str">
        <v>Superspar Ph2_Tracker.xlsx</v>
      </c>
      <c r="P41" s="10" t="str">
        <v>All provisional test successful finalised, and documentation provided.</v>
      </c>
      <c r="Q41" s="10">
        <v>0</v>
      </c>
      <c r="R41" s="10">
        <v>46080</v>
      </c>
      <c r="S41" s="10">
        <v>272976.47636680218</v>
      </c>
      <c r="T41" s="10">
        <v>0</v>
      </c>
      <c r="U41" s="10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2"/>
      <c r="AR41" s="14"/>
      <c r="AS41" s="14"/>
      <c r="AT41" s="14"/>
      <c r="BD41" s="11" t="str">
        <v>SA Metal_20 Christiaan_Tracker.xlsx</v>
      </c>
    </row>
    <row r="42" spans="2:56" s="11" customFormat="1">
      <c r="B42" s="13" t="str">
        <v>Dobsonpoint_Tracker.xlsx</v>
      </c>
      <c r="C42" s="10" t="str">
        <v>13. Engineering</v>
      </c>
      <c r="D42" s="10" t="str">
        <v>Matriarch Defects Period - 1.25%</v>
      </c>
      <c r="E42" s="10">
        <v>0</v>
      </c>
      <c r="F42" s="21">
        <v>46079</v>
      </c>
      <c r="G42" s="45">
        <v>48677.596038628755</v>
      </c>
      <c r="H42" s="19" t="str">
        <v>Dobsonpoint_Tracker.xlsx | Table row 138 | Matriarch Defects Period - 1.25% | Inv  | Col ExpenseActualTotal</v>
      </c>
      <c r="I42" s="10"/>
      <c r="J42" s="10"/>
      <c r="K42" s="10"/>
      <c r="L42" s="10"/>
      <c r="M42" s="21"/>
      <c r="N42" s="10"/>
      <c r="O42" s="10" t="str">
        <v>Topsteel_Tracker.xlsx</v>
      </c>
      <c r="P42" s="10" t="str">
        <v>Delivery of Panels</v>
      </c>
      <c r="Q42" s="10" t="str">
        <v>004937</v>
      </c>
      <c r="R42" s="10">
        <v>46079</v>
      </c>
      <c r="S42" s="10">
        <v>586458.97412588308</v>
      </c>
      <c r="T42" s="10">
        <v>0</v>
      </c>
      <c r="U42" s="10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2"/>
      <c r="AR42" s="14"/>
      <c r="AS42" s="14"/>
      <c r="AT42" s="14"/>
      <c r="BD42" s="11" t="str">
        <v>SA Metal_22 Christiaan_Tracker.xlsx</v>
      </c>
    </row>
    <row r="43" spans="2:56" s="11" customFormat="1">
      <c r="B43" s="13" t="str">
        <v>Dobsonpoint_Tracker.xlsx</v>
      </c>
      <c r="C43" s="10" t="str">
        <v>13. Engineering</v>
      </c>
      <c r="D43" s="10" t="str">
        <v>Management</v>
      </c>
      <c r="E43" s="10">
        <v>0</v>
      </c>
      <c r="F43" s="21">
        <v>46079</v>
      </c>
      <c r="G43" s="45">
        <v>0</v>
      </c>
      <c r="H43" s="19" t="str">
        <v>Dobsonpoint_Tracker.xlsx | Table row 139 | Management | Inv  | Col ExpenseActualTotal</v>
      </c>
      <c r="I43" s="10"/>
      <c r="J43" s="10"/>
      <c r="K43" s="10"/>
      <c r="L43" s="10"/>
      <c r="M43" s="21"/>
      <c r="N43" s="10"/>
      <c r="O43" s="10" t="str">
        <v>Topsteel_Tracker.xlsx</v>
      </c>
      <c r="P43" s="10" t="str">
        <v>Delivery of Inverters</v>
      </c>
      <c r="Q43" s="10" t="str">
        <v>004937</v>
      </c>
      <c r="R43" s="10">
        <v>46079</v>
      </c>
      <c r="S43" s="10">
        <v>234583.58965035324</v>
      </c>
      <c r="T43" s="10">
        <v>0</v>
      </c>
      <c r="U43" s="10" t="b">
        <v>0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2"/>
      <c r="AR43" s="14"/>
      <c r="AS43" s="14"/>
      <c r="AT43" s="14"/>
      <c r="BD43" s="11" t="str">
        <v>Seshego Circle_Tracker.xlsx</v>
      </c>
    </row>
    <row r="44" spans="2:56" s="11" customFormat="1" ht="15.75" customHeight="1">
      <c r="B44" s="13" t="str">
        <v>Dobsonpoint_Tracker.xlsx</v>
      </c>
      <c r="C44" s="10" t="str">
        <v>13. Engineering</v>
      </c>
      <c r="D44" s="10" t="str">
        <v xml:space="preserve">Project manager </v>
      </c>
      <c r="E44" s="10">
        <v>0</v>
      </c>
      <c r="F44" s="21">
        <v>46079</v>
      </c>
      <c r="G44" s="45">
        <v>0</v>
      </c>
      <c r="H44" s="19" t="str">
        <v>Dobsonpoint_Tracker.xlsx | Table row 140 | Project manager  | Inv  | Col ExpenseActualTotal</v>
      </c>
      <c r="I44" s="10"/>
      <c r="J44" s="10"/>
      <c r="K44" s="10"/>
      <c r="L44" s="10"/>
      <c r="M44" s="21"/>
      <c r="N44" s="10"/>
      <c r="O44" s="10" t="str">
        <v>Trident Steel GP_Tracker.xlsx</v>
      </c>
      <c r="P44" s="10" t="str">
        <v>Handover Partial</v>
      </c>
      <c r="Q44" s="10" t="str">
        <v>004697</v>
      </c>
      <c r="R44" s="10">
        <v>46081</v>
      </c>
      <c r="S44" s="10">
        <v>200304.11174596625</v>
      </c>
      <c r="T44" s="10" t="str">
        <v>All documentation provided</v>
      </c>
      <c r="U44" s="10">
        <v>0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2"/>
      <c r="AR44" s="14"/>
      <c r="AS44" s="14"/>
      <c r="AT44" s="14"/>
      <c r="BD44" s="11" t="str">
        <v>Shoprite Mini_Bredarsdorp_Tracker.xlsx</v>
      </c>
    </row>
    <row r="45" spans="2:56" s="11" customFormat="1" ht="15.75" customHeight="1">
      <c r="B45" s="13" t="str">
        <v>Dobsonpoint_Tracker.xlsx</v>
      </c>
      <c r="C45" s="17" t="str">
        <v>13. Engineering</v>
      </c>
      <c r="D45" s="16" t="str">
        <v>Planner time</v>
      </c>
      <c r="E45" s="16">
        <v>0</v>
      </c>
      <c r="F45" s="23">
        <v>46079</v>
      </c>
      <c r="G45" s="45">
        <v>0</v>
      </c>
      <c r="H45" s="19" t="str">
        <v>Dobsonpoint_Tracker.xlsx | Table row 141 | Planner time | Inv  | Col ExpenseActualTotal</v>
      </c>
      <c r="I45" s="16"/>
      <c r="J45" s="16"/>
      <c r="K45" s="16"/>
      <c r="L45" s="16"/>
      <c r="M45" s="23"/>
      <c r="N45" s="16"/>
      <c r="O45" s="19" t="str">
        <v>Trident Steel GP_Tracker.xlsx</v>
      </c>
      <c r="P45" s="16" t="str">
        <v>Handover</v>
      </c>
      <c r="Q45" s="16" t="str">
        <v>004696</v>
      </c>
      <c r="R45" s="16">
        <v>46081</v>
      </c>
      <c r="S45" s="16">
        <v>200304.11174596625</v>
      </c>
      <c r="T45" s="16" t="str">
        <v>All documentation provided</v>
      </c>
      <c r="U45" s="16">
        <v>0</v>
      </c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2"/>
      <c r="AR45" s="14"/>
      <c r="AS45" s="14"/>
      <c r="AT45" s="14"/>
      <c r="BD45" s="11" t="str">
        <v>Shoprite Mini_Citrusdal_Tracker.xlsx</v>
      </c>
    </row>
    <row r="46" spans="2:56" s="11" customFormat="1" ht="15.75" customHeight="1">
      <c r="B46" s="13" t="str">
        <v>Dobsonpoint_Tracker.xlsx</v>
      </c>
      <c r="C46" s="17" t="str">
        <v>13. Engineering</v>
      </c>
      <c r="D46" s="16" t="str">
        <v>De Snagging</v>
      </c>
      <c r="E46" s="16">
        <v>0</v>
      </c>
      <c r="F46" s="23">
        <v>46079</v>
      </c>
      <c r="G46" s="45">
        <v>0</v>
      </c>
      <c r="H46" s="19" t="str">
        <v>Dobsonpoint_Tracker.xlsx | Table row 142 | De Snagging | Inv  | Col ExpenseActualTotal</v>
      </c>
      <c r="I46" s="16"/>
      <c r="J46" s="16"/>
      <c r="K46" s="16"/>
      <c r="L46" s="16"/>
      <c r="M46" s="23"/>
      <c r="N46" s="16"/>
      <c r="O46" s="19" t="str">
        <v>Tsakana Corner_Tracker.xlsx</v>
      </c>
      <c r="P46" s="16" t="str">
        <v>Commissioning Complete</v>
      </c>
      <c r="Q46" s="16" t="str">
        <v>004739</v>
      </c>
      <c r="R46" s="16">
        <v>46077</v>
      </c>
      <c r="S46" s="16">
        <v>404481.75</v>
      </c>
      <c r="T46" s="16" t="str">
        <v>delayed due to AC tie in issue</v>
      </c>
      <c r="U46" s="16">
        <v>0</v>
      </c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2"/>
      <c r="AR46" s="14"/>
      <c r="AS46" s="14"/>
      <c r="AT46" s="14"/>
      <c r="BD46" s="11" t="str">
        <v>Sibasa_Tracker.xlsx</v>
      </c>
    </row>
    <row r="47" spans="2:56" s="11" customFormat="1" ht="15.75" customHeight="1">
      <c r="B47" s="13" t="str">
        <v>Gezina Galleries_Tracker.xlsx</v>
      </c>
      <c r="C47" s="17" t="str">
        <v xml:space="preserve">8. Product Add On </v>
      </c>
      <c r="D47" s="16" t="str">
        <v>Installation of SPD - Recover Cost from SWB</v>
      </c>
      <c r="E47" s="16" t="str">
        <v>Switchboard - 2-ARI001536</v>
      </c>
      <c r="F47" s="23">
        <v>46081</v>
      </c>
      <c r="G47" s="45">
        <v>-1728.1</v>
      </c>
      <c r="H47" s="19" t="str">
        <v>Gezina Galleries_Tracker.xlsx | Table row 82 | Installation of SPD - Recover Cost from SWB | Inv Switchboard - 2-ARI001536 | Col ExpenseActualTotal</v>
      </c>
      <c r="I47" s="16"/>
      <c r="J47" s="16"/>
      <c r="K47" s="16"/>
      <c r="L47" s="16"/>
      <c r="M47" s="23"/>
      <c r="N47" s="16"/>
      <c r="O47" s="16" t="str">
        <v>Tsakana Corner_Tracker.xlsx</v>
      </c>
      <c r="P47" s="16" t="str">
        <v>Final Completion Issued</v>
      </c>
      <c r="Q47" s="16" t="str">
        <v>004739</v>
      </c>
      <c r="R47" s="16">
        <v>46080</v>
      </c>
      <c r="S47" s="16">
        <v>674136.25</v>
      </c>
      <c r="T47" s="16">
        <v>0</v>
      </c>
      <c r="U47" s="16">
        <v>0</v>
      </c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2"/>
      <c r="AR47" s="14"/>
      <c r="AS47" s="14"/>
      <c r="AT47" s="14"/>
      <c r="BD47" s="11" t="str">
        <v>STD GQ_Tracker.xlsx</v>
      </c>
    </row>
    <row r="48" spans="2:56" s="11" customFormat="1">
      <c r="B48" s="13" t="str">
        <v>Gezina Galleries_Tracker.xlsx</v>
      </c>
      <c r="C48" s="17" t="str">
        <v xml:space="preserve">8. Product Add On </v>
      </c>
      <c r="D48" s="17" t="str">
        <v>Modification on inverter cage</v>
      </c>
      <c r="E48" s="17" t="str">
        <v>The Engineering Hub INV/2026/01/0248</v>
      </c>
      <c r="F48" s="25">
        <v>46081</v>
      </c>
      <c r="G48" s="114">
        <v>85867</v>
      </c>
      <c r="H48" s="22" t="str">
        <v>Gezina Galleries_Tracker.xlsx | Table row 89 | Modification on inverter cage | Inv The Engineering Hub INV/2026/01/0248 | Col ExpenseActualTotal</v>
      </c>
      <c r="I48" s="17"/>
      <c r="J48" s="17"/>
      <c r="K48" s="17"/>
      <c r="L48" s="17"/>
      <c r="M48" s="25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2"/>
      <c r="AR48" s="14"/>
      <c r="AS48" s="14"/>
      <c r="AT48" s="14"/>
      <c r="BD48" s="11" t="str">
        <v>Steelpark_Tracker.xlsx</v>
      </c>
    </row>
    <row r="49" spans="2:56" s="11" customFormat="1">
      <c r="B49" s="13" t="str">
        <v>Gillwell_Tracker.xlsx</v>
      </c>
      <c r="C49" s="15" t="str">
        <v xml:space="preserve">8. Product Add On </v>
      </c>
      <c r="D49" s="15" t="str">
        <v xml:space="preserve">Inverter Cage Modification </v>
      </c>
      <c r="E49" s="15" t="str">
        <v>The Engineering Hub INV/2026/01/0250</v>
      </c>
      <c r="F49" s="24">
        <v>46081</v>
      </c>
      <c r="G49" s="114">
        <v>36463</v>
      </c>
      <c r="H49" s="22" t="str">
        <v>Gillwell_Tracker.xlsx | Table row 84 | Inverter Cage Modification  | Inv The Engineering Hub INV/2026/01/0250 | Col ExpenseActualTotal</v>
      </c>
      <c r="I49" s="15"/>
      <c r="J49" s="15"/>
      <c r="K49" s="15"/>
      <c r="L49" s="15"/>
      <c r="M49" s="24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2"/>
      <c r="AR49" s="14"/>
      <c r="AS49" s="14"/>
      <c r="AT49" s="14"/>
      <c r="BD49" s="11" t="str">
        <v>Superspar Ph2_Tracker.xlsx</v>
      </c>
    </row>
    <row r="50" spans="2:56" s="11" customFormat="1">
      <c r="B50" s="13" t="str">
        <v>Hungry Lion_Citrusdal_Tracker.xlsx</v>
      </c>
      <c r="C50" s="10" t="str">
        <v>13. Engineering</v>
      </c>
      <c r="D50" s="10" t="str">
        <v>Matriarch Defects Period - 1.25%</v>
      </c>
      <c r="E50" s="10" t="str">
        <v>Matriarch - INV-6234</v>
      </c>
      <c r="F50" s="21">
        <v>46079</v>
      </c>
      <c r="G50" s="45">
        <v>16154.12</v>
      </c>
      <c r="H50" s="19" t="str">
        <v>Hungry Lion_Citrusdal_Tracker.xlsx | Table row 140 | Matriarch Defects Period - 1.25% | Inv Matriarch - INV-6234 | Col ExpenseActualTotal</v>
      </c>
      <c r="I50" s="10"/>
      <c r="J50" s="10"/>
      <c r="K50" s="10"/>
      <c r="L50" s="10"/>
      <c r="M50" s="21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2"/>
      <c r="AR50" s="14"/>
      <c r="AS50" s="14"/>
      <c r="AT50" s="14"/>
      <c r="BD50" s="11" t="str">
        <v>Swellengrebel_Tracker.xlsx</v>
      </c>
    </row>
    <row r="51" spans="2:56" s="11" customFormat="1">
      <c r="B51" s="13" t="str">
        <v>IconsSA_KZN_Tracker.xlsx</v>
      </c>
      <c r="C51" s="10" t="str">
        <v>4. DC Equipment</v>
      </c>
      <c r="D51" s="10" t="str">
        <v>Commissioning Complete</v>
      </c>
      <c r="E51" s="10" t="str">
        <v>Thula Moya IN04867</v>
      </c>
      <c r="F51" s="21">
        <v>46079</v>
      </c>
      <c r="G51" s="45">
        <v>4636.7</v>
      </c>
      <c r="H51" s="19" t="str">
        <v>IconsSA_KZN_Tracker.xlsx | Table row 36 | Commissioning Complete | Inv Thula Moya IN04867 | Col ExpenseActualTotal</v>
      </c>
      <c r="I51" s="10"/>
      <c r="J51" s="10"/>
      <c r="K51" s="10"/>
      <c r="L51" s="10"/>
      <c r="M51" s="21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2"/>
      <c r="AR51" s="14"/>
      <c r="AS51" s="14"/>
      <c r="AT51" s="14"/>
      <c r="BD51" s="11" t="str">
        <v>Topsteel_Tracker.xlsx</v>
      </c>
    </row>
    <row r="52" spans="2:56" s="11" customFormat="1">
      <c r="B52" s="13" t="str">
        <v>IconsSA_KZN_Tracker.xlsx</v>
      </c>
      <c r="C52" s="10" t="str">
        <v>4. DC Equipment</v>
      </c>
      <c r="D52" s="10" t="str">
        <v>Site De-establisment</v>
      </c>
      <c r="E52" s="10" t="str">
        <v>Thula Moya IN04868</v>
      </c>
      <c r="F52" s="21">
        <v>46079</v>
      </c>
      <c r="G52" s="45">
        <v>4636.7</v>
      </c>
      <c r="H52" s="19" t="str">
        <v>IconsSA_KZN_Tracker.xlsx | Table row 37 | Site De-establisment | Inv Thula Moya IN04868 | Col ExpenseActualTotal</v>
      </c>
      <c r="I52" s="10"/>
      <c r="J52" s="10"/>
      <c r="K52" s="10"/>
      <c r="L52" s="10"/>
      <c r="M52" s="21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2"/>
      <c r="AR52" s="14"/>
      <c r="AS52" s="14"/>
      <c r="AT52" s="14"/>
      <c r="BD52" s="11" t="str">
        <v>Trident Steel GP_Tracker.xlsx</v>
      </c>
    </row>
    <row r="53" spans="2:56" s="11" customFormat="1">
      <c r="B53" s="13" t="str">
        <v>IconsSA_KZN_Tracker.xlsx</v>
      </c>
      <c r="C53" s="10" t="str">
        <v>6. AC Equipment</v>
      </c>
      <c r="D53" s="10" t="str">
        <v>Commissioning Complete</v>
      </c>
      <c r="E53" s="10" t="str">
        <v>Thula Moya IN04867</v>
      </c>
      <c r="F53" s="21">
        <v>46079</v>
      </c>
      <c r="G53" s="45">
        <v>12681.21</v>
      </c>
      <c r="H53" s="19" t="str">
        <v>IconsSA_KZN_Tracker.xlsx | Table row 63 | Commissioning Complete | Inv Thula Moya IN04867 | Col ExpenseActualTotal</v>
      </c>
      <c r="I53" s="10"/>
      <c r="J53" s="10"/>
      <c r="K53" s="10"/>
      <c r="L53" s="10"/>
      <c r="M53" s="21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2"/>
      <c r="AR53" s="14"/>
      <c r="AS53" s="14"/>
      <c r="AT53" s="14"/>
      <c r="BD53" s="11" t="str">
        <v>Trident Steel PE_Tracker.xlsx</v>
      </c>
    </row>
    <row r="54" spans="2:56" s="11" customFormat="1">
      <c r="B54" s="13" t="str">
        <v>IconsSA_KZN_Tracker.xlsx</v>
      </c>
      <c r="C54" s="10" t="str">
        <v>6. AC Equipment</v>
      </c>
      <c r="D54" s="10" t="str">
        <v>Site De-establisment</v>
      </c>
      <c r="E54" s="10" t="str">
        <v>Thula Moya IN04868</v>
      </c>
      <c r="F54" s="21">
        <v>46079</v>
      </c>
      <c r="G54" s="45">
        <v>12681.21</v>
      </c>
      <c r="H54" s="19" t="str">
        <v>IconsSA_KZN_Tracker.xlsx | Table row 64 | Site De-establisment | Inv Thula Moya IN04868 | Col ExpenseActualTotal</v>
      </c>
      <c r="I54" s="10"/>
      <c r="J54" s="10"/>
      <c r="K54" s="10"/>
      <c r="L54" s="10"/>
      <c r="M54" s="21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2"/>
      <c r="AR54" s="14"/>
      <c r="AS54" s="14"/>
      <c r="AT54" s="14"/>
      <c r="BD54" s="11" t="str">
        <v>Tsakana Corner_Tracker.xlsx</v>
      </c>
    </row>
    <row r="55" spans="2:56" s="11" customFormat="1">
      <c r="B55" s="13" t="str">
        <v>IconsSA_KZN_Tracker.xlsx</v>
      </c>
      <c r="C55" s="10" t="str">
        <v>9. AC &amp; DC installation</v>
      </c>
      <c r="D55" s="10" t="str">
        <v>Commissioning Complete</v>
      </c>
      <c r="E55" s="10" t="str">
        <v>Thula Moya IN04921</v>
      </c>
      <c r="F55" s="21">
        <v>46079</v>
      </c>
      <c r="G55" s="45">
        <v>5931</v>
      </c>
      <c r="H55" s="19" t="str">
        <v>IconsSA_KZN_Tracker.xlsx | Table row 95 | Commissioning Complete | Inv Thula Moya IN04921 | Col ExpenseActualTotal</v>
      </c>
      <c r="I55" s="10"/>
      <c r="J55" s="10"/>
      <c r="K55" s="10"/>
      <c r="L55" s="10"/>
      <c r="M55" s="21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2"/>
      <c r="AR55" s="14"/>
      <c r="AS55" s="14"/>
      <c r="AT55" s="14"/>
      <c r="BD55" s="11" t="str">
        <v>Umzimkhulu_Tracker.xlsx</v>
      </c>
    </row>
    <row r="56" spans="2:56" s="11" customFormat="1">
      <c r="B56" s="13" t="str">
        <v>IconsSA_KZN_Tracker.xlsx</v>
      </c>
      <c r="C56" s="10" t="str">
        <v>9. AC &amp; DC installation</v>
      </c>
      <c r="D56" s="10" t="str">
        <v>Site De-establisment</v>
      </c>
      <c r="E56" s="10" t="str">
        <v>Thula Moya IN04921</v>
      </c>
      <c r="F56" s="21">
        <v>46079</v>
      </c>
      <c r="G56" s="45">
        <v>5931</v>
      </c>
      <c r="H56" s="19" t="str">
        <v>IconsSA_KZN_Tracker.xlsx | Table row 96 | Site De-establisment | Inv Thula Moya IN04921 | Col ExpenseActualTotal</v>
      </c>
      <c r="I56" s="10"/>
      <c r="J56" s="10"/>
      <c r="K56" s="10"/>
      <c r="L56" s="10"/>
      <c r="M56" s="21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2"/>
      <c r="AR56" s="14"/>
      <c r="AS56" s="14"/>
      <c r="AT56" s="14"/>
      <c r="BD56" s="11" t="str">
        <v>Upper_East_Side_Hotel_Tracker.xlsx</v>
      </c>
    </row>
    <row r="57" spans="2:56" s="11" customFormat="1">
      <c r="B57" s="13" t="str">
        <v>IconsSA_KZN_Tracker.xlsx</v>
      </c>
      <c r="C57" s="10" t="str">
        <v>9. AC &amp; DC installation</v>
      </c>
      <c r="D57" s="10" t="str">
        <v>Handover Document Complete</v>
      </c>
      <c r="E57" s="10" t="str">
        <v>Thula Moya IN04921</v>
      </c>
      <c r="F57" s="21">
        <v>46079</v>
      </c>
      <c r="G57" s="45">
        <v>2965.5</v>
      </c>
      <c r="H57" s="19" t="str">
        <v>IconsSA_KZN_Tracker.xlsx | Table row 97 | Handover Document Complete | Inv Thula Moya IN04921 | Col ExpenseActualTotal</v>
      </c>
      <c r="I57" s="10"/>
      <c r="J57" s="10"/>
      <c r="K57" s="10"/>
      <c r="L57" s="10"/>
      <c r="M57" s="21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4"/>
      <c r="AR57" s="14"/>
      <c r="AS57" s="14"/>
      <c r="AT57" s="14"/>
      <c r="BD57" s="11" t="str">
        <v>Waterside_Tracker.xlsx</v>
      </c>
    </row>
    <row r="58" spans="2:56" s="11" customFormat="1">
      <c r="B58" s="13" t="str">
        <v>IconsSA_KZN_Tracker.xlsx</v>
      </c>
      <c r="C58" s="10" t="str">
        <v>9. AC &amp; DC installation</v>
      </c>
      <c r="D58" s="10" t="str">
        <v>End of Defects Period</v>
      </c>
      <c r="E58" s="10" t="str">
        <v>Thula Moya IN04921</v>
      </c>
      <c r="F58" s="21">
        <v>46079</v>
      </c>
      <c r="G58" s="45">
        <v>2965.5</v>
      </c>
      <c r="H58" s="19" t="str">
        <v>IconsSA_KZN_Tracker.xlsx | Table row 98 | End of Defects Period | Inv Thula Moya IN04921 | Col ExpenseActualTotal</v>
      </c>
      <c r="I58" s="10"/>
      <c r="J58" s="10"/>
      <c r="K58" s="10"/>
      <c r="L58" s="10"/>
      <c r="M58" s="21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4"/>
      <c r="AR58" s="14"/>
      <c r="AS58" s="14"/>
      <c r="AT58" s="14"/>
      <c r="BD58" s="11" t="str">
        <v>Westway BESS_Tracker.xlsx</v>
      </c>
    </row>
    <row r="59" spans="2:56" s="11" customFormat="1">
      <c r="B59" s="13" t="str">
        <v>IconsSA_KZN_Tracker.xlsx</v>
      </c>
      <c r="C59" s="10" t="str">
        <v>10. Site Logistics</v>
      </c>
      <c r="D59" s="10" t="str">
        <v>Commissioning Complete</v>
      </c>
      <c r="E59" s="10" t="str">
        <v>Thula Moya IN04867</v>
      </c>
      <c r="F59" s="21">
        <v>46079</v>
      </c>
      <c r="G59" s="45">
        <v>1200</v>
      </c>
      <c r="H59" s="19" t="str">
        <v>IconsSA_KZN_Tracker.xlsx | Table row 111 | Commissioning Complete | Inv Thula Moya IN04867 | Col ExpenseActualTotal</v>
      </c>
      <c r="I59" s="10"/>
      <c r="J59" s="10"/>
      <c r="K59" s="10"/>
      <c r="L59" s="10"/>
      <c r="M59" s="21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4"/>
      <c r="AR59" s="14"/>
      <c r="AS59" s="14"/>
      <c r="AT59" s="14"/>
    </row>
    <row r="60" spans="2:56" s="11" customFormat="1">
      <c r="B60" s="13" t="str">
        <v>IconsSA_KZN_Tracker.xlsx</v>
      </c>
      <c r="C60" s="10" t="str">
        <v>10. Site Logistics</v>
      </c>
      <c r="D60" s="10" t="str">
        <v>Site De-establisment</v>
      </c>
      <c r="E60" s="10" t="str">
        <v>Thula Moya IN04868</v>
      </c>
      <c r="F60" s="21">
        <v>46079</v>
      </c>
      <c r="G60" s="45">
        <v>1200</v>
      </c>
      <c r="H60" s="19" t="str">
        <v>IconsSA_KZN_Tracker.xlsx | Table row 112 | Site De-establisment | Inv Thula Moya IN04868 | Col ExpenseActualTotal</v>
      </c>
      <c r="I60" s="10"/>
      <c r="J60" s="10"/>
      <c r="K60" s="10"/>
      <c r="L60" s="10"/>
      <c r="M60" s="21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4"/>
      <c r="AR60" s="14"/>
      <c r="AS60" s="14"/>
      <c r="AT60" s="14"/>
    </row>
    <row r="61" spans="2:56" s="11" customFormat="1">
      <c r="B61" s="13" t="str">
        <v>IconsSA_KZN_Tracker.xlsx</v>
      </c>
      <c r="C61" s="10" t="str">
        <v>10. Site Logistics</v>
      </c>
      <c r="D61" s="10" t="str">
        <v>Handover Document Complete</v>
      </c>
      <c r="E61" s="10" t="str">
        <v>Thula Moya IN04869</v>
      </c>
      <c r="F61" s="21">
        <v>46079</v>
      </c>
      <c r="G61" s="45">
        <v>600</v>
      </c>
      <c r="H61" s="19" t="str">
        <v>IconsSA_KZN_Tracker.xlsx | Table row 113 | Handover Document Complete | Inv Thula Moya IN04869 | Col ExpenseActualTotal</v>
      </c>
      <c r="I61" s="10"/>
      <c r="J61" s="10"/>
      <c r="K61" s="10"/>
      <c r="L61" s="10"/>
      <c r="M61" s="21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4"/>
      <c r="AR61" s="14"/>
      <c r="AS61" s="14"/>
      <c r="AT61" s="14"/>
    </row>
    <row r="62" spans="2:56" s="11" customFormat="1">
      <c r="B62" s="13" t="str">
        <v>IconsSA_KZN_Tracker.xlsx</v>
      </c>
      <c r="C62" s="10" t="str">
        <v>10. Site Logistics</v>
      </c>
      <c r="D62" s="10" t="str">
        <v>End of Defects Period</v>
      </c>
      <c r="E62" s="10" t="str">
        <v>Thula Moya IN04870</v>
      </c>
      <c r="F62" s="21">
        <v>46079</v>
      </c>
      <c r="G62" s="45">
        <v>600</v>
      </c>
      <c r="H62" s="19" t="str">
        <v>IconsSA_KZN_Tracker.xlsx | Table row 114 | End of Defects Period | Inv Thula Moya IN04870 | Col ExpenseActualTotal</v>
      </c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4"/>
      <c r="AR62" s="14"/>
      <c r="AS62" s="14"/>
      <c r="AT62" s="14"/>
    </row>
    <row r="63" spans="2:56" s="11" customFormat="1">
      <c r="B63" s="13" t="str">
        <v>Mahikeng Builders Express_Tracker.xlsx</v>
      </c>
      <c r="C63" s="10" t="str">
        <v>4. DC Equipment</v>
      </c>
      <c r="D63" s="10" t="str">
        <v>End of Defects Period</v>
      </c>
      <c r="E63" s="10">
        <v>0</v>
      </c>
      <c r="F63" s="21">
        <v>46081</v>
      </c>
      <c r="G63" s="45">
        <v>5791.3460000000005</v>
      </c>
      <c r="H63" s="19" t="str">
        <v>Mahikeng Builders Express_Tracker.xlsx | Table row 39 | End of Defects Period | Inv  | Col ExpenseActualTotal</v>
      </c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4"/>
      <c r="AR63" s="14"/>
      <c r="AS63" s="14"/>
      <c r="AT63" s="14"/>
    </row>
    <row r="64" spans="2:56" s="11" customFormat="1">
      <c r="B64" s="13" t="str">
        <v>Mahikeng Builders Express_Tracker.xlsx</v>
      </c>
      <c r="C64" s="10" t="str">
        <v>6. AC Equipment</v>
      </c>
      <c r="D64" s="10" t="str">
        <v>End of Defects Period</v>
      </c>
      <c r="E64" s="10">
        <v>0</v>
      </c>
      <c r="F64" s="21">
        <v>46081</v>
      </c>
      <c r="G64" s="45">
        <v>19490.498000000003</v>
      </c>
      <c r="H64" s="19" t="str">
        <v>Mahikeng Builders Express_Tracker.xlsx | Table row 66 | End of Defects Period | Inv  | Col ExpenseActualTotal</v>
      </c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4"/>
      <c r="AR64" s="14"/>
      <c r="AS64" s="14"/>
      <c r="AT64" s="14"/>
    </row>
    <row r="65" spans="2:46" s="11" customFormat="1">
      <c r="B65" s="13" t="str">
        <v>Mahikeng Builders Express_Tracker.xlsx</v>
      </c>
      <c r="C65" s="17" t="str">
        <v>9. AC &amp; DC installation</v>
      </c>
      <c r="D65" s="17" t="str">
        <v>End of Defects Period</v>
      </c>
      <c r="E65" s="17">
        <v>0</v>
      </c>
      <c r="F65" s="25">
        <v>46081</v>
      </c>
      <c r="G65" s="114">
        <v>18066.7</v>
      </c>
      <c r="H65" s="22" t="str">
        <v>Mahikeng Builders Express_Tracker.xlsx | Table row 122 | End of Defects Period | Inv  | Col ExpenseActualTotal</v>
      </c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4"/>
      <c r="AR65" s="14"/>
      <c r="AS65" s="14"/>
      <c r="AT65" s="14"/>
    </row>
    <row r="66" spans="2:46" s="11" customFormat="1">
      <c r="B66" s="13" t="str">
        <v>Mahikeng Builders Express_Tracker.xlsx</v>
      </c>
      <c r="C66" s="10" t="str">
        <v>10. Site Logistics</v>
      </c>
      <c r="D66" s="10" t="str">
        <v>End of Defects Period</v>
      </c>
      <c r="E66" s="10">
        <v>0</v>
      </c>
      <c r="F66" s="21">
        <v>46081</v>
      </c>
      <c r="G66" s="45">
        <v>7407.53</v>
      </c>
      <c r="H66" s="19" t="str">
        <v>Mahikeng Builders Express_Tracker.xlsx | Table row 138 | End of Defects Period | Inv  | Col ExpenseActualTotal</v>
      </c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4"/>
      <c r="AR66" s="14"/>
      <c r="AS66" s="14"/>
      <c r="AT66" s="14"/>
    </row>
    <row r="67" spans="2:46" s="11" customFormat="1">
      <c r="B67" s="13" t="str">
        <v>Mahikeng Builders Express_Tracker.xlsx</v>
      </c>
      <c r="C67" s="15" t="str">
        <v>11. Due Dilligence</v>
      </c>
      <c r="D67" s="15" t="str">
        <v>Red Team Inspection</v>
      </c>
      <c r="E67" s="15">
        <v>0</v>
      </c>
      <c r="F67" s="24">
        <v>46080</v>
      </c>
      <c r="G67" s="114">
        <v>6000</v>
      </c>
      <c r="H67" s="22" t="str">
        <v>Mahikeng Builders Express_Tracker.xlsx | Table row 146 | Red Team Inspection | Inv  | Col ExpenseActualTotal</v>
      </c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4"/>
      <c r="AR67" s="14"/>
      <c r="AS67" s="14"/>
      <c r="AT67" s="14"/>
    </row>
    <row r="68" spans="2:46" s="11" customFormat="1">
      <c r="B68" s="13" t="str">
        <v>Mahikeng Builders Express_Tracker.xlsx</v>
      </c>
      <c r="C68" s="15" t="str">
        <v>13. Engineering</v>
      </c>
      <c r="D68" s="15" t="str">
        <v>Matriarch Defects Period - 1.25%</v>
      </c>
      <c r="E68" s="15">
        <v>0</v>
      </c>
      <c r="F68" s="24">
        <v>46079</v>
      </c>
      <c r="G68" s="114">
        <v>32269.137500000001</v>
      </c>
      <c r="H68" s="22" t="str">
        <v>Mahikeng Builders Express_Tracker.xlsx | Table row 154 | Matriarch Defects Period - 1.25% | Inv  | Col ExpenseActualTotal</v>
      </c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4"/>
      <c r="AR68" s="14"/>
      <c r="AS68" s="14"/>
      <c r="AT68" s="14"/>
    </row>
    <row r="69" spans="2:46" s="11" customFormat="1">
      <c r="B69" s="13" t="str">
        <v>Malvern Ph2_Tracker.xlsx</v>
      </c>
      <c r="C69" s="10" t="str">
        <v>11. Due Dilligence</v>
      </c>
      <c r="D69" s="10" t="str">
        <v>Red Team Inspection</v>
      </c>
      <c r="E69" s="10" t="str">
        <v>Matriarch - INV-6235</v>
      </c>
      <c r="F69" s="21">
        <v>46079</v>
      </c>
      <c r="G69" s="45">
        <v>6000</v>
      </c>
      <c r="H69" s="19" t="str">
        <v>Malvern Ph2_Tracker.xlsx | Table row 128 | Red Team Inspection | Inv Matriarch - INV-6235 | Col ExpenseActualTotal</v>
      </c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4"/>
      <c r="AR69" s="14"/>
      <c r="AS69" s="14"/>
      <c r="AT69" s="14"/>
    </row>
    <row r="70" spans="2:46" s="11" customFormat="1">
      <c r="B70" s="13" t="str">
        <v>Marikana Old Church_Tracker.xlsx</v>
      </c>
      <c r="C70" s="10" t="str">
        <v xml:space="preserve">8. Product Add On </v>
      </c>
      <c r="D70" s="10" t="str">
        <v>Modification of inverter cage</v>
      </c>
      <c r="E70" s="10" t="str">
        <v>The Engineering Hub INV/2026/01/0253</v>
      </c>
      <c r="F70" s="21">
        <v>46081</v>
      </c>
      <c r="G70" s="45">
        <v>6089</v>
      </c>
      <c r="H70" s="19" t="str">
        <v>Marikana Old Church_Tracker.xlsx | Table row 88 | Modification of inverter cage | Inv The Engineering Hub INV/2026/01/0253 | Col ExpenseActualTotal</v>
      </c>
      <c r="I70" s="10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4"/>
      <c r="AR70" s="14"/>
      <c r="AS70" s="14"/>
      <c r="AT70" s="14"/>
    </row>
    <row r="71" spans="2:46" s="11" customFormat="1">
      <c r="B71" s="13" t="str">
        <v>Marikana Shoprite_Tracker.xlsx</v>
      </c>
      <c r="C71" s="17" t="str">
        <v xml:space="preserve">8. Product Add On </v>
      </c>
      <c r="D71" s="17" t="str">
        <v>Modification on inverter cage</v>
      </c>
      <c r="E71" s="17" t="str">
        <v>The Engineering Hub Inv: INV/2026/01/0252</v>
      </c>
      <c r="F71" s="25">
        <v>46081</v>
      </c>
      <c r="G71" s="114">
        <v>8375</v>
      </c>
      <c r="H71" s="22" t="str">
        <v>Marikana Shoprite_Tracker.xlsx | Table row 81 | Modification on inverter cage | Inv The Engineering Hub Inv: INV/2026/01/0252 | Col ExpenseActualTotal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4"/>
      <c r="AR71" s="14"/>
      <c r="AS71" s="14"/>
      <c r="AT71" s="14"/>
    </row>
    <row r="72" spans="2:46" s="11" customFormat="1">
      <c r="B72" s="13" t="str">
        <v>Mayo Macs_Tracker.xlsx</v>
      </c>
      <c r="C72" s="10" t="str">
        <v>15</v>
      </c>
      <c r="D72" s="10" t="str">
        <v>15. Service Add On</v>
      </c>
      <c r="E72" s="10" t="str">
        <v xml:space="preserve">Matthews Group - INV-1595 </v>
      </c>
      <c r="F72" s="21">
        <v>46081</v>
      </c>
      <c r="G72" s="45">
        <v>0.5</v>
      </c>
      <c r="H72" s="19" t="str">
        <v>Mayo Macs_Tracker.xlsx | Table row 141 | 15. Service Add On | Inv Matthews Group - INV-1595  | Col ExpenseActualTotal</v>
      </c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4"/>
      <c r="AR72" s="14"/>
      <c r="AS72" s="14"/>
      <c r="AT72" s="14"/>
    </row>
    <row r="73" spans="2:46" s="11" customFormat="1">
      <c r="B73" s="13" t="str">
        <v>Meraki Ph3_Tracker.xlsx</v>
      </c>
      <c r="C73" s="10" t="str">
        <v>2. Inverters</v>
      </c>
      <c r="D73" s="10" t="str">
        <v>RMA 100kW Inverter</v>
      </c>
      <c r="E73" s="10">
        <v>0</v>
      </c>
      <c r="F73" s="21">
        <v>46081</v>
      </c>
      <c r="G73" s="45">
        <v>-67440</v>
      </c>
      <c r="H73" s="19" t="str">
        <v>Meraki Ph3_Tracker.xlsx | Table row 17 | RMA 100kW Inverter | Inv  | Col ExpenseActualTotal</v>
      </c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4"/>
      <c r="AR73" s="14"/>
      <c r="AS73" s="14"/>
      <c r="AT73" s="14"/>
    </row>
    <row r="74" spans="2:46" s="11" customFormat="1">
      <c r="B74" s="13" t="str">
        <v>Meraki Ph3_Tracker.xlsx</v>
      </c>
      <c r="C74" s="10" t="str">
        <v>15. Service Add On</v>
      </c>
      <c r="D74" s="10" t="str">
        <v>Labour and Travel - VO</v>
      </c>
      <c r="E74" s="10" t="str">
        <v>Thula Moya - IN05003</v>
      </c>
      <c r="F74" s="21">
        <v>46076</v>
      </c>
      <c r="G74" s="45">
        <v>7328.61</v>
      </c>
      <c r="H74" s="19" t="str">
        <v>Meraki Ph3_Tracker.xlsx | Table row 128 | Labour and Travel - VO | Inv Thula Moya - IN05003 | Col ExpenseActualTotal</v>
      </c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4"/>
      <c r="AR74" s="14"/>
      <c r="AS74" s="14"/>
      <c r="AT74" s="14"/>
    </row>
    <row r="75" spans="2:46" s="11" customFormat="1">
      <c r="B75" s="13" t="str">
        <v>Mondi_Tracker_Rev02.xlsm</v>
      </c>
      <c r="C75" s="10" t="str">
        <v>6. AC Equipment</v>
      </c>
      <c r="D75" s="10" t="str">
        <v>Huawei Smart Transformers - 6MVA 0.8/11kV - Deposit 25%</v>
      </c>
      <c r="E75" s="10" t="str">
        <v>MSA Energy PIZO/DM/CPT/00011/10/2025</v>
      </c>
      <c r="F75" s="21">
        <v>46079</v>
      </c>
      <c r="G75" s="45">
        <v>2085482.2050000001</v>
      </c>
      <c r="H75" s="19" t="str">
        <v>Mondi_Tracker_Rev02.xlsm | Table row 129 | Huawei Smart Transformers - 6MVA 0.8/11kV - Deposit 25% | Inv MSA Energy PIZO/DM/CPT/00011/10/2025 | Col ExpenseActualTotal</v>
      </c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4"/>
      <c r="AR75" s="14"/>
      <c r="AS75" s="14"/>
      <c r="AT75" s="14"/>
    </row>
    <row r="76" spans="2:46" s="11" customFormat="1">
      <c r="B76" s="13" t="str">
        <v>Mondi_Tracker_Rev02.xlsm</v>
      </c>
      <c r="C76" s="10" t="str">
        <v>6. AC Equipment</v>
      </c>
      <c r="D76" s="10" t="str">
        <v>Transformer Assecories with Spares - Deposit 25%</v>
      </c>
      <c r="E76" s="10" t="str">
        <v>MSA Energy PIZO/DM/CPT/00011/10/2025</v>
      </c>
      <c r="F76" s="21">
        <v>46079</v>
      </c>
      <c r="G76" s="45">
        <v>27288.864999999761</v>
      </c>
      <c r="H76" s="19" t="str">
        <v>Mondi_Tracker_Rev02.xlsm | Table row 134 | Transformer Assecories with Spares - Deposit 25% | Inv MSA Energy PIZO/DM/CPT/00011/10/2025 | Col ExpenseActualTotal</v>
      </c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4"/>
      <c r="AR76" s="14"/>
      <c r="AS76" s="14"/>
      <c r="AT76" s="14"/>
    </row>
    <row r="77" spans="2:46" s="11" customFormat="1">
      <c r="B77" s="13" t="str">
        <v>Mondi_Tracker_Rev02.xlsm</v>
      </c>
      <c r="C77" s="10" t="str">
        <v>10. Site Logistics</v>
      </c>
      <c r="D77" s="10" t="str">
        <v>Site Office - December</v>
      </c>
      <c r="E77" s="10">
        <v>0</v>
      </c>
      <c r="F77" s="21">
        <v>46081</v>
      </c>
      <c r="G77" s="45">
        <v>2000</v>
      </c>
      <c r="H77" s="19" t="str">
        <v>Mondi_Tracker_Rev02.xlsm | Table row 307 | Site Office - December | Inv  | Col ExpenseActualTotal</v>
      </c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4"/>
      <c r="AR77" s="14"/>
      <c r="AS77" s="14"/>
      <c r="AT77" s="14"/>
    </row>
    <row r="78" spans="2:46" s="11" customFormat="1">
      <c r="B78" s="13" t="str">
        <v>Mondi_Tracker_Rev02.xlsm</v>
      </c>
      <c r="C78" s="10" t="str">
        <v>11. Due Dilligence</v>
      </c>
      <c r="D78" s="10" t="str">
        <v>Drone Footage and land Surveying</v>
      </c>
      <c r="E78" s="10">
        <v>0</v>
      </c>
      <c r="F78" s="21">
        <v>46081</v>
      </c>
      <c r="G78" s="45">
        <v>57615</v>
      </c>
      <c r="H78" s="19" t="str">
        <v>Mondi_Tracker_Rev02.xlsm | Table row 344 | Drone Footage and land Surveying | Inv  | Col ExpenseActualTotal</v>
      </c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4"/>
      <c r="AR78" s="14"/>
      <c r="AS78" s="14"/>
      <c r="AT78" s="14"/>
    </row>
    <row r="79" spans="2:46">
      <c r="B79" s="13" t="str">
        <v>Pimville_Tracker.xlsx</v>
      </c>
      <c r="C79" s="10" t="str">
        <v>4. DC Equipment</v>
      </c>
      <c r="D79" s="10" t="str">
        <v>Handover Document Complete</v>
      </c>
      <c r="E79" s="10" t="str">
        <v>Thula Moya IN04849</v>
      </c>
      <c r="F79" s="21">
        <v>46078</v>
      </c>
      <c r="G79" s="45">
        <v>9217.8516411268429</v>
      </c>
      <c r="H79" s="19" t="str">
        <v>Pimville_Tracker.xlsx | Table row 40 | Handover Document Complete | Inv Thula Moya IN04849 | Col ExpenseActualTotal</v>
      </c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R79" s="14"/>
      <c r="AS79" s="14"/>
      <c r="AT79" s="14"/>
    </row>
    <row r="80" spans="2:46">
      <c r="B80" s="13" t="str">
        <v>Pimville_Tracker.xlsx</v>
      </c>
      <c r="C80" s="10" t="str">
        <v>6. AC Equipment</v>
      </c>
      <c r="D80" s="10" t="str">
        <v>Handover Document Complete</v>
      </c>
      <c r="E80" s="10" t="str">
        <v>Thula Moya IN04849</v>
      </c>
      <c r="F80" s="21">
        <v>46078</v>
      </c>
      <c r="G80" s="45">
        <v>4602.3949057138243</v>
      </c>
      <c r="H80" s="19" t="str">
        <v>Pimville_Tracker.xlsx | Table row 69 | Handover Document Complete | Inv Thula Moya IN04849 | Col ExpenseActualTotal</v>
      </c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R80" s="14"/>
      <c r="AS80" s="14"/>
      <c r="AT80" s="14"/>
    </row>
    <row r="81" spans="2:46">
      <c r="B81" s="13" t="str">
        <v>Pimville_Tracker.xlsx</v>
      </c>
      <c r="C81" s="15" t="str">
        <v>9. AC &amp; DC installation</v>
      </c>
      <c r="D81" s="15" t="str">
        <v>Commissioning Complete</v>
      </c>
      <c r="E81" s="15" t="str">
        <v>Thula Moya IN04847</v>
      </c>
      <c r="F81" s="24">
        <v>46078</v>
      </c>
      <c r="G81" s="114">
        <v>48130.78</v>
      </c>
      <c r="H81" s="22" t="str">
        <v>Pimville_Tracker.xlsx | Table row 101 | Commissioning Complete | Inv Thula Moya IN04847 | Col ExpenseActualTotal</v>
      </c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R81" s="14"/>
      <c r="AS81" s="14"/>
      <c r="AT81" s="14"/>
    </row>
    <row r="82" spans="2:46">
      <c r="B82" s="13" t="str">
        <v>Pimville_Tracker.xlsx</v>
      </c>
      <c r="C82" s="10" t="str">
        <v>9. AC &amp; DC installation</v>
      </c>
      <c r="D82" s="10" t="str">
        <v>Handover Document Complete</v>
      </c>
      <c r="E82" s="10" t="str">
        <v>Thula Moya IN04849</v>
      </c>
      <c r="F82" s="21">
        <v>46078</v>
      </c>
      <c r="G82" s="45">
        <v>24065.38629343639</v>
      </c>
      <c r="H82" s="19" t="str">
        <v>Pimville_Tracker.xlsx | Table row 103 | Handover Document Complete | Inv Thula Moya IN04849 | Col ExpenseActualTotal</v>
      </c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R82" s="14"/>
      <c r="AS82" s="14"/>
      <c r="AT82" s="14"/>
    </row>
    <row r="83" spans="2:46">
      <c r="B83" s="13" t="str">
        <v>Pimville_Tracker.xlsx</v>
      </c>
      <c r="C83" s="10" t="str">
        <v>10. Site Logistics</v>
      </c>
      <c r="D83" s="10" t="str">
        <v>Commissioning Complete</v>
      </c>
      <c r="E83" s="10" t="str">
        <v>Thula Moya IN04847</v>
      </c>
      <c r="F83" s="21">
        <v>46078</v>
      </c>
      <c r="G83" s="45">
        <v>4954.7343194458899</v>
      </c>
      <c r="H83" s="19" t="str">
        <v>Pimville_Tracker.xlsx | Table row 123 | Commissioning Complete | Inv Thula Moya IN04847 | Col ExpenseActualTotal</v>
      </c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R83" s="14"/>
      <c r="AS83" s="14"/>
      <c r="AT83" s="14"/>
    </row>
    <row r="84" spans="2:46">
      <c r="B84" s="13" t="str">
        <v>Pimville_Tracker.xlsx</v>
      </c>
      <c r="C84" s="15" t="str">
        <v>10. Site Logistics</v>
      </c>
      <c r="D84" s="15" t="str">
        <v>Handover Document Complete</v>
      </c>
      <c r="E84" s="15" t="str">
        <v>Thula Moya IN04849</v>
      </c>
      <c r="F84" s="24">
        <v>46078</v>
      </c>
      <c r="G84" s="114">
        <v>2477.367159722945</v>
      </c>
      <c r="H84" s="22" t="str">
        <v>Pimville_Tracker.xlsx | Table row 125 | Handover Document Complete | Inv Thula Moya IN04849 | Col ExpenseActualTotal</v>
      </c>
      <c r="I84" s="15"/>
      <c r="J84" s="15"/>
      <c r="K84" s="15"/>
      <c r="L84" s="15"/>
      <c r="M84" s="15"/>
      <c r="N84" s="15"/>
      <c r="O84" s="15"/>
      <c r="P84" s="18"/>
      <c r="Q84" s="15"/>
      <c r="R84" s="15"/>
      <c r="S84" s="15"/>
      <c r="T84" s="15"/>
      <c r="U84" s="15"/>
      <c r="V84" s="15"/>
      <c r="W84" s="15"/>
      <c r="X84" s="17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R84" s="14"/>
      <c r="AS84" s="14"/>
      <c r="AT84" s="14"/>
    </row>
    <row r="85" spans="2:46">
      <c r="B85" s="13" t="str">
        <v>Pimville_Tracker.xlsx</v>
      </c>
      <c r="C85" s="17" t="str">
        <v>13. Engineering</v>
      </c>
      <c r="D85" s="17" t="str">
        <v>Matriarch Defects Period - 1.25%</v>
      </c>
      <c r="E85" s="17">
        <v>0</v>
      </c>
      <c r="F85" s="25">
        <v>46080</v>
      </c>
      <c r="G85" s="114">
        <v>42501.324999999997</v>
      </c>
      <c r="H85" s="22" t="str">
        <v>Pimville_Tracker.xlsx | Table row 140 | Matriarch Defects Period - 1.25% | Inv  | Col ExpenseActualTotal</v>
      </c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R85" s="14"/>
      <c r="AS85" s="14"/>
      <c r="AT85" s="14"/>
    </row>
    <row r="86" spans="2:46">
      <c r="B86" s="13" t="str">
        <v>PnP Bethal_Tracker.xlsx</v>
      </c>
      <c r="C86" s="10" t="str">
        <v>5. Monitoring</v>
      </c>
      <c r="D86" s="10" t="str">
        <v>Comms DB</v>
      </c>
      <c r="E86" s="10">
        <v>0</v>
      </c>
      <c r="F86" s="21">
        <v>46081</v>
      </c>
      <c r="G86" s="45">
        <v>26000</v>
      </c>
      <c r="H86" s="19" t="str">
        <v>PnP Bethal_Tracker.xlsx | Table row 45 | Comms DB | Inv  | Col ExpenseActualTotal</v>
      </c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R86" s="14"/>
      <c r="AS86" s="14"/>
      <c r="AT86" s="14"/>
    </row>
    <row r="87" spans="2:46">
      <c r="B87" s="13" t="str">
        <v>PnP Bethal_Tracker.xlsx</v>
      </c>
      <c r="C87" s="17" t="str">
        <v>5. Monitoring</v>
      </c>
      <c r="D87" s="17" t="str">
        <v>Revenue Grade Meter</v>
      </c>
      <c r="E87" s="17">
        <v>0</v>
      </c>
      <c r="F87" s="25">
        <v>46081</v>
      </c>
      <c r="G87" s="114">
        <v>15000</v>
      </c>
      <c r="H87" s="22" t="str">
        <v>PnP Bethal_Tracker.xlsx | Table row 46 | Revenue Grade Meter | Inv  | Col ExpenseActualTotal</v>
      </c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R87" s="14"/>
      <c r="AS87" s="14"/>
      <c r="AT87" s="14"/>
    </row>
    <row r="88" spans="2:46">
      <c r="B88" s="13" t="str">
        <v>PnP Bethal_Tracker.xlsx</v>
      </c>
      <c r="C88" s="10" t="str">
        <v>11. Due Dilligence</v>
      </c>
      <c r="D88" s="10" t="str">
        <v>Lightning Risk Assessment</v>
      </c>
      <c r="E88" s="10">
        <v>0</v>
      </c>
      <c r="F88" s="21">
        <v>46081</v>
      </c>
      <c r="G88" s="45">
        <v>7000</v>
      </c>
      <c r="H88" s="19" t="str">
        <v>PnP Bethal_Tracker.xlsx | Table row 128 | Lightning Risk Assessment | Inv  | Col ExpenseActualTotal</v>
      </c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R88" s="14"/>
      <c r="AS88" s="14"/>
      <c r="AT88" s="14"/>
    </row>
    <row r="89" spans="2:46">
      <c r="B89" s="13" t="str">
        <v>Pretoria North_Tracker.xlsx</v>
      </c>
      <c r="C89" s="10" t="str">
        <v>4. DC Equipment</v>
      </c>
      <c r="D89" s="10" t="str">
        <v>End of Defects Period</v>
      </c>
      <c r="E89" s="10" t="str">
        <v>CS_PTN_008 A</v>
      </c>
      <c r="F89" s="21">
        <v>46078</v>
      </c>
      <c r="G89" s="45">
        <v>9795.9125000000004</v>
      </c>
      <c r="H89" s="19" t="str">
        <v>Pretoria North_Tracker.xlsx | Table row 42 | End of Defects Period | Inv CS_PTN_008 A | Col ExpenseActualTotal</v>
      </c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R89" s="14"/>
      <c r="AS89" s="14"/>
      <c r="AT89" s="14"/>
    </row>
    <row r="90" spans="2:46">
      <c r="B90" s="13" t="str">
        <v>Pretoria North_Tracker.xlsx</v>
      </c>
      <c r="C90" s="17" t="str">
        <v xml:space="preserve">8. Product Add On </v>
      </c>
      <c r="D90" s="17" t="str">
        <v>Inverter cage modification</v>
      </c>
      <c r="E90" s="17" t="str">
        <v>The Engineering Hub INV/2026/01/0249</v>
      </c>
      <c r="F90" s="25">
        <v>46081</v>
      </c>
      <c r="G90" s="114">
        <v>44224</v>
      </c>
      <c r="H90" s="22" t="str">
        <v>Pretoria North_Tracker.xlsx | Table row 90 | Inverter cage modification | Inv The Engineering Hub INV/2026/01/0249 | Col ExpenseActualTotal</v>
      </c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R90" s="14"/>
      <c r="AS90" s="14"/>
      <c r="AT90" s="14"/>
    </row>
    <row r="91" spans="2:46">
      <c r="B91" s="13" t="str">
        <v>Pretoria North_Tracker.xlsx</v>
      </c>
      <c r="C91" s="17" t="str">
        <v>11. Due Dilligence</v>
      </c>
      <c r="D91" s="17" t="str">
        <v>Grid Impact Study</v>
      </c>
      <c r="E91" s="17">
        <v>0</v>
      </c>
      <c r="F91" s="25">
        <v>46081</v>
      </c>
      <c r="G91" s="114">
        <v>79700</v>
      </c>
      <c r="H91" s="22" t="str">
        <v>Pretoria North_Tracker.xlsx | Table row 131 | Grid Impact Study | Inv  | Col ExpenseActualTotal</v>
      </c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R91" s="14"/>
      <c r="AS91" s="14"/>
      <c r="AT91" s="14"/>
    </row>
    <row r="92" spans="2:46">
      <c r="B92" s="13" t="str">
        <v>Pretoria North_Tracker.xlsx</v>
      </c>
      <c r="C92" s="10" t="str">
        <v>13. Engineering</v>
      </c>
      <c r="D92" s="10" t="str">
        <v>Matriarch Defects Period - 1.25%</v>
      </c>
      <c r="E92" s="10">
        <v>0</v>
      </c>
      <c r="F92" s="21">
        <v>46080</v>
      </c>
      <c r="G92" s="45">
        <v>59518.412500000006</v>
      </c>
      <c r="H92" s="19" t="str">
        <v>Pretoria North_Tracker.xlsx | Table row 138 | Matriarch Defects Period - 1.25% | Inv  | Col ExpenseActualTotal</v>
      </c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</row>
    <row r="93" spans="2:46">
      <c r="B93" s="13" t="str">
        <v>Randfontein_Tracker.xlsx</v>
      </c>
      <c r="C93" s="13" t="str">
        <v>4. DC Equipment</v>
      </c>
      <c r="D93" s="13" t="str">
        <v>Aditional DC Cable - Rubicon - VO</v>
      </c>
      <c r="E93" s="13" t="str">
        <v>Rubicon - INVCRED-0137907</v>
      </c>
      <c r="F93" s="21">
        <v>46079</v>
      </c>
      <c r="G93" s="45">
        <v>84000</v>
      </c>
      <c r="H93" s="13" t="str">
        <v>Randfontein_Tracker.xlsx | Table row 30 | Aditional DC Cable - Rubicon - VO | Inv Rubicon - INVCRED-0137907 | Col ExpenseActualTotal</v>
      </c>
    </row>
    <row r="94" spans="2:46">
      <c r="B94" s="13" t="str">
        <v>Randfontein_Tracker.xlsx</v>
      </c>
      <c r="C94" s="13" t="str">
        <v>4. DC Equipment</v>
      </c>
      <c r="D94" s="13" t="str">
        <v>Delivery Extra DC - Rubicon - VO</v>
      </c>
      <c r="E94" s="13" t="str">
        <v>Rubicon - INVCRED-0137907</v>
      </c>
      <c r="F94" s="21">
        <v>46079</v>
      </c>
      <c r="G94" s="45">
        <v>4500</v>
      </c>
      <c r="H94" s="13" t="str">
        <v>Randfontein_Tracker.xlsx | Table row 31 | Delivery Extra DC - Rubicon - VO | Inv Rubicon - INVCRED-0137907 | Col ExpenseActualTotal</v>
      </c>
    </row>
    <row r="95" spans="2:46">
      <c r="B95" s="13" t="str">
        <v>Randfontein_Tracker.xlsx</v>
      </c>
      <c r="C95" s="13" t="str">
        <v>4. DC Equipment</v>
      </c>
      <c r="D95" s="13" t="str">
        <v>Site De-establisment</v>
      </c>
      <c r="E95" s="13" t="str">
        <v>Thula Moya IN04843</v>
      </c>
      <c r="F95" s="21">
        <v>46077</v>
      </c>
      <c r="G95" s="45">
        <v>18505.11</v>
      </c>
      <c r="H95" s="13" t="str">
        <v>Randfontein_Tracker.xlsx | Table row 38 | Site De-establisment | Inv Thula Moya IN04843 | Col ExpenseActualTotal</v>
      </c>
    </row>
    <row r="96" spans="2:46">
      <c r="B96" s="13" t="str">
        <v>Randfontein_Tracker.xlsx</v>
      </c>
      <c r="C96" s="13" t="str">
        <v>4. DC Equipment</v>
      </c>
      <c r="D96" s="13" t="str">
        <v>Handover Document Complete</v>
      </c>
      <c r="E96" s="13" t="str">
        <v>Thula Moya IN04844</v>
      </c>
      <c r="F96" s="21">
        <v>46077</v>
      </c>
      <c r="G96" s="45">
        <v>9252.5</v>
      </c>
      <c r="H96" s="13" t="str">
        <v>Randfontein_Tracker.xlsx | Table row 39 | Handover Document Complete | Inv Thula Moya IN04844 | Col ExpenseActualTotal</v>
      </c>
    </row>
    <row r="97" spans="2:8">
      <c r="B97" s="13" t="str">
        <v>Randfontein_Tracker.xlsx</v>
      </c>
      <c r="C97" s="13" t="str">
        <v>6. AC Equipment</v>
      </c>
      <c r="D97" s="13" t="str">
        <v>Site De-establisment</v>
      </c>
      <c r="E97" s="13" t="str">
        <v>Thula Moya IN04843</v>
      </c>
      <c r="F97" s="21">
        <v>46077</v>
      </c>
      <c r="G97" s="45">
        <v>9239.41</v>
      </c>
      <c r="H97" s="13" t="str">
        <v>Randfontein_Tracker.xlsx | Table row 66 | Site De-establisment | Inv Thula Moya IN04843 | Col ExpenseActualTotal</v>
      </c>
    </row>
    <row r="98" spans="2:8">
      <c r="B98" s="13" t="str">
        <v>Randfontein_Tracker.xlsx</v>
      </c>
      <c r="C98" s="13" t="str">
        <v>6. AC Equipment</v>
      </c>
      <c r="D98" s="13" t="str">
        <v>Handover Document Complete</v>
      </c>
      <c r="E98" s="13" t="str">
        <v>Thula Moya IN04844</v>
      </c>
      <c r="F98" s="21">
        <v>46077</v>
      </c>
      <c r="G98" s="45">
        <v>4619.7</v>
      </c>
      <c r="H98" s="13" t="str">
        <v>Randfontein_Tracker.xlsx | Table row 67 | Handover Document Complete | Inv Thula Moya IN04844 | Col ExpenseActualTotal</v>
      </c>
    </row>
    <row r="99" spans="2:8">
      <c r="B99" s="13" t="str">
        <v>Randfontein_Tracker.xlsx</v>
      </c>
      <c r="C99" s="13" t="str">
        <v xml:space="preserve">8. Product Add On </v>
      </c>
      <c r="D99" s="13" t="str">
        <v>30way DC Combiner Box 30A 1000v - ThulaMoya</v>
      </c>
      <c r="E99" s="13" t="str">
        <v>Thula Moya - IN05020</v>
      </c>
      <c r="F99" s="21">
        <v>46081</v>
      </c>
      <c r="G99" s="45">
        <v>16725</v>
      </c>
      <c r="H99" s="13" t="str">
        <v>Randfontein_Tracker.xlsx | Table row 89 | 30way DC Combiner Box 30A 1000v - ThulaMoya | Inv Thula Moya - IN05020 | Col ExpenseActualTotal</v>
      </c>
    </row>
    <row r="100" spans="2:8">
      <c r="B100" s="13" t="str">
        <v>Randfontein_Tracker.xlsx</v>
      </c>
      <c r="C100" s="13" t="str">
        <v>9. AC &amp; DC installation</v>
      </c>
      <c r="D100" s="13" t="str">
        <v>Site De-establisment</v>
      </c>
      <c r="E100" s="13">
        <v>0</v>
      </c>
      <c r="F100" s="21">
        <v>46077</v>
      </c>
      <c r="G100" s="45">
        <v>48312.024660138013</v>
      </c>
      <c r="H100" s="13" t="str">
        <v>Randfontein_Tracker.xlsx | Table row 99 | Site De-establisment | Inv  | Col ExpenseActualTotal</v>
      </c>
    </row>
    <row r="101" spans="2:8">
      <c r="B101" s="13" t="str">
        <v>Randfontein_Tracker.xlsx</v>
      </c>
      <c r="C101" s="13" t="str">
        <v>9. AC &amp; DC installation</v>
      </c>
      <c r="D101" s="13" t="str">
        <v>Handover Document Complete</v>
      </c>
      <c r="E101" s="13">
        <v>0</v>
      </c>
      <c r="F101" s="21">
        <v>46077</v>
      </c>
      <c r="G101" s="45">
        <v>24156.012330069007</v>
      </c>
      <c r="H101" s="13" t="str">
        <v>Randfontein_Tracker.xlsx | Table row 100 | Handover Document Complete | Inv  | Col ExpenseActualTotal</v>
      </c>
    </row>
    <row r="102" spans="2:8">
      <c r="B102" s="13" t="str">
        <v>Randfontein_Tracker.xlsx</v>
      </c>
      <c r="C102" s="13" t="str">
        <v>10. Site Logistics</v>
      </c>
      <c r="D102" s="13" t="str">
        <v>Site De-establisment</v>
      </c>
      <c r="E102" s="13" t="str">
        <v>Thula Moya IN04843</v>
      </c>
      <c r="F102" s="21">
        <v>46077</v>
      </c>
      <c r="G102" s="45">
        <v>4973.3</v>
      </c>
      <c r="H102" s="13" t="str">
        <v>Randfontein_Tracker.xlsx | Table row 120 | Site De-establisment | Inv Thula Moya IN04843 | Col ExpenseActualTotal</v>
      </c>
    </row>
    <row r="103" spans="2:8">
      <c r="B103" s="13" t="str">
        <v>Randfontein_Tracker.xlsx</v>
      </c>
      <c r="C103" s="13" t="str">
        <v>10. Site Logistics</v>
      </c>
      <c r="D103" s="13" t="str">
        <v>Handover Document Complete</v>
      </c>
      <c r="E103" s="13" t="str">
        <v>Thula Moya IN04844</v>
      </c>
      <c r="F103" s="21">
        <v>46077</v>
      </c>
      <c r="G103" s="45">
        <v>2486.6964912463177</v>
      </c>
      <c r="H103" s="13" t="str">
        <v>Randfontein_Tracker.xlsx | Table row 121 | Handover Document Complete | Inv Thula Moya IN04844 | Col ExpenseActualTotal</v>
      </c>
    </row>
    <row r="104" spans="2:8">
      <c r="B104" s="13" t="str">
        <v>Randfontein_Tracker.xlsx</v>
      </c>
      <c r="C104" s="13" t="str">
        <v>11. Due Dilligence</v>
      </c>
      <c r="D104" s="13" t="str">
        <v>Electrical PrEng sign off</v>
      </c>
      <c r="E104" s="13" t="str">
        <v>Sunspot E027</v>
      </c>
      <c r="F104" s="21">
        <v>46077</v>
      </c>
      <c r="G104" s="45">
        <v>10160.799999999999</v>
      </c>
      <c r="H104" s="13" t="str">
        <v>Randfontein_Tracker.xlsx | Table row 127 | Electrical PrEng sign off | Inv Sunspot E027 | Col ExpenseActualTotal</v>
      </c>
    </row>
    <row r="105" spans="2:8">
      <c r="B105" s="13" t="str">
        <v>Red Rocket_Tracker.xlsx</v>
      </c>
      <c r="C105" s="13" t="str">
        <v>7.BESS</v>
      </c>
      <c r="D105" s="13" t="str">
        <v>Civil Works - Balance</v>
      </c>
      <c r="E105" s="13" t="str">
        <v>Ask Fritz 2508_014</v>
      </c>
      <c r="F105" s="21">
        <v>46081</v>
      </c>
      <c r="G105" s="45">
        <v>31388.959999999992</v>
      </c>
      <c r="H105" s="13" t="str">
        <v>Red Rocket_Tracker.xlsx | Table row 108 | Civil Works - Balance | Inv Ask Fritz 2508_014 | Col ExpenseActualTotal</v>
      </c>
    </row>
    <row r="106" spans="2:8">
      <c r="B106" s="13" t="str">
        <v>Red Rocket_Tracker.xlsx</v>
      </c>
      <c r="C106" s="13" t="str">
        <v xml:space="preserve">8. Product Add On </v>
      </c>
      <c r="D106" s="13" t="str">
        <v>Top Tie In Fence/Gate - V&amp;A</v>
      </c>
      <c r="E106" s="13">
        <v>0</v>
      </c>
      <c r="F106" s="21">
        <v>46079</v>
      </c>
      <c r="G106" s="45">
        <v>18995</v>
      </c>
      <c r="H106" s="13" t="str">
        <v>Red Rocket_Tracker.xlsx | Table row 120 | Top Tie In Fence/Gate - V&amp;A | Inv  | Col ExpenseActualTotal</v>
      </c>
    </row>
    <row r="107" spans="2:8">
      <c r="B107" s="13" t="str">
        <v>Red Rocket_Tracker.xlsx</v>
      </c>
      <c r="C107" s="13" t="str">
        <v xml:space="preserve">8. Product Add On </v>
      </c>
      <c r="D107" s="13" t="str">
        <v>Replacement of Gas Extinguishing System - V&amp;A</v>
      </c>
      <c r="E107" s="13">
        <v>0</v>
      </c>
      <c r="F107" s="21">
        <v>46081</v>
      </c>
      <c r="G107" s="45">
        <v>27294.75</v>
      </c>
      <c r="H107" s="13" t="str">
        <v>Red Rocket_Tracker.xlsx | Table row 135 | Replacement of Gas Extinguishing System - V&amp;A | Inv  | Col ExpenseActualTotal</v>
      </c>
    </row>
    <row r="108" spans="2:8">
      <c r="B108" s="13" t="str">
        <v>Red Rocket_Tracker.xlsx</v>
      </c>
      <c r="C108" s="13" t="str">
        <v>15. Service Add On</v>
      </c>
      <c r="D108" s="13" t="str">
        <v>Tie - in 2 Isolation Transformer Bypass</v>
      </c>
      <c r="E108" s="13" t="str">
        <v>HappySolar - INV-0353</v>
      </c>
      <c r="F108" s="21">
        <v>46079</v>
      </c>
      <c r="G108" s="45">
        <v>7000.0000000000009</v>
      </c>
      <c r="H108" s="13" t="str">
        <v>Red Rocket_Tracker.xlsx | Table row 214 | Tie - in 2 Isolation Transformer Bypass | Inv HappySolar - INV-0353 | Col ExpenseActualTotal</v>
      </c>
    </row>
    <row r="109" spans="2:8">
      <c r="B109" s="13" t="str">
        <v>Riverside Mall_Tracker.xlsx</v>
      </c>
      <c r="C109" s="13" t="str">
        <v>5. Monitoring</v>
      </c>
      <c r="D109" s="13" t="str">
        <v>CTs &amp; Meters</v>
      </c>
      <c r="E109" s="13" t="str">
        <v>Accuenergy Inv: ASAI-007302</v>
      </c>
      <c r="F109" s="21">
        <v>46080</v>
      </c>
      <c r="G109" s="45">
        <v>12417</v>
      </c>
      <c r="H109" s="13" t="str">
        <v>Riverside Mall_Tracker.xlsx | Table row 45 | CTs &amp; Meters | Inv Accuenergy Inv: ASAI-007302 | Col ExpenseActualTotal</v>
      </c>
    </row>
    <row r="110" spans="2:8">
      <c r="B110" s="13" t="str">
        <v>Riverside Mall_Tracker.xlsx</v>
      </c>
      <c r="C110" s="13" t="str">
        <v xml:space="preserve">8. Product Add On </v>
      </c>
      <c r="D110" s="13" t="str">
        <v>Inverter Room Prep</v>
      </c>
      <c r="E110" s="13">
        <v>0</v>
      </c>
      <c r="F110" s="21">
        <v>46081</v>
      </c>
      <c r="G110" s="45">
        <v>80000</v>
      </c>
      <c r="H110" s="13" t="str">
        <v>Riverside Mall_Tracker.xlsx | Table row 81 | Inverter Room Prep | Inv  | Col ExpenseActualTotal</v>
      </c>
    </row>
    <row r="111" spans="2:8">
      <c r="B111" s="13" t="str">
        <v>Seshego Circle_Tracker.xlsx</v>
      </c>
      <c r="C111" s="13" t="str">
        <v>3. Mounting Structures</v>
      </c>
      <c r="D111" s="13" t="str">
        <v>XS Clamps - K2</v>
      </c>
      <c r="E111" s="13">
        <v>0</v>
      </c>
      <c r="F111" s="21">
        <v>46081</v>
      </c>
      <c r="G111" s="45">
        <v>2283.6999999999998</v>
      </c>
      <c r="H111" s="13" t="str">
        <v>Seshego Circle_Tracker.xlsx | Table row 27 | XS Clamps - K2 | Inv  | Col ExpenseActualTotal</v>
      </c>
    </row>
    <row r="112" spans="2:8">
      <c r="B112" s="13" t="str">
        <v>Seshego Circle_Tracker.xlsx</v>
      </c>
      <c r="C112" s="13" t="str">
        <v>3. Mounting Structures</v>
      </c>
      <c r="D112" s="13" t="str">
        <v>Terragriff (254 clamps short returned) to be deducted from subbie</v>
      </c>
      <c r="E112" s="13">
        <v>0</v>
      </c>
      <c r="F112" s="21">
        <v>46081</v>
      </c>
      <c r="G112" s="45">
        <v>3737.49</v>
      </c>
      <c r="H112" s="13" t="str">
        <v>Seshego Circle_Tracker.xlsx | Table row 28 | Terragriff (254 clamps short returned) to be deducted from subbie | Inv  | Col ExpenseActualTotal</v>
      </c>
    </row>
    <row r="113" spans="1:8" ht="15" customHeight="1">
      <c r="A113" s="19"/>
      <c r="B113" s="13" t="str">
        <v>Seshego Circle_Tracker.xlsx</v>
      </c>
      <c r="C113" s="13" t="str">
        <v>4. DC Equipment</v>
      </c>
      <c r="D113" s="13" t="str">
        <v>Commissioning Complete</v>
      </c>
      <c r="E113" s="13">
        <v>0</v>
      </c>
      <c r="F113" s="21">
        <v>46079</v>
      </c>
      <c r="G113" s="45">
        <v>16966.52</v>
      </c>
      <c r="H113" s="13" t="str">
        <v>Seshego Circle_Tracker.xlsx | Table row 43 | Commissioning Complete | Inv  | Col ExpenseActualTotal</v>
      </c>
    </row>
    <row r="114" spans="1:8">
      <c r="B114" s="13" t="str">
        <v>Seshego Circle_Tracker.xlsx</v>
      </c>
      <c r="C114" s="13" t="str">
        <v>6. AC Equipment</v>
      </c>
      <c r="D114" s="13" t="str">
        <v>Commissioning Complete</v>
      </c>
      <c r="E114" s="13">
        <v>0</v>
      </c>
      <c r="F114" s="21">
        <v>46079</v>
      </c>
      <c r="G114" s="45">
        <v>23150.880000000001</v>
      </c>
      <c r="H114" s="13" t="str">
        <v>Seshego Circle_Tracker.xlsx | Table row 77 | Commissioning Complete | Inv  | Col ExpenseActualTotal</v>
      </c>
    </row>
    <row r="115" spans="1:8">
      <c r="B115" s="13" t="str">
        <v>Seshego Circle_Tracker.xlsx</v>
      </c>
      <c r="C115" s="13" t="str">
        <v>9. AC &amp; DC installation</v>
      </c>
      <c r="D115" s="13" t="str">
        <v>Commissioning Complete</v>
      </c>
      <c r="E115" s="13">
        <v>0</v>
      </c>
      <c r="F115" s="21">
        <v>46079</v>
      </c>
      <c r="G115" s="45">
        <v>110529.22</v>
      </c>
      <c r="H115" s="13" t="str">
        <v>Seshego Circle_Tracker.xlsx | Table row 113 | Commissioning Complete | Inv  | Col ExpenseActualTotal</v>
      </c>
    </row>
    <row r="116" spans="1:8">
      <c r="B116" s="13" t="str">
        <v>Seshego Circle_Tracker.xlsx</v>
      </c>
      <c r="C116" s="13" t="str">
        <v>10. Site Logistics</v>
      </c>
      <c r="D116" s="13" t="str">
        <v>Commissioning Complete</v>
      </c>
      <c r="E116" s="13">
        <v>0</v>
      </c>
      <c r="F116" s="21">
        <v>46079</v>
      </c>
      <c r="G116" s="45">
        <v>19654.400000000001</v>
      </c>
      <c r="H116" s="13" t="str">
        <v>Seshego Circle_Tracker.xlsx | Table row 137 | Commissioning Complete | Inv  | Col ExpenseActualTotal</v>
      </c>
    </row>
    <row r="117" spans="1:8">
      <c r="B117" s="13" t="str">
        <v>Shoprite Mini_Bredarsdorp_Tracker.xlsx</v>
      </c>
      <c r="C117" s="13" t="str">
        <v>13. Engineering</v>
      </c>
      <c r="D117" s="13" t="str">
        <v>Matriarch Defects Period - 1.25%</v>
      </c>
      <c r="E117" s="13" t="str">
        <v>Matriarch - INV-6234</v>
      </c>
      <c r="F117" s="21">
        <v>46080</v>
      </c>
      <c r="G117" s="45">
        <v>25967.953500000003</v>
      </c>
      <c r="H117" s="13" t="str">
        <v>Shoprite Mini_Bredarsdorp_Tracker.xlsx | Table row 134 | Matriarch Defects Period - 1.25% | Inv Matriarch - INV-6234 | Col ExpenseActualTotal</v>
      </c>
    </row>
    <row r="118" spans="1:8">
      <c r="B118" s="13" t="str">
        <v>Shoprite Mini_Citrusdal_Tracker.xlsx</v>
      </c>
      <c r="C118" s="13" t="str">
        <v>13. Engineering</v>
      </c>
      <c r="D118" s="13" t="str">
        <v>Matriarch Defects Period - 1.25%</v>
      </c>
      <c r="E118" s="13" t="str">
        <v>Matriarch - INV-6234</v>
      </c>
      <c r="F118" s="21">
        <v>46080</v>
      </c>
      <c r="G118" s="45">
        <v>25059.23</v>
      </c>
      <c r="H118" s="13" t="str">
        <v>Shoprite Mini_Citrusdal_Tracker.xlsx | Table row 139 | Matriarch Defects Period - 1.25% | Inv Matriarch - INV-6234 | Col ExpenseActualTotal</v>
      </c>
    </row>
    <row r="119" spans="1:8">
      <c r="B119" s="13" t="str">
        <v>Sibasa_Tracker.xlsx</v>
      </c>
      <c r="C119" s="13" t="str">
        <v>4. DC Equipment</v>
      </c>
      <c r="D119" s="13" t="str">
        <v>Handover Document Complete</v>
      </c>
      <c r="E119" s="13" t="str">
        <v>Cosmic Sun : CS_SRS_007</v>
      </c>
      <c r="F119" s="21">
        <v>46081</v>
      </c>
      <c r="G119" s="45">
        <v>7372.6125000000002</v>
      </c>
      <c r="H119" s="13" t="str">
        <v>Sibasa_Tracker.xlsx | Table row 38 | Handover Document Complete | Inv Cosmic Sun : CS_SRS_007 | Col ExpenseActualTotal</v>
      </c>
    </row>
    <row r="120" spans="1:8">
      <c r="B120" s="13" t="str">
        <v>Sibasa_Tracker.xlsx</v>
      </c>
      <c r="C120" s="13" t="str">
        <v>6. AC Equipment</v>
      </c>
      <c r="D120" s="13" t="str">
        <v>Handover Document Complete</v>
      </c>
      <c r="E120" s="13" t="str">
        <v>Cosmic Sun : CS_SRS_007</v>
      </c>
      <c r="F120" s="21">
        <v>46081</v>
      </c>
      <c r="G120" s="45">
        <v>4922.32</v>
      </c>
      <c r="H120" s="13" t="str">
        <v>Sibasa_Tracker.xlsx | Table row 65 | Handover Document Complete | Inv Cosmic Sun : CS_SRS_007 | Col ExpenseActualTotal</v>
      </c>
    </row>
    <row r="121" spans="1:8">
      <c r="B121" s="13" t="str">
        <v>Sibasa_Tracker.xlsx</v>
      </c>
      <c r="C121" s="13" t="str">
        <v xml:space="preserve">8. Product Add On </v>
      </c>
      <c r="D121" s="13" t="str">
        <v xml:space="preserve">Amendment to inverter cage (updated design) </v>
      </c>
      <c r="E121" s="13" t="str">
        <v>Engineering Hub INV/2026/01/0246</v>
      </c>
      <c r="F121" s="21">
        <v>46081</v>
      </c>
      <c r="G121" s="45">
        <v>31876</v>
      </c>
      <c r="H121" s="13" t="str">
        <v>Sibasa_Tracker.xlsx | Table row 90 | Amendment to inverter cage (updated design)  | Inv Engineering Hub INV/2026/01/0246 | Col ExpenseActualTotal</v>
      </c>
    </row>
    <row r="122" spans="1:8">
      <c r="B122" s="13" t="str">
        <v>Sibasa_Tracker.xlsx</v>
      </c>
      <c r="C122" s="13" t="str">
        <v>9. AC &amp; DC installation</v>
      </c>
      <c r="D122" s="13" t="str">
        <v>Handover Document Complete</v>
      </c>
      <c r="E122" s="13" t="str">
        <v>Cosmic Sun : CS_SRS_007</v>
      </c>
      <c r="F122" s="21">
        <v>46081</v>
      </c>
      <c r="G122" s="45">
        <v>28017.5</v>
      </c>
      <c r="H122" s="13" t="str">
        <v>Sibasa_Tracker.xlsx | Table row 101 | Handover Document Complete | Inv Cosmic Sun : CS_SRS_007 | Col ExpenseActualTotal</v>
      </c>
    </row>
    <row r="123" spans="1:8">
      <c r="B123" s="13" t="str">
        <v>Sibasa_Tracker.xlsx</v>
      </c>
      <c r="C123" s="13" t="str">
        <v>10. Site Logistics</v>
      </c>
      <c r="D123" s="13" t="str">
        <v>Handover Document Complete</v>
      </c>
      <c r="E123" s="13" t="str">
        <v>Cosmic Sun : CS_SRS_007</v>
      </c>
      <c r="F123" s="21">
        <v>46081</v>
      </c>
      <c r="G123" s="45">
        <v>1657.62</v>
      </c>
      <c r="H123" s="13" t="str">
        <v>Sibasa_Tracker.xlsx | Table row 122 | Handover Document Complete | Inv Cosmic Sun : CS_SRS_007 | Col ExpenseActualTotal</v>
      </c>
    </row>
    <row r="124" spans="1:8">
      <c r="B124" s="13" t="str">
        <v>STD GQ_Tracker.xlsx</v>
      </c>
      <c r="C124" s="13" t="str">
        <v xml:space="preserve">8. Product Add On </v>
      </c>
      <c r="D124" s="13" t="str">
        <v>Contigency</v>
      </c>
      <c r="E124" s="13">
        <v>0</v>
      </c>
      <c r="F124" s="21">
        <v>46081</v>
      </c>
      <c r="G124" s="45">
        <v>166769.48000000001</v>
      </c>
      <c r="H124" s="13" t="str">
        <v>STD GQ_Tracker.xlsx | Table row 85 | Contigency | Inv  | Col ExpenseActualTotal</v>
      </c>
    </row>
    <row r="125" spans="1:8">
      <c r="B125" s="13" t="str">
        <v>STD GQ_Tracker.xlsx</v>
      </c>
      <c r="C125" s="13" t="str">
        <v xml:space="preserve">8. Product Add On </v>
      </c>
      <c r="D125" s="13" t="str">
        <v>Customized Maintenance</v>
      </c>
      <c r="E125" s="13" t="str">
        <v>Matriarch - iNV-6240</v>
      </c>
      <c r="F125" s="21">
        <v>46081</v>
      </c>
      <c r="G125" s="45">
        <v>90120</v>
      </c>
      <c r="H125" s="13" t="str">
        <v>STD GQ_Tracker.xlsx | Table row 87 | Customized Maintenance | Inv Matriarch - iNV-6240 | Col ExpenseActualTotal</v>
      </c>
    </row>
    <row r="126" spans="1:8">
      <c r="B126" s="13" t="str">
        <v>STD GQ_Tracker.xlsx</v>
      </c>
      <c r="C126" s="13" t="str">
        <v xml:space="preserve">8. Product Add On </v>
      </c>
      <c r="D126" s="13" t="str">
        <v>RS 485 SPD - Luken Supply &amp; Install</v>
      </c>
      <c r="E126" s="13">
        <v>0</v>
      </c>
      <c r="F126" s="21">
        <v>46081</v>
      </c>
      <c r="G126" s="45">
        <v>1129.28</v>
      </c>
      <c r="H126" s="13" t="str">
        <v>STD GQ_Tracker.xlsx | Table row 92 | RS 485 SPD - Luken Supply &amp; Install | Inv  | Col ExpenseActualTotal</v>
      </c>
    </row>
    <row r="127" spans="1:8">
      <c r="B127" s="13" t="str">
        <v>Steelpark_Tracker.xlsx</v>
      </c>
      <c r="C127" s="13" t="str">
        <v>4. DC Equipment</v>
      </c>
      <c r="D127" s="13" t="str">
        <v>Project Kick Off</v>
      </c>
      <c r="E127" s="13">
        <v>0</v>
      </c>
      <c r="F127" s="21">
        <v>46076</v>
      </c>
      <c r="G127" s="45">
        <v>6853.6450000000004</v>
      </c>
      <c r="H127" s="13" t="str">
        <v>Steelpark_Tracker.xlsx | Table row 35 | Project Kick Off | Inv  | Col ExpenseActualTotal</v>
      </c>
    </row>
    <row r="128" spans="1:8">
      <c r="B128" s="13" t="str">
        <v>Steelpark_Tracker.xlsx</v>
      </c>
      <c r="C128" s="13" t="str">
        <v>4. DC Equipment</v>
      </c>
      <c r="D128" s="13" t="str">
        <v>Site Establishment</v>
      </c>
      <c r="E128" s="13">
        <v>0</v>
      </c>
      <c r="F128" s="21">
        <v>46076</v>
      </c>
      <c r="G128" s="45">
        <v>10280.467500000001</v>
      </c>
      <c r="H128" s="13" t="str">
        <v>Steelpark_Tracker.xlsx | Table row 36 | Site Establishment | Inv  | Col ExpenseActualTotal</v>
      </c>
    </row>
    <row r="129" spans="2:8">
      <c r="B129" s="13" t="str">
        <v>Steelpark_Tracker.xlsx</v>
      </c>
      <c r="C129" s="13" t="str">
        <v>6. AC Equipment</v>
      </c>
      <c r="D129" s="13" t="str">
        <v>Project Kick Off</v>
      </c>
      <c r="E129" s="13">
        <v>0</v>
      </c>
      <c r="F129" s="21">
        <v>46076</v>
      </c>
      <c r="G129" s="45">
        <v>3355.7290000000003</v>
      </c>
      <c r="H129" s="13" t="str">
        <v>Steelpark_Tracker.xlsx | Table row 62 | Project Kick Off | Inv  | Col ExpenseActualTotal</v>
      </c>
    </row>
    <row r="130" spans="2:8">
      <c r="B130" s="13" t="str">
        <v>Steelpark_Tracker.xlsx</v>
      </c>
      <c r="C130" s="13" t="str">
        <v>6. AC Equipment</v>
      </c>
      <c r="D130" s="13" t="str">
        <v>Site Establishment</v>
      </c>
      <c r="E130" s="13">
        <v>0</v>
      </c>
      <c r="F130" s="21">
        <v>46076</v>
      </c>
      <c r="G130" s="45">
        <v>5033.5934999999999</v>
      </c>
      <c r="H130" s="13" t="str">
        <v>Steelpark_Tracker.xlsx | Table row 63 | Site Establishment | Inv  | Col ExpenseActualTotal</v>
      </c>
    </row>
    <row r="131" spans="2:8">
      <c r="B131" s="13" t="str">
        <v>Steelpark_Tracker.xlsx</v>
      </c>
      <c r="C131" s="13" t="str">
        <v>9. AC &amp; DC installation</v>
      </c>
      <c r="D131" s="13" t="str">
        <v>Project Kick Off</v>
      </c>
      <c r="E131" s="13">
        <v>0</v>
      </c>
      <c r="F131" s="21">
        <v>46076</v>
      </c>
      <c r="G131" s="45">
        <v>11922.819</v>
      </c>
      <c r="H131" s="13" t="str">
        <v>Steelpark_Tracker.xlsx | Table row 94 | Project Kick Off | Inv  | Col ExpenseActualTotal</v>
      </c>
    </row>
    <row r="132" spans="2:8">
      <c r="B132" s="13" t="str">
        <v>Steelpark_Tracker.xlsx</v>
      </c>
      <c r="C132" s="13" t="str">
        <v>9. AC &amp; DC installation</v>
      </c>
      <c r="D132" s="13" t="str">
        <v>Site Establishment</v>
      </c>
      <c r="E132" s="13">
        <v>0</v>
      </c>
      <c r="F132" s="21">
        <v>46076</v>
      </c>
      <c r="G132" s="45">
        <v>17884.228500000001</v>
      </c>
      <c r="H132" s="13" t="str">
        <v>Steelpark_Tracker.xlsx | Table row 95 | Site Establishment | Inv  | Col ExpenseActualTotal</v>
      </c>
    </row>
    <row r="133" spans="2:8">
      <c r="B133" s="13" t="str">
        <v>Steelpark_Tracker.xlsx</v>
      </c>
      <c r="C133" s="13" t="str">
        <v>10. Site Logistics</v>
      </c>
      <c r="D133" s="13" t="str">
        <v>Project Kick Off</v>
      </c>
      <c r="E133" s="13">
        <v>0</v>
      </c>
      <c r="F133" s="21">
        <v>46076</v>
      </c>
      <c r="G133" s="45">
        <v>4984.4430000000002</v>
      </c>
      <c r="H133" s="13" t="str">
        <v>Steelpark_Tracker.xlsx | Table row 110 | Project Kick Off | Inv  | Col ExpenseActualTotal</v>
      </c>
    </row>
    <row r="134" spans="2:8">
      <c r="B134" s="13" t="str">
        <v>Steelpark_Tracker.xlsx</v>
      </c>
      <c r="C134" s="13" t="str">
        <v>10. Site Logistics</v>
      </c>
      <c r="D134" s="13" t="str">
        <v>Site Establishment</v>
      </c>
      <c r="E134" s="13">
        <v>0</v>
      </c>
      <c r="F134" s="21">
        <v>46076</v>
      </c>
      <c r="G134" s="45">
        <v>7476.6644999999999</v>
      </c>
      <c r="H134" s="13" t="str">
        <v>Steelpark_Tracker.xlsx | Table row 111 | Site Establishment | Inv  | Col ExpenseActualTotal</v>
      </c>
    </row>
    <row r="135" spans="2:8">
      <c r="B135" s="13" t="str">
        <v>Superspar Ph2_Tracker.xlsx</v>
      </c>
      <c r="C135" s="13" t="str">
        <v>4. DC Equipment</v>
      </c>
      <c r="D135" s="13" t="str">
        <v>Courier</v>
      </c>
      <c r="E135" s="13" t="str">
        <v>DSV Inv:180161978</v>
      </c>
      <c r="F135" s="21">
        <v>46079</v>
      </c>
      <c r="G135" s="45">
        <v>664.97</v>
      </c>
      <c r="H135" s="13" t="str">
        <v>Superspar Ph2_Tracker.xlsx | Table row 33 | Courier | Inv DSV Inv:180161978 | Col ExpenseActualTotal</v>
      </c>
    </row>
    <row r="136" spans="2:8">
      <c r="B136" s="13" t="str">
        <v>Superspar Ph2_Tracker.xlsx</v>
      </c>
      <c r="C136" s="13" t="str">
        <v>4. DC Equipment</v>
      </c>
      <c r="D136" s="13" t="str">
        <v>AC Installation Complete</v>
      </c>
      <c r="E136" s="13">
        <v>0</v>
      </c>
      <c r="F136" s="21">
        <v>46081</v>
      </c>
      <c r="G136" s="45">
        <v>7869</v>
      </c>
      <c r="H136" s="13" t="str">
        <v>Superspar Ph2_Tracker.xlsx | Table row 37 | AC Installation Complete | Inv  | Col ExpenseActualTotal</v>
      </c>
    </row>
    <row r="137" spans="2:8">
      <c r="B137" s="13" t="str">
        <v>Superspar Ph2_Tracker.xlsx</v>
      </c>
      <c r="C137" s="13" t="str">
        <v>4. DC Equipment</v>
      </c>
      <c r="D137" s="13" t="str">
        <v>DC Installation Complete</v>
      </c>
      <c r="E137" s="13">
        <v>0</v>
      </c>
      <c r="F137" s="21">
        <v>46081</v>
      </c>
      <c r="G137" s="45">
        <v>9836.25</v>
      </c>
      <c r="H137" s="13" t="str">
        <v>Superspar Ph2_Tracker.xlsx | Table row 38 | DC Installation Complete | Inv  | Col ExpenseActualTotal</v>
      </c>
    </row>
    <row r="138" spans="2:8">
      <c r="B138" s="13" t="str">
        <v>Superspar Ph2_Tracker.xlsx</v>
      </c>
      <c r="C138" s="13" t="str">
        <v>4. DC Equipment</v>
      </c>
      <c r="D138" s="13" t="str">
        <v>Commissioning Complete</v>
      </c>
      <c r="E138" s="13">
        <v>0</v>
      </c>
      <c r="F138" s="21">
        <v>46081</v>
      </c>
      <c r="G138" s="45">
        <v>3934.5</v>
      </c>
      <c r="H138" s="13" t="str">
        <v>Superspar Ph2_Tracker.xlsx | Table row 39 | Commissioning Complete | Inv  | Col ExpenseActualTotal</v>
      </c>
    </row>
    <row r="139" spans="2:8">
      <c r="B139" s="13" t="str">
        <v>Superspar Ph2_Tracker.xlsx</v>
      </c>
      <c r="C139" s="13" t="str">
        <v>4. DC Equipment</v>
      </c>
      <c r="D139" s="13" t="str">
        <v>Site De-establisment</v>
      </c>
      <c r="E139" s="13">
        <v>0</v>
      </c>
      <c r="F139" s="21">
        <v>46081</v>
      </c>
      <c r="G139" s="45">
        <v>3934.5</v>
      </c>
      <c r="H139" s="13" t="str">
        <v>Superspar Ph2_Tracker.xlsx | Table row 40 | Site De-establisment | Inv  | Col ExpenseActualTotal</v>
      </c>
    </row>
    <row r="140" spans="2:8">
      <c r="B140" s="13" t="str">
        <v>Superspar Ph2_Tracker.xlsx</v>
      </c>
      <c r="C140" s="13" t="str">
        <v>4. DC Equipment</v>
      </c>
      <c r="D140" s="13" t="str">
        <v>Handover Document Complete</v>
      </c>
      <c r="E140" s="13">
        <v>0</v>
      </c>
      <c r="F140" s="21">
        <v>46081</v>
      </c>
      <c r="G140" s="45">
        <v>1967.25</v>
      </c>
      <c r="H140" s="13" t="str">
        <v>Superspar Ph2_Tracker.xlsx | Table row 41 | Handover Document Complete | Inv  | Col ExpenseActualTotal</v>
      </c>
    </row>
    <row r="141" spans="2:8">
      <c r="B141" s="13" t="str">
        <v>Superspar Ph2_Tracker.xlsx</v>
      </c>
      <c r="C141" s="13" t="str">
        <v>5. Monitoring</v>
      </c>
      <c r="D141" s="13" t="str">
        <v>Courier of Meter</v>
      </c>
      <c r="E141" s="13" t="str">
        <v>DSV Inv: 180163669</v>
      </c>
      <c r="F141" s="21">
        <v>46079</v>
      </c>
      <c r="G141" s="45">
        <v>361.85</v>
      </c>
      <c r="H141" s="13" t="str">
        <v>Superspar Ph2_Tracker.xlsx | Table row 48 | Courier of Meter | Inv DSV Inv: 180163669 | Col ExpenseActualTotal</v>
      </c>
    </row>
    <row r="142" spans="2:8">
      <c r="B142" s="13" t="str">
        <v>Superspar Ph2_Tracker.xlsx</v>
      </c>
      <c r="C142" s="13" t="str">
        <v>6. AC Equipment</v>
      </c>
      <c r="D142" s="13" t="str">
        <v>PVDB</v>
      </c>
      <c r="E142" s="13" t="str">
        <v>Eastern Switchgear - 17043</v>
      </c>
      <c r="F142" s="21">
        <v>46081</v>
      </c>
      <c r="G142" s="45">
        <v>81076</v>
      </c>
      <c r="H142" s="13" t="str">
        <v>Superspar Ph2_Tracker.xlsx | Table row 56 | PVDB | Inv Eastern Switchgear - 17043 | Col ExpenseActualTotal</v>
      </c>
    </row>
    <row r="143" spans="2:8">
      <c r="B143" s="13" t="str">
        <v>Superspar Ph2_Tracker.xlsx</v>
      </c>
      <c r="C143" s="13" t="str">
        <v>6. AC Equipment</v>
      </c>
      <c r="D143" s="13" t="str">
        <v>AC Installation Complete</v>
      </c>
      <c r="E143" s="13">
        <v>0</v>
      </c>
      <c r="F143" s="21">
        <v>46081</v>
      </c>
      <c r="G143" s="45">
        <v>12590.4</v>
      </c>
      <c r="H143" s="13" t="str">
        <v>Superspar Ph2_Tracker.xlsx | Table row 63 | AC Installation Complete | Inv  | Col ExpenseActualTotal</v>
      </c>
    </row>
    <row r="144" spans="2:8">
      <c r="B144" s="13" t="str">
        <v>Superspar Ph2_Tracker.xlsx</v>
      </c>
      <c r="C144" s="13" t="str">
        <v>6. AC Equipment</v>
      </c>
      <c r="D144" s="13" t="str">
        <v>DC Installation Complete</v>
      </c>
      <c r="E144" s="13">
        <v>0</v>
      </c>
      <c r="F144" s="21">
        <v>46081</v>
      </c>
      <c r="G144" s="45">
        <v>15738</v>
      </c>
      <c r="H144" s="13" t="str">
        <v>Superspar Ph2_Tracker.xlsx | Table row 64 | DC Installation Complete | Inv  | Col ExpenseActualTotal</v>
      </c>
    </row>
    <row r="145" spans="2:8">
      <c r="B145" s="13" t="str">
        <v>Superspar Ph2_Tracker.xlsx</v>
      </c>
      <c r="C145" s="13" t="str">
        <v>6. AC Equipment</v>
      </c>
      <c r="D145" s="13" t="str">
        <v>Commissioning Complete</v>
      </c>
      <c r="E145" s="13">
        <v>0</v>
      </c>
      <c r="F145" s="21">
        <v>46081</v>
      </c>
      <c r="G145" s="45">
        <v>6295.2000000000007</v>
      </c>
      <c r="H145" s="13" t="str">
        <v>Superspar Ph2_Tracker.xlsx | Table row 65 | Commissioning Complete | Inv  | Col ExpenseActualTotal</v>
      </c>
    </row>
    <row r="146" spans="2:8">
      <c r="B146" s="13" t="str">
        <v>Superspar Ph2_Tracker.xlsx</v>
      </c>
      <c r="C146" s="13" t="str">
        <v>6. AC Equipment</v>
      </c>
      <c r="D146" s="13" t="str">
        <v>Site De-establisment</v>
      </c>
      <c r="E146" s="13">
        <v>0</v>
      </c>
      <c r="F146" s="21">
        <v>46081</v>
      </c>
      <c r="G146" s="45">
        <v>6295.2000000000007</v>
      </c>
      <c r="H146" s="13" t="str">
        <v>Superspar Ph2_Tracker.xlsx | Table row 66 | Site De-establisment | Inv  | Col ExpenseActualTotal</v>
      </c>
    </row>
    <row r="147" spans="2:8">
      <c r="B147" s="13" t="str">
        <v>Superspar Ph2_Tracker.xlsx</v>
      </c>
      <c r="C147" s="13" t="str">
        <v>6. AC Equipment</v>
      </c>
      <c r="D147" s="13" t="str">
        <v>Handover Document Complete</v>
      </c>
      <c r="E147" s="13">
        <v>0</v>
      </c>
      <c r="F147" s="21">
        <v>46081</v>
      </c>
      <c r="G147" s="45">
        <v>3147.6000000000004</v>
      </c>
      <c r="H147" s="13" t="str">
        <v>Superspar Ph2_Tracker.xlsx | Table row 67 | Handover Document Complete | Inv  | Col ExpenseActualTotal</v>
      </c>
    </row>
    <row r="148" spans="2:8">
      <c r="B148" s="13" t="str">
        <v>Superspar Ph2_Tracker.xlsx</v>
      </c>
      <c r="C148" s="13" t="str">
        <v xml:space="preserve">8. Product Add On </v>
      </c>
      <c r="D148" s="13" t="str">
        <v>O&amp;M Performance Monitoring &amp; Advisory Ph1 and Ph2 included</v>
      </c>
      <c r="E148" s="13">
        <v>0</v>
      </c>
      <c r="F148" s="21">
        <v>46081</v>
      </c>
      <c r="G148" s="45">
        <v>34428</v>
      </c>
      <c r="H148" s="13" t="str">
        <v>Superspar Ph2_Tracker.xlsx | Table row 82 | O&amp;M Performance Monitoring &amp; Advisory Ph1 and Ph2 included | Inv  | Col ExpenseActualTotal</v>
      </c>
    </row>
    <row r="149" spans="2:8">
      <c r="B149" s="13" t="str">
        <v>Superspar Ph2_Tracker.xlsx</v>
      </c>
      <c r="C149" s="13" t="str">
        <v>9. AC &amp; DC installation</v>
      </c>
      <c r="D149" s="13" t="str">
        <v>AC Installation Complete</v>
      </c>
      <c r="E149" s="13">
        <v>0</v>
      </c>
      <c r="F149" s="21">
        <v>46081</v>
      </c>
      <c r="G149" s="45">
        <v>27069.360000000001</v>
      </c>
      <c r="H149" s="13" t="str">
        <v>Superspar Ph2_Tracker.xlsx | Table row 95 | AC Installation Complete | Inv  | Col ExpenseActualTotal</v>
      </c>
    </row>
    <row r="150" spans="2:8">
      <c r="B150" s="13" t="str">
        <v>Superspar Ph2_Tracker.xlsx</v>
      </c>
      <c r="C150" s="13" t="str">
        <v>9. AC &amp; DC installation</v>
      </c>
      <c r="D150" s="13" t="str">
        <v>DC Installation Complete</v>
      </c>
      <c r="E150" s="13">
        <v>0</v>
      </c>
      <c r="F150" s="21">
        <v>46081</v>
      </c>
      <c r="G150" s="45">
        <v>33836.699999999997</v>
      </c>
      <c r="H150" s="13" t="str">
        <v>Superspar Ph2_Tracker.xlsx | Table row 96 | DC Installation Complete | Inv  | Col ExpenseActualTotal</v>
      </c>
    </row>
    <row r="151" spans="2:8">
      <c r="B151" s="13" t="str">
        <v>Superspar Ph2_Tracker.xlsx</v>
      </c>
      <c r="C151" s="13" t="str">
        <v>9. AC &amp; DC installation</v>
      </c>
      <c r="D151" s="13" t="str">
        <v>Commissioning Complete</v>
      </c>
      <c r="E151" s="13">
        <v>0</v>
      </c>
      <c r="F151" s="21">
        <v>46081</v>
      </c>
      <c r="G151" s="45">
        <v>13534.68</v>
      </c>
      <c r="H151" s="13" t="str">
        <v>Superspar Ph2_Tracker.xlsx | Table row 97 | Commissioning Complete | Inv  | Col ExpenseActualTotal</v>
      </c>
    </row>
    <row r="152" spans="2:8">
      <c r="B152" s="13" t="str">
        <v>Superspar Ph2_Tracker.xlsx</v>
      </c>
      <c r="C152" s="13" t="str">
        <v>9. AC &amp; DC installation</v>
      </c>
      <c r="D152" s="13" t="str">
        <v>Site De-establisment</v>
      </c>
      <c r="E152" s="13">
        <v>0</v>
      </c>
      <c r="F152" s="21">
        <v>46081</v>
      </c>
      <c r="G152" s="45">
        <v>13534.68</v>
      </c>
      <c r="H152" s="13" t="str">
        <v>Superspar Ph2_Tracker.xlsx | Table row 98 | Site De-establisment | Inv  | Col ExpenseActualTotal</v>
      </c>
    </row>
    <row r="153" spans="2:8">
      <c r="B153" s="13" t="str">
        <v>Superspar Ph2_Tracker.xlsx</v>
      </c>
      <c r="C153" s="13" t="str">
        <v>9. AC &amp; DC installation</v>
      </c>
      <c r="D153" s="13" t="str">
        <v>Handover Document Complete</v>
      </c>
      <c r="E153" s="13">
        <v>0</v>
      </c>
      <c r="F153" s="21">
        <v>46081</v>
      </c>
      <c r="G153" s="45">
        <v>6767.34</v>
      </c>
      <c r="H153" s="13" t="str">
        <v>Superspar Ph2_Tracker.xlsx | Table row 99 | Handover Document Complete | Inv  | Col ExpenseActualTotal</v>
      </c>
    </row>
    <row r="154" spans="2:8">
      <c r="B154" s="13" t="str">
        <v>Superspar Ph2_Tracker.xlsx</v>
      </c>
      <c r="C154" s="13" t="str">
        <v>10. Site Logistics</v>
      </c>
      <c r="D154" s="13" t="str">
        <v>AC Installation Complete</v>
      </c>
      <c r="E154" s="13">
        <v>0</v>
      </c>
      <c r="F154" s="21">
        <v>46081</v>
      </c>
      <c r="G154" s="45">
        <v>4462.3599999999997</v>
      </c>
      <c r="H154" s="13" t="str">
        <v>Superspar Ph2_Tracker.xlsx | Table row 111 | AC Installation Complete | Inv  | Col ExpenseActualTotal</v>
      </c>
    </row>
    <row r="155" spans="2:8">
      <c r="B155" s="13" t="str">
        <v>Superspar Ph2_Tracker.xlsx</v>
      </c>
      <c r="C155" s="13" t="str">
        <v>10. Site Logistics</v>
      </c>
      <c r="D155" s="13" t="str">
        <v>DC Installation Complete</v>
      </c>
      <c r="E155" s="13">
        <v>0</v>
      </c>
      <c r="F155" s="21">
        <v>46081</v>
      </c>
      <c r="G155" s="45">
        <v>5577.95</v>
      </c>
      <c r="H155" s="13" t="str">
        <v>Superspar Ph2_Tracker.xlsx | Table row 112 | DC Installation Complete | Inv  | Col ExpenseActualTotal</v>
      </c>
    </row>
    <row r="156" spans="2:8">
      <c r="B156" s="13" t="str">
        <v>Superspar Ph2_Tracker.xlsx</v>
      </c>
      <c r="C156" s="13" t="str">
        <v>10. Site Logistics</v>
      </c>
      <c r="D156" s="13" t="str">
        <v>Commissioning Complete</v>
      </c>
      <c r="E156" s="13">
        <v>0</v>
      </c>
      <c r="F156" s="21">
        <v>46081</v>
      </c>
      <c r="G156" s="45">
        <v>2231.1799999999998</v>
      </c>
      <c r="H156" s="13" t="str">
        <v>Superspar Ph2_Tracker.xlsx | Table row 113 | Commissioning Complete | Inv  | Col ExpenseActualTotal</v>
      </c>
    </row>
    <row r="157" spans="2:8">
      <c r="B157" s="13" t="str">
        <v>Superspar Ph2_Tracker.xlsx</v>
      </c>
      <c r="C157" s="13" t="str">
        <v>10. Site Logistics</v>
      </c>
      <c r="D157" s="13" t="str">
        <v>Site De-establisment</v>
      </c>
      <c r="E157" s="13">
        <v>0</v>
      </c>
      <c r="F157" s="21">
        <v>46081</v>
      </c>
      <c r="G157" s="45">
        <v>2231.1799999999998</v>
      </c>
      <c r="H157" s="13" t="str">
        <v>Superspar Ph2_Tracker.xlsx | Table row 114 | Site De-establisment | Inv  | Col ExpenseActualTotal</v>
      </c>
    </row>
    <row r="158" spans="2:8">
      <c r="B158" s="13" t="str">
        <v>Superspar Ph2_Tracker.xlsx</v>
      </c>
      <c r="C158" s="13" t="str">
        <v>10. Site Logistics</v>
      </c>
      <c r="D158" s="13" t="str">
        <v>Handover Document Complete</v>
      </c>
      <c r="E158" s="13">
        <v>0</v>
      </c>
      <c r="F158" s="21">
        <v>46081</v>
      </c>
      <c r="G158" s="45">
        <v>1115.5899999999999</v>
      </c>
      <c r="H158" s="13" t="str">
        <v>Superspar Ph2_Tracker.xlsx | Table row 115 | Handover Document Complete | Inv  | Col ExpenseActualTotal</v>
      </c>
    </row>
    <row r="159" spans="2:8">
      <c r="B159" s="13" t="str">
        <v>Superspar Ph2_Tracker.xlsx</v>
      </c>
      <c r="C159" s="13" t="str">
        <v>11. Due Dilligence</v>
      </c>
      <c r="D159" s="13" t="str">
        <v>Red Team Inspection</v>
      </c>
      <c r="E159" s="13">
        <v>0</v>
      </c>
      <c r="F159" s="21">
        <v>46081</v>
      </c>
      <c r="G159" s="45">
        <v>6000</v>
      </c>
      <c r="H159" s="13" t="str">
        <v>Superspar Ph2_Tracker.xlsx | Table row 124 | Red Team Inspection | Inv  | Col ExpenseActualTotal</v>
      </c>
    </row>
    <row r="160" spans="2:8">
      <c r="B160" s="13" t="str">
        <v>Superspar Ph2_Tracker.xlsx</v>
      </c>
      <c r="C160" s="13" t="str">
        <v>13. Engineering</v>
      </c>
      <c r="D160" s="13" t="str">
        <v>Matriarch Defects Period - 1.25%</v>
      </c>
      <c r="E160" s="13" t="str">
        <v>Performance Monitoring Contract</v>
      </c>
      <c r="F160" s="21">
        <v>46081</v>
      </c>
      <c r="G160" s="45">
        <v>0</v>
      </c>
      <c r="H160" s="13" t="str">
        <v>Superspar Ph2_Tracker.xlsx | Table row 130 | Matriarch Defects Period - 1.25% | Inv Performance Monitoring Contract | Col ExpenseActualTotal</v>
      </c>
    </row>
    <row r="161" spans="2:8">
      <c r="B161" s="13" t="str">
        <v>Superspar Ph2_Tracker.xlsx</v>
      </c>
      <c r="C161" s="13" t="str">
        <v>14. General Expenses</v>
      </c>
      <c r="D161" s="13" t="str">
        <v>Travel</v>
      </c>
      <c r="E161" s="13">
        <v>0</v>
      </c>
      <c r="F161" s="21">
        <v>46081</v>
      </c>
      <c r="G161" s="45">
        <v>656.25</v>
      </c>
      <c r="H161" s="13" t="str">
        <v>Superspar Ph2_Tracker.xlsx | Table row 140 | Travel | Inv  | Col ExpenseActualTotal</v>
      </c>
    </row>
    <row r="162" spans="2:8">
      <c r="B162" s="13" t="str">
        <v>Topsteel_Tracker.xlsx</v>
      </c>
      <c r="C162" s="13" t="str">
        <v>3. Mounting Structures</v>
      </c>
      <c r="D162" s="13" t="str">
        <v>Schletter Structure</v>
      </c>
      <c r="E162" s="13" t="str">
        <v>Schletter Inv: INV002586</v>
      </c>
      <c r="F162" s="21">
        <v>46080</v>
      </c>
      <c r="G162" s="45">
        <v>45028</v>
      </c>
      <c r="H162" s="13" t="str">
        <v>Topsteel_Tracker.xlsx | Table row 21 | Schletter Structure | Inv Schletter Inv: INV002586 | Col ExpenseActualTotal</v>
      </c>
    </row>
    <row r="163" spans="2:8">
      <c r="B163" s="13" t="str">
        <v>Topsteel_Tracker.xlsx</v>
      </c>
      <c r="C163" s="13" t="str">
        <v>5. Monitoring</v>
      </c>
      <c r="D163" s="13" t="str">
        <v>Comms DB</v>
      </c>
      <c r="E163" s="13" t="str">
        <v>Accuenergy Inv: ASAI-007261</v>
      </c>
      <c r="F163" s="21">
        <v>46079</v>
      </c>
      <c r="G163" s="45">
        <v>13984.5</v>
      </c>
      <c r="H163" s="13" t="str">
        <v>Topsteel_Tracker.xlsx | Table row 45 | Comms DB | Inv Accuenergy Inv: ASAI-007261 | Col ExpenseActualTotal</v>
      </c>
    </row>
    <row r="164" spans="2:8">
      <c r="B164" s="13" t="str">
        <v>Topsteel_Tracker.xlsx</v>
      </c>
      <c r="C164" s="13" t="str">
        <v>5. Monitoring</v>
      </c>
      <c r="D164" s="13" t="str">
        <v>Revenue Grade Meter</v>
      </c>
      <c r="E164" s="13">
        <v>0</v>
      </c>
      <c r="F164" s="21">
        <v>46079</v>
      </c>
      <c r="G164" s="45">
        <v>15000</v>
      </c>
      <c r="H164" s="13" t="str">
        <v>Topsteel_Tracker.xlsx | Table row 46 | Revenue Grade Meter | Inv  | Col ExpenseActualTotal</v>
      </c>
    </row>
    <row r="165" spans="2:8">
      <c r="B165" s="13" t="str">
        <v>Tsakana Corner_Tracker.xlsx</v>
      </c>
      <c r="C165" s="13" t="str">
        <v>4. DC Equipment</v>
      </c>
      <c r="D165" s="13" t="str">
        <v>Commissioning Complete</v>
      </c>
      <c r="E165" s="13" t="str">
        <v>Cosmic Sun CS_TSK_005</v>
      </c>
      <c r="F165" s="21">
        <v>46077</v>
      </c>
      <c r="G165" s="45">
        <v>10315.525</v>
      </c>
      <c r="H165" s="13" t="str">
        <v>Tsakana Corner_Tracker.xlsx | Table row 37 | Commissioning Complete | Inv Cosmic Sun CS_TSK_005 | Col ExpenseActualTotal</v>
      </c>
    </row>
    <row r="166" spans="2:8">
      <c r="B166" s="13" t="str">
        <v>Tsakana Corner_Tracker.xlsx</v>
      </c>
      <c r="C166" s="13" t="str">
        <v>6. AC Equipment</v>
      </c>
      <c r="D166" s="13" t="str">
        <v>Commissioning Complete</v>
      </c>
      <c r="E166" s="13" t="str">
        <v>Cosmic Sun CS_TSK_005</v>
      </c>
      <c r="F166" s="21">
        <v>46077</v>
      </c>
      <c r="G166" s="45">
        <v>8376.14</v>
      </c>
      <c r="H166" s="13" t="str">
        <v>Tsakana Corner_Tracker.xlsx | Table row 64 | Commissioning Complete | Inv Cosmic Sun CS_TSK_005 | Col ExpenseActualTotal</v>
      </c>
    </row>
    <row r="167" spans="2:8">
      <c r="B167" s="13" t="str">
        <v>Tsakana Corner_Tracker.xlsx</v>
      </c>
      <c r="C167" s="13" t="str">
        <v>9. AC &amp; DC installation</v>
      </c>
      <c r="D167" s="13" t="str">
        <v>Commissioning Complete</v>
      </c>
      <c r="E167" s="13" t="str">
        <v>Cosmic Sun CS_TSK_005</v>
      </c>
      <c r="F167" s="21">
        <v>46077</v>
      </c>
      <c r="G167" s="45">
        <v>30800</v>
      </c>
      <c r="H167" s="13" t="str">
        <v>Tsakana Corner_Tracker.xlsx | Table row 98 | Commissioning Complete | Inv Cosmic Sun CS_TSK_005 | Col ExpenseActualTotal</v>
      </c>
    </row>
    <row r="168" spans="2:8">
      <c r="B168" s="13" t="str">
        <v>Tsakana Corner_Tracker.xlsx</v>
      </c>
      <c r="C168" s="13" t="str">
        <v>10. Site Logistics</v>
      </c>
      <c r="D168" s="13" t="str">
        <v>Commissioning Complete</v>
      </c>
      <c r="E168" s="13" t="str">
        <v>Cosmic Sun CS_TSK_005</v>
      </c>
      <c r="F168" s="21">
        <v>46077</v>
      </c>
      <c r="G168" s="45">
        <v>2914.3230000000003</v>
      </c>
      <c r="H168" s="13" t="str">
        <v>Tsakana Corner_Tracker.xlsx | Table row 119 | Commissioning Complete | Inv Cosmic Sun CS_TSK_005 | Col ExpenseActualTotal</v>
      </c>
    </row>
    <row r="169" spans="2:8">
      <c r="B169" s="13" t="str">
        <v>Tsakana Corner_Tracker.xlsx</v>
      </c>
      <c r="C169" s="13" t="str">
        <v>14. General Expenses</v>
      </c>
      <c r="D169" s="13" t="str">
        <v>Travel</v>
      </c>
      <c r="E169" s="13" t="str">
        <v>Expense Claim</v>
      </c>
      <c r="F169" s="21">
        <v>46079</v>
      </c>
      <c r="G169" s="45">
        <v>0</v>
      </c>
      <c r="H169" s="13" t="str">
        <v>Tsakana Corner_Tracker.xlsx | Table row 152 | Travel | Inv Expense Claim | Col ExpenseActualTotal</v>
      </c>
    </row>
    <row r="170" spans="2:8">
      <c r="B170" s="13" t="str">
        <v>Tsakana Corner_Tracker.xlsx</v>
      </c>
      <c r="C170" s="13" t="str">
        <v>15. Service Add On</v>
      </c>
      <c r="D170" s="13" t="str">
        <v>Welcome Bonus - Commissioning</v>
      </c>
      <c r="E170" s="13" t="str">
        <v>Luxanio Trading - 23404-202506-274901-I</v>
      </c>
      <c r="F170" s="21">
        <v>46077</v>
      </c>
      <c r="G170" s="45">
        <v>202000</v>
      </c>
      <c r="H170" s="13" t="str">
        <v>Tsakana Corner_Tracker.xlsx | Table row 157 | Welcome Bonus - Commissioning | Inv Luxanio Trading - 23404-202506-274901-I | Col ExpenseActualTotal</v>
      </c>
    </row>
    <row r="171" spans="2:8">
      <c r="B171" s="13" t="str">
        <v>Umzimkhulu_Tracker.xlsx</v>
      </c>
      <c r="C171" s="13" t="str">
        <v>6. AC Equipment</v>
      </c>
      <c r="D171" s="13" t="str">
        <v>Supply and Install SPDs - Recover cost from SWB</v>
      </c>
      <c r="E171" s="13" t="str">
        <v>Switchboard - 2-ARI001536</v>
      </c>
      <c r="F171" s="21">
        <v>46081</v>
      </c>
      <c r="G171" s="45">
        <v>-4825.5</v>
      </c>
      <c r="H171" s="13" t="str">
        <v>Umzimkhulu_Tracker.xlsx | Table row 59 | Supply and Install SPDs - Recover cost from SWB | Inv Switchboard - 2-ARI001536 | Col ExpenseActualTotal</v>
      </c>
    </row>
    <row r="172" spans="2:8">
      <c r="B172" s="13" t="str">
        <v>Upper_East_Side_Hotel_Tracker.xlsx</v>
      </c>
      <c r="C172" s="13" t="str">
        <v>3. Mounting Structures</v>
      </c>
      <c r="D172" s="13" t="str">
        <v>Mid Clamps</v>
      </c>
      <c r="E172" s="13">
        <v>0</v>
      </c>
      <c r="F172" s="21">
        <v>46081</v>
      </c>
      <c r="G172" s="45">
        <v>1300</v>
      </c>
      <c r="H172" s="13" t="str">
        <v>Upper_East_Side_Hotel_Tracker.xlsx | Table row 23 | Mid Clamps | Inv  | Col ExpenseActualTotal</v>
      </c>
    </row>
    <row r="173" spans="2:8">
      <c r="B173" s="13" t="str">
        <v>Upper_East_Side_Hotel_Tracker.xlsx</v>
      </c>
      <c r="C173" s="13" t="str">
        <v>4. DC Equipment</v>
      </c>
      <c r="D173" s="13" t="str">
        <v>DC Cable</v>
      </c>
      <c r="E173" s="13" t="str">
        <v>Rubicon INVRED-0137860</v>
      </c>
      <c r="F173" s="21">
        <v>46081</v>
      </c>
      <c r="G173" s="45">
        <v>126000</v>
      </c>
      <c r="H173" s="13" t="str">
        <v>Upper_East_Side_Hotel_Tracker.xlsx | Table row 29 | DC Cable | Inv Rubicon INVRED-0137860 | Col ExpenseActualTotal</v>
      </c>
    </row>
    <row r="174" spans="2:8">
      <c r="B174" s="13" t="str">
        <v>Upper_East_Side_Hotel_Tracker.xlsx</v>
      </c>
      <c r="C174" s="13" t="str">
        <v>4. DC Equipment</v>
      </c>
      <c r="D174" s="13" t="str">
        <v>DC Installation Complete</v>
      </c>
      <c r="E174" s="13" t="str">
        <v>Cosmic Sun - CS_UES_003</v>
      </c>
      <c r="F174" s="21">
        <v>46080</v>
      </c>
      <c r="G174" s="45">
        <v>65593</v>
      </c>
      <c r="H174" s="13" t="str">
        <v>Upper_East_Side_Hotel_Tracker.xlsx | Table row 35 | DC Installation Complete | Inv Cosmic Sun - CS_UES_003 | Col ExpenseActualTotal</v>
      </c>
    </row>
    <row r="175" spans="2:8">
      <c r="B175" s="13" t="str">
        <v>Upper_East_Side_Hotel_Tracker.xlsx</v>
      </c>
      <c r="C175" s="13" t="str">
        <v>6. AC Equipment</v>
      </c>
      <c r="D175" s="13" t="str">
        <v>DC Installation Complete</v>
      </c>
      <c r="E175" s="13" t="str">
        <v>Cosmic Sun - CS_UES_003</v>
      </c>
      <c r="F175" s="21">
        <v>46080</v>
      </c>
      <c r="G175" s="45">
        <v>58760</v>
      </c>
      <c r="H175" s="13" t="str">
        <v>Upper_East_Side_Hotel_Tracker.xlsx | Table row 57 | DC Installation Complete | Inv Cosmic Sun - CS_UES_003 | Col ExpenseActualTotal</v>
      </c>
    </row>
    <row r="176" spans="2:8">
      <c r="B176" s="13" t="str">
        <v>Upper_East_Side_Hotel_Tracker.xlsx</v>
      </c>
      <c r="C176" s="13" t="str">
        <v>9. AC &amp; DC installation</v>
      </c>
      <c r="D176" s="13" t="str">
        <v>DC Installation Complete</v>
      </c>
      <c r="E176" s="13" t="str">
        <v>Cosmic Sun - CS_UES_003</v>
      </c>
      <c r="F176" s="21">
        <v>46080</v>
      </c>
      <c r="G176" s="45">
        <v>119175</v>
      </c>
      <c r="H176" s="13" t="str">
        <v>Upper_East_Side_Hotel_Tracker.xlsx | Table row 98 | DC Installation Complete | Inv Cosmic Sun - CS_UES_003 | Col ExpenseActualTotal</v>
      </c>
    </row>
    <row r="177" spans="2:8">
      <c r="B177" s="13" t="str">
        <v>Upper_East_Side_Hotel_Tracker.xlsx</v>
      </c>
      <c r="C177" s="13" t="str">
        <v>10. Site Logistics</v>
      </c>
      <c r="D177" s="13" t="str">
        <v>DC Installation Complete</v>
      </c>
      <c r="E177" s="13" t="str">
        <v>Cosmic Sun - CS_UES_003</v>
      </c>
      <c r="F177" s="21">
        <v>46080</v>
      </c>
      <c r="G177" s="45">
        <v>37761.875</v>
      </c>
      <c r="H177" s="13" t="str">
        <v>Upper_East_Side_Hotel_Tracker.xlsx | Table row 116 | DC Installation Complete | Inv Cosmic Sun - CS_UES_003 | Col ExpenseActualTotal</v>
      </c>
    </row>
    <row r="178" spans="2:8">
      <c r="B178" s="13" t="str">
        <v>Upper_East_Side_Hotel_Tracker.xlsx</v>
      </c>
      <c r="C178" s="13" t="str">
        <v>11. Due Dilligence</v>
      </c>
      <c r="D178" s="13" t="str">
        <v>Electrical PrEng sign off</v>
      </c>
      <c r="E178" s="13">
        <v>0</v>
      </c>
      <c r="F178" s="21">
        <v>46081</v>
      </c>
      <c r="G178" s="45">
        <v>11349</v>
      </c>
      <c r="H178" s="13" t="str">
        <v>Upper_East_Side_Hotel_Tracker.xlsx | Table row 125 | Electrical PrEng sign off | Inv  | Col ExpenseActualTotal</v>
      </c>
    </row>
    <row r="179" spans="2:8">
      <c r="B179" s="13" t="str">
        <v>Upper_East_Side_Hotel_Tracker.xlsx</v>
      </c>
      <c r="C179" s="13" t="str">
        <v>11. Due Dilligence</v>
      </c>
      <c r="D179" s="13" t="str">
        <v>Red Team</v>
      </c>
      <c r="E179" s="13">
        <v>0</v>
      </c>
      <c r="F179" s="21">
        <v>46081</v>
      </c>
      <c r="G179" s="45">
        <v>8000</v>
      </c>
      <c r="H179" s="13" t="str">
        <v>Upper_East_Side_Hotel_Tracker.xlsx | Table row 128 | Red Team | Inv  | Col ExpenseActualTotal</v>
      </c>
    </row>
    <row r="180" spans="2:8">
      <c r="B180" s="13" t="str">
        <v>Upper_East_Side_Hotel_Tracker.xlsx</v>
      </c>
      <c r="C180" s="13" t="str">
        <v>13. Engineering</v>
      </c>
      <c r="D180" s="13" t="str">
        <v>Matriarch Defects Period - 1.25%</v>
      </c>
      <c r="E180" s="13">
        <v>0</v>
      </c>
      <c r="F180" s="21">
        <v>46081</v>
      </c>
      <c r="G180" s="45">
        <v>58003.7235</v>
      </c>
      <c r="H180" s="13" t="str">
        <v>Upper_East_Side_Hotel_Tracker.xlsx | Table row 134 | Matriarch Defects Period - 1.25% | Inv  | Col ExpenseActualTotal</v>
      </c>
    </row>
    <row r="181" spans="2:8">
      <c r="B181" s="13" t="str">
        <v>Upper_East_Side_Hotel_Tracker.xlsx</v>
      </c>
      <c r="C181" s="13" t="str">
        <v>13. Engineering</v>
      </c>
      <c r="D181" s="13" t="str">
        <v>Management</v>
      </c>
      <c r="E181" s="13">
        <v>0</v>
      </c>
      <c r="F181" s="21">
        <v>46081</v>
      </c>
      <c r="G181" s="45">
        <v>32000</v>
      </c>
      <c r="H181" s="13" t="str">
        <v>Upper_East_Side_Hotel_Tracker.xlsx | Table row 135 | Management | Inv  | Col ExpenseActualTotal</v>
      </c>
    </row>
    <row r="182" spans="2:8">
      <c r="B182" s="13" t="str">
        <v>Upper_East_Side_Hotel_Tracker.xlsx</v>
      </c>
      <c r="C182" s="13" t="str">
        <v>13. Engineering</v>
      </c>
      <c r="D182" s="13" t="str">
        <v xml:space="preserve">Project manager </v>
      </c>
      <c r="E182" s="13">
        <v>0</v>
      </c>
      <c r="F182" s="21">
        <v>46081</v>
      </c>
      <c r="G182" s="45">
        <v>81600</v>
      </c>
      <c r="H182" s="13" t="str">
        <v>Upper_East_Side_Hotel_Tracker.xlsx | Table row 136 | Project manager  | Inv  | Col ExpenseActualTotal</v>
      </c>
    </row>
    <row r="183" spans="2:8">
      <c r="B183" s="13" t="str">
        <v>Upper_East_Side_Hotel_Tracker.xlsx</v>
      </c>
      <c r="C183" s="13" t="str">
        <v>13. Engineering</v>
      </c>
      <c r="D183" s="13" t="str">
        <v>Planner time</v>
      </c>
      <c r="E183" s="13">
        <v>0</v>
      </c>
      <c r="F183" s="21">
        <v>46081</v>
      </c>
      <c r="G183" s="45">
        <v>41600</v>
      </c>
      <c r="H183" s="13" t="str">
        <v>Upper_East_Side_Hotel_Tracker.xlsx | Table row 137 | Planner time | Inv  | Col ExpenseActualTotal</v>
      </c>
    </row>
    <row r="184" spans="2:8">
      <c r="B184" s="13" t="str">
        <v>Upper_East_Side_Hotel_Tracker.xlsx</v>
      </c>
      <c r="C184" s="13" t="str">
        <v>13. Engineering</v>
      </c>
      <c r="D184" s="13" t="str">
        <v>De Snagging</v>
      </c>
      <c r="E184" s="13">
        <v>0</v>
      </c>
      <c r="F184" s="21">
        <v>46081</v>
      </c>
      <c r="G184" s="45">
        <v>34000</v>
      </c>
      <c r="H184" s="13" t="str">
        <v>Upper_East_Side_Hotel_Tracker.xlsx | Table row 138 | De Snagging | Inv  | Col ExpenseActualTotal</v>
      </c>
    </row>
    <row r="185" spans="2:8">
      <c r="B185" s="13" t="str">
        <v>Waterside_Tracker.xlsx</v>
      </c>
      <c r="C185" s="13" t="str">
        <v>15. Service Add On</v>
      </c>
      <c r="D185" s="13" t="str">
        <v>Equipment delivery</v>
      </c>
      <c r="E185" s="13">
        <v>0</v>
      </c>
      <c r="F185" s="21">
        <v>46081</v>
      </c>
      <c r="G185" s="45">
        <v>3985</v>
      </c>
      <c r="H185" s="13" t="str">
        <v>Waterside_Tracker.xlsx | Table row 148 | Equipment delivery | Inv  | Col ExpenseActualTotal</v>
      </c>
    </row>
    <row r="186" spans="2:8">
      <c r="F186" s="21"/>
      <c r="G186" s="45"/>
    </row>
    <row r="187" spans="2:8">
      <c r="F187" s="21"/>
      <c r="G187" s="45"/>
    </row>
    <row r="188" spans="2:8">
      <c r="F188" s="21"/>
      <c r="G188" s="45"/>
    </row>
    <row r="189" spans="2:8">
      <c r="F189" s="21"/>
      <c r="G189" s="45"/>
    </row>
    <row r="190" spans="2:8">
      <c r="F190" s="21"/>
      <c r="G190" s="45"/>
    </row>
    <row r="191" spans="2:8">
      <c r="F191" s="21"/>
      <c r="G191" s="45"/>
    </row>
    <row r="192" spans="2:8">
      <c r="F192" s="21"/>
      <c r="G192" s="45"/>
    </row>
    <row r="193" spans="6:7">
      <c r="F193" s="21"/>
      <c r="G193" s="45"/>
    </row>
    <row r="194" spans="6:7">
      <c r="F194" s="21"/>
      <c r="G194" s="45"/>
    </row>
    <row r="195" spans="6:7">
      <c r="F195" s="21"/>
      <c r="G195" s="45"/>
    </row>
    <row r="196" spans="6:7">
      <c r="F196" s="21"/>
      <c r="G196" s="45"/>
    </row>
    <row r="197" spans="6:7">
      <c r="F197" s="21"/>
      <c r="G197" s="45"/>
    </row>
    <row r="198" spans="6:7">
      <c r="F198" s="21"/>
      <c r="G198" s="45"/>
    </row>
    <row r="199" spans="6:7">
      <c r="F199" s="21"/>
      <c r="G199" s="45"/>
    </row>
    <row r="200" spans="6:7">
      <c r="F200" s="21"/>
      <c r="G200" s="45"/>
    </row>
    <row r="201" spans="6:7">
      <c r="F201" s="21"/>
      <c r="G201" s="45"/>
    </row>
    <row r="202" spans="6:7">
      <c r="F202" s="21"/>
      <c r="G202" s="45"/>
    </row>
    <row r="203" spans="6:7">
      <c r="F203" s="21"/>
      <c r="G203" s="45"/>
    </row>
    <row r="204" spans="6:7">
      <c r="F204" s="21"/>
      <c r="G204" s="45"/>
    </row>
    <row r="205" spans="6:7">
      <c r="F205" s="21"/>
      <c r="G205" s="45"/>
    </row>
    <row r="206" spans="6:7">
      <c r="F206" s="21"/>
      <c r="G206" s="45"/>
    </row>
    <row r="207" spans="6:7">
      <c r="F207" s="21"/>
      <c r="G207" s="45"/>
    </row>
    <row r="208" spans="6:7">
      <c r="F208" s="21"/>
      <c r="G208" s="45"/>
    </row>
    <row r="209" spans="6:7">
      <c r="F209" s="21"/>
      <c r="G209" s="45"/>
    </row>
    <row r="210" spans="6:7">
      <c r="F210" s="21"/>
      <c r="G210" s="45"/>
    </row>
    <row r="211" spans="6:7">
      <c r="F211" s="21"/>
      <c r="G211" s="45"/>
    </row>
    <row r="212" spans="6:7">
      <c r="F212" s="21"/>
      <c r="G212" s="45"/>
    </row>
    <row r="213" spans="6:7">
      <c r="F213" s="21"/>
      <c r="G213" s="45"/>
    </row>
    <row r="214" spans="6:7">
      <c r="F214" s="21"/>
      <c r="G214" s="45"/>
    </row>
    <row r="215" spans="6:7">
      <c r="F215" s="21"/>
      <c r="G215" s="45"/>
    </row>
    <row r="216" spans="6:7">
      <c r="F216" s="21"/>
      <c r="G216" s="45"/>
    </row>
    <row r="217" spans="6:7">
      <c r="F217" s="21"/>
      <c r="G217" s="45"/>
    </row>
    <row r="218" spans="6:7">
      <c r="F218" s="21"/>
      <c r="G218" s="45"/>
    </row>
    <row r="219" spans="6:7">
      <c r="F219" s="21"/>
      <c r="G219" s="45"/>
    </row>
    <row r="220" spans="6:7">
      <c r="F220" s="21"/>
      <c r="G220" s="45"/>
    </row>
    <row r="221" spans="6:7">
      <c r="F221" s="21"/>
      <c r="G221" s="45"/>
    </row>
    <row r="222" spans="6:7">
      <c r="F222" s="21"/>
      <c r="G222" s="45"/>
    </row>
    <row r="223" spans="6:7">
      <c r="F223" s="21"/>
      <c r="G223" s="45"/>
    </row>
    <row r="224" spans="6:7">
      <c r="F224" s="21"/>
      <c r="G224" s="45"/>
    </row>
    <row r="225" spans="6:7">
      <c r="F225" s="21"/>
      <c r="G225" s="45"/>
    </row>
    <row r="226" spans="6:7">
      <c r="F226" s="21"/>
      <c r="G226" s="45"/>
    </row>
    <row r="227" spans="6:7">
      <c r="F227" s="21"/>
      <c r="G227" s="45"/>
    </row>
    <row r="228" spans="6:7">
      <c r="F228" s="21"/>
      <c r="G228" s="45"/>
    </row>
    <row r="229" spans="6:7">
      <c r="F229" s="21"/>
      <c r="G229" s="45"/>
    </row>
    <row r="230" spans="6:7">
      <c r="F230" s="21"/>
      <c r="G230" s="45"/>
    </row>
    <row r="231" spans="6:7">
      <c r="F231" s="21"/>
      <c r="G231" s="45"/>
    </row>
    <row r="232" spans="6:7">
      <c r="F232" s="21"/>
      <c r="G232" s="45"/>
    </row>
    <row r="233" spans="6:7">
      <c r="F233" s="21"/>
      <c r="G233" s="45"/>
    </row>
    <row r="234" spans="6:7">
      <c r="F234" s="21"/>
      <c r="G234" s="45"/>
    </row>
    <row r="235" spans="6:7">
      <c r="F235" s="21"/>
      <c r="G235" s="45"/>
    </row>
    <row r="236" spans="6:7">
      <c r="F236" s="21"/>
      <c r="G236" s="45"/>
    </row>
    <row r="237" spans="6:7">
      <c r="F237" s="21"/>
      <c r="G237" s="45"/>
    </row>
    <row r="238" spans="6:7">
      <c r="F238" s="21"/>
      <c r="G238" s="45"/>
    </row>
    <row r="239" spans="6:7">
      <c r="F239" s="21"/>
      <c r="G239" s="45"/>
    </row>
    <row r="240" spans="6:7">
      <c r="F240" s="21"/>
      <c r="G240" s="45"/>
    </row>
    <row r="241" spans="6:7">
      <c r="F241" s="21"/>
      <c r="G241" s="45"/>
    </row>
    <row r="242" spans="6:7">
      <c r="F242" s="21"/>
      <c r="G242" s="45"/>
    </row>
    <row r="243" spans="6:7">
      <c r="F243" s="21"/>
      <c r="G243" s="45"/>
    </row>
    <row r="244" spans="6:7">
      <c r="F244" s="21"/>
      <c r="G244" s="45"/>
    </row>
    <row r="245" spans="6:7">
      <c r="F245" s="21"/>
      <c r="G245" s="45"/>
    </row>
    <row r="246" spans="6:7">
      <c r="F246" s="21"/>
      <c r="G246" s="45"/>
    </row>
    <row r="247" spans="6:7">
      <c r="F247" s="21"/>
      <c r="G247" s="45"/>
    </row>
    <row r="248" spans="6:7">
      <c r="F248" s="21"/>
      <c r="G248" s="45"/>
    </row>
    <row r="249" spans="6:7">
      <c r="F249" s="21"/>
      <c r="G249" s="45"/>
    </row>
    <row r="250" spans="6:7">
      <c r="F250" s="21"/>
      <c r="G250" s="45"/>
    </row>
    <row r="251" spans="6:7">
      <c r="F251" s="21"/>
      <c r="G251" s="45"/>
    </row>
    <row r="252" spans="6:7">
      <c r="F252" s="21"/>
      <c r="G252" s="45"/>
    </row>
    <row r="253" spans="6:7">
      <c r="F253" s="21"/>
      <c r="G253" s="45"/>
    </row>
    <row r="254" spans="6:7">
      <c r="F254" s="21"/>
      <c r="G254" s="45"/>
    </row>
    <row r="255" spans="6:7">
      <c r="F255" s="21"/>
      <c r="G255" s="45"/>
    </row>
    <row r="256" spans="6:7">
      <c r="F256" s="21"/>
      <c r="G256" s="45"/>
    </row>
    <row r="257" spans="6:7">
      <c r="F257" s="21"/>
      <c r="G257" s="45"/>
    </row>
    <row r="258" spans="6:7">
      <c r="F258" s="21"/>
      <c r="G258" s="45"/>
    </row>
    <row r="259" spans="6:7">
      <c r="F259" s="21"/>
      <c r="G259" s="45"/>
    </row>
    <row r="260" spans="6:7">
      <c r="F260" s="21"/>
      <c r="G260" s="45"/>
    </row>
    <row r="261" spans="6:7">
      <c r="F261" s="21"/>
      <c r="G261" s="45"/>
    </row>
    <row r="262" spans="6:7">
      <c r="F262" s="21"/>
      <c r="G262" s="45"/>
    </row>
    <row r="263" spans="6:7">
      <c r="F263" s="21"/>
      <c r="G263" s="45"/>
    </row>
    <row r="264" spans="6:7">
      <c r="F264" s="21"/>
      <c r="G264" s="45"/>
    </row>
    <row r="265" spans="6:7">
      <c r="F265" s="21"/>
      <c r="G265" s="45"/>
    </row>
    <row r="266" spans="6:7">
      <c r="F266" s="21"/>
      <c r="G266" s="45"/>
    </row>
    <row r="267" spans="6:7">
      <c r="F267" s="21"/>
      <c r="G267" s="45"/>
    </row>
    <row r="268" spans="6:7">
      <c r="F268" s="21"/>
      <c r="G268" s="45"/>
    </row>
    <row r="269" spans="6:7">
      <c r="F269" s="21"/>
      <c r="G269" s="45"/>
    </row>
    <row r="270" spans="6:7">
      <c r="F270" s="21"/>
      <c r="G270" s="45"/>
    </row>
    <row r="271" spans="6:7">
      <c r="F271" s="21"/>
      <c r="G271" s="45"/>
    </row>
    <row r="272" spans="6:7">
      <c r="F272" s="21"/>
      <c r="G272" s="45"/>
    </row>
    <row r="273" spans="6:7">
      <c r="F273" s="21"/>
      <c r="G273" s="45"/>
    </row>
    <row r="274" spans="6:7">
      <c r="F274" s="21"/>
      <c r="G274" s="45"/>
    </row>
    <row r="275" spans="6:7">
      <c r="F275" s="21"/>
      <c r="G275" s="45"/>
    </row>
    <row r="276" spans="6:7">
      <c r="F276" s="21"/>
      <c r="G276" s="45"/>
    </row>
    <row r="277" spans="6:7">
      <c r="F277" s="21"/>
      <c r="G277" s="45"/>
    </row>
    <row r="278" spans="6:7">
      <c r="F278" s="21"/>
      <c r="G278" s="45"/>
    </row>
    <row r="279" spans="6:7">
      <c r="F279" s="21"/>
      <c r="G279" s="45"/>
    </row>
    <row r="280" spans="6:7">
      <c r="F280" s="21"/>
      <c r="G280" s="45"/>
    </row>
    <row r="281" spans="6:7">
      <c r="F281" s="21"/>
      <c r="G281" s="45"/>
    </row>
    <row r="282" spans="6:7">
      <c r="F282" s="21"/>
      <c r="G282" s="45"/>
    </row>
    <row r="283" spans="6:7">
      <c r="F283" s="21"/>
      <c r="G283" s="45"/>
    </row>
    <row r="284" spans="6:7">
      <c r="F284" s="21"/>
      <c r="G284" s="45"/>
    </row>
    <row r="285" spans="6:7">
      <c r="F285" s="21"/>
      <c r="G285" s="45"/>
    </row>
    <row r="286" spans="6:7">
      <c r="F286" s="21"/>
      <c r="G286" s="45"/>
    </row>
    <row r="287" spans="6:7">
      <c r="F287" s="21"/>
      <c r="G287" s="45"/>
    </row>
    <row r="288" spans="6:7">
      <c r="F288" s="21"/>
      <c r="G288" s="45"/>
    </row>
    <row r="289" spans="6:7">
      <c r="F289" s="21"/>
      <c r="G289" s="45"/>
    </row>
    <row r="290" spans="6:7">
      <c r="F290" s="21"/>
      <c r="G290" s="45"/>
    </row>
    <row r="291" spans="6:7">
      <c r="F291" s="21"/>
      <c r="G291" s="45"/>
    </row>
    <row r="292" spans="6:7">
      <c r="F292" s="21"/>
      <c r="G292" s="45"/>
    </row>
    <row r="293" spans="6:7">
      <c r="F293" s="21"/>
      <c r="G293" s="45"/>
    </row>
    <row r="294" spans="6:7">
      <c r="F294" s="21"/>
      <c r="G294" s="45"/>
    </row>
    <row r="295" spans="6:7">
      <c r="F295" s="21"/>
      <c r="G295" s="45"/>
    </row>
    <row r="296" spans="6:7">
      <c r="F296" s="21"/>
      <c r="G296" s="45"/>
    </row>
    <row r="297" spans="6:7">
      <c r="F297" s="21"/>
      <c r="G297" s="45"/>
    </row>
    <row r="298" spans="6:7">
      <c r="F298" s="21"/>
      <c r="G298" s="45"/>
    </row>
    <row r="299" spans="6:7">
      <c r="F299" s="21"/>
      <c r="G299" s="45"/>
    </row>
    <row r="300" spans="6:7">
      <c r="F300" s="21"/>
      <c r="G300" s="45"/>
    </row>
    <row r="301" spans="6:7">
      <c r="F301" s="21"/>
      <c r="G301" s="45"/>
    </row>
    <row r="302" spans="6:7">
      <c r="F302" s="21"/>
      <c r="G302" s="45"/>
    </row>
    <row r="303" spans="6:7">
      <c r="F303" s="21"/>
      <c r="G303" s="45"/>
    </row>
    <row r="304" spans="6:7">
      <c r="F304" s="21"/>
      <c r="G304" s="45"/>
    </row>
    <row r="305" spans="6:7">
      <c r="F305" s="21"/>
      <c r="G305" s="45"/>
    </row>
    <row r="306" spans="6:7">
      <c r="F306" s="21"/>
      <c r="G306" s="45"/>
    </row>
    <row r="307" spans="6:7">
      <c r="F307" s="21"/>
      <c r="G307" s="45"/>
    </row>
    <row r="308" spans="6:7">
      <c r="F308" s="21"/>
      <c r="G308" s="45"/>
    </row>
    <row r="309" spans="6:7">
      <c r="F309" s="21"/>
      <c r="G309" s="45"/>
    </row>
    <row r="310" spans="6:7">
      <c r="F310" s="21"/>
      <c r="G310" s="45"/>
    </row>
    <row r="311" spans="6:7">
      <c r="F311" s="21"/>
      <c r="G311" s="45"/>
    </row>
    <row r="312" spans="6:7">
      <c r="F312" s="21"/>
      <c r="G312" s="45"/>
    </row>
    <row r="313" spans="6:7">
      <c r="F313" s="21"/>
      <c r="G313" s="45"/>
    </row>
    <row r="314" spans="6:7">
      <c r="F314" s="21"/>
      <c r="G314" s="45"/>
    </row>
    <row r="315" spans="6:7">
      <c r="F315" s="21"/>
      <c r="G315" s="45"/>
    </row>
    <row r="316" spans="6:7">
      <c r="F316" s="21"/>
      <c r="G316" s="45"/>
    </row>
    <row r="317" spans="6:7">
      <c r="F317" s="21"/>
      <c r="G317" s="45"/>
    </row>
    <row r="318" spans="6:7">
      <c r="F318" s="21"/>
      <c r="G318" s="45"/>
    </row>
    <row r="319" spans="6:7">
      <c r="F319" s="21"/>
      <c r="G319" s="45"/>
    </row>
    <row r="320" spans="6:7">
      <c r="F320" s="21"/>
      <c r="G320" s="45"/>
    </row>
    <row r="321" spans="6:7">
      <c r="F321" s="21"/>
      <c r="G321" s="45"/>
    </row>
  </sheetData>
  <autoFilter ref="B17:O321" xr:uid="{C1E5123D-0744-4812-8003-F2B22F6A354C}"/>
  <phoneticPr fontId="4" type="noConversion"/>
  <conditionalFormatting sqref="C57:AP113">
    <cfRule type="cellIs" dxfId="47" priority="7" operator="equal">
      <formula>"Check Date"</formula>
    </cfRule>
  </conditionalFormatting>
  <conditionalFormatting sqref="C9:J11 K9:AP9 C6:AP8">
    <cfRule type="cellIs" dxfId="46" priority="1" operator="equal">
      <formula>"Check Date"</formula>
    </cfRule>
  </conditionalFormatting>
  <dataValidations count="3">
    <dataValidation type="list" allowBlank="1" showInputMessage="1" showErrorMessage="1" sqref="C9" xr:uid="{1C6D842E-169C-4486-A363-D847A0D42671}">
      <formula1>"Hide,Show"</formula1>
    </dataValidation>
    <dataValidation type="list" allowBlank="1" showInputMessage="1" showErrorMessage="1" sqref="C10" xr:uid="{527F167D-386C-4F94-9464-44259CBC93F3}">
      <formula1>$C$1:$BC$1</formula1>
    </dataValidation>
    <dataValidation type="list" allowBlank="1" showInputMessage="1" showErrorMessage="1" sqref="C11" xr:uid="{9D016381-430E-4881-AA4E-D6C35D504902}">
      <formula1>_xlfn.ANCHORARRAY(BD1)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173BE-F70C-4447-83C0-823651646901}">
  <sheetPr codeName="Sheet11" filterMode="1"/>
  <dimension ref="A1:BB302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ColWidth="21.36328125" defaultRowHeight="14.5"/>
  <cols>
    <col min="1" max="16384" width="21.36328125" style="52"/>
  </cols>
  <sheetData>
    <row r="1" spans="1:54" s="50" customFormat="1" ht="15.75" customHeight="1">
      <c r="A1" s="79" t="s">
        <v>117</v>
      </c>
      <c r="B1" s="80">
        <v>45901</v>
      </c>
      <c r="C1" s="80">
        <v>45931</v>
      </c>
      <c r="D1" s="80">
        <v>45962</v>
      </c>
      <c r="E1" s="80">
        <v>45992</v>
      </c>
      <c r="F1" s="80">
        <v>46023</v>
      </c>
      <c r="G1" s="80">
        <v>46054</v>
      </c>
      <c r="H1" s="80">
        <v>46082</v>
      </c>
      <c r="I1" s="80">
        <v>46113</v>
      </c>
      <c r="J1" s="80">
        <v>46143</v>
      </c>
      <c r="K1" s="80">
        <v>46174</v>
      </c>
      <c r="L1" s="80">
        <v>46204</v>
      </c>
      <c r="M1" s="80">
        <v>46235</v>
      </c>
      <c r="O1" s="53"/>
      <c r="P1" s="53" t="str" cm="1">
        <f t="array" ref="P1:P58">_xlfn.VSTACK("(All projects)", _xlfn._xlws.SORT(_xlfn.UNIQUE(tblProgramExpense[ProjectName])))</f>
        <v>(All projects)</v>
      </c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54" s="50" customFormat="1" ht="15.75" customHeight="1">
      <c r="A2" s="76" t="s">
        <v>118</v>
      </c>
      <c r="B2" s="77">
        <f>IFERROR(
  SUMIFS(tblProgramExpense[RevenueAmount],tblProgramExpense[ExpenseInvoicedDate],
 "&gt;=" &amp; EOMONTH(B$1,-1)+1,tblProgramExpense[ExpenseInvoicedDate],
 "&lt;=" &amp; EOMONTH(B$1,0)),
  0)</f>
        <v>2249249.560464073</v>
      </c>
      <c r="C2" s="77">
        <f>IFERROR(
  SUMIFS(tblProgramExpense[RevenueAmount],tblProgramExpense[ExpenseInvoicedDate],
 "&gt;=" &amp; EOMONTH(C$1,-1)+1,tblProgramExpense[ExpenseInvoicedDate],
 "&lt;=" &amp; EOMONTH(C$1,0)),
  0)</f>
        <v>16293115.707302524</v>
      </c>
      <c r="D2" s="77">
        <f>IFERROR(
  SUMIFS(tblProgramExpense[RevenueAmount],tblProgramExpense[ExpenseInvoicedDate],
 "&gt;=" &amp; EOMONTH(D$1,-1)+1,tblProgramExpense[ExpenseInvoicedDate],
 "&lt;=" &amp; EOMONTH(D$1,0)),
  0)</f>
        <v>20670318.578711264</v>
      </c>
      <c r="E2" s="77">
        <f>IFERROR(
  SUMIFS(tblProgramExpense[RevenueAmount],tblProgramExpense[ExpenseInvoicedDate],
 "&gt;=" &amp; EOMONTH(E$1,-1)+1,tblProgramExpense[ExpenseInvoicedDate],
 "&lt;=" &amp; EOMONTH(E$1,0)),
  0)</f>
        <v>4376565.4716681652</v>
      </c>
      <c r="F2" s="77">
        <f>IFERROR(
  SUMIFS(tblProgramExpense[RevenueAmount],tblProgramExpense[ExpenseInvoicedDate],
 "&gt;=" &amp; EOMONTH(F$1,-1)+1,tblProgramExpense[ExpenseInvoicedDate],
 "&lt;=" &amp; EOMONTH(F$1,0)),
  0)</f>
        <v>5556444.5955188014</v>
      </c>
      <c r="G2" s="77">
        <f>IFERROR(
  SUMIFS(tblProgramExpense[RevenueAmount],tblProgramExpense[ExpenseInvoicedDate],
 "&gt;=" &amp; EOMONTH(G$1,-1)+1,tblProgramExpense[ExpenseInvoicedDate],
 "&lt;=" &amp; EOMONTH(G$1,0)),
  0)</f>
        <v>15110853.847338201</v>
      </c>
      <c r="H2" s="77">
        <f>IFERROR(
  SUMIFS(tblProgramExpense[RevenueAmount],tblProgramExpense[ExpenseInvoicedDate],
 "&gt;=" &amp; EOMONTH(H$1,-1)+1,tblProgramExpense[ExpenseInvoicedDate],
 "&lt;=" &amp; EOMONTH(H$1,0)),
  0)</f>
        <v>13042151.730172101</v>
      </c>
      <c r="I2" s="77">
        <f>IFERROR(
  SUMIFS(tblProgramExpense[RevenueAmount],tblProgramExpense[ExpenseInvoicedDate],
 "&gt;=" &amp; EOMONTH(I$1,-1)+1,tblProgramExpense[ExpenseInvoicedDate],
 "&lt;=" &amp; EOMONTH(I$1,0)),
  0)</f>
        <v>36954885.446884617</v>
      </c>
      <c r="J2" s="77">
        <f>IFERROR(
  SUMIFS(tblProgramExpense[RevenueAmount],tblProgramExpense[ExpenseInvoicedDate],
 "&gt;=" &amp; EOMONTH(J$1,-1)+1,tblProgramExpense[ExpenseInvoicedDate],
 "&lt;=" &amp; EOMONTH(J$1,0)),
  0)</f>
        <v>56197966.751468591</v>
      </c>
      <c r="K2" s="77">
        <f>IFERROR(
  SUMIFS(tblProgramExpense[RevenueAmount],tblProgramExpense[ExpenseInvoicedDate],
 "&gt;=" &amp; EOMONTH(K$1,-1)+1,tblProgramExpense[ExpenseInvoicedDate],
 "&lt;=" &amp; EOMONTH(K$1,0)),
  0)</f>
        <v>22945455.928489655</v>
      </c>
      <c r="L2" s="77">
        <f>IFERROR(
  SUMIFS(tblProgramExpense[RevenueAmount],tblProgramExpense[ExpenseInvoicedDate],
 "&gt;=" &amp; EOMONTH(L$1,-1)+1,tblProgramExpense[ExpenseInvoicedDate],
 "&lt;=" &amp; EOMONTH(L$1,0)),
  0)</f>
        <v>14735356.298848789</v>
      </c>
      <c r="M2" s="77">
        <f>IFERROR(
  SUMIFS(tblProgramExpense[RevenueAmount],tblProgramExpense[ExpenseInvoicedDate],
 "&gt;=" &amp; EOMONTH(M$1,-1)+1,tblProgramExpense[ExpenseInvoicedDate],
 "&lt;=" &amp; EOMONTH(M$1,0)),
  0)</f>
        <v>10087574.055155069</v>
      </c>
      <c r="N2" s="5"/>
      <c r="O2" s="5"/>
      <c r="P2" s="5" t="str">
        <v>1 Bolt Ave_Tracker.xlsx</v>
      </c>
      <c r="Q2" s="5"/>
      <c r="R2" s="5"/>
      <c r="S2" s="5"/>
      <c r="T2" s="5"/>
      <c r="U2" s="5"/>
      <c r="V2" s="5"/>
      <c r="W2" s="5"/>
      <c r="X2" s="5"/>
      <c r="Y2" s="5"/>
      <c r="Z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</row>
    <row r="3" spans="1:54" s="50" customFormat="1" ht="15.75" customHeight="1">
      <c r="A3" s="76" t="s">
        <v>119</v>
      </c>
      <c r="B3" s="77">
        <v>2487971.96</v>
      </c>
      <c r="C3" s="77">
        <v>16287474.359999999</v>
      </c>
      <c r="D3" s="77">
        <v>20935288.600000001</v>
      </c>
      <c r="E3" s="77">
        <v>4324447</v>
      </c>
      <c r="F3" s="77">
        <f>IFERROR(
  SUMIFS(tblProgramExpense[RevenueAmount],tblProgramExpense[ExpenseInvoicedDate],
 "&gt;=" &amp; EOMONTH(F$1,-1)+1,tblProgramExpense[ExpenseInvoicedDate],
 "&lt;=" &amp; EOMONTH(F$1,0),tblProgramExpense[ExpenseInvoiceNumber],
 "&lt;&gt;"),
  0)</f>
        <v>5552894.5955188014</v>
      </c>
      <c r="G3" s="77">
        <f>IFERROR(
  SUMIFS(tblProgramExpense[RevenueAmount],tblProgramExpense[ExpenseInvoicedDate],
 "&gt;=" &amp; EOMONTH(G$1,-1)+1,tblProgramExpense[ExpenseInvoicedDate],
 "&lt;=" &amp; EOMONTH(G$1,0),tblProgramExpense[ExpenseInvoiceNumber],
 "&lt;&gt;"),
  0)</f>
        <v>7620000.345937999</v>
      </c>
      <c r="H3" s="77">
        <f>IFERROR(
  SUMIFS(tblProgramExpense[RevenueAmount],tblProgramExpense[ExpenseInvoicedDate],
 "&gt;=" &amp; EOMONTH(H$1,-1)+1,tblProgramExpense[ExpenseInvoicedDate],
 "&lt;=" &amp; EOMONTH(H$1,0),tblProgramExpense[ExpenseInvoiceNumber],
 "&lt;&gt;"),
  0)</f>
        <v>0</v>
      </c>
      <c r="I3" s="77">
        <f>IFERROR(
  SUMIFS(tblProgramExpense[RevenueAmount],tblProgramExpense[ExpenseInvoicedDate],
 "&gt;=" &amp; EOMONTH(I$1,-1)+1,tblProgramExpense[ExpenseInvoicedDate],
 "&lt;=" &amp; EOMONTH(I$1,0),tblProgramExpense[ExpenseInvoiceNumber],
 "&lt;&gt;"),
  0)</f>
        <v>12326030.61018749</v>
      </c>
      <c r="J3" s="77">
        <f>IFERROR(
  SUMIFS(tblProgramExpense[RevenueAmount],tblProgramExpense[ExpenseInvoicedDate],
 "&gt;=" &amp; EOMONTH(J$1,-1)+1,tblProgramExpense[ExpenseInvoicedDate],
 "&lt;=" &amp; EOMONTH(J$1,0),tblProgramExpense[ExpenseInvoiceNumber],
 "&lt;&gt;"),
  0)</f>
        <v>8606837.6101627387</v>
      </c>
      <c r="K3" s="77">
        <f>IFERROR(
  SUMIFS(tblProgramExpense[RevenueAmount],tblProgramExpense[ExpenseInvoicedDate],
 "&gt;=" &amp; EOMONTH(K$1,-1)+1,tblProgramExpense[ExpenseInvoicedDate],
 "&lt;=" &amp; EOMONTH(K$1,0),tblProgramExpense[ExpenseInvoiceNumber],
 "&lt;&gt;"),
  0)</f>
        <v>2335848.1220467859</v>
      </c>
      <c r="L3" s="77">
        <f>IFERROR(
  SUMIFS(tblProgramExpense[RevenueAmount],tblProgramExpense[ExpenseInvoicedDate],
 "&gt;=" &amp; EOMONTH(L$1,-1)+1,tblProgramExpense[ExpenseInvoicedDate],
 "&lt;=" &amp; EOMONTH(L$1,0),tblProgramExpense[ExpenseInvoiceNumber],
 "&lt;&gt;"),
  0)</f>
        <v>0</v>
      </c>
      <c r="M3" s="77">
        <f>IFERROR(
  SUMIFS(tblProgramExpense[RevenueAmount],tblProgramExpense[ExpenseInvoicedDate],
 "&gt;=" &amp; EOMONTH(M$1,-1)+1,tblProgramExpense[ExpenseInvoicedDate],
 "&lt;=" &amp; EOMONTH(M$1,0),tblProgramExpense[ExpenseInvoiceNumber],
 "&lt;&gt;"),
  0)</f>
        <v>0</v>
      </c>
      <c r="N3" s="5"/>
      <c r="O3" s="5"/>
      <c r="P3" s="5" t="str">
        <v>25 Superior Road_Tracker.xlsx</v>
      </c>
      <c r="Q3" s="5"/>
      <c r="R3" s="5"/>
      <c r="S3" s="5"/>
      <c r="T3" s="5"/>
      <c r="U3" s="5"/>
      <c r="V3" s="5"/>
      <c r="W3" s="5"/>
      <c r="X3" s="5"/>
      <c r="Y3" s="5"/>
      <c r="Z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4" s="50" customFormat="1" ht="15.75" customHeight="1">
      <c r="A4" s="76" t="s">
        <v>120</v>
      </c>
      <c r="B4" s="77">
        <v>0</v>
      </c>
      <c r="C4" s="77">
        <v>0</v>
      </c>
      <c r="D4" s="77">
        <v>0</v>
      </c>
      <c r="E4" s="77">
        <v>0</v>
      </c>
      <c r="F4" s="77">
        <f t="shared" ref="F4:M4" si="0">F2-F3</f>
        <v>3550</v>
      </c>
      <c r="G4" s="77">
        <f t="shared" si="0"/>
        <v>7490853.5014002025</v>
      </c>
      <c r="H4" s="77">
        <f t="shared" si="0"/>
        <v>13042151.730172101</v>
      </c>
      <c r="I4" s="77">
        <f t="shared" si="0"/>
        <v>24628854.836697128</v>
      </c>
      <c r="J4" s="77">
        <f t="shared" si="0"/>
        <v>47591129.141305849</v>
      </c>
      <c r="K4" s="77">
        <f t="shared" si="0"/>
        <v>20609607.806442868</v>
      </c>
      <c r="L4" s="77">
        <f t="shared" si="0"/>
        <v>14735356.298848789</v>
      </c>
      <c r="M4" s="77">
        <f t="shared" si="0"/>
        <v>10087574.055155069</v>
      </c>
      <c r="N4" s="5"/>
      <c r="O4" s="5"/>
      <c r="P4" s="5" t="str">
        <v>7th Avenue Park_Tracker.xlsx</v>
      </c>
      <c r="Q4" s="5"/>
      <c r="R4" s="5"/>
      <c r="S4" s="5"/>
      <c r="T4" s="5"/>
      <c r="U4" s="5"/>
      <c r="V4" s="5"/>
      <c r="W4" s="5"/>
      <c r="X4" s="5"/>
      <c r="Y4" s="5"/>
      <c r="Z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</row>
    <row r="5" spans="1:54" s="50" customFormat="1" ht="15.75" customHeight="1">
      <c r="A5" s="76" t="s">
        <v>121</v>
      </c>
      <c r="B5" s="77">
        <f>'[1]Income Statement'!I$11</f>
        <v>9348308.3714413121</v>
      </c>
      <c r="C5" s="77">
        <f>'[1]Income Statement'!J$11</f>
        <v>18892558.245878641</v>
      </c>
      <c r="D5" s="77">
        <f>'[1]Income Statement'!K$11</f>
        <v>23185462.073265687</v>
      </c>
      <c r="E5" s="77">
        <f>'[1]Income Statement'!L$11</f>
        <v>14313016.097916178</v>
      </c>
      <c r="F5" s="77">
        <f>'[1]Income Statement'!M$11</f>
        <v>14328580.468464572</v>
      </c>
      <c r="G5" s="77">
        <f>'[1]Income Statement'!N$11</f>
        <v>23948744.223015491</v>
      </c>
      <c r="H5" s="77">
        <f>'[1]Income Statement'!O$11</f>
        <v>23811191.682755522</v>
      </c>
      <c r="I5" s="77">
        <f>'[1]Income Statement'!P$11</f>
        <v>26808799.265710775</v>
      </c>
      <c r="J5" s="77">
        <f>'[1]Income Statement'!Q$11</f>
        <v>36331899.474182613</v>
      </c>
      <c r="K5" s="77">
        <f>'[1]Income Statement'!R$11</f>
        <v>48187541.072572127</v>
      </c>
      <c r="L5" s="77">
        <f>'[1]Income Statement'!S$11</f>
        <v>45191393.462710261</v>
      </c>
      <c r="M5" s="77">
        <f>'[1]Income Statement'!T$11</f>
        <v>85332843.64525193</v>
      </c>
      <c r="N5" s="5"/>
      <c r="O5" s="5"/>
      <c r="P5" s="5" t="str">
        <v>Blackheath Park_Tracker.xlsx</v>
      </c>
      <c r="Q5" s="5"/>
      <c r="R5" s="5"/>
      <c r="S5" s="5"/>
      <c r="T5" s="5"/>
      <c r="U5" s="5"/>
      <c r="V5" s="5"/>
      <c r="W5" s="5"/>
      <c r="X5" s="5"/>
      <c r="Y5" s="5"/>
      <c r="Z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s="50" customFormat="1" ht="15.75" customHeight="1">
      <c r="A6" s="7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 t="str">
        <v>BMG Fluid Tech_Tracker.xlsx</v>
      </c>
      <c r="Q6" s="5"/>
      <c r="R6" s="5"/>
      <c r="S6" s="5"/>
      <c r="T6" s="5"/>
      <c r="U6" s="5"/>
      <c r="V6" s="5"/>
      <c r="W6" s="5"/>
      <c r="X6" s="5"/>
      <c r="Y6" s="5"/>
      <c r="Z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</row>
    <row r="7" spans="1:54" s="50" customFormat="1" ht="15.75" customHeight="1">
      <c r="A7" s="76" t="s">
        <v>122</v>
      </c>
      <c r="B7" s="77">
        <f>B2 - B5</f>
        <v>-7099058.8109772392</v>
      </c>
      <c r="C7" s="77">
        <f t="shared" ref="C7:M7" si="1">C2 - C5</f>
        <v>-2599442.5385761168</v>
      </c>
      <c r="D7" s="77">
        <f t="shared" si="1"/>
        <v>-2515143.4945544228</v>
      </c>
      <c r="E7" s="77">
        <f t="shared" si="1"/>
        <v>-9936450.6262480132</v>
      </c>
      <c r="F7" s="77">
        <f t="shared" si="1"/>
        <v>-8772135.8729457706</v>
      </c>
      <c r="G7" s="77">
        <f t="shared" si="1"/>
        <v>-8837890.3756772894</v>
      </c>
      <c r="H7" s="77">
        <f t="shared" si="1"/>
        <v>-10769039.952583421</v>
      </c>
      <c r="I7" s="77">
        <f t="shared" si="1"/>
        <v>10146086.181173842</v>
      </c>
      <c r="J7" s="77">
        <f t="shared" si="1"/>
        <v>19866067.277285978</v>
      </c>
      <c r="K7" s="77">
        <f t="shared" si="1"/>
        <v>-25242085.144082472</v>
      </c>
      <c r="L7" s="77">
        <f t="shared" si="1"/>
        <v>-30456037.163861472</v>
      </c>
      <c r="M7" s="77">
        <f t="shared" si="1"/>
        <v>-75245269.590096861</v>
      </c>
      <c r="N7" s="5"/>
      <c r="O7" s="5"/>
      <c r="P7" s="5" t="str">
        <v>Boundary Terraces_Tracker.xlsx</v>
      </c>
      <c r="Q7" s="5"/>
      <c r="R7" s="5"/>
      <c r="S7" s="5"/>
      <c r="T7" s="5"/>
      <c r="U7" s="5"/>
      <c r="V7" s="5"/>
      <c r="W7" s="5"/>
      <c r="X7" s="5"/>
      <c r="Y7" s="5"/>
      <c r="Z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</row>
    <row r="8" spans="1:54" s="50" customFormat="1" ht="15.75" customHeight="1">
      <c r="A8" s="76" t="s">
        <v>123</v>
      </c>
      <c r="B8" s="81">
        <f>IF(B5=0, 0, (B2-B5)/B5)</f>
        <v>-0.75939501874633963</v>
      </c>
      <c r="C8" s="81">
        <f t="shared" ref="C8:M8" si="2">IF(C5=0, 0, (C2-C5)/C5)</f>
        <v>-0.13759081775720755</v>
      </c>
      <c r="D8" s="81">
        <f t="shared" si="2"/>
        <v>-0.10847933444701727</v>
      </c>
      <c r="E8" s="81">
        <f t="shared" si="2"/>
        <v>-0.69422479219419408</v>
      </c>
      <c r="F8" s="81">
        <f t="shared" si="2"/>
        <v>-0.61221248624399005</v>
      </c>
      <c r="G8" s="81">
        <f t="shared" si="2"/>
        <v>-0.36903356156703199</v>
      </c>
      <c r="H8" s="81">
        <f t="shared" si="2"/>
        <v>-0.45226799632974884</v>
      </c>
      <c r="I8" s="81">
        <f t="shared" si="2"/>
        <v>0.37846104484623372</v>
      </c>
      <c r="J8" s="81">
        <f t="shared" si="2"/>
        <v>0.5467940725588204</v>
      </c>
      <c r="K8" s="81">
        <f t="shared" si="2"/>
        <v>-0.52383011422116366</v>
      </c>
      <c r="L8" s="81">
        <f t="shared" si="2"/>
        <v>-0.67393445588245271</v>
      </c>
      <c r="M8" s="81">
        <f t="shared" si="2"/>
        <v>-0.88178556316379875</v>
      </c>
      <c r="N8" s="5"/>
      <c r="O8" s="5"/>
      <c r="P8" s="5" t="str">
        <v>Cascades_Tracker.xlsx</v>
      </c>
      <c r="Q8" s="5"/>
      <c r="R8" s="5"/>
      <c r="S8" s="5"/>
      <c r="T8" s="5"/>
      <c r="U8" s="5"/>
      <c r="V8" s="5"/>
      <c r="W8" s="5"/>
      <c r="X8" s="5"/>
      <c r="Y8" s="5"/>
      <c r="Z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</row>
    <row r="9" spans="1:54" s="50" customFormat="1" ht="15.75" customHeight="1">
      <c r="A9" s="75"/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5"/>
      <c r="O9" s="5"/>
      <c r="P9" s="5" t="str">
        <v>Cassia_Tracker.xlsx</v>
      </c>
      <c r="Q9" s="5"/>
      <c r="R9" s="5"/>
      <c r="S9" s="5"/>
      <c r="T9" s="5"/>
      <c r="U9" s="5"/>
      <c r="V9" s="5"/>
      <c r="W9" s="5"/>
      <c r="X9" s="5"/>
      <c r="Y9" s="5"/>
      <c r="Z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</row>
    <row r="10" spans="1:54" s="50" customFormat="1" ht="15.75" customHeight="1">
      <c r="A10" s="76" t="s">
        <v>124</v>
      </c>
      <c r="B10" s="77">
        <f>SUM($B2:B2)</f>
        <v>2249249.560464073</v>
      </c>
      <c r="C10" s="77">
        <f>SUM($B2:C2)</f>
        <v>18542365.267766595</v>
      </c>
      <c r="D10" s="77">
        <f>SUM($B2:D2)</f>
        <v>39212683.846477859</v>
      </c>
      <c r="E10" s="77">
        <f>SUM($B2:E2)</f>
        <v>43589249.31814602</v>
      </c>
      <c r="F10" s="77">
        <f>SUM($B2:F2)</f>
        <v>49145693.913664818</v>
      </c>
      <c r="G10" s="77">
        <f>SUM($B2:G2)</f>
        <v>64256547.761003017</v>
      </c>
      <c r="H10" s="77">
        <f>SUM($B2:H2)</f>
        <v>77298699.491175115</v>
      </c>
      <c r="I10" s="77">
        <f>SUM($B2:I2)</f>
        <v>114253584.93805973</v>
      </c>
      <c r="J10" s="77">
        <f>SUM($B2:J2)</f>
        <v>170451551.68952832</v>
      </c>
      <c r="K10" s="77">
        <f>SUM($B2:K2)</f>
        <v>193397007.61801797</v>
      </c>
      <c r="L10" s="77">
        <f>SUM($B2:L2)</f>
        <v>208132363.91686675</v>
      </c>
      <c r="M10" s="77">
        <f>SUM($B2:M2)</f>
        <v>218219937.97202182</v>
      </c>
      <c r="N10" s="5"/>
      <c r="O10" s="5"/>
      <c r="P10" s="5" t="str">
        <v>China Town Adhoc_Tracker.xlsx</v>
      </c>
      <c r="Q10" s="5"/>
      <c r="R10" s="5"/>
      <c r="S10" s="5"/>
      <c r="T10" s="5"/>
      <c r="U10" s="5"/>
      <c r="V10" s="5"/>
      <c r="W10" s="5"/>
      <c r="X10" s="5"/>
      <c r="Y10" s="5"/>
      <c r="Z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</row>
    <row r="11" spans="1:54" s="50" customFormat="1" ht="15.75" customHeight="1">
      <c r="A11" s="76" t="s">
        <v>125</v>
      </c>
      <c r="B11" s="77">
        <f>SUM($B3:B3)</f>
        <v>2487971.96</v>
      </c>
      <c r="C11" s="77">
        <f>SUM($B3:C3)</f>
        <v>18775446.32</v>
      </c>
      <c r="D11" s="77">
        <f>SUM($B3:D3)</f>
        <v>39710734.920000002</v>
      </c>
      <c r="E11" s="77">
        <f>SUM($B3:E3)</f>
        <v>44035181.920000002</v>
      </c>
      <c r="F11" s="77">
        <f>SUM($B3:F3)</f>
        <v>49588076.515518799</v>
      </c>
      <c r="G11" s="77">
        <f>SUM($B3:G3)</f>
        <v>57208076.861456797</v>
      </c>
      <c r="H11" s="77">
        <f>SUM($B3:H3)</f>
        <v>57208076.861456797</v>
      </c>
      <c r="I11" s="77">
        <f>SUM($B3:I3)</f>
        <v>69534107.471644282</v>
      </c>
      <c r="J11" s="77">
        <f>SUM($B3:J3)</f>
        <v>78140945.081807017</v>
      </c>
      <c r="K11" s="77">
        <f>SUM($B3:K3)</f>
        <v>80476793.203853801</v>
      </c>
      <c r="L11" s="77">
        <f>SUM($B3:L3)</f>
        <v>80476793.203853801</v>
      </c>
      <c r="M11" s="77">
        <f>SUM($B3:M3)</f>
        <v>80476793.203853801</v>
      </c>
      <c r="N11" s="5"/>
      <c r="O11" s="5"/>
      <c r="P11" s="5" t="str">
        <v>Coega Steels Ph2_Tracker.xlsx</v>
      </c>
      <c r="Q11" s="5"/>
      <c r="R11" s="5"/>
      <c r="S11" s="5"/>
      <c r="T11" s="5"/>
      <c r="U11" s="5"/>
      <c r="V11" s="5"/>
      <c r="W11" s="5"/>
      <c r="X11" s="5"/>
      <c r="Y11" s="5"/>
      <c r="Z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</row>
    <row r="12" spans="1:54" s="50" customFormat="1" ht="15.75" customHeight="1">
      <c r="A12" s="76" t="s">
        <v>126</v>
      </c>
      <c r="B12" s="77">
        <f>SUM($B4:B4)</f>
        <v>0</v>
      </c>
      <c r="C12" s="77">
        <f>SUM($B4:C4)</f>
        <v>0</v>
      </c>
      <c r="D12" s="77">
        <f>SUM($B4:D4)</f>
        <v>0</v>
      </c>
      <c r="E12" s="77">
        <f>SUM($B4:E4)</f>
        <v>0</v>
      </c>
      <c r="F12" s="77">
        <f>SUM($B4:F4)</f>
        <v>3550</v>
      </c>
      <c r="G12" s="77">
        <f>SUM($B4:G4)</f>
        <v>7494403.5014002025</v>
      </c>
      <c r="H12" s="77">
        <f>SUM($B4:H4)</f>
        <v>20536555.231572304</v>
      </c>
      <c r="I12" s="77">
        <f>SUM($B4:I4)</f>
        <v>45165410.068269432</v>
      </c>
      <c r="J12" s="77">
        <f>SUM($B4:J4)</f>
        <v>92756539.209575281</v>
      </c>
      <c r="K12" s="77">
        <f>SUM($B4:K4)</f>
        <v>113366147.01601815</v>
      </c>
      <c r="L12" s="77">
        <f>SUM($B4:L4)</f>
        <v>128101503.31486695</v>
      </c>
      <c r="M12" s="77">
        <f>SUM($B4:M4)</f>
        <v>138189077.370022</v>
      </c>
      <c r="N12" s="5"/>
      <c r="O12" s="5"/>
      <c r="P12" s="5" t="str">
        <v>Corporate Park_Tracker.xlsx</v>
      </c>
      <c r="Q12" s="5"/>
      <c r="R12" s="5"/>
      <c r="S12" s="5"/>
      <c r="T12" s="5"/>
      <c r="U12" s="5"/>
      <c r="V12" s="5"/>
      <c r="W12" s="5"/>
      <c r="X12" s="5"/>
      <c r="Y12" s="5"/>
      <c r="Z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</row>
    <row r="13" spans="1:54" s="50" customFormat="1" ht="15.75" customHeight="1">
      <c r="A13" s="76" t="s">
        <v>127</v>
      </c>
      <c r="B13" s="77">
        <f>SUM($B5:B5)</f>
        <v>9348308.3714413121</v>
      </c>
      <c r="C13" s="77">
        <f>SUM($B5:C5)</f>
        <v>28240866.617319953</v>
      </c>
      <c r="D13" s="77">
        <f>SUM($B5:D5)</f>
        <v>51426328.690585643</v>
      </c>
      <c r="E13" s="77">
        <f>SUM($B5:E5)</f>
        <v>65739344.788501821</v>
      </c>
      <c r="F13" s="77">
        <f>SUM($B5:F5)</f>
        <v>80067925.256966397</v>
      </c>
      <c r="G13" s="77">
        <f>SUM($B5:G5)</f>
        <v>104016669.47998188</v>
      </c>
      <c r="H13" s="77">
        <f>SUM($B5:H5)</f>
        <v>127827861.1627374</v>
      </c>
      <c r="I13" s="77">
        <f>SUM($B5:I5)</f>
        <v>154636660.42844817</v>
      </c>
      <c r="J13" s="77">
        <f>SUM($B5:J5)</f>
        <v>190968559.90263078</v>
      </c>
      <c r="K13" s="77">
        <f>SUM($B5:K5)</f>
        <v>239156100.97520292</v>
      </c>
      <c r="L13" s="77">
        <f>SUM($B5:L5)</f>
        <v>284347494.43791318</v>
      </c>
      <c r="M13" s="77">
        <f>SUM($B5:M5)</f>
        <v>369680338.08316511</v>
      </c>
      <c r="N13" s="5"/>
      <c r="O13" s="5"/>
      <c r="P13" s="5" t="str">
        <v>De Drift_Tracker.xlsx</v>
      </c>
      <c r="Q13" s="5"/>
      <c r="R13" s="5"/>
      <c r="S13" s="5"/>
      <c r="T13" s="5"/>
      <c r="U13" s="5"/>
      <c r="V13" s="5"/>
      <c r="W13" s="5"/>
      <c r="X13" s="5"/>
      <c r="Y13" s="5"/>
      <c r="Z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</row>
    <row r="14" spans="1:54" s="50" customFormat="1" ht="15.75" customHeight="1">
      <c r="A14" s="76" t="s">
        <v>128</v>
      </c>
      <c r="B14" s="77">
        <f>B10 - B13</f>
        <v>-7099058.8109772392</v>
      </c>
      <c r="C14" s="77">
        <f t="shared" ref="C14:M14" si="3">C10 - C13</f>
        <v>-9698501.3495533578</v>
      </c>
      <c r="D14" s="77">
        <f t="shared" si="3"/>
        <v>-12213644.844107784</v>
      </c>
      <c r="E14" s="77">
        <f t="shared" si="3"/>
        <v>-22150095.470355801</v>
      </c>
      <c r="F14" s="77">
        <f t="shared" si="3"/>
        <v>-30922231.343301579</v>
      </c>
      <c r="G14" s="77">
        <f t="shared" si="3"/>
        <v>-39760121.718978867</v>
      </c>
      <c r="H14" s="77">
        <f t="shared" si="3"/>
        <v>-50529161.671562284</v>
      </c>
      <c r="I14" s="77">
        <f t="shared" si="3"/>
        <v>-40383075.490388438</v>
      </c>
      <c r="J14" s="77">
        <f t="shared" si="3"/>
        <v>-20517008.21310246</v>
      </c>
      <c r="K14" s="77">
        <f t="shared" si="3"/>
        <v>-45759093.357184947</v>
      </c>
      <c r="L14" s="77">
        <f t="shared" si="3"/>
        <v>-76215130.52104643</v>
      </c>
      <c r="M14" s="77">
        <f t="shared" si="3"/>
        <v>-151460400.11114329</v>
      </c>
      <c r="N14" s="5"/>
      <c r="O14" s="5"/>
      <c r="P14" s="5" t="str">
        <v>Dobsonpoint_Tracker.xlsx</v>
      </c>
      <c r="Q14" s="5"/>
      <c r="R14" s="5"/>
      <c r="S14" s="5"/>
      <c r="T14" s="5"/>
      <c r="U14" s="5"/>
      <c r="V14" s="5"/>
      <c r="W14" s="5"/>
      <c r="X14" s="5"/>
      <c r="Y14" s="5"/>
      <c r="Z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</row>
    <row r="15" spans="1:54" s="50" customFormat="1" ht="15.75" customHeight="1">
      <c r="A15" s="76" t="s">
        <v>129</v>
      </c>
      <c r="B15" s="81">
        <f>IF(B13=0, 0, (B10-B13)/B13)</f>
        <v>-0.75939501874633963</v>
      </c>
      <c r="C15" s="81">
        <f t="shared" ref="C15:M15" si="4">IF(C13=0, 0, (C10-C13)/C13)</f>
        <v>-0.34342081215047859</v>
      </c>
      <c r="D15" s="81">
        <f t="shared" si="4"/>
        <v>-0.23749789563227511</v>
      </c>
      <c r="E15" s="81">
        <f t="shared" si="4"/>
        <v>-0.33693818430374706</v>
      </c>
      <c r="F15" s="81">
        <f t="shared" si="4"/>
        <v>-0.38619998262801442</v>
      </c>
      <c r="G15" s="81">
        <f t="shared" si="4"/>
        <v>-0.38224759471491004</v>
      </c>
      <c r="H15" s="81">
        <f t="shared" si="4"/>
        <v>-0.39529067616357677</v>
      </c>
      <c r="I15" s="81">
        <f t="shared" si="4"/>
        <v>-0.26114813510910023</v>
      </c>
      <c r="J15" s="81">
        <f t="shared" si="4"/>
        <v>-0.1074365760707599</v>
      </c>
      <c r="K15" s="81">
        <f t="shared" si="4"/>
        <v>-0.19133567226842152</v>
      </c>
      <c r="L15" s="81">
        <f t="shared" si="4"/>
        <v>-0.26803517531148102</v>
      </c>
      <c r="M15" s="81">
        <f t="shared" si="4"/>
        <v>-0.40970639903783579</v>
      </c>
      <c r="N15" s="5"/>
      <c r="O15" s="5"/>
      <c r="P15" s="5" t="str">
        <v>FY 2026 Adhoc_Tracker.xlsx</v>
      </c>
      <c r="Q15" s="5"/>
      <c r="R15" s="5"/>
      <c r="S15" s="5"/>
      <c r="T15" s="5"/>
      <c r="U15" s="5"/>
      <c r="V15" s="5"/>
      <c r="W15" s="5"/>
      <c r="X15" s="5"/>
      <c r="Y15" s="5"/>
      <c r="Z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</row>
    <row r="16" spans="1:54" s="50" customFormat="1" ht="15.75" customHeight="1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 t="str">
        <v>Gezina Galleries_Tracker.xlsx</v>
      </c>
      <c r="Q16" s="5"/>
      <c r="R16" s="5"/>
      <c r="S16" s="5"/>
      <c r="T16" s="5"/>
      <c r="U16" s="5"/>
      <c r="V16" s="5"/>
      <c r="W16" s="5"/>
      <c r="X16" s="5"/>
      <c r="Y16" s="5"/>
      <c r="Z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</row>
    <row r="17" spans="1:54" s="50" customFormat="1" ht="15.75" customHeight="1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 t="str">
        <v>Gillwell_Tracker.xlsx</v>
      </c>
      <c r="Q17" s="5"/>
      <c r="R17" s="5"/>
      <c r="S17" s="5"/>
      <c r="T17" s="5"/>
      <c r="U17" s="5"/>
      <c r="V17" s="5"/>
      <c r="W17" s="5"/>
      <c r="X17" s="5"/>
      <c r="Y17" s="5"/>
      <c r="Z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</row>
    <row r="18" spans="1:54" s="50" customFormat="1" ht="15.75" customHeight="1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 t="str">
        <v>Hungry Lion_Citrusdal_Tracker.xlsx</v>
      </c>
      <c r="Q18" s="5"/>
      <c r="R18" s="5"/>
      <c r="S18" s="5"/>
      <c r="T18" s="5"/>
      <c r="U18" s="5"/>
      <c r="V18" s="5"/>
      <c r="W18" s="5"/>
      <c r="X18" s="5"/>
      <c r="Y18" s="5"/>
      <c r="Z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</row>
    <row r="19" spans="1:54" s="50" customFormat="1" ht="15.75" customHeight="1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 t="str">
        <v>IconsSA_KZN_Tracker.xlsx</v>
      </c>
      <c r="Q19" s="5"/>
      <c r="R19" s="5"/>
      <c r="S19" s="5"/>
      <c r="T19" s="5"/>
      <c r="U19" s="5"/>
      <c r="V19" s="5"/>
      <c r="W19" s="5"/>
      <c r="X19" s="5"/>
      <c r="Y19" s="5"/>
      <c r="Z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</row>
    <row r="20" spans="1:54" s="54" customFormat="1" ht="15.75" customHeight="1">
      <c r="A20" s="78" t="s">
        <v>130</v>
      </c>
      <c r="B20" s="77" t="s">
        <v>102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 t="str">
        <v>Kroonstad_Tracker.xlsx</v>
      </c>
      <c r="Q20" s="5"/>
      <c r="R20" s="5"/>
      <c r="S20" s="5"/>
      <c r="T20" s="5"/>
      <c r="U20" s="5"/>
      <c r="V20" s="5"/>
      <c r="W20" s="5"/>
      <c r="X20" s="5"/>
      <c r="Y20" s="5"/>
      <c r="Z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</row>
    <row r="21" spans="1:54" s="54" customFormat="1" ht="15.75" customHeight="1">
      <c r="A21" s="78" t="s">
        <v>131</v>
      </c>
      <c r="B21" s="82">
        <v>46023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 t="str">
        <v>Lynnridge Mall_Tracker_1.xlsx</v>
      </c>
      <c r="Q21" s="5"/>
      <c r="R21" s="5"/>
      <c r="S21" s="5"/>
      <c r="T21" s="5"/>
      <c r="U21" s="5"/>
      <c r="V21" s="5"/>
      <c r="W21" s="5"/>
      <c r="X21" s="5"/>
      <c r="Y21" s="5"/>
      <c r="Z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</row>
    <row r="22" spans="1:54" s="54" customFormat="1" ht="15.75" customHeight="1">
      <c r="A22" s="78" t="s">
        <v>104</v>
      </c>
      <c r="B22" s="77" t="s">
        <v>105</v>
      </c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 t="str">
        <v>Mahikeng Builders Express_Tracker.xlsx</v>
      </c>
      <c r="Q22" s="5"/>
      <c r="R22" s="5"/>
      <c r="S22" s="5"/>
      <c r="T22" s="5"/>
      <c r="U22" s="5"/>
      <c r="V22" s="5"/>
      <c r="W22" s="5"/>
      <c r="X22" s="5"/>
      <c r="Y22" s="5"/>
      <c r="Z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</row>
    <row r="23" spans="1:54" s="54" customFormat="1" ht="15.75" customHeight="1">
      <c r="A23" s="50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 t="str">
        <v>Malvern Ph2_Tracker.xlsx</v>
      </c>
      <c r="Q23" s="5"/>
      <c r="R23" s="5"/>
      <c r="S23" s="5"/>
      <c r="T23" s="5"/>
      <c r="U23" s="5"/>
      <c r="V23" s="5"/>
      <c r="W23" s="5"/>
      <c r="X23" s="5"/>
      <c r="Y23" s="5"/>
      <c r="Z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</row>
    <row r="24" spans="1:54" s="54" customFormat="1" ht="15.75" customHeight="1">
      <c r="A24" s="50"/>
      <c r="B24" s="62" t="s">
        <v>104</v>
      </c>
      <c r="C24" s="62" t="s">
        <v>108</v>
      </c>
      <c r="D24" s="62" t="s">
        <v>109</v>
      </c>
      <c r="E24" s="173" t="s">
        <v>132</v>
      </c>
      <c r="F24" s="62" t="s">
        <v>133</v>
      </c>
      <c r="G24" s="62" t="s">
        <v>134</v>
      </c>
      <c r="H24" s="5"/>
      <c r="I24" s="5"/>
      <c r="J24" s="5"/>
      <c r="K24" s="5"/>
      <c r="L24" s="5"/>
      <c r="M24" s="5"/>
      <c r="N24" s="5"/>
      <c r="O24" s="5"/>
      <c r="P24" s="5" t="str">
        <v>Marikana Old Church_Tracker.xlsx</v>
      </c>
      <c r="Q24" s="5"/>
      <c r="R24" s="5"/>
      <c r="S24" s="5"/>
      <c r="T24" s="5"/>
      <c r="U24" s="5"/>
      <c r="V24" s="5"/>
      <c r="W24" s="5"/>
      <c r="X24" s="5"/>
      <c r="Y24" s="5"/>
      <c r="Z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</row>
    <row r="25" spans="1:54" s="54" customFormat="1" ht="15.75" hidden="1" customHeight="1">
      <c r="A25" s="50"/>
      <c r="B25" s="5" t="str" cm="1">
        <f t="array" ref="B25:G206">_xlfn.LET(
  _xlpm.m,  $B$21,
  _xlpm.p,  $B$22,
  _xlpm.proj, tblProgramExpense[ProjectName],
  _xlpm.it,   tblProgramExpense[ExpenseLineItem],
  _xlpm.inv,  tblProgramExpense[ExpenseInvoiceNumber],
  _xlpm.ir,   tblProgramExpense[ExpenseInvoicedDate],
  _xlpm.cos,  tblProgramExpense[RevenueAmount],
  _xlpm.start, EOMONTH(_xlpm.m,-1)+1,
  _xlpm.end,   EOMONTH(_xlpm.m,0),
  _xlpm.inMonth, IF(ISNUMBER(_xlpm.ir), (_xlpm.ir&gt;=_xlpm.start)*(_xlpm.ir&lt;=_xlpm.end), FALSE),
  _xlpm.byProj,  IF(OR(_xlpm.p="", _xlpm.p="(All projects)"), TRUE, _xlpm.proj=_xlpm.p),
  _xlpm.numNZ,   IF(ISNUMBER(_xlpm.cos), ABS(_xlpm.cos)&gt;0, FALSE),
  _xlpm.mask, _xlpm.inMonth*_xlpm.byProj*_xlpm.numNZ,
  _xlpm.rows, _xlfn._xlws.FILTER(
          _xlfn.HSTACK(_xlpm.proj, _xlpm.it, _xlpm.inv, _xlpm.ir, _xlpm.cos, IF(_xlpm.inv="", "Outstanding", "Realised")),
          _xlpm.mask,
          "No lines"
        ),
  _xlfn.SORTBY(
    _xlpm.rows,
    --(INDEX(_xlpm.rows,,6)="Realised"), -1,
    INDEX(_xlpm.rows,,4), -1
  )
)</f>
        <v>1 Bolt Ave_Tracker.xlsx</v>
      </c>
      <c r="C25" s="5" t="str">
        <v>Electrical PrEng sign off</v>
      </c>
      <c r="D25" s="5" t="str">
        <v>Sunspot E040</v>
      </c>
      <c r="E25" s="83">
        <v>46053</v>
      </c>
      <c r="F25" s="5">
        <v>72043.314500941618</v>
      </c>
      <c r="G25" s="5" t="str">
        <v>Realised</v>
      </c>
      <c r="H25" s="5"/>
      <c r="I25" s="5"/>
      <c r="J25" s="5"/>
      <c r="K25" s="5"/>
      <c r="L25" s="5"/>
      <c r="M25" s="5"/>
      <c r="N25" s="5"/>
      <c r="O25" s="5"/>
      <c r="P25" s="5" t="str">
        <v>Marikana Shoprite_Tracker.xlsx</v>
      </c>
      <c r="Q25" s="5"/>
      <c r="R25" s="5"/>
      <c r="S25" s="5"/>
      <c r="T25" s="5"/>
      <c r="U25" s="5"/>
      <c r="V25" s="5"/>
      <c r="W25" s="5"/>
      <c r="X25" s="5"/>
      <c r="Y25" s="5"/>
      <c r="Z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</row>
    <row r="26" spans="1:54" s="54" customFormat="1" ht="15.75" hidden="1" customHeight="1">
      <c r="A26" s="50"/>
      <c r="B26" s="5" t="str">
        <v>1 Bolt Ave_Tracker.xlsx</v>
      </c>
      <c r="C26" s="5" t="str">
        <v>Travel</v>
      </c>
      <c r="D26" s="5" t="str">
        <v>Expense Claims</v>
      </c>
      <c r="E26" s="83">
        <v>46053</v>
      </c>
      <c r="F26" s="5">
        <v>520.69245611270446</v>
      </c>
      <c r="G26" s="5" t="str">
        <v>Realised</v>
      </c>
      <c r="H26" s="5"/>
      <c r="I26" s="5"/>
      <c r="J26" s="5"/>
      <c r="K26" s="5"/>
      <c r="L26" s="5"/>
      <c r="M26" s="5"/>
      <c r="N26" s="5"/>
      <c r="O26" s="5"/>
      <c r="P26" s="5" t="str">
        <v>Mayo Macs_Tracker.xlsx</v>
      </c>
      <c r="Q26" s="5"/>
      <c r="R26" s="5"/>
      <c r="S26" s="5"/>
      <c r="T26" s="5"/>
      <c r="U26" s="5"/>
      <c r="V26" s="5"/>
      <c r="W26" s="5"/>
      <c r="X26" s="5"/>
      <c r="Y26" s="5"/>
      <c r="Z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</row>
    <row r="27" spans="1:54" s="54" customFormat="1" ht="15.75" hidden="1" customHeight="1">
      <c r="A27" s="50"/>
      <c r="B27" s="5" t="str">
        <v>7th Avenue Park_Tracker.xlsx</v>
      </c>
      <c r="C27" s="5" t="str">
        <v>Surface Protection Mats</v>
      </c>
      <c r="D27" s="5" t="str">
        <v xml:space="preserve">Allocated from Red Rocket </v>
      </c>
      <c r="E27" s="83">
        <v>46053</v>
      </c>
      <c r="F27" s="5">
        <v>2690.7175386759445</v>
      </c>
      <c r="G27" s="5" t="str">
        <v>Realised</v>
      </c>
      <c r="H27" s="5"/>
      <c r="I27" s="5"/>
      <c r="J27" s="5"/>
      <c r="K27" s="5"/>
      <c r="L27" s="5"/>
      <c r="M27" s="5"/>
      <c r="N27" s="5"/>
      <c r="O27" s="5"/>
      <c r="P27" s="5" t="str">
        <v>MEGA_PARK_P2_Tracker.xlsx</v>
      </c>
      <c r="Q27" s="5"/>
      <c r="R27" s="5"/>
      <c r="S27" s="5"/>
      <c r="T27" s="5"/>
      <c r="U27" s="5"/>
      <c r="V27" s="5"/>
      <c r="W27" s="5"/>
      <c r="X27" s="5"/>
      <c r="Y27" s="5"/>
      <c r="Z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</row>
    <row r="28" spans="1:54" s="54" customFormat="1" ht="15.75" hidden="1" customHeight="1">
      <c r="A28" s="50"/>
      <c r="B28" s="5" t="str">
        <v>7th Avenue Park_Tracker.xlsx</v>
      </c>
      <c r="C28" s="5" t="str">
        <v>Lintels</v>
      </c>
      <c r="D28" s="5" t="str">
        <v>Lintels for Africa - 234145</v>
      </c>
      <c r="E28" s="83">
        <v>46053</v>
      </c>
      <c r="F28" s="5">
        <v>37994.451499238232</v>
      </c>
      <c r="G28" s="5" t="str">
        <v>Realised</v>
      </c>
      <c r="H28" s="5"/>
      <c r="I28" s="5"/>
      <c r="J28" s="5"/>
      <c r="K28" s="5"/>
      <c r="L28" s="5"/>
      <c r="M28" s="5"/>
      <c r="N28" s="5"/>
      <c r="O28" s="5"/>
      <c r="P28" s="5" t="str">
        <v>Meraki Ph3_Tracker.xlsx</v>
      </c>
      <c r="Q28" s="5"/>
      <c r="R28" s="5"/>
      <c r="S28" s="5"/>
      <c r="T28" s="5"/>
      <c r="U28" s="5"/>
      <c r="V28" s="5"/>
      <c r="W28" s="5"/>
      <c r="X28" s="5"/>
      <c r="Y28" s="5"/>
      <c r="Z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</row>
    <row r="29" spans="1:54" s="54" customFormat="1" ht="15.75" hidden="1" customHeight="1">
      <c r="A29" s="50"/>
      <c r="B29" s="5" t="str">
        <v>7th Avenue Park_Tracker.xlsx</v>
      </c>
      <c r="C29" s="5" t="str">
        <v>Project Kick Off</v>
      </c>
      <c r="D29" s="5" t="str">
        <v>Photon Solar INV-0159</v>
      </c>
      <c r="E29" s="83">
        <v>46053</v>
      </c>
      <c r="F29" s="5">
        <v>8262.6771057347669</v>
      </c>
      <c r="G29" s="5" t="str">
        <v>Realised</v>
      </c>
      <c r="H29" s="5"/>
      <c r="I29" s="5"/>
      <c r="J29" s="5"/>
      <c r="K29" s="5"/>
      <c r="L29" s="5"/>
      <c r="M29" s="5"/>
      <c r="N29" s="5"/>
      <c r="O29" s="5"/>
      <c r="P29" s="5" t="str">
        <v>Milkwood_Square_Tracker.xlsx</v>
      </c>
      <c r="Q29" s="5"/>
      <c r="R29" s="5"/>
      <c r="S29" s="5"/>
      <c r="T29" s="5"/>
      <c r="U29" s="5"/>
      <c r="V29" s="5"/>
      <c r="W29" s="5"/>
      <c r="X29" s="5"/>
      <c r="Y29" s="5"/>
      <c r="Z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</row>
    <row r="30" spans="1:54" s="54" customFormat="1" ht="15.75" hidden="1" customHeight="1">
      <c r="A30" s="50"/>
      <c r="B30" s="5" t="str">
        <v>7th Avenue Park_Tracker.xlsx</v>
      </c>
      <c r="C30" s="5" t="str">
        <v>CTs &amp; Meters</v>
      </c>
      <c r="D30" s="5" t="str">
        <v>Accuenergy Inv: ASAI-007259</v>
      </c>
      <c r="E30" s="83">
        <v>46053</v>
      </c>
      <c r="F30" s="5">
        <v>22791.003154631213</v>
      </c>
      <c r="G30" s="5" t="str">
        <v>Realised</v>
      </c>
      <c r="H30" s="5"/>
      <c r="I30" s="5"/>
      <c r="J30" s="5"/>
      <c r="K30" s="5"/>
      <c r="L30" s="5"/>
      <c r="M30" s="5"/>
      <c r="N30" s="5"/>
      <c r="O30" s="5"/>
      <c r="P30" s="5" t="str">
        <v>Mondi_Tracker_Rev02.xlsm</v>
      </c>
      <c r="Q30" s="5"/>
      <c r="R30" s="5"/>
      <c r="S30" s="5"/>
      <c r="T30" s="5"/>
      <c r="U30" s="5"/>
      <c r="V30" s="5"/>
      <c r="W30" s="5"/>
      <c r="X30" s="5"/>
      <c r="Y30" s="5"/>
      <c r="Z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</row>
    <row r="31" spans="1:54" s="54" customFormat="1" ht="15.75" hidden="1" customHeight="1">
      <c r="A31" s="50"/>
      <c r="B31" s="5" t="str">
        <v>7th Avenue Park_Tracker.xlsx</v>
      </c>
      <c r="C31" s="5" t="str">
        <v>Project Kick Off</v>
      </c>
      <c r="D31" s="5" t="str">
        <v>Photon Solar INV-0159</v>
      </c>
      <c r="E31" s="83">
        <v>46053</v>
      </c>
      <c r="F31" s="5">
        <v>4699.3458276471429</v>
      </c>
      <c r="G31" s="5" t="str">
        <v>Realised</v>
      </c>
      <c r="H31" s="5"/>
      <c r="I31" s="5"/>
      <c r="J31" s="5"/>
      <c r="K31" s="5"/>
      <c r="L31" s="5"/>
      <c r="M31" s="5"/>
      <c r="N31" s="5"/>
      <c r="O31" s="5"/>
      <c r="P31" s="5" t="str">
        <v>Northpoint_Tracker.xlsx</v>
      </c>
      <c r="Q31" s="5"/>
      <c r="R31" s="5"/>
      <c r="S31" s="5"/>
      <c r="T31" s="5"/>
      <c r="U31" s="5"/>
      <c r="V31" s="5"/>
      <c r="W31" s="5"/>
      <c r="X31" s="5"/>
      <c r="Y31" s="5"/>
      <c r="Z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</row>
    <row r="32" spans="1:54" s="54" customFormat="1" ht="15.75" hidden="1" customHeight="1">
      <c r="A32" s="50"/>
      <c r="B32" s="5" t="str">
        <v>7th Avenue Park_Tracker.xlsx</v>
      </c>
      <c r="C32" s="5" t="str">
        <v>Anchor Points - Deposit</v>
      </c>
      <c r="D32" s="5" t="str">
        <v>Hisafe - Inv 00361</v>
      </c>
      <c r="E32" s="83">
        <v>46053</v>
      </c>
      <c r="F32" s="5">
        <v>65745.99888605965</v>
      </c>
      <c r="G32" s="5" t="str">
        <v>Realised</v>
      </c>
      <c r="H32" s="5"/>
      <c r="I32" s="5"/>
      <c r="J32" s="5"/>
      <c r="K32" s="5"/>
      <c r="L32" s="5"/>
      <c r="M32" s="5"/>
      <c r="N32" s="5"/>
      <c r="O32" s="5"/>
      <c r="P32" s="5" t="str">
        <v>Pimville_Tracker.xlsx</v>
      </c>
      <c r="Q32" s="5"/>
      <c r="R32" s="5"/>
      <c r="S32" s="5"/>
      <c r="T32" s="5"/>
      <c r="U32" s="5"/>
      <c r="V32" s="5"/>
      <c r="W32" s="5"/>
      <c r="X32" s="5"/>
      <c r="Y32" s="5"/>
      <c r="Z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</row>
    <row r="33" spans="1:54" s="54" customFormat="1" ht="15.75" hidden="1" customHeight="1">
      <c r="A33" s="50"/>
      <c r="B33" s="5" t="str">
        <v>7th Avenue Park_Tracker.xlsx</v>
      </c>
      <c r="C33" s="5" t="str">
        <v>Anchor Points - Balance (Riverside deposit payment use as final payment )</v>
      </c>
      <c r="D33" s="5" t="str">
        <v>Hisafe - Inv 00361</v>
      </c>
      <c r="E33" s="83">
        <v>46053</v>
      </c>
      <c r="F33" s="5">
        <v>65745.99888605965</v>
      </c>
      <c r="G33" s="5" t="str">
        <v>Realised</v>
      </c>
      <c r="H33" s="5"/>
      <c r="I33" s="5"/>
      <c r="J33" s="5"/>
      <c r="K33" s="5"/>
      <c r="L33" s="5"/>
      <c r="M33" s="5"/>
      <c r="N33" s="5"/>
      <c r="O33" s="5"/>
      <c r="P33" s="5" t="str">
        <v>PnP Bethal_Tracker.xlsx</v>
      </c>
      <c r="Q33" s="5"/>
      <c r="R33" s="5"/>
      <c r="S33" s="5"/>
      <c r="T33" s="5"/>
      <c r="U33" s="5"/>
      <c r="V33" s="5"/>
      <c r="W33" s="5"/>
      <c r="X33" s="5"/>
      <c r="Y33" s="5"/>
      <c r="Z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</row>
    <row r="34" spans="1:54" s="54" customFormat="1" ht="15.75" hidden="1" customHeight="1">
      <c r="A34" s="50"/>
      <c r="B34" s="5" t="str">
        <v>7th Avenue Park_Tracker.xlsx</v>
      </c>
      <c r="C34" s="5" t="str">
        <v>Project Kick Off</v>
      </c>
      <c r="D34" s="5" t="str">
        <v>Photon Solar INV-0159</v>
      </c>
      <c r="E34" s="83">
        <v>46053</v>
      </c>
      <c r="F34" s="5">
        <v>15167.777777777779</v>
      </c>
      <c r="G34" s="5" t="str">
        <v>Realised</v>
      </c>
      <c r="H34" s="5"/>
      <c r="I34" s="5"/>
      <c r="J34" s="5"/>
      <c r="K34" s="5"/>
      <c r="L34" s="5"/>
      <c r="M34" s="5"/>
      <c r="N34" s="5"/>
      <c r="O34" s="5"/>
      <c r="P34" s="5" t="str">
        <v>Pretoria North_Tracker.xlsx</v>
      </c>
      <c r="Q34" s="5"/>
      <c r="R34" s="5"/>
      <c r="S34" s="5"/>
      <c r="T34" s="5"/>
      <c r="U34" s="5"/>
      <c r="V34" s="5"/>
      <c r="W34" s="5"/>
      <c r="X34" s="5"/>
      <c r="Y34" s="5"/>
      <c r="Z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</row>
    <row r="35" spans="1:54" s="54" customFormat="1" ht="15.75" hidden="1" customHeight="1">
      <c r="A35" s="50"/>
      <c r="B35" s="5" t="str">
        <v>7th Avenue Park_Tracker.xlsx</v>
      </c>
      <c r="C35" s="5" t="str">
        <v>Project Kick Off</v>
      </c>
      <c r="D35" s="5" t="str">
        <v>Photon Solar INV-0159</v>
      </c>
      <c r="E35" s="83">
        <v>46053</v>
      </c>
      <c r="F35" s="5">
        <v>2835.989225589226</v>
      </c>
      <c r="G35" s="5" t="str">
        <v>Realised</v>
      </c>
      <c r="H35" s="5"/>
      <c r="I35" s="5"/>
      <c r="J35" s="5"/>
      <c r="K35" s="5"/>
      <c r="L35" s="5"/>
      <c r="M35" s="5"/>
      <c r="N35" s="5"/>
      <c r="O35" s="5"/>
      <c r="P35" s="5" t="str">
        <v>Randfontein_Tracker.xlsx</v>
      </c>
      <c r="Q35" s="5"/>
      <c r="R35" s="5"/>
      <c r="S35" s="5"/>
      <c r="T35" s="5"/>
      <c r="U35" s="5"/>
      <c r="V35" s="5"/>
      <c r="W35" s="5"/>
      <c r="X35" s="5"/>
      <c r="Y35" s="5"/>
      <c r="Z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</row>
    <row r="36" spans="1:54" s="54" customFormat="1" ht="15.75" hidden="1" customHeight="1">
      <c r="A36" s="50"/>
      <c r="B36" s="5" t="str">
        <v>7th Avenue Park_Tracker.xlsx</v>
      </c>
      <c r="C36" s="5" t="str">
        <v>Travel</v>
      </c>
      <c r="D36" s="5" t="str">
        <v>Exepnse Claim</v>
      </c>
      <c r="E36" s="83">
        <v>46053</v>
      </c>
      <c r="F36" s="5">
        <v>382.24558329683163</v>
      </c>
      <c r="G36" s="5" t="str">
        <v>Realised</v>
      </c>
      <c r="H36" s="5"/>
      <c r="I36" s="5"/>
      <c r="J36" s="5"/>
      <c r="K36" s="5"/>
      <c r="L36" s="5"/>
      <c r="M36" s="5"/>
      <c r="N36" s="5"/>
      <c r="O36" s="5"/>
      <c r="P36" s="5" t="str">
        <v>Red Rocket_Tracker.xlsx</v>
      </c>
      <c r="Q36" s="5"/>
      <c r="R36" s="5"/>
      <c r="S36" s="5"/>
      <c r="T36" s="5"/>
      <c r="U36" s="5"/>
      <c r="V36" s="5"/>
      <c r="W36" s="5"/>
      <c r="X36" s="5"/>
      <c r="Y36" s="5"/>
      <c r="Z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</row>
    <row r="37" spans="1:54" s="54" customFormat="1" ht="15.75" hidden="1" customHeight="1">
      <c r="A37" s="50"/>
      <c r="B37" s="5" t="str">
        <v>Blackheath Park_Tracker.xlsx</v>
      </c>
      <c r="C37" s="5" t="str">
        <v>End of Defects Period</v>
      </c>
      <c r="D37" s="5" t="str">
        <v>CS_BHP_011</v>
      </c>
      <c r="E37" s="83">
        <v>46053</v>
      </c>
      <c r="F37" s="5">
        <v>35351.111111111117</v>
      </c>
      <c r="G37" s="5" t="str">
        <v>Realised</v>
      </c>
      <c r="H37" s="5"/>
      <c r="I37" s="5"/>
      <c r="J37" s="5"/>
      <c r="K37" s="5"/>
      <c r="L37" s="5"/>
      <c r="M37" s="5"/>
      <c r="N37" s="5"/>
      <c r="O37" s="5"/>
      <c r="P37" s="5" t="str">
        <v>Ridgeview Mall_Tracker.xlsx</v>
      </c>
      <c r="Q37" s="5"/>
      <c r="R37" s="5"/>
      <c r="S37" s="5"/>
      <c r="T37" s="5"/>
      <c r="U37" s="5"/>
      <c r="V37" s="5"/>
      <c r="W37" s="5"/>
      <c r="X37" s="5"/>
      <c r="Y37" s="5"/>
      <c r="Z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</row>
    <row r="38" spans="1:54" s="54" customFormat="1" ht="15.75" hidden="1" customHeight="1">
      <c r="A38" s="50"/>
      <c r="B38" s="5" t="str">
        <v>BMG Fluid Tech_Tracker.xlsx</v>
      </c>
      <c r="C38" s="5" t="str">
        <v>Site De-establisment</v>
      </c>
      <c r="D38" s="5" t="str">
        <v>Cosmic Sun - CS_BMG_009</v>
      </c>
      <c r="E38" s="83">
        <v>46053</v>
      </c>
      <c r="F38" s="5">
        <v>15700.555555555557</v>
      </c>
      <c r="G38" s="5" t="str">
        <v>Realised</v>
      </c>
      <c r="H38" s="5"/>
      <c r="I38" s="5"/>
      <c r="J38" s="5"/>
      <c r="K38" s="5"/>
      <c r="L38" s="5"/>
      <c r="M38" s="5"/>
      <c r="N38" s="5"/>
      <c r="O38" s="5"/>
      <c r="P38" s="5" t="str">
        <v>Riverside Mall_Tracker.xlsx</v>
      </c>
      <c r="Q38" s="5"/>
      <c r="R38" s="5"/>
      <c r="S38" s="5"/>
      <c r="T38" s="5"/>
      <c r="U38" s="5"/>
      <c r="V38" s="5"/>
      <c r="W38" s="5"/>
      <c r="X38" s="5"/>
      <c r="Y38" s="5"/>
      <c r="Z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</row>
    <row r="39" spans="1:54" s="54" customFormat="1" ht="15.75" hidden="1" customHeight="1">
      <c r="A39" s="50"/>
      <c r="B39" s="5" t="str">
        <v>BMG Fluid Tech_Tracker.xlsx</v>
      </c>
      <c r="C39" s="5" t="str">
        <v>Handover Document Complete</v>
      </c>
      <c r="D39" s="5" t="str">
        <v>Cosmic Sun - CS_BMG_010</v>
      </c>
      <c r="E39" s="83">
        <v>46053</v>
      </c>
      <c r="F39" s="5">
        <v>7850.2777777777774</v>
      </c>
      <c r="G39" s="5" t="str">
        <v>Realised</v>
      </c>
      <c r="H39" s="5"/>
      <c r="I39" s="5"/>
      <c r="J39" s="5"/>
      <c r="K39" s="5"/>
      <c r="L39" s="5"/>
      <c r="M39" s="5"/>
      <c r="N39" s="5"/>
      <c r="O39" s="5"/>
      <c r="P39" s="5" t="str">
        <v>SA Metal_14 Christiaan_A_Tracker.xlsx</v>
      </c>
      <c r="Q39" s="5"/>
      <c r="R39" s="5"/>
      <c r="S39" s="5"/>
      <c r="T39" s="5"/>
      <c r="U39" s="5"/>
      <c r="V39" s="5"/>
      <c r="W39" s="5"/>
      <c r="X39" s="5"/>
      <c r="Y39" s="5"/>
      <c r="Z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</row>
    <row r="40" spans="1:54" s="54" customFormat="1" ht="15.75" hidden="1" customHeight="1">
      <c r="A40" s="50"/>
      <c r="B40" s="5" t="str">
        <v>BMG Fluid Tech_Tracker.xlsx</v>
      </c>
      <c r="C40" s="5" t="str">
        <v>Red Team Inspection</v>
      </c>
      <c r="D40" s="5" t="str">
        <v>Matriarch - INV-6235</v>
      </c>
      <c r="E40" s="83">
        <v>46053</v>
      </c>
      <c r="F40" s="5">
        <v>9690.8939014202169</v>
      </c>
      <c r="G40" s="5" t="str">
        <v>Realised</v>
      </c>
      <c r="H40" s="5"/>
      <c r="I40" s="5"/>
      <c r="J40" s="5"/>
      <c r="K40" s="5"/>
      <c r="L40" s="5"/>
      <c r="M40" s="5"/>
      <c r="N40" s="5"/>
      <c r="O40" s="5"/>
      <c r="P40" s="5" t="str">
        <v>SA Metal_14 Christiaan_B_Tracker.xlsx</v>
      </c>
      <c r="Q40" s="5"/>
      <c r="R40" s="5"/>
      <c r="S40" s="5"/>
      <c r="T40" s="5"/>
      <c r="U40" s="5"/>
      <c r="V40" s="5"/>
      <c r="W40" s="5"/>
      <c r="X40" s="5"/>
      <c r="Y40" s="5"/>
      <c r="Z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</row>
    <row r="41" spans="1:54" s="54" customFormat="1" ht="15.75" hidden="1" customHeight="1">
      <c r="A41" s="50"/>
      <c r="B41" s="5" t="str">
        <v>BMG Fluid Tech_Tracker.xlsx</v>
      </c>
      <c r="C41" s="5" t="str">
        <v>Travel</v>
      </c>
      <c r="D41" s="5" t="str">
        <v>Expense Claim</v>
      </c>
      <c r="E41" s="83">
        <v>46053</v>
      </c>
      <c r="F41" s="5">
        <v>239.88712744421039</v>
      </c>
      <c r="G41" s="5" t="str">
        <v>Realised</v>
      </c>
      <c r="H41" s="5"/>
      <c r="I41" s="5"/>
      <c r="J41" s="5"/>
      <c r="K41" s="5"/>
      <c r="L41" s="5"/>
      <c r="M41" s="5"/>
      <c r="N41" s="5"/>
      <c r="O41" s="5"/>
      <c r="P41" s="5" t="str">
        <v>SA Metal_20 Christiaan_Tracker.xlsx</v>
      </c>
      <c r="Q41" s="5"/>
      <c r="R41" s="5"/>
      <c r="S41" s="5"/>
      <c r="T41" s="5"/>
      <c r="U41" s="5"/>
      <c r="V41" s="5"/>
      <c r="W41" s="5"/>
      <c r="X41" s="5"/>
      <c r="Y41" s="5"/>
      <c r="Z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</row>
    <row r="42" spans="1:54" s="54" customFormat="1" ht="15.75" hidden="1" customHeight="1">
      <c r="A42" s="50"/>
      <c r="B42" s="5" t="str">
        <v>Coega Steels Ph2_Tracker.xlsx</v>
      </c>
      <c r="C42" s="5" t="str">
        <v xml:space="preserve">Supply &amp; Delivery - Mode Duplex Fibre Modules </v>
      </c>
      <c r="D42" s="5" t="str">
        <v>Paul Van Vuuren - IOG122</v>
      </c>
      <c r="E42" s="83">
        <v>46053</v>
      </c>
      <c r="F42" s="5">
        <v>562.22433163430321</v>
      </c>
      <c r="G42" s="5" t="str">
        <v>Realised</v>
      </c>
      <c r="H42" s="5"/>
      <c r="I42" s="5"/>
      <c r="J42" s="5"/>
      <c r="K42" s="5"/>
      <c r="L42" s="5"/>
      <c r="M42" s="5"/>
      <c r="N42" s="5"/>
      <c r="O42" s="5"/>
      <c r="P42" s="5" t="str">
        <v>SA Metal_22 Christiaan_Tracker.xlsx</v>
      </c>
      <c r="Q42" s="5"/>
      <c r="R42" s="5"/>
      <c r="S42" s="5"/>
      <c r="T42" s="5"/>
      <c r="U42" s="5"/>
      <c r="V42" s="5"/>
      <c r="W42" s="5"/>
      <c r="X42" s="5"/>
      <c r="Y42" s="5"/>
      <c r="Z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</row>
    <row r="43" spans="1:54" s="54" customFormat="1" ht="15.75" hidden="1" customHeight="1">
      <c r="A43" s="50"/>
      <c r="B43" s="5" t="str">
        <v>Coega Steels Ph2_Tracker.xlsx</v>
      </c>
      <c r="C43" s="5" t="str">
        <v>AcuRev Energy Meter</v>
      </c>
      <c r="D43" s="5" t="str">
        <v>AccuEnergy - ASAI-007302</v>
      </c>
      <c r="E43" s="83">
        <v>46053</v>
      </c>
      <c r="F43" s="5">
        <v>7.42</v>
      </c>
      <c r="G43" s="5" t="str">
        <v>Realised</v>
      </c>
      <c r="H43" s="5"/>
      <c r="I43" s="5"/>
      <c r="J43" s="5"/>
      <c r="K43" s="5"/>
      <c r="L43" s="5"/>
      <c r="M43" s="5"/>
      <c r="N43" s="5"/>
      <c r="O43" s="5"/>
      <c r="P43" s="5" t="str">
        <v>Seshego Circle_Tracker.xlsx</v>
      </c>
      <c r="Q43" s="5"/>
      <c r="R43" s="5"/>
      <c r="S43" s="5"/>
      <c r="T43" s="5"/>
      <c r="U43" s="5"/>
      <c r="V43" s="5"/>
      <c r="W43" s="5"/>
      <c r="X43" s="5"/>
      <c r="Y43" s="5"/>
      <c r="Z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</row>
    <row r="44" spans="1:54" s="54" customFormat="1" ht="15.75" hidden="1" customHeight="1">
      <c r="A44" s="50"/>
      <c r="B44" s="5" t="str">
        <v>Coega Steels Ph2_Tracker.xlsx</v>
      </c>
      <c r="C44" s="5" t="str">
        <v>Panel Installation Complete</v>
      </c>
      <c r="D44" s="5" t="str">
        <v>Luken Solar - INV-0701</v>
      </c>
      <c r="E44" s="83">
        <v>46053</v>
      </c>
      <c r="F44" s="5">
        <v>305666.29694970069</v>
      </c>
      <c r="G44" s="5" t="str">
        <v>Realised</v>
      </c>
      <c r="H44" s="5"/>
      <c r="I44" s="5"/>
      <c r="J44" s="5"/>
      <c r="K44" s="5"/>
      <c r="L44" s="5"/>
      <c r="M44" s="5"/>
      <c r="N44" s="5"/>
      <c r="O44" s="5"/>
      <c r="P44" s="5" t="str">
        <v>Shoprite Mini_Bredarsdorp_Tracker.xlsx</v>
      </c>
      <c r="Q44" s="5"/>
      <c r="R44" s="5"/>
      <c r="S44" s="5"/>
      <c r="T44" s="5"/>
      <c r="U44" s="5"/>
      <c r="V44" s="5"/>
      <c r="W44" s="5"/>
      <c r="X44" s="5"/>
      <c r="Y44" s="5"/>
      <c r="Z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</row>
    <row r="45" spans="1:54" s="54" customFormat="1" ht="15.75" hidden="1" customHeight="1">
      <c r="A45" s="50"/>
      <c r="B45" s="5" t="str">
        <v>Coega Steels Ph2_Tracker.xlsx</v>
      </c>
      <c r="C45" s="5" t="str">
        <v>Stringing Complete</v>
      </c>
      <c r="D45" s="5" t="str">
        <v>Luken Solar - INV-0701</v>
      </c>
      <c r="E45" s="83">
        <v>46053</v>
      </c>
      <c r="F45" s="5">
        <v>76416.574237425171</v>
      </c>
      <c r="G45" s="5" t="str">
        <v>Realised</v>
      </c>
      <c r="H45" s="5"/>
      <c r="I45" s="5"/>
      <c r="J45" s="5"/>
      <c r="K45" s="5"/>
      <c r="L45" s="5"/>
      <c r="M45" s="5"/>
      <c r="N45" s="5"/>
      <c r="O45" s="5"/>
      <c r="P45" s="5" t="str">
        <v>Shoprite Mini_Citrusdal_Tracker.xlsx</v>
      </c>
      <c r="Q45" s="5"/>
      <c r="R45" s="5"/>
      <c r="S45" s="5"/>
      <c r="T45" s="5"/>
      <c r="U45" s="5"/>
      <c r="V45" s="5"/>
      <c r="W45" s="5"/>
      <c r="X45" s="5"/>
      <c r="Y45" s="5"/>
      <c r="Z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</row>
    <row r="46" spans="1:54" s="54" customFormat="1" ht="15.75" hidden="1" customHeight="1">
      <c r="A46" s="50"/>
      <c r="B46" s="5" t="str">
        <v>Coega Steels Ph2_Tracker.xlsx</v>
      </c>
      <c r="C46" s="5" t="str">
        <v>Snag Completion</v>
      </c>
      <c r="D46" s="5" t="str">
        <v>Luken Solar - INV-0701</v>
      </c>
      <c r="E46" s="83">
        <v>46053</v>
      </c>
      <c r="F46" s="5">
        <v>76416.574237425171</v>
      </c>
      <c r="G46" s="5" t="str">
        <v>Realised</v>
      </c>
      <c r="H46" s="5"/>
      <c r="I46" s="5"/>
      <c r="J46" s="5"/>
      <c r="K46" s="5"/>
      <c r="L46" s="5"/>
      <c r="M46" s="5"/>
      <c r="N46" s="5"/>
      <c r="O46" s="5"/>
      <c r="P46" s="5" t="str">
        <v>Sibasa_Tracker.xlsx</v>
      </c>
      <c r="Q46" s="5"/>
      <c r="R46" s="5"/>
      <c r="S46" s="5"/>
      <c r="T46" s="5"/>
      <c r="U46" s="5"/>
      <c r="V46" s="5"/>
      <c r="W46" s="5"/>
      <c r="X46" s="5"/>
      <c r="Y46" s="5"/>
      <c r="Z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</row>
    <row r="47" spans="1:54" s="54" customFormat="1" ht="15.75" hidden="1" customHeight="1">
      <c r="A47" s="50"/>
      <c r="B47" s="5" t="str">
        <v>Coega Steels Ph2_Tracker.xlsx</v>
      </c>
      <c r="C47" s="5" t="str">
        <v>End of Defects Period</v>
      </c>
      <c r="D47" s="5" t="str">
        <v>Luken Solar - INV-0701</v>
      </c>
      <c r="E47" s="83">
        <v>46053</v>
      </c>
      <c r="F47" s="5">
        <v>38208.287118712586</v>
      </c>
      <c r="G47" s="5" t="str">
        <v>Realised</v>
      </c>
      <c r="H47" s="5"/>
      <c r="I47" s="5"/>
      <c r="J47" s="5"/>
      <c r="K47" s="5"/>
      <c r="L47" s="5"/>
      <c r="M47" s="5"/>
      <c r="N47" s="5"/>
      <c r="O47" s="5"/>
      <c r="P47" s="5" t="str">
        <v>STD GQ_Tracker.xlsx</v>
      </c>
      <c r="Q47" s="5"/>
      <c r="R47" s="5"/>
      <c r="S47" s="5"/>
      <c r="T47" s="5"/>
      <c r="U47" s="5"/>
      <c r="V47" s="5"/>
      <c r="W47" s="5"/>
      <c r="X47" s="5"/>
      <c r="Y47" s="5"/>
      <c r="Z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</row>
    <row r="48" spans="1:54" s="54" customFormat="1" ht="15.75" hidden="1" customHeight="1">
      <c r="A48" s="50"/>
      <c r="B48" s="5" t="str">
        <v>Coega Steels Ph2_Tracker.xlsx</v>
      </c>
      <c r="C48" s="5" t="str">
        <v>Snag Completion</v>
      </c>
      <c r="D48" s="5" t="str">
        <v>Luken Solar - INV-0701</v>
      </c>
      <c r="E48" s="83">
        <v>46053</v>
      </c>
      <c r="F48" s="5">
        <v>47760.358898390739</v>
      </c>
      <c r="G48" s="5" t="str">
        <v>Realised</v>
      </c>
      <c r="H48" s="5"/>
      <c r="I48" s="5"/>
      <c r="J48" s="5"/>
      <c r="K48" s="5"/>
      <c r="L48" s="5"/>
      <c r="M48" s="5"/>
      <c r="N48" s="5"/>
      <c r="O48" s="5"/>
      <c r="P48" s="5" t="str">
        <v>Steelpark_Tracker.xlsx</v>
      </c>
      <c r="Q48" s="5"/>
      <c r="R48" s="5"/>
      <c r="S48" s="5"/>
      <c r="T48" s="5"/>
      <c r="U48" s="5"/>
      <c r="V48" s="5"/>
      <c r="W48" s="5"/>
      <c r="X48" s="5"/>
      <c r="Y48" s="5"/>
      <c r="Z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</row>
    <row r="49" spans="2:54" s="50" customFormat="1" ht="15.75" hidden="1" customHeight="1">
      <c r="B49" s="5" t="str">
        <v>Coega Steels Ph2_Tracker.xlsx</v>
      </c>
      <c r="C49" s="5" t="str">
        <v>End of Defects Period</v>
      </c>
      <c r="D49" s="5" t="str">
        <v>Luken Solar - INV-0701</v>
      </c>
      <c r="E49" s="83">
        <v>46053</v>
      </c>
      <c r="F49" s="5">
        <v>23880.17944919537</v>
      </c>
      <c r="G49" s="5" t="str">
        <v>Realised</v>
      </c>
      <c r="H49" s="5"/>
      <c r="I49" s="5"/>
      <c r="J49" s="5"/>
      <c r="K49" s="5"/>
      <c r="L49" s="5"/>
      <c r="M49" s="5"/>
      <c r="N49" s="5"/>
      <c r="O49" s="5"/>
      <c r="P49" s="5" t="str">
        <v>Superspar Ph2_Tracker.xlsx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</row>
    <row r="50" spans="2:54" s="50" customFormat="1" ht="15.75" hidden="1" customHeight="1">
      <c r="B50" s="5" t="str">
        <v>Coega Steels Ph2_Tracker.xlsx</v>
      </c>
      <c r="C50" s="5" t="str">
        <v>Snag Completion</v>
      </c>
      <c r="D50" s="5" t="str">
        <v>Luken Solar - INV-0701</v>
      </c>
      <c r="E50" s="83">
        <v>46053</v>
      </c>
      <c r="F50" s="5">
        <v>62088.466567907955</v>
      </c>
      <c r="G50" s="5" t="str">
        <v>Realised</v>
      </c>
      <c r="H50" s="5"/>
      <c r="I50" s="5"/>
      <c r="J50" s="5"/>
      <c r="K50" s="5"/>
      <c r="L50" s="5"/>
      <c r="M50" s="5"/>
      <c r="N50" s="5"/>
      <c r="O50" s="5"/>
      <c r="P50" s="5" t="str">
        <v>Swellengrebel_Tracker.xlsx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</row>
    <row r="51" spans="2:54" s="50" customFormat="1" ht="15.75" hidden="1" customHeight="1">
      <c r="B51" s="5" t="str">
        <v>Coega Steels Ph2_Tracker.xlsx</v>
      </c>
      <c r="C51" s="5" t="str">
        <v>End of Defects Period</v>
      </c>
      <c r="D51" s="5" t="str">
        <v>Luken Solar - INV-0701</v>
      </c>
      <c r="E51" s="83">
        <v>46053</v>
      </c>
      <c r="F51" s="5">
        <v>31044.233283953978</v>
      </c>
      <c r="G51" s="5" t="str">
        <v>Realised</v>
      </c>
      <c r="H51" s="5"/>
      <c r="I51" s="5"/>
      <c r="J51" s="5"/>
      <c r="K51" s="5"/>
      <c r="L51" s="5"/>
      <c r="M51" s="5"/>
      <c r="N51" s="5"/>
      <c r="O51" s="5"/>
      <c r="P51" s="5" t="str">
        <v>Topsteel_Tracker.xlsx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</row>
    <row r="52" spans="2:54" s="50" customFormat="1" ht="15.75" hidden="1" customHeight="1">
      <c r="B52" s="5" t="str">
        <v>Coega Steels Ph2_Tracker.xlsx</v>
      </c>
      <c r="C52" s="5" t="str">
        <v>Matriarch O &amp; M Fee - Phase 1 - Jan</v>
      </c>
      <c r="D52" s="5" t="str">
        <v>Matriarch - INV-6102</v>
      </c>
      <c r="E52" s="83">
        <v>46053</v>
      </c>
      <c r="F52" s="5">
        <v>2935.3002098267816</v>
      </c>
      <c r="G52" s="5" t="str">
        <v>Realised</v>
      </c>
      <c r="H52" s="5"/>
      <c r="I52" s="5"/>
      <c r="J52" s="5"/>
      <c r="K52" s="5"/>
      <c r="L52" s="5"/>
      <c r="M52" s="5"/>
      <c r="N52" s="5"/>
      <c r="O52" s="5"/>
      <c r="P52" s="5" t="str">
        <v>Trident Steel GP_Tracker.xlsx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</row>
    <row r="53" spans="2:54" s="50" customFormat="1" ht="15.75" hidden="1" customHeight="1">
      <c r="B53" s="5" t="str">
        <v>Coega Steels Ph2_Tracker.xlsx</v>
      </c>
      <c r="C53" s="5" t="str">
        <v>Panel Clean</v>
      </c>
      <c r="D53" s="5" t="str">
        <v>Matriarch - INV-6216</v>
      </c>
      <c r="E53" s="83">
        <v>46053</v>
      </c>
      <c r="F53" s="5">
        <v>9020.9219526243905</v>
      </c>
      <c r="G53" s="5" t="str">
        <v>Realised</v>
      </c>
      <c r="H53" s="5"/>
      <c r="I53" s="5"/>
      <c r="J53" s="5"/>
      <c r="K53" s="5"/>
      <c r="L53" s="5"/>
      <c r="M53" s="5"/>
      <c r="N53" s="5"/>
      <c r="O53" s="5"/>
      <c r="P53" s="5" t="str">
        <v>Trident Steel PE_Tracker.xlsx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3"/>
      <c r="AB53" s="53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</row>
    <row r="54" spans="2:54" s="50" customFormat="1" ht="15.75" hidden="1" customHeight="1">
      <c r="B54" s="5" t="str">
        <v>Dobsonpoint_Tracker.xlsx</v>
      </c>
      <c r="C54" s="5" t="str">
        <v>End of Defects Period</v>
      </c>
      <c r="D54" s="5" t="str">
        <v>Thula Moya IN05014</v>
      </c>
      <c r="E54" s="83">
        <v>46053</v>
      </c>
      <c r="F54" s="5">
        <v>11469.627878169938</v>
      </c>
      <c r="G54" s="5" t="str">
        <v>Realised</v>
      </c>
      <c r="H54" s="5"/>
      <c r="I54" s="5"/>
      <c r="J54" s="5"/>
      <c r="K54" s="5"/>
      <c r="L54" s="5"/>
      <c r="M54" s="5"/>
      <c r="N54" s="5"/>
      <c r="O54" s="5"/>
      <c r="P54" s="5" t="str">
        <v>Tsakana Corner_Tracker.xlsx</v>
      </c>
      <c r="Q54" s="5"/>
      <c r="R54" s="5"/>
      <c r="S54" s="5"/>
      <c r="T54" s="5"/>
      <c r="U54" s="5"/>
      <c r="V54" s="5"/>
      <c r="W54" s="5"/>
      <c r="X54" s="5"/>
      <c r="Y54" s="5"/>
      <c r="Z54" s="5"/>
      <c r="AA54" s="53"/>
      <c r="AB54" s="53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</row>
    <row r="55" spans="2:54" s="50" customFormat="1" ht="15.75" hidden="1" customHeight="1">
      <c r="B55" s="5" t="str">
        <v>Dobsonpoint_Tracker.xlsx</v>
      </c>
      <c r="C55" s="5" t="str">
        <v>End of Defects Period</v>
      </c>
      <c r="D55" s="5" t="str">
        <v>Thula Moya IN05014</v>
      </c>
      <c r="E55" s="83">
        <v>46053</v>
      </c>
      <c r="F55" s="5">
        <v>10249.529761551639</v>
      </c>
      <c r="G55" s="5" t="str">
        <v>Realised</v>
      </c>
      <c r="H55" s="5"/>
      <c r="I55" s="5"/>
      <c r="J55" s="5"/>
      <c r="K55" s="5"/>
      <c r="L55" s="5"/>
      <c r="M55" s="5"/>
      <c r="N55" s="5"/>
      <c r="O55" s="5"/>
      <c r="P55" s="5" t="str">
        <v>Umzimkhulu_Tracker.xlsx</v>
      </c>
      <c r="Q55" s="5"/>
      <c r="R55" s="5"/>
      <c r="S55" s="5"/>
      <c r="T55" s="5"/>
      <c r="U55" s="5"/>
      <c r="V55" s="5"/>
      <c r="W55" s="5"/>
      <c r="X55" s="5"/>
      <c r="Y55" s="5"/>
      <c r="Z55" s="5"/>
      <c r="AA55" s="53"/>
      <c r="AB55" s="53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</row>
    <row r="56" spans="2:54" s="50" customFormat="1" ht="15.75" hidden="1" customHeight="1">
      <c r="B56" s="5" t="str">
        <v>Dobsonpoint_Tracker.xlsx</v>
      </c>
      <c r="C56" s="5" t="str">
        <v>End of Defects Period</v>
      </c>
      <c r="D56" s="5" t="str">
        <v>Thula Moya IN05014</v>
      </c>
      <c r="E56" s="83">
        <v>46053</v>
      </c>
      <c r="F56" s="5">
        <v>18853.676470588231</v>
      </c>
      <c r="G56" s="5" t="str">
        <v>Realised</v>
      </c>
      <c r="H56" s="5"/>
      <c r="I56" s="5"/>
      <c r="J56" s="5"/>
      <c r="K56" s="5"/>
      <c r="L56" s="5"/>
      <c r="M56" s="5"/>
      <c r="N56" s="5"/>
      <c r="O56" s="5"/>
      <c r="P56" s="5" t="str">
        <v>Upper_East_Side_Hotel_Tracker.xlsx</v>
      </c>
      <c r="Q56" s="5"/>
      <c r="R56" s="5"/>
      <c r="S56" s="5"/>
      <c r="T56" s="5"/>
      <c r="U56" s="5"/>
      <c r="V56" s="5"/>
      <c r="W56" s="5"/>
      <c r="X56" s="5"/>
      <c r="Y56" s="5"/>
      <c r="Z56" s="5"/>
      <c r="AA56" s="53"/>
      <c r="AB56" s="53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</row>
    <row r="57" spans="2:54" s="50" customFormat="1" ht="15.75" hidden="1" customHeight="1">
      <c r="B57" s="5" t="str">
        <v>Dobsonpoint_Tracker.xlsx</v>
      </c>
      <c r="C57" s="5" t="str">
        <v>End of Defects Period</v>
      </c>
      <c r="D57" s="5" t="str">
        <v>Thula Moya IN05014</v>
      </c>
      <c r="E57" s="83">
        <v>46053</v>
      </c>
      <c r="F57" s="5">
        <v>1230.3921745232622</v>
      </c>
      <c r="G57" s="5" t="str">
        <v>Realised</v>
      </c>
      <c r="H57" s="5"/>
      <c r="I57" s="5"/>
      <c r="J57" s="5"/>
      <c r="K57" s="5"/>
      <c r="L57" s="5"/>
      <c r="M57" s="5"/>
      <c r="N57" s="5"/>
      <c r="O57" s="5"/>
      <c r="P57" s="5" t="str">
        <v>Waterside_Tracker.xlsx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3"/>
      <c r="AB57" s="53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</row>
    <row r="58" spans="2:54" s="50" customFormat="1" ht="15.75" hidden="1" customHeight="1">
      <c r="B58" s="5" t="str">
        <v>Dobsonpoint_Tracker.xlsx</v>
      </c>
      <c r="C58" s="5" t="str">
        <v>Travel</v>
      </c>
      <c r="D58" s="5" t="str">
        <v>Expense Claim</v>
      </c>
      <c r="E58" s="83">
        <v>46053</v>
      </c>
      <c r="F58" s="5">
        <v>242.21988584163191</v>
      </c>
      <c r="G58" s="5" t="str">
        <v>Realised</v>
      </c>
      <c r="H58" s="5"/>
      <c r="I58" s="5"/>
      <c r="J58" s="5"/>
      <c r="K58" s="5"/>
      <c r="L58" s="5"/>
      <c r="M58" s="5"/>
      <c r="N58" s="5"/>
      <c r="O58" s="5"/>
      <c r="P58" s="5" t="str">
        <v>Westway BESS_Tracker.xlsx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3"/>
      <c r="AB58" s="53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</row>
    <row r="59" spans="2:54" s="50" customFormat="1" ht="15.75" hidden="1" customHeight="1">
      <c r="B59" s="5" t="str">
        <v>Gezina Galleries_Tracker.xlsx</v>
      </c>
      <c r="C59" s="5" t="str">
        <v>Travel</v>
      </c>
      <c r="D59" s="5" t="str">
        <v>Expense Claim</v>
      </c>
      <c r="E59" s="83">
        <v>46053</v>
      </c>
      <c r="F59" s="5">
        <v>349.29500000000002</v>
      </c>
      <c r="G59" s="5" t="str">
        <v>Realised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3"/>
      <c r="AB59" s="53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</row>
    <row r="60" spans="2:54" s="50" customFormat="1" ht="15.75" hidden="1" customHeight="1">
      <c r="B60" s="5" t="str">
        <v>Hungry Lion_Citrusdal_Tracker.xlsx</v>
      </c>
      <c r="C60" s="5" t="str">
        <v>Matriarch Defects Period - 1.25%</v>
      </c>
      <c r="D60" s="5" t="str">
        <v>Matriarch - INV-6234</v>
      </c>
      <c r="E60" s="83">
        <v>46053</v>
      </c>
      <c r="F60" s="5">
        <v>13287.721200798753</v>
      </c>
      <c r="G60" s="5" t="str">
        <v>Realised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3"/>
      <c r="AB60" s="53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</row>
    <row r="61" spans="2:54" s="50" customFormat="1" ht="15.75" hidden="1" customHeight="1">
      <c r="B61" s="5" t="str">
        <v>IconsSA_KZN_Tracker.xlsx</v>
      </c>
      <c r="C61" s="5" t="str">
        <v>Electrical PrEng sign off</v>
      </c>
      <c r="D61" s="5" t="str">
        <v>SunSpot - E039</v>
      </c>
      <c r="E61" s="83">
        <v>46053</v>
      </c>
      <c r="F61" s="5">
        <v>18772.536958277255</v>
      </c>
      <c r="G61" s="5" t="str">
        <v>Realised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3"/>
      <c r="AB61" s="53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</row>
    <row r="62" spans="2:54" s="50" customFormat="1" ht="15.75" hidden="1" customHeight="1">
      <c r="B62" s="5" t="str">
        <v>Mahikeng Builders Express_Tracker.xlsx</v>
      </c>
      <c r="C62" s="5" t="str">
        <v>Techsitter</v>
      </c>
      <c r="D62" s="5" t="str">
        <v>Matriarch Inv: 6200</v>
      </c>
      <c r="E62" s="83">
        <v>46053</v>
      </c>
      <c r="F62" s="5">
        <v>23141.457934175331</v>
      </c>
      <c r="G62" s="5" t="str">
        <v>Realised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3"/>
      <c r="AB62" s="53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</row>
    <row r="63" spans="2:54" s="50" customFormat="1" ht="15.75" hidden="1" customHeight="1">
      <c r="B63" s="5" t="str">
        <v>Mahikeng Builders Express_Tracker.xlsx</v>
      </c>
      <c r="C63" s="5" t="str">
        <v>Safety Life Lines - 140m - Deposit</v>
      </c>
      <c r="D63" s="5" t="str">
        <v>ATS Africa - INV-0468</v>
      </c>
      <c r="E63" s="83">
        <v>46053</v>
      </c>
      <c r="F63" s="5">
        <v>56217.710915810079</v>
      </c>
      <c r="G63" s="5" t="str">
        <v>Realised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3"/>
      <c r="AB63" s="53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</row>
    <row r="64" spans="2:54" s="50" customFormat="1" ht="15.75" hidden="1" customHeight="1">
      <c r="B64" s="5" t="str">
        <v>Mahikeng Builders Express_Tracker.xlsx</v>
      </c>
      <c r="C64" s="5" t="str">
        <v>Safety Life Lines - 140m - Balance</v>
      </c>
      <c r="D64" s="5" t="str">
        <v>ATS Africa - INV-0468</v>
      </c>
      <c r="E64" s="83">
        <v>46053</v>
      </c>
      <c r="F64" s="5">
        <v>56217.710915810079</v>
      </c>
      <c r="G64" s="5" t="str">
        <v>Realised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49"/>
      <c r="AB64" s="49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</row>
    <row r="65" spans="1:54" s="50" customFormat="1" ht="15.75" hidden="1" customHeight="1">
      <c r="B65" s="5" t="str">
        <v>Mahikeng Builders Express_Tracker.xlsx</v>
      </c>
      <c r="C65" s="5" t="str">
        <v>Travel</v>
      </c>
      <c r="D65" s="5" t="str">
        <v>Expense Claim</v>
      </c>
      <c r="E65" s="83">
        <v>46053</v>
      </c>
      <c r="F65" s="5">
        <v>352.40904696082617</v>
      </c>
      <c r="G65" s="5" t="str">
        <v>Realised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49"/>
      <c r="AB65" s="49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</row>
    <row r="66" spans="1:54" s="50" customFormat="1" ht="15.75" hidden="1" customHeight="1">
      <c r="B66" s="5" t="str">
        <v>Malvern Ph2_Tracker.xlsx</v>
      </c>
      <c r="C66" s="5" t="str">
        <v>Techsitter</v>
      </c>
      <c r="D66" s="5" t="str">
        <v>Matriarch Inv: 6200</v>
      </c>
      <c r="E66" s="83">
        <v>46053</v>
      </c>
      <c r="F66" s="5">
        <v>52433.336986572744</v>
      </c>
      <c r="G66" s="5" t="str">
        <v>Realised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49"/>
      <c r="AB66" s="49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</row>
    <row r="67" spans="1:54" s="50" customFormat="1" ht="15.75" hidden="1" customHeight="1">
      <c r="B67" s="5" t="str">
        <v>Malvern Ph2_Tracker.xlsx</v>
      </c>
      <c r="C67" s="5" t="str">
        <v>Red Team Inspection</v>
      </c>
      <c r="D67" s="5" t="str">
        <v>Matriarch - INV-6235</v>
      </c>
      <c r="E67" s="83">
        <v>46053</v>
      </c>
      <c r="F67" s="5">
        <v>9048.5695276114438</v>
      </c>
      <c r="G67" s="5" t="str">
        <v>Realised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49"/>
      <c r="AB67" s="49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</row>
    <row r="68" spans="1:54" s="50" customFormat="1" ht="15.75" hidden="1" customHeight="1">
      <c r="B68" s="5" t="str">
        <v>Malvern Ph2_Tracker.xlsx</v>
      </c>
      <c r="C68" s="5" t="str">
        <v>Travel</v>
      </c>
      <c r="D68" s="5" t="str">
        <v>Expense claim</v>
      </c>
      <c r="E68" s="83">
        <v>46053</v>
      </c>
      <c r="F68" s="5">
        <v>430.8674399941637</v>
      </c>
      <c r="G68" s="5" t="str">
        <v>Realised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49"/>
      <c r="AB68" s="49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</row>
    <row r="69" spans="1:54" s="50" customFormat="1" ht="15.75" hidden="1" customHeight="1">
      <c r="B69" s="5" t="str">
        <v>Milkwood_Square_Tracker.xlsx</v>
      </c>
      <c r="C69" s="5" t="str">
        <v>Electrical PrEng sign off</v>
      </c>
      <c r="D69" s="5" t="str">
        <v>SunSpot E031</v>
      </c>
      <c r="E69" s="83">
        <v>46053</v>
      </c>
      <c r="F69" s="5">
        <v>83969.19973981037</v>
      </c>
      <c r="G69" s="5" t="str">
        <v>Realised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49"/>
      <c r="AB69" s="49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</row>
    <row r="70" spans="1:54" s="50" customFormat="1" ht="15.75" hidden="1" customHeight="1">
      <c r="B70" s="5" t="str">
        <v>Pimville_Tracker.xlsx</v>
      </c>
      <c r="C70" s="5" t="str">
        <v>Travel</v>
      </c>
      <c r="D70" s="5" t="str">
        <v>Expense Claim</v>
      </c>
      <c r="E70" s="83">
        <v>46053</v>
      </c>
      <c r="F70" s="5">
        <v>785.4</v>
      </c>
      <c r="G70" s="5" t="str">
        <v>Realised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49"/>
      <c r="AB70" s="49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</row>
    <row r="71" spans="1:54" s="50" customFormat="1" ht="15.75" hidden="1" customHeight="1">
      <c r="B71" s="5" t="str">
        <v>Randfontein_Tracker.xlsx</v>
      </c>
      <c r="C71" s="5" t="str">
        <v>Travel</v>
      </c>
      <c r="D71" s="5" t="str">
        <v>Expense Claim</v>
      </c>
      <c r="E71" s="83">
        <v>46053</v>
      </c>
      <c r="F71" s="5">
        <v>325.66942301012125</v>
      </c>
      <c r="G71" s="5" t="str">
        <v>Realised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49"/>
      <c r="AB71" s="49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</row>
    <row r="72" spans="1:54" s="50" customFormat="1" ht="15.75" hidden="1" customHeight="1">
      <c r="B72" s="5" t="str">
        <v>Red Rocket_Tracker.xlsx</v>
      </c>
      <c r="C72" s="5" t="str">
        <v>Travel</v>
      </c>
      <c r="D72" s="5" t="str">
        <v>Expense Claim</v>
      </c>
      <c r="E72" s="83">
        <v>46053</v>
      </c>
      <c r="F72" s="5">
        <v>1001.6327957313052</v>
      </c>
      <c r="G72" s="5" t="str">
        <v>Realised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49"/>
      <c r="AB72" s="49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</row>
    <row r="73" spans="1:54" s="50" customFormat="1" ht="15.75" hidden="1" customHeight="1">
      <c r="B73" s="5" t="str">
        <v>Red Rocket_Tracker.xlsx</v>
      </c>
      <c r="C73" s="5" t="str">
        <v>Additional Meters</v>
      </c>
      <c r="D73" s="5" t="str">
        <v>Craigcor  - PI141993</v>
      </c>
      <c r="E73" s="83">
        <v>46053</v>
      </c>
      <c r="F73" s="5">
        <v>70757.8</v>
      </c>
      <c r="G73" s="5" t="str">
        <v>Realised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49"/>
      <c r="AB73" s="49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</row>
    <row r="74" spans="1:54" ht="15.75" hidden="1" customHeight="1">
      <c r="A74" s="9"/>
      <c r="B74" s="5" t="str">
        <v>Riverside Mall_Tracker.xlsx</v>
      </c>
      <c r="C74" s="5" t="str">
        <v>Jinko Tiger Neo N-type66HL4M-BDV - 610W</v>
      </c>
      <c r="D74" s="5" t="str">
        <v>MSA Energy - INV0003559</v>
      </c>
      <c r="E74" s="83">
        <v>46053</v>
      </c>
      <c r="F74" s="5">
        <v>511106.6875</v>
      </c>
      <c r="G74" s="5" t="str">
        <v>Realised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49"/>
      <c r="AB74" s="49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</row>
    <row r="75" spans="1:54" ht="15.75" hidden="1" customHeight="1">
      <c r="A75" s="9"/>
      <c r="B75" s="5" t="str">
        <v>Riverside Mall_Tracker.xlsx</v>
      </c>
      <c r="C75" s="5" t="str">
        <v>Huawei 100KTL - Menlo</v>
      </c>
      <c r="D75" s="5" t="str">
        <v>MSA Energy - INV0003559</v>
      </c>
      <c r="E75" s="83">
        <v>46053</v>
      </c>
      <c r="F75" s="5">
        <v>88048.509138168272</v>
      </c>
      <c r="G75" s="5" t="str">
        <v>Realised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49"/>
      <c r="AB75" s="49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</row>
    <row r="76" spans="1:54" ht="15.75" hidden="1" customHeight="1">
      <c r="A76" s="9"/>
      <c r="B76" s="5" t="str">
        <v>Riverside Mall_Tracker.xlsx</v>
      </c>
      <c r="C76" s="5" t="str">
        <v>Huawei 50KTL</v>
      </c>
      <c r="D76" s="5" t="str">
        <v>MSA Energy - INV0003559</v>
      </c>
      <c r="E76" s="83">
        <v>46053</v>
      </c>
      <c r="F76" s="5">
        <v>55748.959216262105</v>
      </c>
      <c r="G76" s="5" t="str">
        <v>Realised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49"/>
      <c r="AB76" s="49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</row>
    <row r="77" spans="1:54" ht="15.75" hidden="1" customHeight="1">
      <c r="A77" s="9"/>
      <c r="B77" s="5" t="str">
        <v>Riverside Mall_Tracker.xlsx</v>
      </c>
      <c r="C77" s="5" t="str">
        <v>Schletter Structure</v>
      </c>
      <c r="D77" s="5" t="str">
        <v>Schletter - INV002599</v>
      </c>
      <c r="E77" s="83">
        <v>46053</v>
      </c>
      <c r="F77" s="5">
        <v>105322.5</v>
      </c>
      <c r="G77" s="5" t="str">
        <v>Realised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49"/>
      <c r="AB77" s="49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</row>
    <row r="78" spans="1:54" ht="15.75" hidden="1" customHeight="1">
      <c r="A78" s="9"/>
      <c r="B78" s="5" t="str">
        <v>Riverside Mall_Tracker.xlsx</v>
      </c>
      <c r="C78" s="5" t="str">
        <v>DC Cable - Menlo</v>
      </c>
      <c r="D78" s="5" t="str">
        <v>MSA Energy - INV0003559</v>
      </c>
      <c r="E78" s="83">
        <v>46053</v>
      </c>
      <c r="F78" s="5">
        <v>69733.17127227415</v>
      </c>
      <c r="G78" s="5" t="str">
        <v>Realised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49"/>
      <c r="AB78" s="49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</row>
    <row r="79" spans="1:54" ht="15.75" hidden="1" customHeight="1">
      <c r="A79" s="9"/>
      <c r="B79" s="51" t="str">
        <v>Riverside Mall_Tracker.xlsx</v>
      </c>
      <c r="C79" s="5" t="str">
        <v>Project Kick Off</v>
      </c>
      <c r="D79" s="51" t="str">
        <v>Leading Edge Power INV-0182</v>
      </c>
      <c r="E79" s="83">
        <v>46053</v>
      </c>
      <c r="F79" s="51">
        <v>24814.790745545168</v>
      </c>
      <c r="G79" s="5" t="str">
        <v>Realised</v>
      </c>
      <c r="H79" s="51"/>
      <c r="I79" s="5"/>
      <c r="J79" s="51"/>
      <c r="K79" s="5"/>
      <c r="L79" s="51"/>
      <c r="M79" s="5"/>
      <c r="N79" s="51"/>
      <c r="O79" s="5"/>
      <c r="P79" s="51"/>
      <c r="Q79" s="5"/>
      <c r="R79" s="51"/>
      <c r="S79" s="5"/>
      <c r="T79" s="51"/>
      <c r="U79" s="5"/>
      <c r="V79" s="51"/>
      <c r="W79" s="5"/>
      <c r="X79" s="51"/>
      <c r="Y79" s="5"/>
      <c r="Z79" s="5"/>
      <c r="AA79" s="49"/>
      <c r="AB79" s="49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</row>
    <row r="80" spans="1:54" ht="15.75" hidden="1" customHeight="1">
      <c r="A80" s="9"/>
      <c r="B80" s="51" t="str">
        <v>Riverside Mall_Tracker.xlsx</v>
      </c>
      <c r="C80" s="5" t="str">
        <v>Site Establishment</v>
      </c>
      <c r="D80" s="51" t="str">
        <v>Leading Edge Power INV-0183</v>
      </c>
      <c r="E80" s="83">
        <v>46053</v>
      </c>
      <c r="F80" s="51">
        <v>24814.790745545168</v>
      </c>
      <c r="G80" s="5" t="str">
        <v>Realised</v>
      </c>
      <c r="H80" s="51"/>
      <c r="I80" s="5"/>
      <c r="J80" s="51"/>
      <c r="K80" s="5"/>
      <c r="L80" s="51"/>
      <c r="M80" s="5"/>
      <c r="N80" s="51"/>
      <c r="O80" s="5"/>
      <c r="P80" s="51"/>
      <c r="Q80" s="5"/>
      <c r="R80" s="51"/>
      <c r="S80" s="5"/>
      <c r="T80" s="51"/>
      <c r="U80" s="5"/>
      <c r="V80" s="51"/>
      <c r="W80" s="5"/>
      <c r="X80" s="51"/>
      <c r="Y80" s="5"/>
      <c r="Z80" s="5"/>
      <c r="AA80" s="49"/>
      <c r="AB80" s="49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</row>
    <row r="81" spans="1:54" ht="15.75" hidden="1" customHeight="1">
      <c r="A81" s="9"/>
      <c r="B81" s="51" t="str">
        <v>Riverside Mall_Tracker.xlsx</v>
      </c>
      <c r="C81" s="5" t="str">
        <v>Smartlogger</v>
      </c>
      <c r="D81" s="51" t="str">
        <v>MSA Energy - INV0003570</v>
      </c>
      <c r="E81" s="83">
        <v>46053</v>
      </c>
      <c r="F81" s="51">
        <v>9671.8364739124972</v>
      </c>
      <c r="G81" s="5" t="str">
        <v>Realised</v>
      </c>
      <c r="H81" s="51"/>
      <c r="I81" s="5"/>
      <c r="J81" s="51"/>
      <c r="K81" s="5"/>
      <c r="L81" s="51"/>
      <c r="M81" s="5"/>
      <c r="N81" s="51"/>
      <c r="O81" s="5"/>
      <c r="P81" s="51"/>
      <c r="Q81" s="5"/>
      <c r="R81" s="51"/>
      <c r="S81" s="5"/>
      <c r="T81" s="51"/>
      <c r="U81" s="5"/>
      <c r="V81" s="51"/>
      <c r="W81" s="5"/>
      <c r="X81" s="51"/>
      <c r="Y81" s="5"/>
      <c r="Z81" s="5"/>
      <c r="AA81" s="49"/>
      <c r="AB81" s="49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</row>
    <row r="82" spans="1:54" ht="15.75" hidden="1" customHeight="1">
      <c r="A82" s="9"/>
      <c r="B82" s="51" t="str">
        <v>Riverside Mall_Tracker.xlsx</v>
      </c>
      <c r="C82" s="5" t="str">
        <v>CTs &amp; Meters</v>
      </c>
      <c r="D82" s="51" t="str">
        <v>Accuenergy Inv: ASAI-007302</v>
      </c>
      <c r="E82" s="83">
        <v>46053</v>
      </c>
      <c r="F82" s="51">
        <v>13967.253388046003</v>
      </c>
      <c r="G82" s="5" t="str">
        <v>Realised</v>
      </c>
      <c r="H82" s="51"/>
      <c r="I82" s="5"/>
      <c r="J82" s="51"/>
      <c r="K82" s="5"/>
      <c r="L82" s="51"/>
      <c r="M82" s="5"/>
      <c r="N82" s="51"/>
      <c r="O82" s="5"/>
      <c r="P82" s="51"/>
      <c r="Q82" s="5"/>
      <c r="R82" s="51"/>
      <c r="S82" s="5"/>
      <c r="T82" s="51"/>
      <c r="U82" s="5"/>
      <c r="V82" s="51"/>
      <c r="W82" s="5"/>
      <c r="X82" s="51"/>
      <c r="Y82" s="5"/>
      <c r="Z82" s="5"/>
      <c r="AA82" s="49"/>
      <c r="AB82" s="49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</row>
    <row r="83" spans="1:54" ht="15.75" hidden="1" customHeight="1">
      <c r="A83" s="9"/>
      <c r="B83" s="51" t="str">
        <v>Riverside Mall_Tracker.xlsx</v>
      </c>
      <c r="C83" s="5" t="str">
        <v>8 Port Switch</v>
      </c>
      <c r="D83" s="51" t="str">
        <v>Allocated from Red Rocket</v>
      </c>
      <c r="E83" s="83">
        <v>46053</v>
      </c>
      <c r="F83" s="51">
        <v>1988.1710850746003</v>
      </c>
      <c r="G83" s="5" t="str">
        <v>Realised</v>
      </c>
      <c r="H83" s="51"/>
      <c r="I83" s="5"/>
      <c r="J83" s="51"/>
      <c r="K83" s="5"/>
      <c r="L83" s="51"/>
      <c r="M83" s="5"/>
      <c r="N83" s="51"/>
      <c r="O83" s="5"/>
      <c r="P83" s="51"/>
      <c r="Q83" s="5"/>
      <c r="R83" s="51"/>
      <c r="S83" s="5"/>
      <c r="T83" s="51"/>
      <c r="U83" s="5"/>
      <c r="V83" s="51"/>
      <c r="W83" s="5"/>
      <c r="X83" s="51"/>
      <c r="Y83" s="5"/>
      <c r="Z83" s="5"/>
      <c r="AA83" s="49"/>
      <c r="AB83" s="49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</row>
    <row r="84" spans="1:54" ht="15.75" hidden="1" customHeight="1">
      <c r="A84" s="9"/>
      <c r="B84" s="51" t="str">
        <v>Riverside Mall_Tracker.xlsx</v>
      </c>
      <c r="C84" s="5" t="str">
        <v>Project Kick Off</v>
      </c>
      <c r="D84" s="51" t="str">
        <v>Leading Edge Power INV-0182</v>
      </c>
      <c r="E84" s="83">
        <v>46053</v>
      </c>
      <c r="F84" s="51">
        <v>28696.279307022203</v>
      </c>
      <c r="G84" s="5" t="str">
        <v>Realised</v>
      </c>
      <c r="H84" s="51"/>
      <c r="I84" s="5"/>
      <c r="J84" s="51"/>
      <c r="K84" s="5"/>
      <c r="L84" s="51"/>
      <c r="M84" s="5"/>
      <c r="N84" s="51"/>
      <c r="O84" s="5"/>
      <c r="P84" s="51"/>
      <c r="Q84" s="5"/>
      <c r="R84" s="51"/>
      <c r="S84" s="5"/>
      <c r="T84" s="51"/>
      <c r="U84" s="5"/>
      <c r="V84" s="51"/>
      <c r="W84" s="5"/>
      <c r="X84" s="51"/>
      <c r="Y84" s="5"/>
      <c r="Z84" s="5"/>
      <c r="AA84" s="49"/>
      <c r="AB84" s="49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</row>
    <row r="85" spans="1:54" ht="15.75" hidden="1" customHeight="1">
      <c r="B85" s="51" t="str">
        <v>Riverside Mall_Tracker.xlsx</v>
      </c>
      <c r="C85" s="5" t="str">
        <v>Site Establishment</v>
      </c>
      <c r="D85" s="51" t="str">
        <v>Leading Edge Power INV-0183</v>
      </c>
      <c r="E85" s="83">
        <v>46053</v>
      </c>
      <c r="F85" s="51">
        <v>28696.279307022203</v>
      </c>
      <c r="G85" s="5" t="str">
        <v>Realised</v>
      </c>
      <c r="H85" s="51"/>
      <c r="I85" s="5"/>
      <c r="J85" s="51"/>
      <c r="K85" s="5"/>
      <c r="L85" s="51"/>
      <c r="M85" s="5"/>
      <c r="N85" s="51"/>
      <c r="O85" s="5"/>
      <c r="P85" s="51"/>
      <c r="Q85" s="5"/>
      <c r="R85" s="51"/>
      <c r="S85" s="5"/>
      <c r="T85" s="51"/>
      <c r="U85" s="5"/>
      <c r="V85" s="51"/>
      <c r="W85" s="5"/>
      <c r="X85" s="51"/>
      <c r="Y85" s="5"/>
      <c r="Z85" s="5"/>
      <c r="AA85" s="49"/>
      <c r="AB85" s="49"/>
      <c r="AC85" s="5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</row>
    <row r="86" spans="1:54" ht="15.75" hidden="1" customHeight="1">
      <c r="A86" s="9"/>
      <c r="B86" s="51" t="str">
        <v>Riverside Mall_Tracker.xlsx</v>
      </c>
      <c r="C86" s="5" t="str">
        <v xml:space="preserve">Anchor Points - Deposit (move deposit payment to 7th Avenue </v>
      </c>
      <c r="D86" s="51" t="str">
        <v>Hisafe - 00360</v>
      </c>
      <c r="E86" s="83">
        <v>46053</v>
      </c>
      <c r="F86" s="51">
        <v>53617.213707910028</v>
      </c>
      <c r="G86" s="5" t="str">
        <v>Realised</v>
      </c>
      <c r="H86" s="51"/>
      <c r="I86" s="5"/>
      <c r="J86" s="51"/>
      <c r="K86" s="5"/>
      <c r="L86" s="51"/>
      <c r="M86" s="5"/>
      <c r="N86" s="51"/>
      <c r="O86" s="5"/>
      <c r="P86" s="51"/>
      <c r="Q86" s="5"/>
      <c r="R86" s="51"/>
      <c r="S86" s="5"/>
      <c r="T86" s="51"/>
      <c r="U86" s="5"/>
      <c r="V86" s="51"/>
      <c r="W86" s="5"/>
      <c r="X86" s="51"/>
      <c r="Y86" s="5"/>
      <c r="Z86" s="5"/>
      <c r="AA86" s="49"/>
      <c r="AB86" s="49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</row>
    <row r="87" spans="1:54" ht="15.75" hidden="1" customHeight="1">
      <c r="B87" s="51" t="str">
        <v>Riverside Mall_Tracker.xlsx</v>
      </c>
      <c r="C87" s="5" t="str">
        <v>Project Kick Off</v>
      </c>
      <c r="D87" s="51" t="str">
        <v>Leading Edge Power INV-0182</v>
      </c>
      <c r="E87" s="83">
        <v>46053</v>
      </c>
      <c r="F87" s="51">
        <v>32716.666666666672</v>
      </c>
      <c r="G87" s="5" t="str">
        <v>Realised</v>
      </c>
      <c r="H87" s="51"/>
      <c r="I87" s="5"/>
      <c r="J87" s="51"/>
      <c r="K87" s="5"/>
      <c r="L87" s="51"/>
      <c r="M87" s="5"/>
      <c r="N87" s="51"/>
      <c r="O87" s="5"/>
      <c r="P87" s="51"/>
      <c r="Q87" s="5"/>
      <c r="R87" s="51"/>
      <c r="S87" s="5"/>
      <c r="T87" s="51"/>
      <c r="U87" s="5"/>
      <c r="V87" s="51"/>
      <c r="W87" s="5"/>
      <c r="X87" s="51"/>
      <c r="Y87" s="5"/>
      <c r="Z87" s="5"/>
      <c r="AA87" s="49"/>
      <c r="AB87" s="49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</row>
    <row r="88" spans="1:54" ht="15.75" hidden="1" customHeight="1">
      <c r="B88" s="51" t="str">
        <v>Riverside Mall_Tracker.xlsx</v>
      </c>
      <c r="C88" s="5" t="str">
        <v>Site Establishment</v>
      </c>
      <c r="D88" s="51" t="str">
        <v>Leading Edge Power INV-0183</v>
      </c>
      <c r="E88" s="83">
        <v>46053</v>
      </c>
      <c r="F88" s="51">
        <v>32716.666666666672</v>
      </c>
      <c r="G88" s="5" t="str">
        <v>Realised</v>
      </c>
      <c r="H88" s="51"/>
      <c r="I88" s="5"/>
      <c r="J88" s="51"/>
      <c r="K88" s="5"/>
      <c r="L88" s="51"/>
      <c r="M88" s="5"/>
      <c r="N88" s="51"/>
      <c r="O88" s="5"/>
      <c r="P88" s="51"/>
      <c r="Q88" s="5"/>
      <c r="R88" s="51"/>
      <c r="S88" s="5"/>
      <c r="T88" s="51"/>
      <c r="U88" s="5"/>
      <c r="V88" s="51"/>
      <c r="W88" s="5"/>
      <c r="X88" s="51"/>
      <c r="Y88" s="5"/>
      <c r="Z88" s="5"/>
      <c r="AA88" s="49"/>
      <c r="AB88" s="49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</row>
    <row r="89" spans="1:54" ht="15.75" hidden="1" customHeight="1">
      <c r="B89" s="51" t="str">
        <v>Riverside Mall_Tracker.xlsx</v>
      </c>
      <c r="C89" s="5" t="str">
        <v>Project Kick Off</v>
      </c>
      <c r="D89" s="51" t="str">
        <v>Leading Edge Power INV-0182</v>
      </c>
      <c r="E89" s="83">
        <v>46053</v>
      </c>
      <c r="F89" s="51">
        <v>7636.9481481481489</v>
      </c>
      <c r="G89" s="5" t="str">
        <v>Realised</v>
      </c>
      <c r="H89" s="51"/>
      <c r="I89" s="5"/>
      <c r="J89" s="51"/>
      <c r="K89" s="5"/>
      <c r="L89" s="51"/>
      <c r="M89" s="5"/>
      <c r="N89" s="51"/>
      <c r="O89" s="5"/>
      <c r="P89" s="51"/>
      <c r="Q89" s="5"/>
      <c r="R89" s="51"/>
      <c r="S89" s="5"/>
      <c r="T89" s="51"/>
      <c r="U89" s="5"/>
      <c r="V89" s="51"/>
      <c r="W89" s="5"/>
      <c r="X89" s="51"/>
      <c r="Y89" s="5"/>
      <c r="Z89" s="5"/>
      <c r="AA89" s="49"/>
      <c r="AB89" s="49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</row>
    <row r="90" spans="1:54" ht="15.75" hidden="1" customHeight="1">
      <c r="B90" s="51" t="str">
        <v>Riverside Mall_Tracker.xlsx</v>
      </c>
      <c r="C90" s="5" t="str">
        <v>Site Establishment</v>
      </c>
      <c r="D90" s="51" t="str">
        <v>Leading Edge Power INV-0183</v>
      </c>
      <c r="E90" s="83">
        <v>46053</v>
      </c>
      <c r="F90" s="51">
        <v>7636.9481481481489</v>
      </c>
      <c r="G90" s="5" t="str">
        <v>Realised</v>
      </c>
      <c r="H90" s="5"/>
      <c r="I90" s="5"/>
      <c r="J90" s="51"/>
      <c r="K90" s="5"/>
      <c r="L90" s="51"/>
      <c r="M90" s="5"/>
      <c r="N90" s="51"/>
      <c r="O90" s="5"/>
      <c r="P90" s="51"/>
      <c r="Q90" s="5"/>
      <c r="R90" s="51"/>
      <c r="S90" s="5"/>
      <c r="T90" s="51"/>
      <c r="U90" s="5"/>
      <c r="V90" s="51"/>
      <c r="W90" s="5"/>
      <c r="X90" s="51"/>
      <c r="Y90" s="5"/>
      <c r="Z90" s="5"/>
      <c r="AA90" s="49"/>
      <c r="AB90" s="49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</row>
    <row r="91" spans="1:54" ht="15.75" hidden="1" customHeight="1">
      <c r="B91" s="51" t="str">
        <v>Riverside Mall_Tracker.xlsx</v>
      </c>
      <c r="C91" s="5" t="str">
        <v>Travel</v>
      </c>
      <c r="D91" s="51" t="str">
        <v>Expense Claim</v>
      </c>
      <c r="E91" s="83">
        <v>46053</v>
      </c>
      <c r="F91" s="51">
        <v>249.57102001906583</v>
      </c>
      <c r="G91" s="5" t="str">
        <v>Realised</v>
      </c>
      <c r="H91" s="51"/>
      <c r="I91" s="5"/>
      <c r="J91" s="51"/>
      <c r="K91" s="5"/>
      <c r="L91" s="51"/>
      <c r="M91" s="5"/>
      <c r="N91" s="51"/>
      <c r="O91" s="5"/>
      <c r="P91" s="51"/>
      <c r="Q91" s="5"/>
      <c r="R91" s="51"/>
      <c r="S91" s="5"/>
      <c r="T91" s="51"/>
      <c r="U91" s="5"/>
      <c r="V91" s="51"/>
      <c r="W91" s="5"/>
      <c r="X91" s="51"/>
      <c r="Y91" s="5"/>
      <c r="Z91" s="5"/>
      <c r="AA91" s="49"/>
      <c r="AB91" s="49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</row>
    <row r="92" spans="1:54" ht="15.75" hidden="1" customHeight="1">
      <c r="B92" s="51" t="str">
        <v>Seshego Circle_Tracker.xlsx</v>
      </c>
      <c r="C92" s="5" t="str">
        <v>AC Installation Complete</v>
      </c>
      <c r="D92" s="51" t="str">
        <v>JA Electrical Inv 1156</v>
      </c>
      <c r="E92" s="83">
        <v>46053</v>
      </c>
      <c r="F92" s="51">
        <v>21427.974006611563</v>
      </c>
      <c r="G92" s="5" t="str">
        <v>Realised</v>
      </c>
      <c r="H92" s="51"/>
      <c r="I92" s="5"/>
      <c r="J92" s="51"/>
      <c r="K92" s="5"/>
      <c r="L92" s="51"/>
      <c r="M92" s="5"/>
      <c r="N92" s="51"/>
      <c r="O92" s="5"/>
      <c r="P92" s="51"/>
      <c r="Q92" s="5"/>
      <c r="R92" s="51"/>
      <c r="S92" s="5"/>
      <c r="T92" s="51"/>
      <c r="U92" s="5"/>
      <c r="V92" s="51"/>
      <c r="W92" s="5"/>
      <c r="X92" s="51"/>
      <c r="Y92" s="5"/>
      <c r="Z92" s="5"/>
      <c r="AA92" s="49"/>
      <c r="AB92" s="49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</row>
    <row r="93" spans="1:54" ht="15.75" hidden="1" customHeight="1">
      <c r="B93" s="51" t="str">
        <v>Seshego Circle_Tracker.xlsx</v>
      </c>
      <c r="C93" s="5" t="str">
        <v>DC Installation Complete</v>
      </c>
      <c r="D93" s="51" t="str">
        <v>JA Electrical Inv 1156</v>
      </c>
      <c r="E93" s="83">
        <v>46053</v>
      </c>
      <c r="F93" s="51">
        <v>7142.6580022038534</v>
      </c>
      <c r="G93" s="5" t="str">
        <v>Realised</v>
      </c>
      <c r="H93" s="51"/>
      <c r="I93" s="5"/>
      <c r="J93" s="51"/>
      <c r="K93" s="5"/>
      <c r="L93" s="51"/>
      <c r="M93" s="5"/>
      <c r="N93" s="51"/>
      <c r="O93" s="5"/>
      <c r="P93" s="51"/>
      <c r="Q93" s="5"/>
      <c r="R93" s="51"/>
      <c r="S93" s="5"/>
      <c r="T93" s="51"/>
      <c r="U93" s="5"/>
      <c r="V93" s="51"/>
      <c r="W93" s="5"/>
      <c r="X93" s="51"/>
      <c r="Y93" s="5"/>
      <c r="Z93" s="5"/>
      <c r="AA93" s="49"/>
      <c r="AB93" s="49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</row>
    <row r="94" spans="1:54" ht="15.75" hidden="1" customHeight="1">
      <c r="B94" s="56" t="str">
        <v>Seshego Circle_Tracker.xlsx</v>
      </c>
      <c r="C94" s="5" t="str">
        <v>AC Installation Complete</v>
      </c>
      <c r="D94" s="56" t="str">
        <v>JA Electrical Inv 1156</v>
      </c>
      <c r="E94" s="83">
        <v>46053</v>
      </c>
      <c r="F94" s="51">
        <v>48105.880802646541</v>
      </c>
      <c r="G94" s="5" t="str">
        <v>Realised</v>
      </c>
      <c r="H94" s="56"/>
      <c r="I94" s="5"/>
      <c r="J94" s="56"/>
      <c r="K94" s="5"/>
      <c r="L94" s="56"/>
      <c r="M94" s="5"/>
      <c r="N94" s="56"/>
      <c r="O94" s="5"/>
      <c r="P94" s="56"/>
      <c r="Q94" s="5"/>
      <c r="R94" s="56"/>
      <c r="S94" s="5"/>
      <c r="T94" s="56"/>
      <c r="U94" s="5"/>
      <c r="V94" s="56"/>
      <c r="W94" s="5"/>
      <c r="X94" s="56"/>
      <c r="Y94" s="5"/>
      <c r="Z94" s="5"/>
      <c r="AA94" s="49"/>
      <c r="AB94" s="49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</row>
    <row r="95" spans="1:54" ht="15.75" hidden="1" customHeight="1">
      <c r="B95" s="52" t="str">
        <v>Seshego Circle_Tracker.xlsx</v>
      </c>
      <c r="C95" s="5" t="str">
        <v>DC Installation Complete</v>
      </c>
      <c r="D95" s="56" t="str">
        <v>JA Electrical Inv 1156</v>
      </c>
      <c r="E95" s="83">
        <v>46053</v>
      </c>
      <c r="F95" s="51">
        <v>16035.293600882182</v>
      </c>
      <c r="G95" s="5" t="str">
        <v>Realised</v>
      </c>
      <c r="H95" s="56"/>
      <c r="I95" s="5"/>
      <c r="J95" s="56"/>
      <c r="K95" s="5"/>
      <c r="L95" s="56"/>
      <c r="M95" s="5"/>
      <c r="N95" s="56"/>
      <c r="O95" s="5"/>
      <c r="P95" s="56"/>
      <c r="Q95" s="5"/>
      <c r="R95" s="56"/>
      <c r="S95" s="5"/>
      <c r="T95" s="56"/>
      <c r="U95" s="5"/>
      <c r="V95" s="56"/>
      <c r="W95" s="5"/>
      <c r="X95" s="56"/>
      <c r="Y95" s="5"/>
      <c r="Z95" s="5"/>
      <c r="AA95" s="49"/>
      <c r="AB95" s="49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</row>
    <row r="96" spans="1:54" ht="15.75" hidden="1" customHeight="1">
      <c r="B96" s="3" t="str">
        <v>Seshego Circle_Tracker.xlsx</v>
      </c>
      <c r="C96" s="5" t="str">
        <v>AC Installation Complete</v>
      </c>
      <c r="D96" s="3" t="str">
        <v>JA Electrical Inv 1156</v>
      </c>
      <c r="E96" s="83">
        <v>46053</v>
      </c>
      <c r="F96" s="5">
        <v>90352.196336766719</v>
      </c>
      <c r="G96" s="5" t="str">
        <v>Realised</v>
      </c>
      <c r="H96" s="3"/>
      <c r="I96" s="5"/>
      <c r="J96" s="3"/>
      <c r="K96" s="5"/>
      <c r="L96" s="3"/>
      <c r="M96" s="5"/>
      <c r="N96" s="3"/>
      <c r="O96" s="5"/>
      <c r="P96" s="3"/>
      <c r="Q96" s="5"/>
      <c r="R96" s="3"/>
      <c r="S96" s="5"/>
      <c r="T96" s="3"/>
      <c r="U96" s="5"/>
      <c r="V96" s="3"/>
      <c r="W96" s="5"/>
      <c r="X96" s="3"/>
      <c r="Y96" s="5"/>
      <c r="Z96" s="5"/>
      <c r="AA96" s="49"/>
      <c r="AB96" s="49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</row>
    <row r="97" spans="1:54" ht="15.75" hidden="1" customHeight="1">
      <c r="B97" s="3" t="str">
        <v>Seshego Circle_Tracker.xlsx</v>
      </c>
      <c r="C97" s="5" t="str">
        <v>DC Installation Complete</v>
      </c>
      <c r="D97" s="3" t="str">
        <v>JA Electrical Inv 1156</v>
      </c>
      <c r="E97" s="83">
        <v>46053</v>
      </c>
      <c r="F97" s="5">
        <v>30117.400295698208</v>
      </c>
      <c r="G97" s="5" t="str">
        <v>Realised</v>
      </c>
      <c r="H97" s="3"/>
      <c r="I97" s="5"/>
      <c r="J97" s="3"/>
      <c r="K97" s="5"/>
      <c r="L97" s="3"/>
      <c r="M97" s="5"/>
      <c r="N97" s="3"/>
      <c r="O97" s="5"/>
      <c r="P97" s="3"/>
      <c r="Q97" s="5"/>
      <c r="R97" s="3"/>
      <c r="S97" s="5"/>
      <c r="T97" s="3"/>
      <c r="U97" s="5"/>
      <c r="V97" s="3"/>
      <c r="W97" s="5"/>
      <c r="X97" s="3"/>
      <c r="Y97" s="5"/>
      <c r="Z97" s="5"/>
      <c r="AA97" s="49"/>
      <c r="AB97" s="49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</row>
    <row r="98" spans="1:54" s="61" customFormat="1" ht="15.75" hidden="1" customHeight="1">
      <c r="A98" s="57"/>
      <c r="B98" s="64" t="str">
        <v>Seshego Circle_Tracker.xlsx</v>
      </c>
      <c r="C98" s="64" t="str">
        <v>AC Installation Complete</v>
      </c>
      <c r="D98" s="64" t="str">
        <v>JA Electrical Inv 1156</v>
      </c>
      <c r="E98" s="50">
        <v>46053</v>
      </c>
      <c r="F98" s="194">
        <v>16832.875373135081</v>
      </c>
      <c r="G98" s="64" t="str">
        <v>Realised</v>
      </c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9"/>
      <c r="U98" s="58"/>
      <c r="V98" s="59"/>
      <c r="W98" s="58"/>
      <c r="X98" s="59"/>
      <c r="Y98" s="58"/>
      <c r="Z98" s="58"/>
      <c r="AA98" s="60"/>
      <c r="AC98" s="62"/>
      <c r="AD98" s="62"/>
      <c r="AE98" s="62"/>
      <c r="AF98" s="62"/>
      <c r="AG98" s="62"/>
      <c r="AH98" s="62"/>
      <c r="AI98" s="62"/>
      <c r="AJ98" s="62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</row>
    <row r="99" spans="1:54" ht="15.75" hidden="1" customHeight="1">
      <c r="B99" s="52" t="str">
        <v>Seshego Circle_Tracker.xlsx</v>
      </c>
      <c r="C99" s="52" t="str">
        <v>DC Installation Complete</v>
      </c>
      <c r="D99" s="52" t="str">
        <v>JA Electrical Inv 1156</v>
      </c>
      <c r="E99" s="50">
        <v>46053</v>
      </c>
      <c r="F99" s="5">
        <v>16832.875373135081</v>
      </c>
      <c r="G99" s="52" t="str">
        <v>Realised</v>
      </c>
      <c r="H99" s="63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</row>
    <row r="100" spans="1:54" ht="15.75" hidden="1" customHeight="1">
      <c r="A100" s="57"/>
      <c r="B100" s="5" t="str">
        <v>Shoprite Mini_Bredarsdorp_Tracker.xlsx</v>
      </c>
      <c r="C100" s="52" t="str">
        <v>DC Installation Complete - Partial</v>
      </c>
      <c r="D100" s="5" t="str">
        <v>JA Electrical: Inv 1152</v>
      </c>
      <c r="E100" s="83">
        <v>46053</v>
      </c>
      <c r="F100" s="5">
        <v>5925.9349877015457</v>
      </c>
      <c r="G100" s="5" t="str">
        <v>Realised</v>
      </c>
      <c r="H100" s="5"/>
      <c r="I100" s="5"/>
      <c r="J100" s="5"/>
      <c r="K100" s="64"/>
      <c r="L100" s="5"/>
      <c r="M100" s="64"/>
      <c r="N100" s="5"/>
      <c r="O100" s="64"/>
      <c r="P100" s="5"/>
      <c r="Q100" s="64"/>
      <c r="R100" s="5"/>
      <c r="S100" s="64"/>
      <c r="T100" s="5"/>
      <c r="U100" s="64"/>
      <c r="V100" s="5"/>
      <c r="W100" s="64"/>
      <c r="X100" s="5"/>
      <c r="Y100" s="64"/>
      <c r="Z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4" s="5" customFormat="1" ht="15.75" hidden="1" customHeight="1">
      <c r="B101" s="5" t="str">
        <v>Shoprite Mini_Bredarsdorp_Tracker.xlsx</v>
      </c>
      <c r="C101" s="5" t="str">
        <v>Commissioning Complete</v>
      </c>
      <c r="D101" s="5" t="str">
        <v>JA Electrical: Inv 1152</v>
      </c>
      <c r="E101" s="83">
        <v>46053</v>
      </c>
      <c r="F101" s="5">
        <v>11852.036618369695</v>
      </c>
      <c r="G101" s="5" t="str">
        <v>Realised</v>
      </c>
    </row>
    <row r="102" spans="1:54" ht="15.75" hidden="1" customHeight="1">
      <c r="B102" s="66" t="str">
        <v>Shoprite Mini_Bredarsdorp_Tracker.xlsx</v>
      </c>
      <c r="C102" s="52" t="str">
        <v>Site De-establisment</v>
      </c>
      <c r="D102" s="66" t="str">
        <v>JA Electrical: Inv 1152</v>
      </c>
      <c r="E102" s="50">
        <v>46053</v>
      </c>
      <c r="F102" s="5">
        <v>11852.036618369695</v>
      </c>
      <c r="G102" s="52" t="str">
        <v>Realised</v>
      </c>
      <c r="H102" s="66"/>
      <c r="J102" s="66"/>
      <c r="L102" s="66"/>
      <c r="N102" s="66"/>
      <c r="P102" s="66"/>
      <c r="R102" s="66"/>
      <c r="T102" s="67"/>
      <c r="U102" s="68"/>
      <c r="V102" s="69"/>
      <c r="W102" s="5"/>
      <c r="Z102" s="66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</row>
    <row r="103" spans="1:54" ht="15.75" hidden="1" customHeight="1">
      <c r="B103" s="52" t="str">
        <v>Shoprite Mini_Bredarsdorp_Tracker.xlsx</v>
      </c>
      <c r="C103" s="52" t="str">
        <v>Handover Document Complete</v>
      </c>
      <c r="D103" s="52" t="str">
        <v>JA Electrical Inv 1153</v>
      </c>
      <c r="E103" s="50">
        <v>46053</v>
      </c>
      <c r="F103" s="5">
        <v>5926.0183091848476</v>
      </c>
      <c r="G103" s="52" t="str">
        <v>Realised</v>
      </c>
      <c r="T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</row>
    <row r="104" spans="1:54" ht="15.75" hidden="1" customHeight="1">
      <c r="B104" s="5" t="str">
        <v>Shoprite Mini_Bredarsdorp_Tracker.xlsx</v>
      </c>
      <c r="C104" s="5" t="str">
        <v>End of Defects Period</v>
      </c>
      <c r="D104" s="5" t="str">
        <v>JA Electrical Inv 1153</v>
      </c>
      <c r="E104" s="83">
        <v>46053</v>
      </c>
      <c r="F104" s="5">
        <v>5926.0183091848476</v>
      </c>
      <c r="G104" s="5" t="str">
        <v>Realised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49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</row>
    <row r="105" spans="1:54" ht="15.75" hidden="1" customHeight="1">
      <c r="B105" s="5" t="str">
        <v>Shoprite Mini_Bredarsdorp_Tracker.xlsx</v>
      </c>
      <c r="C105" s="5" t="str">
        <v>DC Installation Complete - Partial</v>
      </c>
      <c r="D105" s="5" t="str">
        <v>JA Electrical: Inv 1152</v>
      </c>
      <c r="E105" s="83">
        <v>46053</v>
      </c>
      <c r="F105" s="5">
        <v>5697.3790365682507</v>
      </c>
      <c r="G105" s="5" t="str">
        <v>Realised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</row>
    <row r="106" spans="1:54" ht="15.75" hidden="1" customHeight="1">
      <c r="B106" s="70" t="str">
        <v>Shoprite Mini_Bredarsdorp_Tracker.xlsx</v>
      </c>
      <c r="C106" s="70" t="str">
        <v>Commissioning Complete</v>
      </c>
      <c r="D106" s="70" t="str">
        <v>JA Electrical: Inv 1152</v>
      </c>
      <c r="E106" s="84">
        <v>46053</v>
      </c>
      <c r="F106" s="5">
        <v>11394.7580731365</v>
      </c>
      <c r="G106" s="70" t="str">
        <v>Realised</v>
      </c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49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5"/>
      <c r="BB106" s="5"/>
    </row>
    <row r="107" spans="1:54" ht="15.75" hidden="1" customHeight="1">
      <c r="B107" s="70" t="str">
        <v>Shoprite Mini_Bredarsdorp_Tracker.xlsx</v>
      </c>
      <c r="C107" s="52" t="str">
        <v>Site De-establisment</v>
      </c>
      <c r="D107" s="70" t="str">
        <v>JA Electrical: Inv 1152</v>
      </c>
      <c r="E107" s="50">
        <v>46053</v>
      </c>
      <c r="F107" s="5">
        <v>11394.7580731365</v>
      </c>
      <c r="G107" s="52" t="str">
        <v>Realised</v>
      </c>
      <c r="H107" s="70"/>
      <c r="J107" s="70"/>
      <c r="L107" s="70"/>
      <c r="N107" s="70"/>
      <c r="P107" s="70"/>
      <c r="R107" s="70"/>
      <c r="T107" s="70"/>
      <c r="V107" s="70"/>
      <c r="X107" s="70"/>
      <c r="AD107" s="70"/>
      <c r="AE107" s="70"/>
      <c r="AF107" s="70"/>
      <c r="AG107" s="70"/>
      <c r="AH107" s="70"/>
      <c r="AI107" s="70"/>
      <c r="AJ107" s="70"/>
      <c r="AK107" s="70"/>
      <c r="AL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</row>
    <row r="108" spans="1:54" ht="15.75" hidden="1" customHeight="1">
      <c r="B108" s="52" t="str">
        <v>Shoprite Mini_Bredarsdorp_Tracker.xlsx</v>
      </c>
      <c r="C108" s="52" t="str">
        <v>Handover Document Complete</v>
      </c>
      <c r="D108" s="52" t="str">
        <v>JA Electrical Inv 1153</v>
      </c>
      <c r="E108" s="50">
        <v>46053</v>
      </c>
      <c r="F108" s="194">
        <v>5697.3790365682507</v>
      </c>
      <c r="G108" s="64" t="str">
        <v>Realised</v>
      </c>
      <c r="I108" s="5"/>
      <c r="J108" s="71"/>
      <c r="K108" s="72"/>
      <c r="L108" s="72"/>
    </row>
    <row r="109" spans="1:54" ht="15.75" hidden="1" customHeight="1">
      <c r="B109" s="52" t="str">
        <v>Shoprite Mini_Bredarsdorp_Tracker.xlsx</v>
      </c>
      <c r="C109" s="52" t="str">
        <v>End of Defects Period</v>
      </c>
      <c r="D109" s="52" t="str">
        <v>JA Electrical Inv 1153</v>
      </c>
      <c r="E109" s="50">
        <v>46053</v>
      </c>
      <c r="F109" s="5">
        <v>5697.3790365682507</v>
      </c>
      <c r="G109" s="52" t="str">
        <v>Realised</v>
      </c>
      <c r="I109" s="5"/>
    </row>
    <row r="110" spans="1:54" ht="15.75" hidden="1" customHeight="1">
      <c r="B110" s="50" t="str">
        <v>Shoprite Mini_Bredarsdorp_Tracker.xlsx</v>
      </c>
      <c r="C110" s="50" t="str">
        <v>DC Installation Complete - Partial</v>
      </c>
      <c r="D110" s="50" t="str">
        <v>JA Electrical: Inv 1152</v>
      </c>
      <c r="E110" s="50">
        <v>46053</v>
      </c>
      <c r="F110" s="5">
        <v>10941.700000000004</v>
      </c>
      <c r="G110" s="50" t="str">
        <v>Realised</v>
      </c>
      <c r="H110" s="50"/>
      <c r="I110" s="50"/>
      <c r="J110" s="50"/>
      <c r="K110" s="50"/>
      <c r="L110" s="50"/>
      <c r="M110" s="50"/>
      <c r="T110" s="5"/>
      <c r="V110" s="5"/>
      <c r="X110" s="5"/>
      <c r="BB110" s="5"/>
    </row>
    <row r="111" spans="1:54" ht="15.75" hidden="1" customHeight="1">
      <c r="B111" s="49" t="str">
        <v>Shoprite Mini_Bredarsdorp_Tracker.xlsx</v>
      </c>
      <c r="C111" s="49" t="str">
        <v>Commissioning Complete</v>
      </c>
      <c r="D111" s="49" t="str">
        <v>JA Electrical: Inv 1152</v>
      </c>
      <c r="E111" s="50">
        <v>46053</v>
      </c>
      <c r="F111" s="5">
        <v>21883.400000000005</v>
      </c>
      <c r="G111" s="49" t="str">
        <v>Realised</v>
      </c>
      <c r="H111" s="49"/>
      <c r="I111" s="72"/>
      <c r="J111" s="72"/>
      <c r="K111" s="72"/>
      <c r="L111" s="72"/>
      <c r="M111" s="72"/>
    </row>
    <row r="112" spans="1:54" ht="15.75" hidden="1" customHeight="1">
      <c r="B112" s="49" t="str">
        <v>Shoprite Mini_Bredarsdorp_Tracker.xlsx</v>
      </c>
      <c r="C112" s="49" t="str">
        <v>Site De-establisment</v>
      </c>
      <c r="D112" s="49" t="str">
        <v>JA Electrical: Inv 1152</v>
      </c>
      <c r="E112" s="50">
        <v>46053</v>
      </c>
      <c r="F112" s="5">
        <v>21883.400000000005</v>
      </c>
      <c r="G112" s="49" t="str">
        <v>Realised</v>
      </c>
      <c r="H112" s="49"/>
      <c r="I112" s="49"/>
      <c r="J112" s="49"/>
      <c r="K112" s="49"/>
      <c r="L112" s="49"/>
      <c r="M112" s="49"/>
      <c r="N112" s="5"/>
      <c r="O112" s="5"/>
    </row>
    <row r="113" spans="2:21" ht="15.75" hidden="1" customHeight="1">
      <c r="B113" s="49" t="str">
        <v>Shoprite Mini_Bredarsdorp_Tracker.xlsx</v>
      </c>
      <c r="C113" s="49" t="str">
        <v>Handover Document Complete</v>
      </c>
      <c r="D113" s="49" t="str">
        <v>JA Electrical Inv 1153</v>
      </c>
      <c r="E113" s="50">
        <v>46053</v>
      </c>
      <c r="F113" s="5">
        <v>10941.700000000004</v>
      </c>
      <c r="G113" s="49" t="str">
        <v>Realised</v>
      </c>
      <c r="H113" s="49"/>
      <c r="I113" s="49"/>
      <c r="J113" s="49"/>
      <c r="K113" s="49"/>
      <c r="L113" s="49"/>
      <c r="M113" s="49"/>
      <c r="N113" s="73"/>
    </row>
    <row r="114" spans="2:21" ht="15.75" hidden="1" customHeight="1">
      <c r="B114" s="49" t="str">
        <v>Shoprite Mini_Bredarsdorp_Tracker.xlsx</v>
      </c>
      <c r="C114" s="73" t="str">
        <v>End of Defects Period</v>
      </c>
      <c r="D114" s="73" t="str">
        <v>JA Electrical Inv 1153</v>
      </c>
      <c r="E114" s="50">
        <v>46053</v>
      </c>
      <c r="F114" s="5">
        <v>10941.700000000004</v>
      </c>
      <c r="G114" s="73" t="str">
        <v>Realised</v>
      </c>
      <c r="H114" s="73"/>
      <c r="I114" s="73"/>
      <c r="J114" s="73"/>
      <c r="K114" s="73"/>
      <c r="L114" s="73"/>
      <c r="M114" s="73"/>
      <c r="N114" s="73"/>
      <c r="O114" s="74"/>
    </row>
    <row r="115" spans="2:21" ht="15.75" hidden="1" customHeight="1">
      <c r="B115" s="52" t="str">
        <v>Shoprite Mini_Bredarsdorp_Tracker.xlsx</v>
      </c>
      <c r="C115" s="52" t="str">
        <v>DC Installation Complete - Partial</v>
      </c>
      <c r="D115" s="52" t="str">
        <v>JA Electrical: Inv 1152</v>
      </c>
      <c r="E115" s="50">
        <v>46053</v>
      </c>
      <c r="F115" s="5">
        <v>2952.9665449962872</v>
      </c>
      <c r="G115" s="5" t="str">
        <v>Realised</v>
      </c>
      <c r="N115" s="73"/>
      <c r="P115" s="5"/>
      <c r="T115" s="5"/>
    </row>
    <row r="116" spans="2:21" ht="15.75" hidden="1" customHeight="1">
      <c r="B116" s="52" t="str">
        <v>Shoprite Mini_Bredarsdorp_Tracker.xlsx</v>
      </c>
      <c r="C116" s="52" t="str">
        <v>Commissioning Complete</v>
      </c>
      <c r="D116" s="52" t="str">
        <v>JA Electrical: Inv 1152</v>
      </c>
      <c r="E116" s="50">
        <v>46053</v>
      </c>
      <c r="F116" s="5">
        <v>5905.9330899925744</v>
      </c>
      <c r="G116" s="5" t="str">
        <v>Realised</v>
      </c>
      <c r="L116" s="73"/>
      <c r="P116" s="5"/>
      <c r="T116" s="5"/>
    </row>
    <row r="117" spans="2:21" ht="15.75" hidden="1" customHeight="1">
      <c r="B117" s="52" t="str">
        <v>Shoprite Mini_Bredarsdorp_Tracker.xlsx</v>
      </c>
      <c r="C117" s="52" t="str">
        <v>Site De-establisment</v>
      </c>
      <c r="D117" s="52" t="str">
        <v>JA Electrical: Inv 1152</v>
      </c>
      <c r="E117" s="50">
        <v>46053</v>
      </c>
      <c r="F117" s="5">
        <v>5905.9330899925744</v>
      </c>
      <c r="G117" s="70" t="str">
        <v>Realised</v>
      </c>
      <c r="L117" s="73"/>
      <c r="P117" s="5"/>
    </row>
    <row r="118" spans="2:21" ht="15.75" hidden="1" customHeight="1">
      <c r="B118" s="52" t="str">
        <v>Shoprite Mini_Bredarsdorp_Tracker.xlsx</v>
      </c>
      <c r="C118" s="52" t="str">
        <v>Handover Document Complete</v>
      </c>
      <c r="D118" s="52" t="str">
        <v>JA Electrical Inv 1153</v>
      </c>
      <c r="E118" s="50">
        <v>46053</v>
      </c>
      <c r="F118" s="5">
        <v>2952.9665449962872</v>
      </c>
      <c r="G118" s="52" t="str">
        <v>Realised</v>
      </c>
      <c r="P118" s="5"/>
    </row>
    <row r="119" spans="2:21" ht="15.75" hidden="1" customHeight="1">
      <c r="B119" s="52" t="str">
        <v>Shoprite Mini_Bredarsdorp_Tracker.xlsx</v>
      </c>
      <c r="C119" s="52" t="str">
        <v>End of Defects Period</v>
      </c>
      <c r="D119" s="52" t="str">
        <v>JA Electrical Inv 1153</v>
      </c>
      <c r="E119" s="50">
        <v>46053</v>
      </c>
      <c r="F119" s="5">
        <v>2952.9665449962872</v>
      </c>
      <c r="G119" s="52" t="str">
        <v>Realised</v>
      </c>
      <c r="P119" s="5"/>
    </row>
    <row r="120" spans="2:21" ht="15.75" hidden="1" customHeight="1">
      <c r="B120" s="52" t="str">
        <v>Shoprite Mini_Bredarsdorp_Tracker.xlsx</v>
      </c>
      <c r="C120" s="52" t="str">
        <v>Rounding Difference</v>
      </c>
      <c r="D120" s="52" t="str">
        <v>JA Electrical Inv 1153</v>
      </c>
      <c r="E120" s="50">
        <v>46053</v>
      </c>
      <c r="F120" s="5">
        <v>-5.7506203359589947E-3</v>
      </c>
      <c r="G120" s="52" t="str">
        <v>Realised</v>
      </c>
      <c r="L120" s="64"/>
      <c r="P120" s="5"/>
    </row>
    <row r="121" spans="2:21" ht="15.75" hidden="1" customHeight="1">
      <c r="B121" s="52" t="str">
        <v>Shoprite Mini_Bredarsdorp_Tracker.xlsx</v>
      </c>
      <c r="C121" s="52" t="str">
        <v>Electrical PrEng sign off</v>
      </c>
      <c r="D121" s="52" t="str">
        <v>SunSpot - E037</v>
      </c>
      <c r="E121" s="50">
        <v>46053</v>
      </c>
      <c r="F121" s="5">
        <v>71130.68421052632</v>
      </c>
      <c r="G121" s="52" t="str">
        <v>Realised</v>
      </c>
      <c r="P121" s="5"/>
    </row>
    <row r="122" spans="2:21" ht="15.75" hidden="1" customHeight="1">
      <c r="B122" s="52" t="str">
        <v>Shoprite Mini_Bredarsdorp_Tracker.xlsx</v>
      </c>
      <c r="C122" s="52" t="str">
        <v>Red Team Inspection</v>
      </c>
      <c r="D122" s="52" t="str">
        <v>Matriarch - INV-6235</v>
      </c>
      <c r="E122" s="50">
        <v>46053</v>
      </c>
      <c r="F122" s="5">
        <v>27758.315789473683</v>
      </c>
      <c r="G122" s="52" t="str">
        <v>Realised</v>
      </c>
      <c r="P122" s="5"/>
      <c r="T122" s="63"/>
      <c r="U122" s="64"/>
    </row>
    <row r="123" spans="2:21" ht="15.75" hidden="1" customHeight="1">
      <c r="B123" s="52" t="str">
        <v>Shoprite Mini_Bredarsdorp_Tracker.xlsx</v>
      </c>
      <c r="C123" s="52" t="str">
        <v>Matriarch Defects Period - 1.25%</v>
      </c>
      <c r="D123" s="52" t="str">
        <v>Matriarch - INV-6234</v>
      </c>
      <c r="E123" s="50">
        <v>46053</v>
      </c>
      <c r="F123" s="5">
        <v>23822</v>
      </c>
      <c r="G123" s="52" t="str">
        <v>Realised</v>
      </c>
      <c r="P123" s="5"/>
      <c r="T123" s="63"/>
    </row>
    <row r="124" spans="2:21" ht="15.75" hidden="1" customHeight="1">
      <c r="B124" s="52" t="str">
        <v>Shoprite Mini_Bredarsdorp_Tracker.xlsx</v>
      </c>
      <c r="C124" s="52" t="str">
        <v>Travel</v>
      </c>
      <c r="D124" s="52" t="str">
        <v>Expense Claim</v>
      </c>
      <c r="E124" s="50">
        <v>46053</v>
      </c>
      <c r="F124" s="5">
        <v>1097.4369984796765</v>
      </c>
      <c r="G124" s="52" t="str">
        <v>Realised</v>
      </c>
      <c r="P124" s="5"/>
    </row>
    <row r="125" spans="2:21" ht="15.75" hidden="1" customHeight="1">
      <c r="B125" s="52" t="str">
        <v>Shoprite Mini_Citrusdal_Tracker.xlsx</v>
      </c>
      <c r="C125" s="52" t="str">
        <v>AC Installation Complete - Partial</v>
      </c>
      <c r="D125" s="52" t="str">
        <v>JA Electrical INV 1151</v>
      </c>
      <c r="E125" s="50">
        <v>46053</v>
      </c>
      <c r="F125" s="5">
        <v>9426.8691001654879</v>
      </c>
      <c r="G125" s="52" t="str">
        <v>Realised</v>
      </c>
      <c r="P125" s="5"/>
    </row>
    <row r="126" spans="2:21" ht="15.75" hidden="1" customHeight="1">
      <c r="B126" s="52" t="str">
        <v>Shoprite Mini_Citrusdal_Tracker.xlsx</v>
      </c>
      <c r="C126" s="52" t="str">
        <v>DC Installation Complete - Partial</v>
      </c>
      <c r="D126" s="52" t="str">
        <v>JA Electrical INV 1151</v>
      </c>
      <c r="E126" s="50">
        <v>46053</v>
      </c>
      <c r="F126" s="5">
        <v>4713.4245500827437</v>
      </c>
      <c r="G126" s="52" t="str">
        <v>Realised</v>
      </c>
      <c r="P126" s="5"/>
    </row>
    <row r="127" spans="2:21" ht="15.75" hidden="1" customHeight="1">
      <c r="B127" s="52" t="str">
        <v>Shoprite Mini_Citrusdal_Tracker.xlsx</v>
      </c>
      <c r="C127" s="52" t="str">
        <v>Commissioning Complete</v>
      </c>
      <c r="D127" s="52" t="str">
        <v>JA Electrical INV 1151</v>
      </c>
      <c r="E127" s="50">
        <v>46053</v>
      </c>
      <c r="F127" s="5">
        <v>9426.8491001654875</v>
      </c>
      <c r="G127" s="52" t="str">
        <v>Realised</v>
      </c>
      <c r="P127" s="5"/>
    </row>
    <row r="128" spans="2:21" ht="15.75" hidden="1" customHeight="1">
      <c r="B128" s="52" t="str">
        <v>Shoprite Mini_Citrusdal_Tracker.xlsx</v>
      </c>
      <c r="C128" s="52" t="str">
        <v>Site De-establisment</v>
      </c>
      <c r="D128" s="52" t="str">
        <v>JA Electrical INV 1154</v>
      </c>
      <c r="E128" s="50">
        <v>46053</v>
      </c>
      <c r="F128" s="5">
        <v>9426.8491001654875</v>
      </c>
      <c r="G128" s="52" t="str">
        <v>Realised</v>
      </c>
      <c r="P128" s="5"/>
    </row>
    <row r="129" spans="2:16" ht="15.75" hidden="1" customHeight="1">
      <c r="B129" s="52" t="str">
        <v>Shoprite Mini_Citrusdal_Tracker.xlsx</v>
      </c>
      <c r="C129" s="52" t="str">
        <v>Handover Document Complete</v>
      </c>
      <c r="D129" s="52" t="str">
        <v>JA Electrical INV 1154</v>
      </c>
      <c r="E129" s="50">
        <v>46053</v>
      </c>
      <c r="F129" s="5">
        <v>4713.4245500827437</v>
      </c>
      <c r="G129" s="52" t="str">
        <v>Realised</v>
      </c>
      <c r="P129" s="5"/>
    </row>
    <row r="130" spans="2:16" ht="15.75" hidden="1" customHeight="1">
      <c r="B130" s="52" t="str">
        <v>Shoprite Mini_Citrusdal_Tracker.xlsx</v>
      </c>
      <c r="C130" s="52" t="str">
        <v>End of Defects Period</v>
      </c>
      <c r="D130" s="52" t="str">
        <v>JA Electrical INV 1154</v>
      </c>
      <c r="E130" s="50">
        <v>46053</v>
      </c>
      <c r="F130" s="5">
        <v>4713.3964647286539</v>
      </c>
      <c r="G130" s="52" t="str">
        <v>Realised</v>
      </c>
      <c r="P130" s="5"/>
    </row>
    <row r="131" spans="2:16" ht="15.75" hidden="1" customHeight="1">
      <c r="B131" s="52" t="str">
        <v>Shoprite Mini_Citrusdal_Tracker.xlsx</v>
      </c>
      <c r="C131" s="52" t="str">
        <v>AC Installation Complete - Partial</v>
      </c>
      <c r="D131" s="52" t="str">
        <v>JA Electrical INV 1151</v>
      </c>
      <c r="E131" s="50">
        <v>46053</v>
      </c>
      <c r="F131" s="5">
        <v>14044.922053233266</v>
      </c>
      <c r="G131" s="52" t="str">
        <v>Realised</v>
      </c>
    </row>
    <row r="132" spans="2:16" ht="15.75" hidden="1" customHeight="1">
      <c r="B132" s="52" t="str">
        <v>Shoprite Mini_Citrusdal_Tracker.xlsx</v>
      </c>
      <c r="C132" s="52" t="str">
        <v>DC Installation Complete - Partial</v>
      </c>
      <c r="D132" s="52" t="str">
        <v>JA Electrical INV 1151</v>
      </c>
      <c r="E132" s="50">
        <v>46053</v>
      </c>
      <c r="F132" s="5">
        <v>7022.4610266166328</v>
      </c>
      <c r="G132" s="52" t="str">
        <v>Realised</v>
      </c>
    </row>
    <row r="133" spans="2:16" ht="15.75" hidden="1" customHeight="1">
      <c r="B133" s="52" t="str">
        <v>Shoprite Mini_Citrusdal_Tracker.xlsx</v>
      </c>
      <c r="C133" s="52" t="str">
        <v>Commissioning Complete</v>
      </c>
      <c r="D133" s="52" t="str">
        <v>JA Electrical INV 1151</v>
      </c>
      <c r="E133" s="50">
        <v>46053</v>
      </c>
      <c r="F133" s="5">
        <v>14044.922053233266</v>
      </c>
      <c r="G133" s="52" t="str">
        <v>Realised</v>
      </c>
    </row>
    <row r="134" spans="2:16" ht="15.75" hidden="1" customHeight="1">
      <c r="B134" s="52" t="str">
        <v>Shoprite Mini_Citrusdal_Tracker.xlsx</v>
      </c>
      <c r="C134" s="52" t="str">
        <v>Site De-establisment</v>
      </c>
      <c r="D134" s="52" t="str">
        <v>JA Electrical INV 1154</v>
      </c>
      <c r="E134" s="50">
        <v>46053</v>
      </c>
      <c r="F134" s="5">
        <v>14044.922053233266</v>
      </c>
      <c r="G134" s="52" t="str">
        <v>Realised</v>
      </c>
    </row>
    <row r="135" spans="2:16" ht="15.75" hidden="1" customHeight="1">
      <c r="B135" s="52" t="str">
        <v>Shoprite Mini_Citrusdal_Tracker.xlsx</v>
      </c>
      <c r="C135" s="52" t="str">
        <v>Handover Document Complete</v>
      </c>
      <c r="D135" s="52" t="str">
        <v>JA Electrical INV 1154</v>
      </c>
      <c r="E135" s="50">
        <v>46053</v>
      </c>
      <c r="F135" s="5">
        <v>7022.4610266166328</v>
      </c>
      <c r="G135" s="52" t="str">
        <v>Realised</v>
      </c>
    </row>
    <row r="136" spans="2:16" ht="15.75" hidden="1" customHeight="1">
      <c r="B136" s="52" t="str">
        <v>Shoprite Mini_Citrusdal_Tracker.xlsx</v>
      </c>
      <c r="C136" s="52" t="str">
        <v>End of Defects Period</v>
      </c>
      <c r="D136" s="52" t="str">
        <v>JA Electrical INV 1154</v>
      </c>
      <c r="E136" s="50">
        <v>46053</v>
      </c>
      <c r="F136" s="5">
        <v>7022.4610266166328</v>
      </c>
      <c r="G136" s="52" t="str">
        <v>Realised</v>
      </c>
      <c r="P136" s="5"/>
    </row>
    <row r="137" spans="2:16" ht="15.75" hidden="1" customHeight="1">
      <c r="B137" s="52" t="str">
        <v>Shoprite Mini_Citrusdal_Tracker.xlsx</v>
      </c>
      <c r="C137" s="52" t="str">
        <v>AC Installation Complete - Partial</v>
      </c>
      <c r="D137" s="52" t="str">
        <v>JA Electrical INV 1151</v>
      </c>
      <c r="E137" s="50">
        <v>46053</v>
      </c>
      <c r="F137" s="5">
        <v>22094.444119541629</v>
      </c>
      <c r="G137" s="52" t="str">
        <v>Realised</v>
      </c>
      <c r="P137" s="5"/>
    </row>
    <row r="138" spans="2:16" ht="15.75" hidden="1" customHeight="1">
      <c r="B138" s="52" t="str">
        <v>Shoprite Mini_Citrusdal_Tracker.xlsx</v>
      </c>
      <c r="C138" s="52" t="str">
        <v>DC Installation Complete - Partial</v>
      </c>
      <c r="D138" s="52" t="str">
        <v>JA Electrical INV 1151</v>
      </c>
      <c r="E138" s="50">
        <v>46053</v>
      </c>
      <c r="F138" s="5">
        <v>11047.222059770816</v>
      </c>
      <c r="G138" s="52" t="str">
        <v>Realised</v>
      </c>
      <c r="P138" s="5"/>
    </row>
    <row r="139" spans="2:16" ht="15.75" hidden="1" customHeight="1">
      <c r="B139" s="52" t="str">
        <v>Shoprite Mini_Citrusdal_Tracker.xlsx</v>
      </c>
      <c r="C139" s="52" t="str">
        <v>Commissioning Complete</v>
      </c>
      <c r="D139" s="52" t="str">
        <v>JA Electrical INV 1151</v>
      </c>
      <c r="E139" s="50">
        <v>46053</v>
      </c>
      <c r="F139" s="5">
        <v>22094.444119541629</v>
      </c>
      <c r="G139" s="52" t="str">
        <v>Realised</v>
      </c>
      <c r="P139" s="5"/>
    </row>
    <row r="140" spans="2:16" ht="15.75" hidden="1" customHeight="1">
      <c r="B140" s="52" t="str">
        <v>Shoprite Mini_Citrusdal_Tracker.xlsx</v>
      </c>
      <c r="C140" s="52" t="str">
        <v>Site De-establisment</v>
      </c>
      <c r="D140" s="52" t="str">
        <v>JA Electrical INV 1154</v>
      </c>
      <c r="E140" s="50">
        <v>46053</v>
      </c>
      <c r="F140" s="5">
        <v>22094.447368569781</v>
      </c>
      <c r="G140" s="52" t="str">
        <v>Realised</v>
      </c>
      <c r="P140" s="5"/>
    </row>
    <row r="141" spans="2:16" ht="15.75" hidden="1" customHeight="1">
      <c r="B141" s="52" t="str">
        <v>Shoprite Mini_Citrusdal_Tracker.xlsx</v>
      </c>
      <c r="C141" s="52" t="str">
        <v>Handover Document Complete</v>
      </c>
      <c r="D141" s="52" t="str">
        <v>JA Electrical INV 1154</v>
      </c>
      <c r="E141" s="50">
        <v>46053</v>
      </c>
      <c r="F141" s="5">
        <v>11047.222059770816</v>
      </c>
      <c r="G141" s="52" t="str">
        <v>Realised</v>
      </c>
      <c r="P141" s="5"/>
    </row>
    <row r="142" spans="2:16" ht="15.75" hidden="1" customHeight="1">
      <c r="B142" s="52" t="str">
        <v>Shoprite Mini_Citrusdal_Tracker.xlsx</v>
      </c>
      <c r="C142" s="52" t="str">
        <v>End of Defects Period</v>
      </c>
      <c r="D142" s="52" t="str">
        <v>JA Electrical INV 1154</v>
      </c>
      <c r="E142" s="50">
        <v>46053</v>
      </c>
      <c r="F142" s="5">
        <v>11047.222059770816</v>
      </c>
      <c r="G142" s="52" t="str">
        <v>Realised</v>
      </c>
    </row>
    <row r="143" spans="2:16" ht="15.75" hidden="1" customHeight="1">
      <c r="B143" s="52" t="str">
        <v>Shoprite Mini_Citrusdal_Tracker.xlsx</v>
      </c>
      <c r="C143" s="52" t="str">
        <v>AC Installation Complete - Partial</v>
      </c>
      <c r="D143" s="52" t="str">
        <v>JA Electrical INV 1151</v>
      </c>
      <c r="E143" s="50">
        <v>46053</v>
      </c>
      <c r="F143" s="5">
        <v>6108.6600717132733</v>
      </c>
      <c r="G143" s="52" t="str">
        <v>Realised</v>
      </c>
    </row>
    <row r="144" spans="2:16" ht="15.75" hidden="1" customHeight="1">
      <c r="B144" s="52" t="str">
        <v>Shoprite Mini_Citrusdal_Tracker.xlsx</v>
      </c>
      <c r="C144" s="52" t="str">
        <v>DC Installation Complete - Partial</v>
      </c>
      <c r="D144" s="52" t="str">
        <v>JA Electrical INV 1151</v>
      </c>
      <c r="E144" s="50">
        <v>46053</v>
      </c>
      <c r="F144" s="5">
        <v>3054.3300358566366</v>
      </c>
      <c r="G144" s="52" t="str">
        <v>Realised</v>
      </c>
    </row>
    <row r="145" spans="2:7" ht="15.75" hidden="1" customHeight="1">
      <c r="B145" s="52" t="str">
        <v>Shoprite Mini_Citrusdal_Tracker.xlsx</v>
      </c>
      <c r="C145" s="52" t="str">
        <v>Commissioning Complete</v>
      </c>
      <c r="D145" s="52" t="str">
        <v>JA Electrical INV 1151</v>
      </c>
      <c r="E145" s="50">
        <v>46053</v>
      </c>
      <c r="F145" s="5">
        <v>6108.6600717132733</v>
      </c>
      <c r="G145" s="52" t="str">
        <v>Realised</v>
      </c>
    </row>
    <row r="146" spans="2:7" ht="15.75" hidden="1" customHeight="1">
      <c r="B146" s="52" t="str">
        <v>Shoprite Mini_Citrusdal_Tracker.xlsx</v>
      </c>
      <c r="C146" s="52" t="str">
        <v>Site De-establisment</v>
      </c>
      <c r="D146" s="52" t="str">
        <v>JA Electrical INV 1154</v>
      </c>
      <c r="E146" s="50">
        <v>46053</v>
      </c>
      <c r="F146" s="5">
        <v>6108.6600717132733</v>
      </c>
      <c r="G146" s="52" t="str">
        <v>Realised</v>
      </c>
    </row>
    <row r="147" spans="2:7" ht="15.75" hidden="1" customHeight="1">
      <c r="B147" s="52" t="str">
        <v>Shoprite Mini_Citrusdal_Tracker.xlsx</v>
      </c>
      <c r="C147" s="52" t="str">
        <v>Handover Document Complete</v>
      </c>
      <c r="D147" s="52" t="str">
        <v>JA Electrical INV 1154</v>
      </c>
      <c r="E147" s="50">
        <v>46053</v>
      </c>
      <c r="F147" s="5">
        <v>3054.3300358566366</v>
      </c>
      <c r="G147" s="52" t="str">
        <v>Realised</v>
      </c>
    </row>
    <row r="148" spans="2:7" ht="15.75" hidden="1" customHeight="1">
      <c r="B148" s="52" t="str">
        <v>Shoprite Mini_Citrusdal_Tracker.xlsx</v>
      </c>
      <c r="C148" s="52" t="str">
        <v>End of Defects Period</v>
      </c>
      <c r="D148" s="52" t="str">
        <v>JA Electrical INV 1154</v>
      </c>
      <c r="E148" s="50">
        <v>46053</v>
      </c>
      <c r="F148" s="5">
        <v>3054.3300358566366</v>
      </c>
      <c r="G148" s="52" t="str">
        <v>Realised</v>
      </c>
    </row>
    <row r="149" spans="2:7" ht="15.75" hidden="1" customHeight="1">
      <c r="B149" s="52" t="str">
        <v>Shoprite Mini_Citrusdal_Tracker.xlsx</v>
      </c>
      <c r="C149" s="52" t="str">
        <v>Matriarch Defects Period - 1.25%</v>
      </c>
      <c r="D149" s="52" t="str">
        <v>Matriarch - INV-6234</v>
      </c>
      <c r="E149" s="50">
        <v>46053</v>
      </c>
      <c r="F149" s="5">
        <v>22597.742926891198</v>
      </c>
      <c r="G149" s="52" t="str">
        <v>Realised</v>
      </c>
    </row>
    <row r="150" spans="2:7" ht="15.75" hidden="1" customHeight="1">
      <c r="B150" s="52" t="str">
        <v>STD GQ_Tracker.xlsx</v>
      </c>
      <c r="C150" s="52" t="str">
        <v>DC Cable allocated to Superspar Despatch</v>
      </c>
      <c r="D150" s="52" t="str">
        <v>Allocated to superspar Despatch - PH2</v>
      </c>
      <c r="E150" s="50">
        <v>46053</v>
      </c>
      <c r="F150" s="5">
        <v>-2704.84</v>
      </c>
      <c r="G150" s="52" t="str">
        <v>Realised</v>
      </c>
    </row>
    <row r="151" spans="2:7" ht="15.75" hidden="1" customHeight="1">
      <c r="B151" s="52" t="str">
        <v>STD GQ_Tracker.xlsx</v>
      </c>
      <c r="C151" s="52" t="str">
        <v>Commissioning Complete</v>
      </c>
      <c r="D151" s="52" t="str">
        <v>Luken Solar INV-0699</v>
      </c>
      <c r="E151" s="50">
        <v>46053</v>
      </c>
      <c r="F151" s="5">
        <v>2574.4234682500237</v>
      </c>
      <c r="G151" s="52" t="str">
        <v>Realised</v>
      </c>
    </row>
    <row r="152" spans="2:7" ht="15.75" hidden="1" customHeight="1">
      <c r="B152" s="52" t="str">
        <v>STD GQ_Tracker.xlsx</v>
      </c>
      <c r="C152" s="52" t="str">
        <v>Site De-establisment</v>
      </c>
      <c r="D152" s="52" t="str">
        <v>Luken Solar INV-0706</v>
      </c>
      <c r="E152" s="50">
        <v>46053</v>
      </c>
      <c r="F152" s="5">
        <v>2574.4234682500237</v>
      </c>
      <c r="G152" s="52" t="str">
        <v>Realised</v>
      </c>
    </row>
    <row r="153" spans="2:7" ht="15.75" hidden="1" customHeight="1">
      <c r="B153" s="52" t="str">
        <v>STD GQ_Tracker.xlsx</v>
      </c>
      <c r="C153" s="52" t="str">
        <v>Handover Document Complete</v>
      </c>
      <c r="D153" s="52" t="str">
        <v>Luken Solar INV-0702</v>
      </c>
      <c r="E153" s="50">
        <v>46053</v>
      </c>
      <c r="F153" s="5">
        <v>1287.2117341250118</v>
      </c>
      <c r="G153" s="52" t="str">
        <v>Realised</v>
      </c>
    </row>
    <row r="154" spans="2:7" ht="15.75" hidden="1" customHeight="1">
      <c r="B154" s="52" t="str">
        <v>STD GQ_Tracker.xlsx</v>
      </c>
      <c r="C154" s="52" t="str">
        <v>End of Defects Period</v>
      </c>
      <c r="D154" s="52" t="str">
        <v>Luken Solar INV-0705</v>
      </c>
      <c r="E154" s="50">
        <v>46053</v>
      </c>
      <c r="F154" s="5">
        <v>1287.2117341250118</v>
      </c>
      <c r="G154" s="52" t="str">
        <v>Realised</v>
      </c>
    </row>
    <row r="155" spans="2:7" ht="15.75" hidden="1" customHeight="1">
      <c r="B155" s="52" t="str">
        <v>STD GQ_Tracker.xlsx</v>
      </c>
      <c r="C155" s="52" t="str">
        <v>Techsitter</v>
      </c>
      <c r="D155" s="52" t="str">
        <v>Matriarch Inv: 6200</v>
      </c>
      <c r="E155" s="50">
        <v>46053</v>
      </c>
      <c r="F155" s="5">
        <v>13841.301053331765</v>
      </c>
      <c r="G155" s="52" t="str">
        <v>Realised</v>
      </c>
    </row>
    <row r="156" spans="2:7" ht="15.75" hidden="1" customHeight="1">
      <c r="B156" s="52" t="str">
        <v>STD GQ_Tracker.xlsx</v>
      </c>
      <c r="C156" s="52" t="str">
        <v>Commissioning Complete</v>
      </c>
      <c r="D156" s="52" t="str">
        <v>Luken Solar INV-0699</v>
      </c>
      <c r="E156" s="50">
        <v>46053</v>
      </c>
      <c r="F156" s="5">
        <v>2571.4285714285711</v>
      </c>
      <c r="G156" s="52" t="str">
        <v>Realised</v>
      </c>
    </row>
    <row r="157" spans="2:7" ht="15.75" hidden="1" customHeight="1">
      <c r="B157" s="52" t="str">
        <v>STD GQ_Tracker.xlsx</v>
      </c>
      <c r="C157" s="52" t="str">
        <v>Site De-establisment</v>
      </c>
      <c r="D157" s="52" t="str">
        <v>Luken Solar INV-0706</v>
      </c>
      <c r="E157" s="50">
        <v>46053</v>
      </c>
      <c r="F157" s="5">
        <v>2571.4285714285711</v>
      </c>
      <c r="G157" s="52" t="str">
        <v>Realised</v>
      </c>
    </row>
    <row r="158" spans="2:7" ht="15.75" hidden="1" customHeight="1">
      <c r="B158" s="52" t="str">
        <v>STD GQ_Tracker.xlsx</v>
      </c>
      <c r="C158" s="52" t="str">
        <v>Handover Document Complete</v>
      </c>
      <c r="D158" s="52" t="str">
        <v>Luken Solar INV-0702</v>
      </c>
      <c r="E158" s="50">
        <v>46053</v>
      </c>
      <c r="F158" s="5">
        <v>1285.7142857142856</v>
      </c>
      <c r="G158" s="52" t="str">
        <v>Realised</v>
      </c>
    </row>
    <row r="159" spans="2:7" ht="15.75" hidden="1" customHeight="1">
      <c r="B159" s="52" t="str">
        <v>STD GQ_Tracker.xlsx</v>
      </c>
      <c r="C159" s="52" t="str">
        <v>End of Defects Period</v>
      </c>
      <c r="D159" s="52" t="str">
        <v>Luken Solar INV-0705</v>
      </c>
      <c r="E159" s="50">
        <v>46053</v>
      </c>
      <c r="F159" s="5">
        <v>1285.7142857142856</v>
      </c>
      <c r="G159" s="52" t="str">
        <v>Realised</v>
      </c>
    </row>
    <row r="160" spans="2:7" ht="15.75" hidden="1" customHeight="1">
      <c r="B160" s="52" t="str">
        <v>STD GQ_Tracker.xlsx</v>
      </c>
      <c r="C160" s="52" t="str">
        <v>Customized Maintenance</v>
      </c>
      <c r="D160" s="52" t="str">
        <v>Matriarch - iNV-6240</v>
      </c>
      <c r="E160" s="50">
        <v>46053</v>
      </c>
      <c r="F160" s="5">
        <v>125017.29874861483</v>
      </c>
      <c r="G160" s="52" t="str">
        <v>Realised</v>
      </c>
    </row>
    <row r="161" spans="2:7" ht="15.75" hidden="1" customHeight="1">
      <c r="B161" s="52" t="str">
        <v>STD GQ_Tracker.xlsx</v>
      </c>
      <c r="C161" s="52" t="str">
        <v>Commissioning Complete</v>
      </c>
      <c r="D161" s="52" t="str">
        <v>Luken Solar INV-0699</v>
      </c>
      <c r="E161" s="50">
        <v>46053</v>
      </c>
      <c r="F161" s="5">
        <v>55120.778811996941</v>
      </c>
      <c r="G161" s="52" t="str">
        <v>Realised</v>
      </c>
    </row>
    <row r="162" spans="2:7" ht="15.75" hidden="1" customHeight="1">
      <c r="B162" s="52" t="str">
        <v>STD GQ_Tracker.xlsx</v>
      </c>
      <c r="C162" s="52" t="str">
        <v>Site De-establisment</v>
      </c>
      <c r="D162" s="52" t="str">
        <v>Luken Solar INV-0706</v>
      </c>
      <c r="E162" s="50">
        <v>46053</v>
      </c>
      <c r="F162" s="5">
        <v>55120.778811996941</v>
      </c>
      <c r="G162" s="52" t="str">
        <v>Realised</v>
      </c>
    </row>
    <row r="163" spans="2:7" ht="15.75" hidden="1" customHeight="1">
      <c r="B163" s="52" t="str">
        <v>STD GQ_Tracker.xlsx</v>
      </c>
      <c r="C163" s="52" t="str">
        <v>Handover Document Complete</v>
      </c>
      <c r="D163" s="52" t="str">
        <v>Luken Solar INV-0702</v>
      </c>
      <c r="E163" s="50">
        <v>46053</v>
      </c>
      <c r="F163" s="5">
        <v>27560.38940599847</v>
      </c>
      <c r="G163" s="52" t="str">
        <v>Realised</v>
      </c>
    </row>
    <row r="164" spans="2:7" ht="15.75" hidden="1" customHeight="1">
      <c r="B164" s="52" t="str">
        <v>STD GQ_Tracker.xlsx</v>
      </c>
      <c r="C164" s="52" t="str">
        <v>End of Defects Period</v>
      </c>
      <c r="D164" s="52" t="str">
        <v>Luken Solar INV-0705</v>
      </c>
      <c r="E164" s="50">
        <v>46053</v>
      </c>
      <c r="F164" s="5">
        <v>27560.38940599847</v>
      </c>
      <c r="G164" s="52" t="str">
        <v>Realised</v>
      </c>
    </row>
    <row r="165" spans="2:7" ht="15.75" hidden="1" customHeight="1">
      <c r="B165" s="52" t="str">
        <v>STD GQ_Tracker.xlsx</v>
      </c>
      <c r="C165" s="52" t="str">
        <v>Commissioning Complete</v>
      </c>
      <c r="D165" s="52" t="str">
        <v>Luken Solar INV-0699</v>
      </c>
      <c r="E165" s="50">
        <v>46053</v>
      </c>
      <c r="F165" s="5">
        <v>7306.2703919207379</v>
      </c>
      <c r="G165" s="52" t="str">
        <v>Realised</v>
      </c>
    </row>
    <row r="166" spans="2:7" ht="15.75" hidden="1" customHeight="1">
      <c r="B166" s="52" t="str">
        <v>STD GQ_Tracker.xlsx</v>
      </c>
      <c r="C166" s="52" t="str">
        <v>Site De-establisment</v>
      </c>
      <c r="D166" s="52" t="str">
        <v>Luken Solar INV-0706</v>
      </c>
      <c r="E166" s="50">
        <v>46053</v>
      </c>
      <c r="F166" s="5">
        <v>7306.2503919207375</v>
      </c>
      <c r="G166" s="52" t="str">
        <v>Realised</v>
      </c>
    </row>
    <row r="167" spans="2:7" ht="15.75" hidden="1" customHeight="1">
      <c r="B167" s="52" t="str">
        <v>STD GQ_Tracker.xlsx</v>
      </c>
      <c r="C167" s="52" t="str">
        <v>Handover Document Complete</v>
      </c>
      <c r="D167" s="52" t="str">
        <v>Luken Solar INV-0702</v>
      </c>
      <c r="E167" s="50">
        <v>46053</v>
      </c>
      <c r="F167" s="5">
        <v>3653.107804257922</v>
      </c>
      <c r="G167" s="52" t="str">
        <v>Realised</v>
      </c>
    </row>
    <row r="168" spans="2:7" ht="15.75" hidden="1" customHeight="1">
      <c r="B168" s="52" t="str">
        <v>STD GQ_Tracker.xlsx</v>
      </c>
      <c r="C168" s="52" t="str">
        <v>End of Defects Period</v>
      </c>
      <c r="D168" s="52" t="str">
        <v>Luken Solar INV-0705</v>
      </c>
      <c r="E168" s="50">
        <v>46053</v>
      </c>
      <c r="F168" s="5">
        <v>3653.107804257922</v>
      </c>
      <c r="G168" s="52" t="str">
        <v>Realised</v>
      </c>
    </row>
    <row r="169" spans="2:7" ht="15.75" hidden="1" customHeight="1">
      <c r="B169" s="52" t="str">
        <v>STD GQ_Tracker.xlsx</v>
      </c>
      <c r="C169" s="52" t="str">
        <v>Red Team Inspection</v>
      </c>
      <c r="D169" s="52" t="str">
        <v>Matriarch - INV-6235</v>
      </c>
      <c r="E169" s="50">
        <v>46053</v>
      </c>
      <c r="F169" s="5">
        <v>22825.070159027127</v>
      </c>
      <c r="G169" s="52" t="str">
        <v>Realised</v>
      </c>
    </row>
    <row r="170" spans="2:7" ht="15.75" hidden="1" customHeight="1">
      <c r="B170" s="52" t="str">
        <v>STD GQ_Tracker.xlsx</v>
      </c>
      <c r="C170" s="52" t="str">
        <v>Matriarch Defects Period - 1.25%</v>
      </c>
      <c r="D170" s="52" t="str">
        <v>Customized Maintenance Agreement</v>
      </c>
      <c r="E170" s="50">
        <v>46053</v>
      </c>
      <c r="F170" s="5">
        <v>15923.525883838383</v>
      </c>
      <c r="G170" s="52" t="str">
        <v>Realised</v>
      </c>
    </row>
    <row r="171" spans="2:7" ht="15.75" hidden="1" customHeight="1">
      <c r="B171" s="52" t="str">
        <v>STD GQ_Tracker.xlsx</v>
      </c>
      <c r="C171" s="52" t="str">
        <v>Travel</v>
      </c>
      <c r="D171" s="52" t="str">
        <v>Expense Claim</v>
      </c>
      <c r="E171" s="50">
        <v>46053</v>
      </c>
      <c r="F171" s="5">
        <v>2546.5299534795404</v>
      </c>
      <c r="G171" s="52" t="str">
        <v>Realised</v>
      </c>
    </row>
    <row r="172" spans="2:7" ht="15.75" hidden="1" customHeight="1">
      <c r="B172" s="52" t="str">
        <v>Steelpark_Tracker.xlsx</v>
      </c>
      <c r="C172" s="52" t="str">
        <v xml:space="preserve">Check meter </v>
      </c>
      <c r="D172" s="52" t="str">
        <v>CBB Inv: CBB-5722</v>
      </c>
      <c r="E172" s="50">
        <v>46053</v>
      </c>
      <c r="F172" s="5">
        <v>4558.4951681811826</v>
      </c>
      <c r="G172" s="52" t="str">
        <v>Realised</v>
      </c>
    </row>
    <row r="173" spans="2:7" ht="15.75" hidden="1" customHeight="1">
      <c r="B173" s="52" t="str">
        <v>Steelpark_Tracker.xlsx</v>
      </c>
      <c r="C173" s="52" t="str">
        <v>Check Meter CT's</v>
      </c>
      <c r="D173" s="52" t="str">
        <v>Accuenergy Inv: ASAI-006974</v>
      </c>
      <c r="E173" s="50">
        <v>46053</v>
      </c>
      <c r="F173" s="5">
        <v>3634.1336479666656</v>
      </c>
      <c r="G173" s="52" t="str">
        <v>Realised</v>
      </c>
    </row>
    <row r="174" spans="2:7" hidden="1">
      <c r="B174" s="52" t="str">
        <v>Steelpark_Tracker.xlsx</v>
      </c>
      <c r="C174" s="52" t="str">
        <v>Lithium Battery</v>
      </c>
      <c r="D174" s="52" t="str">
        <v>Red Pole:SO-35689</v>
      </c>
      <c r="E174" s="50">
        <v>46053</v>
      </c>
      <c r="F174" s="112">
        <v>1234.5924413824036</v>
      </c>
      <c r="G174" s="52" t="str">
        <v>Realised</v>
      </c>
    </row>
    <row r="175" spans="2:7" hidden="1">
      <c r="B175" s="52" t="str">
        <v>Steelpark_Tracker.xlsx</v>
      </c>
      <c r="C175" s="52" t="str">
        <v>Power Supply</v>
      </c>
      <c r="D175" s="52" t="str">
        <v>current Automation Inv: SOQ324142</v>
      </c>
      <c r="E175" s="50">
        <v>46053</v>
      </c>
      <c r="F175" s="112">
        <v>1537.3524954691038</v>
      </c>
      <c r="G175" s="52" t="str">
        <v>Realised</v>
      </c>
    </row>
    <row r="176" spans="2:7" hidden="1">
      <c r="B176" s="52" t="str">
        <v>Steelpark_Tracker.xlsx</v>
      </c>
      <c r="C176" s="52" t="str">
        <v>Structural Sign Off</v>
      </c>
      <c r="D176" s="52" t="str">
        <v>L&amp;B Consulting: Inv  1701</v>
      </c>
      <c r="E176" s="50">
        <v>46053</v>
      </c>
      <c r="F176" s="112">
        <v>9160.2556440169046</v>
      </c>
      <c r="G176" s="52" t="str">
        <v>Realised</v>
      </c>
    </row>
    <row r="177" spans="2:7" hidden="1">
      <c r="B177" s="52" t="str">
        <v>Steelpark_Tracker.xlsx</v>
      </c>
      <c r="C177" s="52" t="str">
        <v xml:space="preserve">Roof inspection </v>
      </c>
      <c r="D177" s="52" t="str">
        <v>HappySolar Inv: 0346</v>
      </c>
      <c r="E177" s="50">
        <v>46053</v>
      </c>
      <c r="F177" s="112">
        <v>11791.406841301716</v>
      </c>
      <c r="G177" s="52" t="str">
        <v>Realised</v>
      </c>
    </row>
    <row r="178" spans="2:7" hidden="1">
      <c r="B178" s="52" t="str">
        <v>Steelpark_Tracker.xlsx</v>
      </c>
      <c r="C178" s="52" t="str">
        <v xml:space="preserve">Roof inspection </v>
      </c>
      <c r="D178" s="52" t="str">
        <v>Leading Edge INV0171</v>
      </c>
      <c r="E178" s="50">
        <v>46053</v>
      </c>
      <c r="F178" s="112">
        <v>2074.9064676863527</v>
      </c>
      <c r="G178" s="52" t="str">
        <v>Realised</v>
      </c>
    </row>
    <row r="179" spans="2:7" hidden="1">
      <c r="B179" s="52" t="str">
        <v>Superspar Ph2_Tracker.xlsx</v>
      </c>
      <c r="C179" s="52" t="str">
        <v>Clamp fit Pro  - From stock refer to stocksheet</v>
      </c>
      <c r="D179" s="52" t="str">
        <v>Allocated from PE Storetoom</v>
      </c>
      <c r="E179" s="50">
        <v>46053</v>
      </c>
      <c r="F179" s="112">
        <v>61736.990487599389</v>
      </c>
      <c r="G179" s="52" t="str">
        <v>Realised</v>
      </c>
    </row>
    <row r="180" spans="2:7" hidden="1">
      <c r="B180" s="52" t="str">
        <v>Superspar Ph2_Tracker.xlsx</v>
      </c>
      <c r="C180" s="52" t="str">
        <v>Mid Clamps - From stock - refer to stocksheet</v>
      </c>
      <c r="D180" s="52" t="str">
        <v>Allocated from PE Storetoom</v>
      </c>
      <c r="E180" s="50">
        <v>46053</v>
      </c>
      <c r="F180" s="112">
        <v>7899.8540295348221</v>
      </c>
      <c r="G180" s="52" t="str">
        <v>Realised</v>
      </c>
    </row>
    <row r="181" spans="2:7" hidden="1">
      <c r="B181" s="52" t="str">
        <v>Superspar Ph2_Tracker.xlsx</v>
      </c>
      <c r="C181" s="52" t="str">
        <v>Mid Clamps - From stock - refer to stocksheet</v>
      </c>
      <c r="D181" s="52" t="str">
        <v>Allocated from PE Storeroom</v>
      </c>
      <c r="E181" s="50">
        <v>46053</v>
      </c>
      <c r="F181" s="112">
        <v>8336.1433599485263</v>
      </c>
      <c r="G181" s="52" t="str">
        <v>Realised</v>
      </c>
    </row>
    <row r="182" spans="2:7" hidden="1">
      <c r="B182" s="52" t="str">
        <v>Superspar Ph2_Tracker.xlsx</v>
      </c>
      <c r="C182" s="52" t="str">
        <v>End Clamps - From stock - refer to stocksheet</v>
      </c>
      <c r="D182" s="52" t="str">
        <v>Allocated from PE Storetoom</v>
      </c>
      <c r="E182" s="50">
        <v>46053</v>
      </c>
      <c r="F182" s="112">
        <v>4048.4073982040063</v>
      </c>
      <c r="G182" s="52" t="str">
        <v>Realised</v>
      </c>
    </row>
    <row r="183" spans="2:7" hidden="1">
      <c r="B183" s="52" t="str">
        <v>Superspar Ph2_Tracker.xlsx</v>
      </c>
      <c r="C183" s="52" t="str">
        <v>DC Cable - from Standard Bank GQ</v>
      </c>
      <c r="D183" s="52" t="str">
        <v>Allocated from Std Bank GQ</v>
      </c>
      <c r="E183" s="50">
        <v>46053</v>
      </c>
      <c r="F183" s="112">
        <v>55267.937277763966</v>
      </c>
      <c r="G183" s="52" t="str">
        <v>Realised</v>
      </c>
    </row>
    <row r="184" spans="2:7" hidden="1">
      <c r="B184" s="52" t="str">
        <v>Superspar Ph2_Tracker.xlsx</v>
      </c>
      <c r="C184" s="52">
        <v>0</v>
      </c>
      <c r="D184" s="52" t="str">
        <v>Allocated from Std Bank GQ</v>
      </c>
      <c r="E184" s="50">
        <v>46053</v>
      </c>
      <c r="F184" s="112">
        <v>55267.937277763966</v>
      </c>
      <c r="G184" s="52" t="str">
        <v>Realised</v>
      </c>
    </row>
    <row r="185" spans="2:7" hidden="1">
      <c r="B185" s="52" t="str">
        <v>Superspar Ph2_Tracker.xlsx</v>
      </c>
      <c r="C185" s="52" t="str">
        <v>Courier</v>
      </c>
      <c r="D185" s="52" t="str">
        <v>DSV Inv:180161978</v>
      </c>
      <c r="E185" s="50">
        <v>46053</v>
      </c>
      <c r="F185" s="112">
        <v>969.91429469981074</v>
      </c>
      <c r="G185" s="52" t="str">
        <v>Realised</v>
      </c>
    </row>
    <row r="186" spans="2:7" hidden="1">
      <c r="B186" s="52" t="str">
        <v>Superspar Ph2_Tracker.xlsx</v>
      </c>
      <c r="C186" s="52" t="str">
        <v>PVDB</v>
      </c>
      <c r="D186" s="52" t="str">
        <v>Eastern Switchgear - 17043</v>
      </c>
      <c r="E186" s="50">
        <v>46053</v>
      </c>
      <c r="F186" s="112">
        <v>98500.818468872589</v>
      </c>
      <c r="G186" s="52" t="str">
        <v>Realised</v>
      </c>
    </row>
    <row r="187" spans="2:7" hidden="1">
      <c r="B187" s="52" t="str">
        <v>Superspar Ph2_Tracker.xlsx</v>
      </c>
      <c r="C187" s="52" t="str">
        <v>Matriarch Defects Period - 1.25%</v>
      </c>
      <c r="D187" s="52" t="str">
        <v>Performance Monitoring Contract</v>
      </c>
      <c r="E187" s="50">
        <v>46053</v>
      </c>
      <c r="F187" s="112">
        <v>15121.332421772067</v>
      </c>
      <c r="G187" s="52" t="str">
        <v>Realised</v>
      </c>
    </row>
    <row r="188" spans="2:7" hidden="1">
      <c r="B188" s="52" t="str">
        <v>Superspar Ph2_Tracker.xlsx</v>
      </c>
      <c r="C188" s="52" t="str">
        <v>Travel</v>
      </c>
      <c r="D188" s="52" t="str">
        <v>Expense Claim</v>
      </c>
      <c r="E188" s="50">
        <v>46053</v>
      </c>
      <c r="F188" s="112">
        <v>558.8058275970667</v>
      </c>
      <c r="G188" s="52" t="str">
        <v>Realised</v>
      </c>
    </row>
    <row r="189" spans="2:7" hidden="1">
      <c r="B189" s="52" t="str">
        <v>Topsteel_Tracker.xlsx</v>
      </c>
      <c r="C189" s="52" t="str">
        <v>Panel Size -- 610W a</v>
      </c>
      <c r="D189" s="52" t="str">
        <v>MSA Energy INV0003560</v>
      </c>
      <c r="E189" s="50">
        <v>46053</v>
      </c>
      <c r="F189" s="112">
        <v>746843.5</v>
      </c>
      <c r="G189" s="52" t="str">
        <v>Realised</v>
      </c>
    </row>
    <row r="190" spans="2:7" hidden="1">
      <c r="B190" s="52" t="str">
        <v>Topsteel_Tracker.xlsx</v>
      </c>
      <c r="C190" s="52" t="str">
        <v>Huawei 100KTL</v>
      </c>
      <c r="D190" s="52" t="str">
        <v>MSA Energy INV0003560</v>
      </c>
      <c r="E190" s="50">
        <v>46053</v>
      </c>
      <c r="F190" s="112">
        <v>262500</v>
      </c>
      <c r="G190" s="52" t="str">
        <v>Realised</v>
      </c>
    </row>
    <row r="191" spans="2:7" hidden="1">
      <c r="B191" s="52" t="str">
        <v>Topsteel_Tracker.xlsx</v>
      </c>
      <c r="C191" s="52" t="str">
        <v>Schletter Structure</v>
      </c>
      <c r="D191" s="52" t="str">
        <v>Schletter Inv: INV002586</v>
      </c>
      <c r="E191" s="50">
        <v>46053</v>
      </c>
      <c r="F191" s="112">
        <v>136640</v>
      </c>
      <c r="G191" s="52" t="str">
        <v>Realised</v>
      </c>
    </row>
    <row r="192" spans="2:7" hidden="1">
      <c r="B192" s="52" t="str">
        <v>Topsteel_Tracker.xlsx</v>
      </c>
      <c r="C192" s="52" t="str">
        <v>DC Cable</v>
      </c>
      <c r="D192" s="52" t="str">
        <v>MSA Energy INV0003560</v>
      </c>
      <c r="E192" s="50">
        <v>46053</v>
      </c>
      <c r="F192" s="112">
        <v>100958.20148640532</v>
      </c>
      <c r="G192" s="52" t="str">
        <v>Realised</v>
      </c>
    </row>
    <row r="193" spans="2:7" hidden="1">
      <c r="B193" s="52" t="str">
        <v>Topsteel_Tracker.xlsx</v>
      </c>
      <c r="C193" s="52" t="str">
        <v>Project Kick Off</v>
      </c>
      <c r="D193" s="52" t="str">
        <v>Cosmic Sun - CS_TPS_001</v>
      </c>
      <c r="E193" s="50">
        <v>46053</v>
      </c>
      <c r="F193" s="112">
        <v>16137.529851359466</v>
      </c>
      <c r="G193" s="52" t="str">
        <v>Realised</v>
      </c>
    </row>
    <row r="194" spans="2:7">
      <c r="B194" s="52" t="str">
        <v>Topsteel_Tracker.xlsx</v>
      </c>
      <c r="C194" s="52" t="str">
        <v>Site Establishment</v>
      </c>
      <c r="D194" s="52" t="str">
        <v>Cosmic Sun - CS_TPS_002</v>
      </c>
      <c r="E194" s="50">
        <v>46053</v>
      </c>
      <c r="F194" s="112">
        <v>24206.294777039195</v>
      </c>
      <c r="G194" s="52" t="str">
        <v>Realised</v>
      </c>
    </row>
    <row r="195" spans="2:7">
      <c r="B195" s="52" t="str">
        <v>Topsteel_Tracker.xlsx</v>
      </c>
      <c r="C195" s="52" t="str">
        <v>Smartlogger 3000</v>
      </c>
      <c r="D195" s="52" t="str">
        <v>MSA Energy INV0003560</v>
      </c>
      <c r="E195" s="50">
        <v>46053</v>
      </c>
      <c r="F195" s="112">
        <v>14012.999682833975</v>
      </c>
      <c r="G195" s="52" t="str">
        <v>Realised</v>
      </c>
    </row>
    <row r="196" spans="2:7">
      <c r="B196" s="52" t="str">
        <v>Topsteel_Tracker.xlsx</v>
      </c>
      <c r="C196" s="52" t="str">
        <v>Comms DB</v>
      </c>
      <c r="D196" s="52" t="str">
        <v>Accuenergy Inv: ASAI-007261</v>
      </c>
      <c r="E196" s="50">
        <v>46053</v>
      </c>
      <c r="F196" s="112">
        <v>22791.003154631213</v>
      </c>
      <c r="G196" s="52" t="str">
        <v>Realised</v>
      </c>
    </row>
    <row r="197" spans="2:7">
      <c r="B197" s="52" t="str">
        <v>Topsteel_Tracker.xlsx</v>
      </c>
      <c r="C197" s="52" t="str">
        <v>Project Kick Off</v>
      </c>
      <c r="D197" s="52" t="str">
        <v>Cosmic Sun - CS_TPS_001</v>
      </c>
      <c r="E197" s="50">
        <v>46053</v>
      </c>
      <c r="F197" s="112">
        <v>21328.619495638184</v>
      </c>
      <c r="G197" s="52" t="str">
        <v>Realised</v>
      </c>
    </row>
    <row r="198" spans="2:7">
      <c r="B198" s="52" t="str">
        <v>Topsteel_Tracker.xlsx</v>
      </c>
      <c r="C198" s="52" t="str">
        <v>Site Establishment</v>
      </c>
      <c r="D198" s="52" t="str">
        <v>Cosmic Sun - CS_TPS_002</v>
      </c>
      <c r="E198" s="50">
        <v>46053</v>
      </c>
      <c r="F198" s="112">
        <v>31992.929243457271</v>
      </c>
      <c r="G198" s="52" t="str">
        <v>Realised</v>
      </c>
    </row>
    <row r="199" spans="2:7">
      <c r="B199" s="52" t="str">
        <v>Topsteel_Tracker.xlsx</v>
      </c>
      <c r="C199" s="52" t="str">
        <v>Project Kick Off</v>
      </c>
      <c r="D199" s="52" t="str">
        <v>Cosmic Sun - CS_TPS_001</v>
      </c>
      <c r="E199" s="50">
        <v>46053</v>
      </c>
      <c r="F199" s="112">
        <v>24142.222222222223</v>
      </c>
      <c r="G199" s="52" t="str">
        <v>Realised</v>
      </c>
    </row>
    <row r="200" spans="2:7">
      <c r="B200" s="52" t="str">
        <v>Topsteel_Tracker.xlsx</v>
      </c>
      <c r="C200" s="52" t="str">
        <v>Site Establishment</v>
      </c>
      <c r="D200" s="52" t="str">
        <v>Cosmic Sun - CS_TPS_002</v>
      </c>
      <c r="E200" s="50">
        <v>46053</v>
      </c>
      <c r="F200" s="112">
        <v>36213.333333333336</v>
      </c>
      <c r="G200" s="52" t="str">
        <v>Realised</v>
      </c>
    </row>
    <row r="201" spans="2:7">
      <c r="B201" s="52" t="str">
        <v>Topsteel_Tracker.xlsx</v>
      </c>
      <c r="C201" s="52" t="str">
        <v>Project Kick Off</v>
      </c>
      <c r="D201" s="52" t="str">
        <v>Cosmic Sun - CS_TPS_001</v>
      </c>
      <c r="E201" s="50">
        <v>46053</v>
      </c>
      <c r="F201" s="112">
        <v>2457.6376157407408</v>
      </c>
      <c r="G201" s="52" t="str">
        <v>Realised</v>
      </c>
    </row>
    <row r="202" spans="2:7">
      <c r="B202" s="52" t="str">
        <v>Topsteel_Tracker.xlsx</v>
      </c>
      <c r="C202" s="52" t="str">
        <v>Site Establishment</v>
      </c>
      <c r="D202" s="52" t="str">
        <v>Cosmic Sun - CS_TPS_002</v>
      </c>
      <c r="E202" s="50">
        <v>46053</v>
      </c>
      <c r="F202" s="112">
        <v>3686.4564236111105</v>
      </c>
      <c r="G202" s="52" t="str">
        <v>Realised</v>
      </c>
    </row>
    <row r="203" spans="2:7">
      <c r="B203" s="52" t="str">
        <v>Topsteel_Tracker.xlsx</v>
      </c>
      <c r="C203" s="52" t="str">
        <v>Travel</v>
      </c>
      <c r="D203" s="52" t="str">
        <v>Exepnse Claim</v>
      </c>
      <c r="E203" s="50">
        <v>46053</v>
      </c>
      <c r="F203" s="112">
        <v>1070.8895971649381</v>
      </c>
      <c r="G203" s="52" t="str">
        <v>Realised</v>
      </c>
    </row>
    <row r="204" spans="2:7">
      <c r="B204" s="52" t="str">
        <v>Waterside_Tracker.xlsx</v>
      </c>
      <c r="C204" s="52" t="str">
        <v>Electrical PrEng sign off</v>
      </c>
      <c r="D204" s="52" t="str">
        <v>SunSpot - E038</v>
      </c>
      <c r="E204" s="50">
        <v>46053</v>
      </c>
      <c r="F204" s="112">
        <v>13185.192502183059</v>
      </c>
      <c r="G204" s="52" t="str">
        <v>Realised</v>
      </c>
    </row>
    <row r="205" spans="2:7">
      <c r="B205" s="52" t="str">
        <v>Waterside_Tracker.xlsx</v>
      </c>
      <c r="C205" s="52" t="str">
        <v>Travel</v>
      </c>
      <c r="D205" s="52" t="str">
        <v>Expense Claim</v>
      </c>
      <c r="E205" s="50">
        <v>46053</v>
      </c>
      <c r="F205" s="112">
        <v>404.58</v>
      </c>
      <c r="G205" s="52" t="str">
        <v>Realised</v>
      </c>
    </row>
    <row r="206" spans="2:7">
      <c r="B206" s="52" t="str">
        <v>FY 2026 Adhoc_Tracker.xlsx</v>
      </c>
      <c r="C206" s="52" t="str">
        <v>Travel</v>
      </c>
      <c r="D206" s="52">
        <v>0</v>
      </c>
      <c r="E206" s="50">
        <v>46053</v>
      </c>
      <c r="F206" s="112">
        <v>3550</v>
      </c>
      <c r="G206" s="52" t="str">
        <v>Outstanding</v>
      </c>
    </row>
    <row r="207" spans="2:7">
      <c r="E207" s="50"/>
      <c r="F207" s="112"/>
    </row>
    <row r="208" spans="2:7">
      <c r="E208" s="50"/>
      <c r="F208" s="112"/>
    </row>
    <row r="209" spans="5:6">
      <c r="E209" s="50"/>
      <c r="F209" s="112"/>
    </row>
    <row r="210" spans="5:6">
      <c r="E210" s="50"/>
      <c r="F210" s="112"/>
    </row>
    <row r="211" spans="5:6">
      <c r="E211" s="50"/>
      <c r="F211" s="112"/>
    </row>
    <row r="212" spans="5:6">
      <c r="E212" s="50"/>
      <c r="F212" s="112"/>
    </row>
    <row r="213" spans="5:6">
      <c r="E213" s="50"/>
      <c r="F213" s="112"/>
    </row>
    <row r="214" spans="5:6">
      <c r="E214" s="50"/>
      <c r="F214" s="112"/>
    </row>
    <row r="215" spans="5:6">
      <c r="E215" s="50"/>
      <c r="F215" s="112"/>
    </row>
    <row r="216" spans="5:6">
      <c r="E216" s="50"/>
      <c r="F216" s="112"/>
    </row>
    <row r="217" spans="5:6">
      <c r="E217" s="50"/>
      <c r="F217" s="112"/>
    </row>
    <row r="218" spans="5:6">
      <c r="E218" s="50"/>
      <c r="F218" s="112"/>
    </row>
    <row r="219" spans="5:6">
      <c r="E219" s="50"/>
      <c r="F219" s="112"/>
    </row>
    <row r="220" spans="5:6" hidden="1">
      <c r="E220" s="50"/>
      <c r="F220" s="112"/>
    </row>
    <row r="221" spans="5:6" hidden="1">
      <c r="E221" s="50"/>
      <c r="F221" s="112"/>
    </row>
    <row r="222" spans="5:6" hidden="1">
      <c r="E222" s="50"/>
      <c r="F222" s="112"/>
    </row>
    <row r="223" spans="5:6" hidden="1">
      <c r="E223" s="50"/>
      <c r="F223" s="112"/>
    </row>
    <row r="224" spans="5:6" hidden="1">
      <c r="E224" s="50"/>
      <c r="F224" s="112"/>
    </row>
    <row r="225" spans="5:6" hidden="1">
      <c r="E225" s="50"/>
      <c r="F225" s="112"/>
    </row>
    <row r="226" spans="5:6" hidden="1">
      <c r="E226" s="50"/>
      <c r="F226" s="112"/>
    </row>
    <row r="227" spans="5:6" hidden="1">
      <c r="E227" s="50"/>
      <c r="F227" s="112"/>
    </row>
    <row r="228" spans="5:6" hidden="1">
      <c r="E228" s="50"/>
      <c r="F228" s="112"/>
    </row>
    <row r="229" spans="5:6" hidden="1">
      <c r="E229" s="50"/>
      <c r="F229" s="112"/>
    </row>
    <row r="230" spans="5:6" hidden="1">
      <c r="E230" s="50"/>
      <c r="F230" s="112"/>
    </row>
    <row r="231" spans="5:6" hidden="1">
      <c r="E231" s="50"/>
      <c r="F231" s="112"/>
    </row>
    <row r="232" spans="5:6" hidden="1">
      <c r="E232" s="50"/>
      <c r="F232" s="112"/>
    </row>
    <row r="233" spans="5:6" hidden="1">
      <c r="E233" s="50"/>
      <c r="F233" s="112"/>
    </row>
    <row r="234" spans="5:6" hidden="1">
      <c r="E234" s="50"/>
      <c r="F234" s="112"/>
    </row>
    <row r="235" spans="5:6" hidden="1">
      <c r="E235" s="50"/>
      <c r="F235" s="112"/>
    </row>
    <row r="236" spans="5:6" hidden="1">
      <c r="E236" s="50"/>
      <c r="F236" s="112"/>
    </row>
    <row r="237" spans="5:6" hidden="1">
      <c r="E237" s="50"/>
      <c r="F237" s="112"/>
    </row>
    <row r="238" spans="5:6" hidden="1">
      <c r="E238" s="50"/>
      <c r="F238" s="112"/>
    </row>
    <row r="239" spans="5:6" hidden="1">
      <c r="E239" s="50"/>
      <c r="F239" s="112"/>
    </row>
    <row r="240" spans="5:6" hidden="1">
      <c r="E240" s="50"/>
      <c r="F240" s="112"/>
    </row>
    <row r="241" spans="5:6" hidden="1">
      <c r="E241" s="50"/>
      <c r="F241" s="112"/>
    </row>
    <row r="242" spans="5:6" hidden="1">
      <c r="E242" s="50"/>
      <c r="F242" s="112"/>
    </row>
    <row r="243" spans="5:6" hidden="1">
      <c r="E243" s="50"/>
      <c r="F243" s="112"/>
    </row>
    <row r="244" spans="5:6" hidden="1">
      <c r="E244" s="50"/>
      <c r="F244" s="112"/>
    </row>
    <row r="245" spans="5:6" hidden="1">
      <c r="E245" s="50"/>
      <c r="F245" s="112"/>
    </row>
    <row r="246" spans="5:6" hidden="1">
      <c r="E246" s="50"/>
      <c r="F246" s="112"/>
    </row>
    <row r="247" spans="5:6" hidden="1">
      <c r="E247" s="50"/>
      <c r="F247" s="112"/>
    </row>
    <row r="248" spans="5:6" hidden="1">
      <c r="E248" s="50"/>
      <c r="F248" s="112"/>
    </row>
    <row r="249" spans="5:6" hidden="1">
      <c r="E249" s="50"/>
      <c r="F249" s="112"/>
    </row>
    <row r="250" spans="5:6" hidden="1">
      <c r="E250" s="50"/>
      <c r="F250" s="112"/>
    </row>
    <row r="251" spans="5:6" hidden="1">
      <c r="E251" s="50"/>
      <c r="F251" s="112"/>
    </row>
    <row r="252" spans="5:6" hidden="1">
      <c r="E252" s="50"/>
      <c r="F252" s="112"/>
    </row>
    <row r="253" spans="5:6" hidden="1">
      <c r="E253" s="50"/>
      <c r="F253" s="112"/>
    </row>
    <row r="254" spans="5:6" hidden="1">
      <c r="E254" s="50"/>
      <c r="F254" s="112"/>
    </row>
    <row r="255" spans="5:6" hidden="1">
      <c r="E255" s="50"/>
      <c r="F255" s="112"/>
    </row>
    <row r="256" spans="5:6" hidden="1">
      <c r="E256" s="50"/>
      <c r="F256" s="112"/>
    </row>
    <row r="257" spans="5:6" hidden="1">
      <c r="E257" s="50"/>
      <c r="F257" s="112"/>
    </row>
    <row r="258" spans="5:6" hidden="1">
      <c r="E258" s="50"/>
      <c r="F258" s="112"/>
    </row>
    <row r="259" spans="5:6" hidden="1">
      <c r="E259" s="50"/>
      <c r="F259" s="112"/>
    </row>
    <row r="260" spans="5:6" hidden="1">
      <c r="E260" s="50"/>
      <c r="F260" s="112"/>
    </row>
    <row r="261" spans="5:6" hidden="1">
      <c r="E261" s="50"/>
      <c r="F261" s="112"/>
    </row>
    <row r="262" spans="5:6" hidden="1">
      <c r="E262" s="50"/>
      <c r="F262" s="112"/>
    </row>
    <row r="263" spans="5:6" hidden="1">
      <c r="E263" s="50"/>
      <c r="F263" s="112"/>
    </row>
    <row r="264" spans="5:6" hidden="1">
      <c r="E264" s="50"/>
      <c r="F264" s="112"/>
    </row>
    <row r="265" spans="5:6" hidden="1">
      <c r="E265" s="50"/>
      <c r="F265" s="112"/>
    </row>
    <row r="266" spans="5:6" hidden="1">
      <c r="E266" s="50"/>
      <c r="F266" s="112"/>
    </row>
    <row r="267" spans="5:6" hidden="1">
      <c r="E267" s="50"/>
      <c r="F267" s="112"/>
    </row>
    <row r="268" spans="5:6" hidden="1">
      <c r="E268" s="50"/>
      <c r="F268" s="112"/>
    </row>
    <row r="269" spans="5:6" hidden="1">
      <c r="E269" s="50"/>
      <c r="F269" s="112"/>
    </row>
    <row r="270" spans="5:6" hidden="1">
      <c r="E270" s="50"/>
      <c r="F270" s="112"/>
    </row>
    <row r="271" spans="5:6" hidden="1">
      <c r="E271" s="50"/>
      <c r="F271" s="112"/>
    </row>
    <row r="272" spans="5:6" hidden="1">
      <c r="E272" s="50"/>
      <c r="F272" s="112"/>
    </row>
    <row r="273" spans="5:6" hidden="1">
      <c r="E273" s="50"/>
      <c r="F273" s="112"/>
    </row>
    <row r="274" spans="5:6" hidden="1">
      <c r="E274" s="50"/>
      <c r="F274" s="112"/>
    </row>
    <row r="275" spans="5:6" hidden="1">
      <c r="E275" s="50"/>
      <c r="F275" s="112"/>
    </row>
    <row r="276" spans="5:6" hidden="1">
      <c r="E276" s="50"/>
      <c r="F276" s="112"/>
    </row>
    <row r="277" spans="5:6" hidden="1">
      <c r="E277" s="50"/>
      <c r="F277" s="112"/>
    </row>
    <row r="278" spans="5:6" hidden="1">
      <c r="E278" s="50"/>
      <c r="F278" s="112"/>
    </row>
    <row r="279" spans="5:6" hidden="1">
      <c r="E279" s="50"/>
      <c r="F279" s="112"/>
    </row>
    <row r="280" spans="5:6" hidden="1">
      <c r="E280" s="50"/>
      <c r="F280" s="112"/>
    </row>
    <row r="281" spans="5:6" hidden="1">
      <c r="E281" s="50"/>
      <c r="F281" s="112"/>
    </row>
    <row r="282" spans="5:6" hidden="1">
      <c r="E282" s="50"/>
      <c r="F282" s="112"/>
    </row>
    <row r="283" spans="5:6" hidden="1">
      <c r="E283" s="50"/>
      <c r="F283" s="112"/>
    </row>
    <row r="284" spans="5:6" hidden="1">
      <c r="E284" s="50"/>
      <c r="F284" s="112"/>
    </row>
    <row r="285" spans="5:6" hidden="1">
      <c r="E285" s="50"/>
      <c r="F285" s="112"/>
    </row>
    <row r="286" spans="5:6" hidden="1">
      <c r="E286" s="50"/>
      <c r="F286" s="112"/>
    </row>
    <row r="287" spans="5:6" hidden="1">
      <c r="E287" s="50"/>
      <c r="F287" s="112"/>
    </row>
    <row r="288" spans="5:6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</sheetData>
  <autoFilter ref="B24:G302" xr:uid="{A63173BE-F70C-4447-83C0-823651646901}">
    <filterColumn colId="5">
      <filters>
        <filter val="Outstanding"/>
      </filters>
    </filterColumn>
  </autoFilter>
  <dataValidations count="3">
    <dataValidation type="list" allowBlank="1" showInputMessage="1" showErrorMessage="1" sqref="B22" xr:uid="{22DF151A-46B5-40CC-941E-29E70A7144EA}">
      <formula1>_xlfn.ANCHORARRAY(P1)</formula1>
    </dataValidation>
    <dataValidation type="list" allowBlank="1" showInputMessage="1" showErrorMessage="1" sqref="B21" xr:uid="{BF77908B-87BE-4974-9E8B-ECC76627D9D8}">
      <formula1>$B$1:$M$1</formula1>
    </dataValidation>
    <dataValidation type="list" allowBlank="1" showInputMessage="1" showErrorMessage="1" sqref="B20" xr:uid="{8EA67C1F-0A2D-4457-ACE6-5EAAF873DCE1}">
      <formula1>"Hide,Show"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B83A8-1BAF-4AB4-AD86-29C68AD52A27}">
  <sheetPr codeName="Sheet10" filterMode="1"/>
  <dimension ref="A1:BB379"/>
  <sheetViews>
    <sheetView tabSelected="1" zoomScale="78" zoomScaleNormal="90" workbookViewId="0">
      <pane xSplit="1" ySplit="1" topLeftCell="D2" activePane="bottomRight" state="frozen"/>
      <selection pane="topRight" activeCell="D1" sqref="D1"/>
      <selection pane="bottomLeft" activeCell="A2" sqref="A2"/>
      <selection pane="bottomRight" activeCell="D1" sqref="D1"/>
    </sheetView>
  </sheetViews>
  <sheetFormatPr defaultColWidth="27" defaultRowHeight="15.75" customHeight="1"/>
  <cols>
    <col min="1" max="2" width="27" style="52" bestFit="1" customWidth="1"/>
    <col min="3" max="3" width="52.1796875" style="52" customWidth="1"/>
    <col min="4" max="4" width="27" style="52" bestFit="1" customWidth="1"/>
    <col min="5" max="5" width="27" style="50" bestFit="1" customWidth="1"/>
    <col min="6" max="6" width="27" style="52" bestFit="1" customWidth="1"/>
    <col min="7" max="16384" width="27" style="52"/>
  </cols>
  <sheetData>
    <row r="1" spans="1:54" s="50" customFormat="1" ht="15.75" customHeight="1">
      <c r="A1" s="79" t="s">
        <v>135</v>
      </c>
      <c r="B1" s="79">
        <v>45901</v>
      </c>
      <c r="C1" s="79">
        <v>45931</v>
      </c>
      <c r="D1" s="79">
        <v>45962</v>
      </c>
      <c r="E1" s="79">
        <v>45992</v>
      </c>
      <c r="F1" s="79">
        <v>46023</v>
      </c>
      <c r="G1" s="79">
        <v>46054</v>
      </c>
      <c r="H1" s="79">
        <v>46082</v>
      </c>
      <c r="I1" s="79">
        <v>46113</v>
      </c>
      <c r="J1" s="79">
        <v>46143</v>
      </c>
      <c r="K1" s="79">
        <v>46174</v>
      </c>
      <c r="L1" s="79">
        <v>46204</v>
      </c>
      <c r="M1" s="79">
        <v>46235</v>
      </c>
      <c r="O1" s="53"/>
      <c r="P1" s="53" t="str" cm="1">
        <f t="array" ref="P1:P58">_xlfn.VSTACK("(All projects)", _xlfn._xlws.SORT(_xlfn.UNIQUE(tblProgramExpense[ProjectName])))</f>
        <v>(All projects)</v>
      </c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</row>
    <row r="2" spans="1:54" s="50" customFormat="1" ht="15.75" customHeight="1">
      <c r="A2" s="76" t="s">
        <v>136</v>
      </c>
      <c r="B2" s="77">
        <f>IFERROR(
  SUMIFS(tblProgramExpense[ExpenseActualTotal],tblProgramExpense[ExpenseInvoicedDate],
 "&gt;=" &amp; EOMONTH(B$1,-1)+1,tblProgramExpense[ExpenseInvoicedDate],
 "&lt;=" &amp; EOMONTH(B$1,0)),
  0)</f>
        <v>2438312.2420000006</v>
      </c>
      <c r="C2" s="77">
        <f>IFERROR(
  SUMIFS(tblProgramExpense[ExpenseActualTotal],tblProgramExpense[ExpenseInvoicedDate],
 "&gt;=" &amp; EOMONTH(C$1,-1)+1,tblProgramExpense[ExpenseInvoicedDate],
 "&lt;=" &amp; EOMONTH(C$1,0)),
  0)</f>
        <v>13336335.454510482</v>
      </c>
      <c r="D2" s="77">
        <f>IFERROR(
  SUMIFS(tblProgramExpense[ExpenseActualTotal],tblProgramExpense[ExpenseInvoicedDate],
 "&gt;=" &amp; EOMONTH(D$1,-1)+1,tblProgramExpense[ExpenseInvoicedDate],
 "&lt;=" &amp; EOMONTH(D$1,0)),
  0)</f>
        <v>15554164.722097512</v>
      </c>
      <c r="E2" s="77">
        <f>IFERROR(
  SUMIFS(tblProgramExpense[ExpenseActualTotal],tblProgramExpense[ExpenseInvoicedDate],
 "&gt;=" &amp; EOMONTH(E$1,-1)+1,tblProgramExpense[ExpenseInvoicedDate],
 "&lt;=" &amp; EOMONTH(E$1,0)),
  0)</f>
        <v>4374191.2309999978</v>
      </c>
      <c r="F2" s="77">
        <f>IFERROR(
  SUMIFS(tblProgramExpense[ExpenseActualTotal],tblProgramExpense[ExpenseInvoicedDate],
 "&gt;=" &amp; EOMONTH(F$1,-1)+1,tblProgramExpense[ExpenseInvoicedDate],
 "&lt;=" &amp; EOMONTH(F$1,0)),
  0)</f>
        <v>5249189.9363984093</v>
      </c>
      <c r="G2" s="77">
        <f>IFERROR(
  SUMIFS(tblProgramExpense[ExpenseActualTotal],tblProgramExpense[ExpenseInvoicedDate],
 "&gt;=" &amp; EOMONTH(G$1,-1)+1,tblProgramExpense[ExpenseInvoicedDate],
 "&lt;=" &amp; EOMONTH(G$1,0)),
  0)</f>
        <v>15446335.655991863</v>
      </c>
      <c r="H2" s="77">
        <f>IFERROR(
  SUMIFS(tblProgramExpense[ExpenseActualTotal],tblProgramExpense[ExpenseInvoicedDate],
 "&gt;=" &amp; EOMONTH(H$1,-1)+1,tblProgramExpense[ExpenseInvoicedDate],
 "&lt;=" &amp; EOMONTH(H$1,0)),
  0)</f>
        <v>12244192.967473228</v>
      </c>
      <c r="I2" s="77">
        <f>IFERROR(
  SUMIFS(tblProgramExpense[ExpenseActualTotal],tblProgramExpense[ExpenseInvoicedDate],
 "&gt;=" &amp; EOMONTH(I$1,-1)+1,tblProgramExpense[ExpenseInvoicedDate],
 "&lt;=" &amp; EOMONTH(I$1,0)),
  0)</f>
        <v>26892918.084507331</v>
      </c>
      <c r="J2" s="77">
        <f>IFERROR(
  SUMIFS(tblProgramExpense[ExpenseActualTotal],tblProgramExpense[ExpenseInvoicedDate],
 "&gt;=" &amp; EOMONTH(J$1,-1)+1,tblProgramExpense[ExpenseInvoicedDate],
 "&lt;=" &amp; EOMONTH(J$1,0)),
  0)</f>
        <v>60718488.103775665</v>
      </c>
      <c r="K2" s="77">
        <f>IFERROR(
  SUMIFS(tblProgramExpense[ExpenseActualTotal],tblProgramExpense[ExpenseInvoicedDate],
 "&gt;=" &amp; EOMONTH(K$1,-1)+1,tblProgramExpense[ExpenseInvoicedDate],
 "&lt;=" &amp; EOMONTH(K$1,0)),
  0)</f>
        <v>19438024.775077876</v>
      </c>
      <c r="L2" s="77">
        <f>IFERROR(
  SUMIFS(tblProgramExpense[ExpenseActualTotal],tblProgramExpense[ExpenseInvoicedDate],
 "&gt;=" &amp; EOMONTH(L$1,-1)+1,tblProgramExpense[ExpenseInvoicedDate],
 "&lt;=" &amp; EOMONTH(L$1,0)),
  0)</f>
        <v>16341988.380966667</v>
      </c>
      <c r="M2" s="77">
        <f>IFERROR(
  SUMIFS(tblProgramExpense[ExpenseActualTotal],tblProgramExpense[ExpenseInvoicedDate],
 "&gt;=" &amp; EOMONTH(M$1,-1)+1,tblProgramExpense[ExpenseInvoicedDate],
 "&lt;=" &amp; EOMONTH(M$1,0)),
  0)</f>
        <v>12133717.534112768</v>
      </c>
      <c r="N2" s="5"/>
      <c r="O2" s="5"/>
      <c r="P2" s="5" t="str">
        <v>1 Bolt Ave_Tracker.xlsx</v>
      </c>
      <c r="Q2" s="5"/>
      <c r="R2" s="5"/>
      <c r="S2" s="5"/>
      <c r="T2" s="5"/>
      <c r="U2" s="5"/>
      <c r="V2" s="5"/>
      <c r="W2" s="5"/>
      <c r="X2" s="5"/>
      <c r="Y2" s="5"/>
      <c r="Z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</row>
    <row r="3" spans="1:54" s="50" customFormat="1" ht="15.75" customHeight="1">
      <c r="A3" s="255" t="s">
        <v>137</v>
      </c>
      <c r="B3" s="77">
        <v>2687490.95</v>
      </c>
      <c r="C3" s="77">
        <v>13400189.890000001</v>
      </c>
      <c r="D3" s="77">
        <v>15691387.65</v>
      </c>
      <c r="E3" s="77">
        <v>4411406</v>
      </c>
      <c r="F3" s="252">
        <f>IFERROR(
  SUMIFS(tblProgramExpense[ExpenseActualTotal],tblProgramExpense[ExpenseInvoicedDate],
 "&gt;=" &amp; EOMONTH(F$1,-1)+1,tblProgramExpense[ExpenseInvoicedDate],
 "&lt;=" &amp; EOMONTH(F$1,0),tblProgramExpense[ExpenseInvoiceNumber],
 "&lt;&gt;"),
  0)</f>
        <v>5246689.9363984093</v>
      </c>
      <c r="G3" s="77">
        <f>IFERROR(
  SUMIFS(tblProgramExpense[ExpenseActualTotal],tblProgramExpense[ExpenseInvoicedDate],
 "&gt;=" &amp; EOMONTH(G$1,-1)+1,tblProgramExpense[ExpenseInvoicedDate],
 "&lt;=" &amp; EOMONTH(G$1,0),tblProgramExpense[ExpenseInvoiceNumber],
 "&lt;&gt;"),
  0)</f>
        <v>8631737.8449080437</v>
      </c>
      <c r="H3" s="77">
        <f>IFERROR(
  SUMIFS(tblProgramExpense[ExpenseActualTotal],tblProgramExpense[ExpenseInvoicedDate],
 "&gt;=" &amp; EOMONTH(H$1,-1)+1,tblProgramExpense[ExpenseInvoicedDate],
 "&lt;=" &amp; EOMONTH(H$1,0),tblProgramExpense[ExpenseInvoiceNumber],
 "&lt;&gt;"),
  0)</f>
        <v>0</v>
      </c>
      <c r="I3" s="77">
        <f>IFERROR(
  SUMIFS(tblProgramExpense[ExpenseActualTotal],tblProgramExpense[ExpenseInvoicedDate],
 "&gt;=" &amp; EOMONTH(I$1,-1)+1,tblProgramExpense[ExpenseInvoicedDate],
 "&lt;=" &amp; EOMONTH(I$1,0),tblProgramExpense[ExpenseInvoiceNumber],
 "&lt;&gt;"),
  0)</f>
        <v>4548575.9492250234</v>
      </c>
      <c r="J3" s="77">
        <f>IFERROR(
  SUMIFS(tblProgramExpense[ExpenseActualTotal],tblProgramExpense[ExpenseInvoicedDate],
 "&gt;=" &amp; EOMONTH(J$1,-1)+1,tblProgramExpense[ExpenseInvoicedDate],
 "&lt;=" &amp; EOMONTH(J$1,0),tblProgramExpense[ExpenseInvoiceNumber],
 "&lt;&gt;"),
  0)</f>
        <v>9345883.2192250229</v>
      </c>
      <c r="K3" s="77">
        <f>IFERROR(
  SUMIFS(tblProgramExpense[ExpenseActualTotal],tblProgramExpense[ExpenseInvoicedDate],
 "&gt;=" &amp; EOMONTH(K$1,-1)+1,tblProgramExpense[ExpenseInvoicedDate],
 "&lt;=" &amp; EOMONTH(K$1,0),tblProgramExpense[ExpenseInvoiceNumber],
 "&lt;&gt;"),
  0)</f>
        <v>1006648.806628152</v>
      </c>
      <c r="L3" s="77">
        <f>IFERROR(
  SUMIFS(tblProgramExpense[ExpenseActualTotal],tblProgramExpense[ExpenseInvoicedDate],
 "&gt;=" &amp; EOMONTH(L$1,-1)+1,tblProgramExpense[ExpenseInvoicedDate],
 "&lt;=" &amp; EOMONTH(L$1,0),tblProgramExpense[ExpenseInvoiceNumber],
 "&lt;&gt;"),
  0)</f>
        <v>0</v>
      </c>
      <c r="M3" s="77">
        <f>IFERROR(
  SUMIFS(tblProgramExpense[ExpenseActualTotal],tblProgramExpense[ExpenseInvoicedDate],
 "&gt;=" &amp; EOMONTH(M$1,-1)+1,tblProgramExpense[ExpenseInvoicedDate],
 "&lt;=" &amp; EOMONTH(M$1,0),tblProgramExpense[ExpenseInvoiceNumber],
 "&lt;&gt;"),
  0)</f>
        <v>0</v>
      </c>
      <c r="N3" s="5"/>
      <c r="O3" s="5"/>
      <c r="P3" s="5" t="str">
        <v>25 Superior Road_Tracker.xlsx</v>
      </c>
      <c r="Q3" s="5"/>
      <c r="R3" s="5"/>
      <c r="S3" s="5"/>
      <c r="T3" s="5"/>
      <c r="U3" s="5"/>
      <c r="V3" s="5"/>
      <c r="W3" s="5"/>
      <c r="X3" s="5"/>
      <c r="Y3" s="5"/>
      <c r="Z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</row>
    <row r="4" spans="1:54" s="50" customFormat="1" ht="15.75" customHeight="1">
      <c r="A4" s="254" t="s">
        <v>138</v>
      </c>
      <c r="B4" s="77">
        <v>0</v>
      </c>
      <c r="C4" s="77">
        <v>0</v>
      </c>
      <c r="D4" s="77">
        <v>0</v>
      </c>
      <c r="E4" s="77">
        <v>0</v>
      </c>
      <c r="F4" s="253">
        <f t="shared" ref="F4:M4" si="0">F2-F3</f>
        <v>2500</v>
      </c>
      <c r="G4" s="77">
        <f t="shared" si="0"/>
        <v>6814597.8110838197</v>
      </c>
      <c r="H4" s="77">
        <f t="shared" si="0"/>
        <v>12244192.967473228</v>
      </c>
      <c r="I4" s="77">
        <f t="shared" si="0"/>
        <v>22344342.135282308</v>
      </c>
      <c r="J4" s="77">
        <f t="shared" si="0"/>
        <v>51372604.884550646</v>
      </c>
      <c r="K4" s="77">
        <f t="shared" si="0"/>
        <v>18431375.968449723</v>
      </c>
      <c r="L4" s="77">
        <f t="shared" si="0"/>
        <v>16341988.380966667</v>
      </c>
      <c r="M4" s="77">
        <f t="shared" si="0"/>
        <v>12133717.534112768</v>
      </c>
      <c r="N4" s="5"/>
      <c r="O4" s="5"/>
      <c r="P4" s="5" t="str">
        <v>7th Avenue Park_Tracker.xlsx</v>
      </c>
      <c r="Q4" s="5"/>
      <c r="R4" s="5"/>
      <c r="S4" s="5"/>
      <c r="T4" s="5"/>
      <c r="U4" s="5"/>
      <c r="V4" s="5"/>
      <c r="W4" s="5"/>
      <c r="X4" s="5"/>
      <c r="Y4" s="5"/>
      <c r="Z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</row>
    <row r="5" spans="1:54" s="50" customFormat="1" ht="15.75" customHeight="1">
      <c r="A5" s="76" t="s">
        <v>139</v>
      </c>
      <c r="B5" s="77">
        <f>'[1]Income Statement'!I$17 * -1</f>
        <v>8083466.991006257</v>
      </c>
      <c r="C5" s="77">
        <f>'[1]Income Statement'!J$17 * -1</f>
        <v>16346971.766611634</v>
      </c>
      <c r="D5" s="77">
        <f>'[1]Income Statement'!K$17 * -1</f>
        <v>20063809.836184785</v>
      </c>
      <c r="E5" s="77">
        <f>'[1]Income Statement'!L$17 * -1</f>
        <v>12381959.439018428</v>
      </c>
      <c r="F5" s="77">
        <f>'[1]Income Statement'!M$17 * -1</f>
        <v>12395435.223081922</v>
      </c>
      <c r="G5" s="77">
        <f>'[1]Income Statement'!N$17 * -1</f>
        <v>20724666.977664825</v>
      </c>
      <c r="H5" s="77">
        <f>'[1]Income Statement'!O$17 * -1</f>
        <v>20599956.603475731</v>
      </c>
      <c r="I5" s="77">
        <f>'[1]Income Statement'!P$17 * -1</f>
        <v>23137378.14182568</v>
      </c>
      <c r="J5" s="77">
        <f>'[1]Income Statement'!Q$17 * -1</f>
        <v>31403537.82008272</v>
      </c>
      <c r="K5" s="77">
        <f>'[1]Income Statement'!R$17 * -1</f>
        <v>41710854.070031598</v>
      </c>
      <c r="L5" s="77">
        <f>'[1]Income Statement'!S$17 * -1</f>
        <v>39116760.201133199</v>
      </c>
      <c r="M5" s="77">
        <f>'[1]Income Statement'!T$17 * -1</f>
        <v>73983831.010536849</v>
      </c>
      <c r="N5" s="5"/>
      <c r="O5" s="5"/>
      <c r="P5" s="5" t="str">
        <v>Blackheath Park_Tracker.xlsx</v>
      </c>
      <c r="Q5" s="5"/>
      <c r="R5" s="5"/>
      <c r="S5" s="5"/>
      <c r="T5" s="5"/>
      <c r="U5" s="5"/>
      <c r="V5" s="5"/>
      <c r="W5" s="5"/>
      <c r="X5" s="5"/>
      <c r="Y5" s="5"/>
      <c r="Z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</row>
    <row r="6" spans="1:54" s="50" customFormat="1" ht="15.75" customHeight="1">
      <c r="A6" s="75"/>
      <c r="B6" s="5"/>
      <c r="C6" s="5"/>
      <c r="D6" s="5"/>
      <c r="E6" s="83"/>
      <c r="F6" s="5"/>
      <c r="G6" s="5"/>
      <c r="H6" s="5"/>
      <c r="I6" s="5"/>
      <c r="J6" s="5"/>
      <c r="K6" s="5"/>
      <c r="L6" s="5"/>
      <c r="M6" s="5"/>
      <c r="N6" s="5"/>
      <c r="O6" s="5"/>
      <c r="P6" s="5" t="str">
        <v>BMG Fluid Tech_Tracker.xlsx</v>
      </c>
      <c r="Q6" s="5"/>
      <c r="R6" s="5"/>
      <c r="S6" s="5"/>
      <c r="T6" s="5"/>
      <c r="U6" s="5"/>
      <c r="V6" s="5"/>
      <c r="W6" s="5"/>
      <c r="X6" s="5"/>
      <c r="Y6" s="5"/>
      <c r="Z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</row>
    <row r="7" spans="1:54" s="50" customFormat="1" ht="15.75" customHeight="1">
      <c r="A7" s="76" t="s">
        <v>122</v>
      </c>
      <c r="B7" s="77">
        <f>B2 - B5</f>
        <v>-5645154.7490062565</v>
      </c>
      <c r="C7" s="77">
        <f>C2 - C5</f>
        <v>-3010636.3121011518</v>
      </c>
      <c r="D7" s="77">
        <f>D2 - D5</f>
        <v>-4509645.1140872724</v>
      </c>
      <c r="E7" s="77">
        <f>E2 - E5</f>
        <v>-8007768.2080184305</v>
      </c>
      <c r="F7" s="77">
        <f t="shared" ref="F7:M7" si="1">F2 - F5</f>
        <v>-7146245.2866835129</v>
      </c>
      <c r="G7" s="77">
        <f t="shared" si="1"/>
        <v>-5278331.3216729611</v>
      </c>
      <c r="H7" s="77">
        <f t="shared" si="1"/>
        <v>-8355763.6360025033</v>
      </c>
      <c r="I7" s="77">
        <f t="shared" si="1"/>
        <v>3755539.9426816516</v>
      </c>
      <c r="J7" s="77">
        <f t="shared" si="1"/>
        <v>29314950.283692945</v>
      </c>
      <c r="K7" s="77">
        <f t="shared" si="1"/>
        <v>-22272829.294953723</v>
      </c>
      <c r="L7" s="77">
        <f t="shared" si="1"/>
        <v>-22774771.820166532</v>
      </c>
      <c r="M7" s="77">
        <f t="shared" si="1"/>
        <v>-61850113.476424083</v>
      </c>
      <c r="N7" s="5"/>
      <c r="O7" s="5"/>
      <c r="P7" s="5" t="str">
        <v>Boundary Terraces_Tracker.xlsx</v>
      </c>
      <c r="Q7" s="5"/>
      <c r="R7" s="5"/>
      <c r="S7" s="5"/>
      <c r="T7" s="5"/>
      <c r="U7" s="5"/>
      <c r="V7" s="5"/>
      <c r="W7" s="5"/>
      <c r="X7" s="5"/>
      <c r="Y7" s="5"/>
      <c r="Z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</row>
    <row r="8" spans="1:54" s="50" customFormat="1" ht="15.75" customHeight="1">
      <c r="A8" s="76" t="s">
        <v>123</v>
      </c>
      <c r="B8" s="81">
        <f>IF(B5=0, 0, (B2-B5)/B5)</f>
        <v>-0.69835811234054768</v>
      </c>
      <c r="C8" s="81">
        <f>IF(C5=0, 0, (C2-C5)/C5)</f>
        <v>-0.18417088835072909</v>
      </c>
      <c r="D8" s="81">
        <f t="shared" ref="D8:M8" si="2">IF(D5=0, 0, (D2-D5)/D5)</f>
        <v>-0.22476514435230513</v>
      </c>
      <c r="E8" s="81">
        <f t="shared" si="2"/>
        <v>-0.64672867387887689</v>
      </c>
      <c r="F8" s="81">
        <f t="shared" si="2"/>
        <v>-0.57652233730174063</v>
      </c>
      <c r="G8" s="81">
        <f t="shared" si="2"/>
        <v>-0.25468835409328749</v>
      </c>
      <c r="H8" s="81">
        <f t="shared" si="2"/>
        <v>-0.40562044847185141</v>
      </c>
      <c r="I8" s="81">
        <f t="shared" si="2"/>
        <v>0.16231484482214184</v>
      </c>
      <c r="J8" s="81">
        <f t="shared" si="2"/>
        <v>0.93349196678553481</v>
      </c>
      <c r="K8" s="81">
        <f t="shared" si="2"/>
        <v>-0.53398161681269185</v>
      </c>
      <c r="L8" s="81">
        <f t="shared" si="2"/>
        <v>-0.58222541189663135</v>
      </c>
      <c r="M8" s="81">
        <f t="shared" si="2"/>
        <v>-0.83599500906644497</v>
      </c>
      <c r="N8" s="5"/>
      <c r="O8" s="5"/>
      <c r="P8" s="5" t="str">
        <v>Cascades_Tracker.xlsx</v>
      </c>
      <c r="Q8" s="5"/>
      <c r="R8" s="5"/>
      <c r="S8" s="5"/>
      <c r="T8" s="5"/>
      <c r="U8" s="5"/>
      <c r="V8" s="5"/>
      <c r="W8" s="5"/>
      <c r="X8" s="5"/>
      <c r="Y8" s="5"/>
      <c r="Z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</row>
    <row r="9" spans="1:54" s="50" customFormat="1" ht="15.75" customHeight="1">
      <c r="A9" s="75"/>
      <c r="B9" s="70"/>
      <c r="C9" s="70"/>
      <c r="D9" s="70"/>
      <c r="E9" s="84"/>
      <c r="F9" s="70"/>
      <c r="G9" s="70"/>
      <c r="H9" s="70"/>
      <c r="I9" s="70"/>
      <c r="J9" s="70"/>
      <c r="K9" s="70"/>
      <c r="L9" s="70"/>
      <c r="M9" s="70"/>
      <c r="N9" s="5"/>
      <c r="O9" s="5"/>
      <c r="P9" s="5" t="str">
        <v>Cassia_Tracker.xlsx</v>
      </c>
      <c r="Q9" s="5"/>
      <c r="R9" s="5"/>
      <c r="S9" s="5"/>
      <c r="T9" s="5"/>
      <c r="U9" s="5"/>
      <c r="V9" s="5"/>
      <c r="W9" s="5"/>
      <c r="X9" s="5"/>
      <c r="Y9" s="5"/>
      <c r="Z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</row>
    <row r="10" spans="1:54" s="50" customFormat="1" ht="15.75" customHeight="1">
      <c r="A10" s="76" t="s">
        <v>124</v>
      </c>
      <c r="B10" s="77">
        <f>SUM($B2:B2)</f>
        <v>2438312.2420000006</v>
      </c>
      <c r="C10" s="77">
        <f>SUM($B2:C2)</f>
        <v>15774647.696510483</v>
      </c>
      <c r="D10" s="77">
        <f>SUM($B2:D2)</f>
        <v>31328812.418607995</v>
      </c>
      <c r="E10" s="77">
        <f>SUM($B2:E2)</f>
        <v>35703003.649607994</v>
      </c>
      <c r="F10" s="77">
        <f>SUM($B2:F2)</f>
        <v>40952193.586006403</v>
      </c>
      <c r="G10" s="77">
        <f>SUM($B2:G2)</f>
        <v>56398529.24199827</v>
      </c>
      <c r="H10" s="77">
        <f>SUM($B2:H2)</f>
        <v>68642722.209471494</v>
      </c>
      <c r="I10" s="77">
        <f>SUM($B2:I2)</f>
        <v>95535640.293978825</v>
      </c>
      <c r="J10" s="77">
        <f>SUM($B2:J2)</f>
        <v>156254128.39775449</v>
      </c>
      <c r="K10" s="77">
        <f>SUM($B2:K2)</f>
        <v>175692153.17283237</v>
      </c>
      <c r="L10" s="77">
        <f>SUM($B2:L2)</f>
        <v>192034141.55379903</v>
      </c>
      <c r="M10" s="77">
        <f>SUM($B2:M2)</f>
        <v>204167859.08791181</v>
      </c>
      <c r="N10" s="5"/>
      <c r="O10" s="5"/>
      <c r="P10" s="5" t="str">
        <v>China Town Adhoc_Tracker.xlsx</v>
      </c>
      <c r="Q10" s="5"/>
      <c r="R10" s="5"/>
      <c r="S10" s="5"/>
      <c r="T10" s="5"/>
      <c r="U10" s="5"/>
      <c r="V10" s="5"/>
      <c r="W10" s="5"/>
      <c r="X10" s="5"/>
      <c r="Y10" s="5"/>
      <c r="Z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</row>
    <row r="11" spans="1:54" s="50" customFormat="1" ht="15.75" customHeight="1">
      <c r="A11" s="76" t="s">
        <v>125</v>
      </c>
      <c r="B11" s="77">
        <f>SUM($B3:B3)</f>
        <v>2687490.95</v>
      </c>
      <c r="C11" s="77">
        <f>SUM($B3:C3)</f>
        <v>16087680.84</v>
      </c>
      <c r="D11" s="77">
        <f>SUM($B3:D3)</f>
        <v>31779068.490000002</v>
      </c>
      <c r="E11" s="77">
        <f>SUM($B3:E3)</f>
        <v>36190474.490000002</v>
      </c>
      <c r="F11" s="77">
        <f>SUM($B3:F3)</f>
        <v>41437164.426398411</v>
      </c>
      <c r="G11" s="77">
        <f>SUM($B3:G3)</f>
        <v>50068902.271306455</v>
      </c>
      <c r="H11" s="77">
        <f>SUM($B3:H3)</f>
        <v>50068902.271306455</v>
      </c>
      <c r="I11" s="77">
        <f>SUM($B3:I3)</f>
        <v>54617478.220531479</v>
      </c>
      <c r="J11" s="77">
        <f>SUM($B3:J3)</f>
        <v>63963361.439756498</v>
      </c>
      <c r="K11" s="77">
        <f>SUM($B3:K3)</f>
        <v>64970010.24638465</v>
      </c>
      <c r="L11" s="77">
        <f>SUM($B3:L3)</f>
        <v>64970010.24638465</v>
      </c>
      <c r="M11" s="77">
        <f>SUM($B3:M3)</f>
        <v>64970010.24638465</v>
      </c>
      <c r="N11" s="5"/>
      <c r="O11" s="5"/>
      <c r="P11" s="5" t="str">
        <v>Coega Steels Ph2_Tracker.xlsx</v>
      </c>
      <c r="Q11" s="5"/>
      <c r="R11" s="5"/>
      <c r="S11" s="5"/>
      <c r="T11" s="5"/>
      <c r="U11" s="5"/>
      <c r="V11" s="5"/>
      <c r="W11" s="5"/>
      <c r="X11" s="5"/>
      <c r="Y11" s="5"/>
      <c r="Z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</row>
    <row r="12" spans="1:54" s="50" customFormat="1" ht="15.75" customHeight="1">
      <c r="A12" s="76" t="s">
        <v>126</v>
      </c>
      <c r="B12" s="77">
        <f>SUM($B4:B4)</f>
        <v>0</v>
      </c>
      <c r="C12" s="77">
        <f>SUM($B4:C4)</f>
        <v>0</v>
      </c>
      <c r="D12" s="77">
        <f>SUM($B4:D4)</f>
        <v>0</v>
      </c>
      <c r="E12" s="77">
        <f>SUM($B4:E4)</f>
        <v>0</v>
      </c>
      <c r="F12" s="77">
        <f>SUM($B4:F4)</f>
        <v>2500</v>
      </c>
      <c r="G12" s="77">
        <f>SUM($B4:G4)</f>
        <v>6817097.8110838197</v>
      </c>
      <c r="H12" s="77">
        <f>SUM($B4:H4)</f>
        <v>19061290.778557047</v>
      </c>
      <c r="I12" s="77">
        <f>SUM($B4:I4)</f>
        <v>41405632.913839355</v>
      </c>
      <c r="J12" s="77">
        <f>SUM($B4:J4)</f>
        <v>92778237.798390001</v>
      </c>
      <c r="K12" s="77">
        <f>SUM($B4:K4)</f>
        <v>111209613.76683973</v>
      </c>
      <c r="L12" s="77">
        <f>SUM($B4:L4)</f>
        <v>127551602.14780639</v>
      </c>
      <c r="M12" s="77">
        <f>SUM($B4:M4)</f>
        <v>139685319.68191916</v>
      </c>
      <c r="N12" s="5"/>
      <c r="O12" s="5"/>
      <c r="P12" s="5" t="str">
        <v>Corporate Park_Tracker.xlsx</v>
      </c>
      <c r="Q12" s="5"/>
      <c r="R12" s="5"/>
      <c r="S12" s="5"/>
      <c r="T12" s="5"/>
      <c r="U12" s="5"/>
      <c r="V12" s="5"/>
      <c r="W12" s="5"/>
      <c r="X12" s="5"/>
      <c r="Y12" s="5"/>
      <c r="Z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</row>
    <row r="13" spans="1:54" s="50" customFormat="1" ht="15.75" customHeight="1">
      <c r="A13" s="76" t="s">
        <v>127</v>
      </c>
      <c r="B13" s="77">
        <f>SUM($B5:B5)</f>
        <v>8083466.991006257</v>
      </c>
      <c r="C13" s="77">
        <f>SUM($B5:C5)</f>
        <v>24430438.757617891</v>
      </c>
      <c r="D13" s="77">
        <f>SUM($B5:D5)</f>
        <v>44494248.593802676</v>
      </c>
      <c r="E13" s="77">
        <f>SUM($B5:E5)</f>
        <v>56876208.032821104</v>
      </c>
      <c r="F13" s="77">
        <f>SUM($B5:F5)</f>
        <v>69271643.255903021</v>
      </c>
      <c r="G13" s="77">
        <f>SUM($B5:G5)</f>
        <v>89996310.233567849</v>
      </c>
      <c r="H13" s="77">
        <f>SUM($B5:H5)</f>
        <v>110596266.83704358</v>
      </c>
      <c r="I13" s="77">
        <f>SUM($B5:I5)</f>
        <v>133733644.97886926</v>
      </c>
      <c r="J13" s="77">
        <f>SUM($B5:J5)</f>
        <v>165137182.79895198</v>
      </c>
      <c r="K13" s="77">
        <f>SUM($B5:K5)</f>
        <v>206848036.86898357</v>
      </c>
      <c r="L13" s="77">
        <f>SUM($B5:L5)</f>
        <v>245964797.07011676</v>
      </c>
      <c r="M13" s="77">
        <f>SUM($B5:M5)</f>
        <v>319948628.08065361</v>
      </c>
      <c r="N13" s="5"/>
      <c r="O13" s="5"/>
      <c r="P13" s="5" t="str">
        <v>De Drift_Tracker.xlsx</v>
      </c>
      <c r="Q13" s="5"/>
      <c r="R13" s="5"/>
      <c r="S13" s="5"/>
      <c r="T13" s="5"/>
      <c r="U13" s="5"/>
      <c r="V13" s="5"/>
      <c r="W13" s="5"/>
      <c r="X13" s="5"/>
      <c r="Y13" s="5"/>
      <c r="Z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</row>
    <row r="14" spans="1:54" s="50" customFormat="1" ht="15.75" customHeight="1">
      <c r="A14" s="76" t="s">
        <v>128</v>
      </c>
      <c r="B14" s="77">
        <f>B10 - B13</f>
        <v>-5645154.7490062565</v>
      </c>
      <c r="C14" s="77">
        <f t="shared" ref="C14:M14" si="3">C10 - C13</f>
        <v>-8655791.0611074083</v>
      </c>
      <c r="D14" s="77">
        <f t="shared" si="3"/>
        <v>-13165436.175194681</v>
      </c>
      <c r="E14" s="77">
        <f t="shared" si="3"/>
        <v>-21173204.38321311</v>
      </c>
      <c r="F14" s="77">
        <f t="shared" si="3"/>
        <v>-28319449.669896618</v>
      </c>
      <c r="G14" s="77">
        <f t="shared" si="3"/>
        <v>-33597780.991569579</v>
      </c>
      <c r="H14" s="77">
        <f t="shared" si="3"/>
        <v>-41953544.627572089</v>
      </c>
      <c r="I14" s="77">
        <f t="shared" si="3"/>
        <v>-38198004.684890434</v>
      </c>
      <c r="J14" s="77">
        <f t="shared" si="3"/>
        <v>-8883054.4011974931</v>
      </c>
      <c r="K14" s="77">
        <f t="shared" si="3"/>
        <v>-31155883.696151197</v>
      </c>
      <c r="L14" s="77">
        <f t="shared" si="3"/>
        <v>-53930655.516317725</v>
      </c>
      <c r="M14" s="77">
        <f t="shared" si="3"/>
        <v>-115780768.99274179</v>
      </c>
      <c r="N14" s="5"/>
      <c r="O14" s="5"/>
      <c r="P14" s="5" t="str">
        <v>Dobsonpoint_Tracker.xlsx</v>
      </c>
      <c r="Q14" s="5"/>
      <c r="R14" s="5"/>
      <c r="S14" s="5"/>
      <c r="T14" s="5"/>
      <c r="U14" s="5"/>
      <c r="V14" s="5"/>
      <c r="W14" s="5"/>
      <c r="X14" s="5"/>
      <c r="Y14" s="5"/>
      <c r="Z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</row>
    <row r="15" spans="1:54" s="50" customFormat="1" ht="15.75" customHeight="1">
      <c r="A15" s="76" t="s">
        <v>129</v>
      </c>
      <c r="B15" s="81">
        <f>IF(B13=0, 0, (B10-B13)/B13)</f>
        <v>-0.69835811234054768</v>
      </c>
      <c r="C15" s="81">
        <f t="shared" ref="C15:M15" si="4">IF(C13=0, 0, (C10-C13)/C13)</f>
        <v>-0.35430354513826989</v>
      </c>
      <c r="D15" s="81">
        <f t="shared" si="4"/>
        <v>-0.29589074074235322</v>
      </c>
      <c r="E15" s="81">
        <f t="shared" si="4"/>
        <v>-0.37226821399546989</v>
      </c>
      <c r="F15" s="81">
        <f t="shared" si="4"/>
        <v>-0.40881735063334679</v>
      </c>
      <c r="G15" s="81">
        <f t="shared" si="4"/>
        <v>-0.37332398299855962</v>
      </c>
      <c r="H15" s="81">
        <f t="shared" si="4"/>
        <v>-0.3793396090791013</v>
      </c>
      <c r="I15" s="81">
        <f t="shared" si="4"/>
        <v>-0.28562748507248087</v>
      </c>
      <c r="J15" s="81">
        <f t="shared" si="4"/>
        <v>-5.3791970110161451E-2</v>
      </c>
      <c r="K15" s="81">
        <f t="shared" si="4"/>
        <v>-0.15062209034106119</v>
      </c>
      <c r="L15" s="81">
        <f t="shared" si="4"/>
        <v>-0.2192616836178545</v>
      </c>
      <c r="M15" s="81">
        <f t="shared" si="4"/>
        <v>-0.36187299719739829</v>
      </c>
      <c r="N15" s="5"/>
      <c r="O15" s="5"/>
      <c r="P15" s="5" t="str">
        <v>FY 2026 Adhoc_Tracker.xlsx</v>
      </c>
      <c r="Q15" s="5"/>
      <c r="R15" s="5"/>
      <c r="S15" s="5"/>
      <c r="T15" s="5"/>
      <c r="U15" s="5"/>
      <c r="V15" s="5"/>
      <c r="W15" s="5"/>
      <c r="X15" s="5"/>
      <c r="Y15" s="5"/>
      <c r="Z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</row>
    <row r="16" spans="1:54" s="50" customFormat="1" ht="15.75" customHeight="1">
      <c r="B16" s="5"/>
      <c r="C16" s="5"/>
      <c r="D16" s="5"/>
      <c r="E16" s="83"/>
      <c r="F16" s="5"/>
      <c r="G16" s="5"/>
      <c r="H16" s="5"/>
      <c r="I16" s="5"/>
      <c r="J16" s="5"/>
      <c r="K16" s="5"/>
      <c r="L16" s="5"/>
      <c r="M16" s="5"/>
      <c r="N16" s="5"/>
      <c r="O16" s="5"/>
      <c r="P16" s="5" t="str">
        <v>Gezina Galleries_Tracker.xlsx</v>
      </c>
      <c r="Q16" s="5"/>
      <c r="R16" s="5"/>
      <c r="S16" s="5"/>
      <c r="T16" s="5"/>
      <c r="U16" s="5"/>
      <c r="V16" s="5"/>
      <c r="W16" s="5"/>
      <c r="X16" s="5"/>
      <c r="Y16" s="5"/>
      <c r="Z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</row>
    <row r="17" spans="1:54" s="50" customFormat="1" ht="15.75" customHeight="1">
      <c r="B17" s="5"/>
      <c r="C17" s="5"/>
      <c r="D17" s="5"/>
      <c r="E17" s="83"/>
      <c r="F17" s="5"/>
      <c r="G17" s="5"/>
      <c r="H17" s="5"/>
      <c r="I17" s="5"/>
      <c r="J17" s="5"/>
      <c r="K17" s="5"/>
      <c r="L17" s="5"/>
      <c r="M17" s="5"/>
      <c r="N17" s="5"/>
      <c r="O17" s="5"/>
      <c r="P17" s="5" t="str">
        <v>Gillwell_Tracker.xlsx</v>
      </c>
      <c r="Q17" s="5"/>
      <c r="R17" s="5"/>
      <c r="S17" s="5"/>
      <c r="T17" s="5"/>
      <c r="U17" s="5"/>
      <c r="V17" s="5"/>
      <c r="W17" s="5"/>
      <c r="X17" s="5"/>
      <c r="Y17" s="5"/>
      <c r="Z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</row>
    <row r="18" spans="1:54" s="50" customFormat="1" ht="15.75" customHeight="1">
      <c r="B18" s="5"/>
      <c r="C18" s="5"/>
      <c r="D18" s="5"/>
      <c r="E18" s="83"/>
      <c r="F18" s="5"/>
      <c r="G18" s="5"/>
      <c r="H18" s="5"/>
      <c r="I18" s="5"/>
      <c r="J18" s="5"/>
      <c r="K18" s="5"/>
      <c r="L18" s="5"/>
      <c r="M18" s="5"/>
      <c r="N18" s="5"/>
      <c r="O18" s="5"/>
      <c r="P18" s="5" t="str">
        <v>Hungry Lion_Citrusdal_Tracker.xlsx</v>
      </c>
      <c r="Q18" s="5"/>
      <c r="R18" s="5"/>
      <c r="S18" s="5"/>
      <c r="T18" s="5"/>
      <c r="U18" s="5"/>
      <c r="V18" s="5"/>
      <c r="W18" s="5"/>
      <c r="X18" s="5"/>
      <c r="Y18" s="5"/>
      <c r="Z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</row>
    <row r="19" spans="1:54" s="50" customFormat="1" ht="15.75" customHeight="1">
      <c r="B19" s="5"/>
      <c r="C19" s="5"/>
      <c r="D19" s="5"/>
      <c r="E19" s="83"/>
      <c r="F19" s="5"/>
      <c r="G19" s="5"/>
      <c r="H19" s="5"/>
      <c r="I19" s="5"/>
      <c r="J19" s="5"/>
      <c r="K19" s="5"/>
      <c r="L19" s="5"/>
      <c r="M19" s="5"/>
      <c r="N19" s="5"/>
      <c r="O19" s="5"/>
      <c r="P19" s="5" t="str">
        <v>IconsSA_KZN_Tracker.xlsx</v>
      </c>
      <c r="Q19" s="5"/>
      <c r="R19" s="5"/>
      <c r="S19" s="5"/>
      <c r="T19" s="5"/>
      <c r="U19" s="5"/>
      <c r="V19" s="5"/>
      <c r="W19" s="5"/>
      <c r="X19" s="5"/>
      <c r="Y19" s="5"/>
      <c r="Z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</row>
    <row r="20" spans="1:54" s="54" customFormat="1" ht="15.75" customHeight="1">
      <c r="A20" s="78" t="s">
        <v>140</v>
      </c>
      <c r="B20" s="77" t="s">
        <v>102</v>
      </c>
      <c r="C20" s="5"/>
      <c r="D20" s="5"/>
      <c r="E20" s="83"/>
      <c r="F20" s="5"/>
      <c r="G20" s="5"/>
      <c r="H20" s="5"/>
      <c r="I20" s="5"/>
      <c r="J20" s="5"/>
      <c r="K20" s="5"/>
      <c r="L20" s="5"/>
      <c r="M20" s="5"/>
      <c r="N20" s="5"/>
      <c r="O20" s="5"/>
      <c r="P20" s="5" t="str">
        <v>Kroonstad_Tracker.xlsx</v>
      </c>
      <c r="Q20" s="5"/>
      <c r="R20" s="5"/>
      <c r="S20" s="5"/>
      <c r="T20" s="5"/>
      <c r="U20" s="5"/>
      <c r="V20" s="5"/>
      <c r="W20" s="5"/>
      <c r="X20" s="5"/>
      <c r="Y20" s="5"/>
      <c r="Z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</row>
    <row r="21" spans="1:54" s="54" customFormat="1" ht="15.75" customHeight="1">
      <c r="A21" s="78" t="s">
        <v>131</v>
      </c>
      <c r="B21" s="82">
        <v>46054</v>
      </c>
      <c r="C21" s="5"/>
      <c r="D21" s="5"/>
      <c r="E21" s="83"/>
      <c r="F21" s="5"/>
      <c r="G21" s="5"/>
      <c r="H21" s="5"/>
      <c r="I21" s="5"/>
      <c r="J21" s="5"/>
      <c r="K21" s="5"/>
      <c r="L21" s="5"/>
      <c r="M21" s="5"/>
      <c r="N21" s="5"/>
      <c r="O21" s="5"/>
      <c r="P21" s="5" t="str">
        <v>Lynnridge Mall_Tracker_1.xlsx</v>
      </c>
      <c r="Q21" s="5"/>
      <c r="R21" s="5"/>
      <c r="S21" s="5"/>
      <c r="T21" s="5"/>
      <c r="U21" s="5"/>
      <c r="V21" s="5"/>
      <c r="W21" s="5"/>
      <c r="X21" s="5"/>
      <c r="Y21" s="5"/>
      <c r="Z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</row>
    <row r="22" spans="1:54" s="54" customFormat="1" ht="15.75" customHeight="1">
      <c r="A22" s="78" t="s">
        <v>104</v>
      </c>
      <c r="B22" s="77" t="s">
        <v>105</v>
      </c>
      <c r="C22" s="5"/>
      <c r="D22" s="5"/>
      <c r="E22" s="83"/>
      <c r="F22" s="5"/>
      <c r="G22" s="5"/>
      <c r="H22" s="5"/>
      <c r="I22" s="5"/>
      <c r="J22" s="5"/>
      <c r="K22" s="5"/>
      <c r="L22" s="5"/>
      <c r="M22" s="5"/>
      <c r="N22" s="5"/>
      <c r="O22" s="5"/>
      <c r="P22" s="5" t="str">
        <v>Mahikeng Builders Express_Tracker.xlsx</v>
      </c>
      <c r="Q22" s="5"/>
      <c r="R22" s="5"/>
      <c r="S22" s="5"/>
      <c r="T22" s="5"/>
      <c r="U22" s="5"/>
      <c r="V22" s="5"/>
      <c r="W22" s="5"/>
      <c r="X22" s="5"/>
      <c r="Y22" s="5"/>
      <c r="Z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</row>
    <row r="23" spans="1:54" s="54" customFormat="1" ht="15.75" customHeight="1">
      <c r="A23" s="50"/>
      <c r="B23" s="5"/>
      <c r="C23" s="5"/>
      <c r="D23" s="5"/>
      <c r="E23" s="83"/>
      <c r="F23" s="5"/>
      <c r="G23" s="5"/>
      <c r="H23" s="5"/>
      <c r="I23" s="5"/>
      <c r="J23" s="5"/>
      <c r="K23" s="5"/>
      <c r="L23" s="5"/>
      <c r="M23" s="5"/>
      <c r="N23" s="5"/>
      <c r="O23" s="5"/>
      <c r="P23" s="5" t="str">
        <v>Malvern Ph2_Tracker.xlsx</v>
      </c>
      <c r="Q23" s="5"/>
      <c r="R23" s="5"/>
      <c r="S23" s="5"/>
      <c r="T23" s="5"/>
      <c r="U23" s="5"/>
      <c r="V23" s="5"/>
      <c r="W23" s="5"/>
      <c r="X23" s="5"/>
      <c r="Y23" s="5"/>
      <c r="Z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</row>
    <row r="24" spans="1:54" s="54" customFormat="1" ht="15.75" customHeight="1">
      <c r="A24" s="50"/>
      <c r="B24" s="62" t="s">
        <v>104</v>
      </c>
      <c r="C24" s="62" t="s">
        <v>108</v>
      </c>
      <c r="D24" s="62" t="s">
        <v>109</v>
      </c>
      <c r="E24" s="173" t="s">
        <v>132</v>
      </c>
      <c r="F24" s="62" t="s">
        <v>141</v>
      </c>
      <c r="G24" s="62" t="s">
        <v>134</v>
      </c>
      <c r="I24" s="257" t="s">
        <v>142</v>
      </c>
      <c r="J24" s="5"/>
      <c r="K24" s="5"/>
      <c r="L24" s="5"/>
      <c r="M24" s="5"/>
      <c r="N24" s="5"/>
      <c r="O24" s="5"/>
      <c r="P24" s="5" t="str">
        <v>Marikana Old Church_Tracker.xlsx</v>
      </c>
      <c r="Q24" s="5"/>
      <c r="R24" s="5"/>
      <c r="S24" s="5"/>
      <c r="T24" s="5"/>
      <c r="U24" s="5"/>
      <c r="V24" s="5"/>
      <c r="W24" s="5"/>
      <c r="X24" s="5"/>
      <c r="Y24" s="5"/>
      <c r="Z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</row>
    <row r="25" spans="1:54" s="54" customFormat="1" ht="15.75" hidden="1" customHeight="1">
      <c r="A25" s="50"/>
      <c r="B25" s="5" t="str" cm="1">
        <f t="array" ref="B25:H242">_xlfn.LET(
  _xlpm.m,  $B$21,
  _xlpm.p,  $B$22,
  _xlpm.proj, tblProgramExpense[ProjectName],
  _xlpm.it,   tblProgramExpense[ExpenseLineItem],
  _xlpm.inv,  tblProgramExpense[ExpenseInvoiceNumber],
  _xlpm.ir,   tblProgramExpense[ExpenseInvoicedDate],
  _xlpm.cos,  tblProgramExpense[ExpenseActualTotal],
 _xlpm.loc, tblProgramExpense[TrackerLocator],
  _xlpm.start, EOMONTH(_xlpm.m,-1)+1,
  _xlpm.end,   EOMONTH(_xlpm.m,0),
  _xlpm.inMonth, IF(ISNUMBER(_xlpm.ir), (_xlpm.ir&gt;=_xlpm.start)*(_xlpm.ir&lt;=_xlpm.end), FALSE),
  _xlpm.byProj,  IF(OR(_xlpm.p="", _xlpm.p="(All projects)"), TRUE, _xlpm.proj=_xlpm.p),
  _xlpm.numNZ,   IF(ISNUMBER(_xlpm.cos), ABS(_xlpm.cos)&gt;0, FALSE),
  _xlpm.mask, _xlpm.inMonth*_xlpm.byProj*_xlpm.numNZ,
  _xlpm.rows, _xlfn._xlws.FILTER(
          _xlfn.HSTACK(_xlpm.proj, _xlpm.it, _xlpm.inv, _xlpm.ir, _xlpm.cos, IF(_xlpm.inv="", "Outstanding", "Realised"),_xlpm.loc),
          _xlpm.mask,
          "No lines"
        ),
  _xlfn.SORTBY(
    _xlpm.rows,
    --(INDEX(_xlpm.rows,,6)="Realised"), -1,
    INDEX(_xlpm.rows,,4), -1
  )
)</f>
        <v>7th Avenue Park_Tracker.xlsx</v>
      </c>
      <c r="C25" s="5" t="str">
        <v>Jinko Tiger Neo N-type66HL4M-BDV - 610W</v>
      </c>
      <c r="D25" s="115" t="str">
        <v>MSA Energy - INV0003571</v>
      </c>
      <c r="E25" s="83">
        <v>46081</v>
      </c>
      <c r="F25" s="5">
        <v>357460</v>
      </c>
      <c r="G25" s="5" t="str">
        <v>Realised</v>
      </c>
      <c r="H25" s="5" t="str">
        <v>7th Avenue Park_Tracker.xlsx | Table row 6 | Jinko Tiger Neo N-type66HL4M-BDV - 610W | Inv MSA Energy - INV0003571 | Col ExpenseActualTotal</v>
      </c>
      <c r="I25" s="5"/>
      <c r="J25" s="5"/>
      <c r="K25" s="5"/>
      <c r="L25" s="5"/>
      <c r="M25" s="5"/>
      <c r="N25" s="5"/>
      <c r="O25" s="5"/>
      <c r="P25" s="5" t="str">
        <v>Marikana Shoprite_Tracker.xlsx</v>
      </c>
      <c r="Q25" s="5"/>
      <c r="R25" s="5"/>
      <c r="S25" s="5"/>
      <c r="T25" s="5"/>
      <c r="U25" s="5"/>
      <c r="V25" s="5"/>
      <c r="W25" s="5"/>
      <c r="X25" s="5"/>
      <c r="Y25" s="5"/>
      <c r="Z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</row>
    <row r="26" spans="1:54" s="54" customFormat="1" ht="15.75" hidden="1" customHeight="1">
      <c r="A26" s="50"/>
      <c r="B26" s="5" t="str">
        <v>7th Avenue Park_Tracker.xlsx</v>
      </c>
      <c r="C26" s="5" t="str">
        <v>Huawei 100KTL</v>
      </c>
      <c r="D26" s="115" t="str">
        <v>MSA Energy - INV0003571</v>
      </c>
      <c r="E26" s="83">
        <v>46081</v>
      </c>
      <c r="F26" s="5">
        <v>137740</v>
      </c>
      <c r="G26" s="5" t="str">
        <v>Realised</v>
      </c>
      <c r="H26" s="5" t="str">
        <v>7th Avenue Park_Tracker.xlsx | Table row 14 | Huawei 100KTL | Inv MSA Energy - INV0003571 | Col ExpenseActualTotal</v>
      </c>
      <c r="I26" s="5"/>
      <c r="J26" s="5"/>
      <c r="K26" s="5"/>
      <c r="L26" s="5"/>
      <c r="M26" s="5"/>
      <c r="N26" s="5"/>
      <c r="O26" s="5"/>
      <c r="P26" s="5" t="str">
        <v>Mayo Macs_Tracker.xlsx</v>
      </c>
      <c r="Q26" s="5"/>
      <c r="R26" s="5"/>
      <c r="S26" s="5"/>
      <c r="T26" s="5"/>
      <c r="U26" s="5"/>
      <c r="V26" s="5"/>
      <c r="W26" s="5"/>
      <c r="X26" s="5"/>
      <c r="Y26" s="5"/>
      <c r="Z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</row>
    <row r="27" spans="1:54" s="54" customFormat="1" ht="15.75" hidden="1" customHeight="1">
      <c r="A27" s="50"/>
      <c r="B27" s="5" t="str">
        <v>7th Avenue Park_Tracker.xlsx</v>
      </c>
      <c r="C27" s="5" t="str">
        <v>Scheltter Structure</v>
      </c>
      <c r="D27" s="115" t="str">
        <v>Schletter - INV002624</v>
      </c>
      <c r="E27" s="83">
        <v>46081</v>
      </c>
      <c r="F27" s="5">
        <v>35669.699999999997</v>
      </c>
      <c r="G27" s="5" t="str">
        <v>Realised</v>
      </c>
      <c r="H27" s="5" t="str">
        <v>7th Avenue Park_Tracker.xlsx | Table row 23 | Scheltter Structure | Inv Schletter - INV002624 | Col ExpenseActualTotal</v>
      </c>
      <c r="I27" s="5"/>
      <c r="J27" s="5"/>
      <c r="K27" s="5"/>
      <c r="L27" s="5"/>
      <c r="M27" s="5"/>
      <c r="N27" s="5"/>
      <c r="O27" s="5"/>
      <c r="P27" s="5" t="str">
        <v>MEGA_PARK_P2_Tracker.xlsx</v>
      </c>
      <c r="Q27" s="5"/>
      <c r="R27" s="5"/>
      <c r="S27" s="5"/>
      <c r="T27" s="5"/>
      <c r="U27" s="5"/>
      <c r="V27" s="5"/>
      <c r="W27" s="5"/>
      <c r="X27" s="5"/>
      <c r="Y27" s="5"/>
      <c r="Z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</row>
    <row r="28" spans="1:54" s="54" customFormat="1" ht="15.75" hidden="1" customHeight="1">
      <c r="A28" s="50"/>
      <c r="B28" s="5" t="str">
        <v>7th Avenue Park_Tracker.xlsx</v>
      </c>
      <c r="C28" s="5" t="str">
        <v>Scheltter Structure</v>
      </c>
      <c r="D28" s="115" t="str">
        <v>Schletter - INV002624</v>
      </c>
      <c r="E28" s="83">
        <v>46081</v>
      </c>
      <c r="F28" s="5">
        <v>87650.85</v>
      </c>
      <c r="G28" s="5" t="str">
        <v>Realised</v>
      </c>
      <c r="H28" s="5" t="str">
        <v>7th Avenue Park_Tracker.xlsx | Table row 24 | Scheltter Structure | Inv Schletter - INV002624 | Col ExpenseActualTotal</v>
      </c>
      <c r="I28" s="5"/>
      <c r="J28" s="5"/>
      <c r="K28" s="5"/>
      <c r="L28" s="5"/>
      <c r="M28" s="5"/>
      <c r="N28" s="5"/>
      <c r="O28" s="5"/>
      <c r="P28" s="5" t="str">
        <v>Meraki Ph3_Tracker.xlsx</v>
      </c>
      <c r="Q28" s="5"/>
      <c r="R28" s="5"/>
      <c r="S28" s="5"/>
      <c r="T28" s="5"/>
      <c r="U28" s="5"/>
      <c r="V28" s="5"/>
      <c r="W28" s="5"/>
      <c r="X28" s="5"/>
      <c r="Y28" s="5"/>
      <c r="Z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</row>
    <row r="29" spans="1:54" s="54" customFormat="1" ht="15.75" hidden="1" customHeight="1">
      <c r="A29" s="50"/>
      <c r="B29" s="5" t="str">
        <v>7th Avenue Park_Tracker.xlsx</v>
      </c>
      <c r="C29" s="5" t="str">
        <v>DC Cable</v>
      </c>
      <c r="D29" s="115" t="str">
        <v>MSA Energy - INV0003571</v>
      </c>
      <c r="E29" s="83">
        <v>46081</v>
      </c>
      <c r="F29" s="5">
        <v>56000</v>
      </c>
      <c r="G29" s="5" t="str">
        <v>Realised</v>
      </c>
      <c r="H29" s="5" t="str">
        <v>7th Avenue Park_Tracker.xlsx | Table row 28 | DC Cable | Inv MSA Energy - INV0003571 | Col ExpenseActualTotal</v>
      </c>
      <c r="I29" s="5"/>
      <c r="J29" s="5"/>
      <c r="K29" s="5"/>
      <c r="L29" s="5"/>
      <c r="M29" s="5"/>
      <c r="N29" s="5"/>
      <c r="O29" s="5"/>
      <c r="P29" s="5" t="str">
        <v>Milkwood_Square_Tracker.xlsx</v>
      </c>
      <c r="Q29" s="5"/>
      <c r="R29" s="5"/>
      <c r="S29" s="5"/>
      <c r="T29" s="5"/>
      <c r="U29" s="5"/>
      <c r="V29" s="5"/>
      <c r="W29" s="5"/>
      <c r="X29" s="5"/>
      <c r="Y29" s="5"/>
      <c r="Z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</row>
    <row r="30" spans="1:54" s="54" customFormat="1" ht="15.75" hidden="1" customHeight="1">
      <c r="A30" s="50"/>
      <c r="B30" s="5" t="str">
        <v>7th Avenue Park_Tracker.xlsx</v>
      </c>
      <c r="C30" s="5" t="str">
        <v>Site Establishment</v>
      </c>
      <c r="D30" s="115" t="str">
        <v>Photon Solar INV-0163</v>
      </c>
      <c r="E30" s="83">
        <v>46081</v>
      </c>
      <c r="F30" s="5">
        <v>10432.5</v>
      </c>
      <c r="G30" s="5" t="str">
        <v>Realised</v>
      </c>
      <c r="H30" s="5" t="str">
        <v>7th Avenue Park_Tracker.xlsx | Table row 33 | Site Establishment | Inv Photon Solar INV-0163 | Col ExpenseActualTotal</v>
      </c>
      <c r="I30" s="5"/>
      <c r="J30" s="5"/>
      <c r="K30" s="5"/>
      <c r="L30" s="5"/>
      <c r="M30" s="5"/>
      <c r="N30" s="5"/>
      <c r="O30" s="5"/>
      <c r="P30" s="5" t="str">
        <v>Mondi_Tracker_Rev02.xlsm</v>
      </c>
      <c r="Q30" s="5"/>
      <c r="R30" s="5"/>
      <c r="S30" s="5"/>
      <c r="T30" s="5"/>
      <c r="U30" s="5"/>
      <c r="V30" s="5"/>
      <c r="W30" s="5"/>
      <c r="X30" s="5"/>
      <c r="Y30" s="5"/>
      <c r="Z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</row>
    <row r="31" spans="1:54" s="54" customFormat="1" ht="15.75" hidden="1" customHeight="1">
      <c r="A31" s="50"/>
      <c r="B31" s="5" t="str">
        <v>7th Avenue Park_Tracker.xlsx</v>
      </c>
      <c r="C31" s="5" t="str">
        <v>Smartlogger 3000</v>
      </c>
      <c r="D31" s="115" t="str">
        <v>MSA Energy - INV0003571</v>
      </c>
      <c r="E31" s="83">
        <v>46081</v>
      </c>
      <c r="F31" s="5">
        <v>8598.34</v>
      </c>
      <c r="G31" s="5" t="str">
        <v>Realised</v>
      </c>
      <c r="H31" s="5" t="str">
        <v>7th Avenue Park_Tracker.xlsx | Table row 44 | Smartlogger 3000 | Inv MSA Energy - INV0003571 | Col ExpenseActualTotal</v>
      </c>
      <c r="I31" s="5"/>
      <c r="J31" s="5"/>
      <c r="K31" s="5"/>
      <c r="L31" s="5"/>
      <c r="M31" s="5"/>
      <c r="N31" s="5"/>
      <c r="O31" s="5"/>
      <c r="P31" s="5" t="str">
        <v>Northpoint_Tracker.xlsx</v>
      </c>
      <c r="Q31" s="5"/>
      <c r="R31" s="5"/>
      <c r="S31" s="5"/>
      <c r="T31" s="5"/>
      <c r="U31" s="5"/>
      <c r="V31" s="5"/>
      <c r="W31" s="5"/>
      <c r="X31" s="5"/>
      <c r="Y31" s="5"/>
      <c r="Z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</row>
    <row r="32" spans="1:54" s="54" customFormat="1" ht="15.75" hidden="1" customHeight="1">
      <c r="A32" s="50"/>
      <c r="B32" s="5" t="str">
        <v>7th Avenue Park_Tracker.xlsx</v>
      </c>
      <c r="C32" s="5" t="str">
        <v>Site Establishment</v>
      </c>
      <c r="D32" s="115" t="str">
        <v>Photon Solar INV-0163</v>
      </c>
      <c r="E32" s="83">
        <v>46081</v>
      </c>
      <c r="F32" s="5">
        <v>2917.7999999999997</v>
      </c>
      <c r="G32" s="5" t="str">
        <v>Realised</v>
      </c>
      <c r="H32" s="5" t="str">
        <v>7th Avenue Park_Tracker.xlsx | Table row 59 | Site Establishment | Inv Photon Solar INV-0163 | Col ExpenseActualTotal</v>
      </c>
      <c r="I32" s="5"/>
      <c r="J32" s="5"/>
      <c r="K32" s="5"/>
      <c r="L32" s="5"/>
      <c r="M32" s="5"/>
      <c r="N32" s="5"/>
      <c r="O32" s="5"/>
      <c r="P32" s="5" t="str">
        <v>Pimville_Tracker.xlsx</v>
      </c>
      <c r="Q32" s="5"/>
      <c r="R32" s="5"/>
      <c r="S32" s="5"/>
      <c r="T32" s="5"/>
      <c r="U32" s="5"/>
      <c r="V32" s="5"/>
      <c r="W32" s="5"/>
      <c r="X32" s="5"/>
      <c r="Y32" s="5"/>
      <c r="Z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</row>
    <row r="33" spans="1:54" s="54" customFormat="1" ht="15.75" hidden="1" customHeight="1">
      <c r="A33" s="50"/>
      <c r="B33" s="5" t="str">
        <v>7th Avenue Park_Tracker.xlsx</v>
      </c>
      <c r="C33" s="5" t="str">
        <v>Site Establishment</v>
      </c>
      <c r="D33" s="115" t="str">
        <v>Photon Solar INV-0163</v>
      </c>
      <c r="E33" s="83">
        <v>46081</v>
      </c>
      <c r="F33" s="5">
        <v>22800</v>
      </c>
      <c r="G33" s="5" t="str">
        <v>Realised</v>
      </c>
      <c r="H33" s="5" t="str">
        <v>7th Avenue Park_Tracker.xlsx | Table row 92 | Site Establishment | Inv Photon Solar INV-0163 | Col ExpenseActualTotal</v>
      </c>
      <c r="I33" s="5"/>
      <c r="J33" s="5"/>
      <c r="K33" s="5"/>
      <c r="L33" s="5"/>
      <c r="M33" s="5"/>
      <c r="N33" s="5"/>
      <c r="O33" s="5"/>
      <c r="P33" s="5" t="str">
        <v>PnP Bethal_Tracker.xlsx</v>
      </c>
      <c r="Q33" s="5"/>
      <c r="R33" s="5"/>
      <c r="S33" s="5"/>
      <c r="T33" s="5"/>
      <c r="U33" s="5"/>
      <c r="V33" s="5"/>
      <c r="W33" s="5"/>
      <c r="X33" s="5"/>
      <c r="Y33" s="5"/>
      <c r="Z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</row>
    <row r="34" spans="1:54" s="54" customFormat="1" ht="15.75" hidden="1" customHeight="1">
      <c r="A34" s="50"/>
      <c r="B34" s="5" t="str">
        <v>7th Avenue Park_Tracker.xlsx</v>
      </c>
      <c r="C34" s="5" t="str">
        <v>Site Establishment</v>
      </c>
      <c r="D34" s="115" t="str">
        <v>Photon Solar INV-0163</v>
      </c>
      <c r="E34" s="83">
        <v>46081</v>
      </c>
      <c r="F34" s="5">
        <v>4132.5</v>
      </c>
      <c r="G34" s="5" t="str">
        <v>Realised</v>
      </c>
      <c r="H34" s="5" t="str">
        <v>7th Avenue Park_Tracker.xlsx | Table row 108 | Site Establishment | Inv Photon Solar INV-0163 | Col ExpenseActualTotal</v>
      </c>
      <c r="I34" s="5"/>
      <c r="J34" s="5"/>
      <c r="K34" s="5"/>
      <c r="L34" s="5"/>
      <c r="M34" s="5"/>
      <c r="N34" s="5"/>
      <c r="O34" s="5"/>
      <c r="P34" s="5" t="str">
        <v>Pretoria North_Tracker.xlsx</v>
      </c>
      <c r="Q34" s="5"/>
      <c r="R34" s="5"/>
      <c r="S34" s="5"/>
      <c r="T34" s="5"/>
      <c r="U34" s="5"/>
      <c r="V34" s="5"/>
      <c r="W34" s="5"/>
      <c r="X34" s="5"/>
      <c r="Y34" s="5"/>
      <c r="Z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</row>
    <row r="35" spans="1:54" s="54" customFormat="1" ht="15.75" hidden="1" customHeight="1">
      <c r="A35" s="50"/>
      <c r="B35" s="5" t="str">
        <v>Coega Steels Ph2_Tracker.xlsx</v>
      </c>
      <c r="C35" s="5" t="str">
        <v>Technical Review - Onsite inspection and reporting - Final Inspection</v>
      </c>
      <c r="D35" s="115" t="str">
        <v>2XTwo - EME-262</v>
      </c>
      <c r="E35" s="83">
        <v>46081</v>
      </c>
      <c r="F35" s="5">
        <v>35600</v>
      </c>
      <c r="G35" s="5" t="str">
        <v>Realised</v>
      </c>
      <c r="H35" s="5" t="str">
        <v>Coega Steels Ph2_Tracker.xlsx | Table row 284 | Technical Review - Onsite inspection and reporting - Final Inspection | Inv 2XTwo - EME-262 | Col ExpenseActualTotal</v>
      </c>
      <c r="I35" s="5"/>
      <c r="J35" s="5"/>
      <c r="K35" s="5"/>
      <c r="L35" s="5"/>
      <c r="M35" s="5"/>
      <c r="N35" s="5"/>
      <c r="O35" s="5"/>
      <c r="P35" s="5" t="str">
        <v>Randfontein_Tracker.xlsx</v>
      </c>
      <c r="Q35" s="5"/>
      <c r="R35" s="5"/>
      <c r="S35" s="5"/>
      <c r="T35" s="5"/>
      <c r="U35" s="5"/>
      <c r="V35" s="5"/>
      <c r="W35" s="5"/>
      <c r="X35" s="5"/>
      <c r="Y35" s="5"/>
      <c r="Z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</row>
    <row r="36" spans="1:54" s="54" customFormat="1" ht="15.75" hidden="1" customHeight="1">
      <c r="A36" s="50"/>
      <c r="B36" s="5" t="str">
        <v>Coega Steels Ph2_Tracker.xlsx</v>
      </c>
      <c r="C36" s="5" t="str">
        <v>Labour Management Fee</v>
      </c>
      <c r="D36" s="115" t="str">
        <v>Coega Development Corporation - 06-02-26</v>
      </c>
      <c r="E36" s="83">
        <v>46081</v>
      </c>
      <c r="F36" s="5">
        <v>5215.6099999999997</v>
      </c>
      <c r="G36" s="5" t="str">
        <v>Realised</v>
      </c>
      <c r="H36" s="5" t="str">
        <v>Coega Steels Ph2_Tracker.xlsx | Table row 340 | Labour Management Fee | Inv Coega Development Corporation - 06-02-26 | Col ExpenseActualTotal</v>
      </c>
      <c r="I36" s="5"/>
      <c r="J36" s="5"/>
      <c r="K36" s="5"/>
      <c r="L36" s="5"/>
      <c r="M36" s="5"/>
      <c r="N36" s="5"/>
      <c r="O36" s="5"/>
      <c r="P36" s="5" t="str">
        <v>Red Rocket_Tracker.xlsx</v>
      </c>
      <c r="Q36" s="5"/>
      <c r="R36" s="5"/>
      <c r="S36" s="5"/>
      <c r="T36" s="5"/>
      <c r="U36" s="5"/>
      <c r="V36" s="5"/>
      <c r="W36" s="5"/>
      <c r="X36" s="5"/>
      <c r="Y36" s="5"/>
      <c r="Z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</row>
    <row r="37" spans="1:54" s="54" customFormat="1" ht="15.75" hidden="1" customHeight="1">
      <c r="A37" s="50"/>
      <c r="B37" s="5" t="str">
        <v>Coega Steels Ph2_Tracker.xlsx</v>
      </c>
      <c r="C37" s="5" t="str">
        <v>RS485 protection</v>
      </c>
      <c r="D37" s="115" t="str">
        <v>Luken Solar INV-0708</v>
      </c>
      <c r="E37" s="83">
        <v>46081</v>
      </c>
      <c r="F37" s="5">
        <v>1129.28</v>
      </c>
      <c r="G37" s="5" t="str">
        <v>Realised</v>
      </c>
      <c r="H37" s="5" t="str">
        <v>Coega Steels Ph2_Tracker.xlsx | Table row 359 | RS485 protection | Inv Luken Solar INV-0708 | Col ExpenseActualTotal</v>
      </c>
      <c r="I37" s="5"/>
      <c r="J37" s="5"/>
      <c r="K37" s="5"/>
      <c r="L37" s="5"/>
      <c r="M37" s="5"/>
      <c r="N37" s="5"/>
      <c r="O37" s="5"/>
      <c r="P37" s="5" t="str">
        <v>Ridgeview Mall_Tracker.xlsx</v>
      </c>
      <c r="Q37" s="5"/>
      <c r="R37" s="5"/>
      <c r="S37" s="5"/>
      <c r="T37" s="5"/>
      <c r="U37" s="5"/>
      <c r="V37" s="5"/>
      <c r="W37" s="5"/>
      <c r="X37" s="5"/>
      <c r="Y37" s="5"/>
      <c r="Z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</row>
    <row r="38" spans="1:54" s="54" customFormat="1" ht="15.75" hidden="1" customHeight="1">
      <c r="A38" s="50"/>
      <c r="B38" s="5" t="str">
        <v>Gezina Galleries_Tracker.xlsx</v>
      </c>
      <c r="C38" s="5" t="str">
        <v>Installation of SPD - Recover Cost from SWB</v>
      </c>
      <c r="D38" s="115" t="str">
        <v>Switchboard - 2-ARI001536</v>
      </c>
      <c r="E38" s="83">
        <v>46081</v>
      </c>
      <c r="F38" s="5">
        <v>-1728.1</v>
      </c>
      <c r="G38" s="5" t="str">
        <v>Realised</v>
      </c>
      <c r="H38" s="5" t="str">
        <v>Gezina Galleries_Tracker.xlsx | Table row 82 | Installation of SPD - Recover Cost from SWB | Inv Switchboard - 2-ARI001536 | Col ExpenseActualTotal</v>
      </c>
      <c r="I38" s="5"/>
      <c r="J38" s="5"/>
      <c r="K38" s="5"/>
      <c r="L38" s="5"/>
      <c r="M38" s="5"/>
      <c r="N38" s="5"/>
      <c r="O38" s="5"/>
      <c r="P38" s="5" t="str">
        <v>Riverside Mall_Tracker.xlsx</v>
      </c>
      <c r="Q38" s="5"/>
      <c r="R38" s="5"/>
      <c r="S38" s="5"/>
      <c r="T38" s="5"/>
      <c r="U38" s="5"/>
      <c r="V38" s="5"/>
      <c r="W38" s="5"/>
      <c r="X38" s="5"/>
      <c r="Y38" s="5"/>
      <c r="Z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</row>
    <row r="39" spans="1:54" s="54" customFormat="1" ht="15.75" hidden="1" customHeight="1">
      <c r="A39" s="50"/>
      <c r="B39" s="5" t="str">
        <v>Mahikeng Builders Express_Tracker.xlsx</v>
      </c>
      <c r="C39" s="5" t="str">
        <v>Safety Officer</v>
      </c>
      <c r="D39" s="115" t="str">
        <v>WAGMA - INV-000023</v>
      </c>
      <c r="E39" s="83">
        <v>46081</v>
      </c>
      <c r="F39" s="5">
        <v>19200</v>
      </c>
      <c r="G39" s="5" t="str">
        <v>Realised</v>
      </c>
      <c r="H39" s="5" t="str">
        <v>Mahikeng Builders Express_Tracker.xlsx | Table row 149 | Safety Officer | Inv WAGMA - INV-000023 | Col ExpenseActualTotal</v>
      </c>
      <c r="I39" s="5"/>
      <c r="J39" s="5"/>
      <c r="K39" s="5"/>
      <c r="L39" s="5"/>
      <c r="M39" s="5"/>
      <c r="N39" s="5"/>
      <c r="O39" s="5"/>
      <c r="P39" s="5" t="str">
        <v>SA Metal_14 Christiaan_A_Tracker.xlsx</v>
      </c>
      <c r="Q39" s="5"/>
      <c r="R39" s="5"/>
      <c r="S39" s="5"/>
      <c r="T39" s="5"/>
      <c r="U39" s="5"/>
      <c r="V39" s="5"/>
      <c r="W39" s="5"/>
      <c r="X39" s="5"/>
      <c r="Y39" s="5"/>
      <c r="Z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</row>
    <row r="40" spans="1:54" s="54" customFormat="1" ht="15.75" hidden="1" customHeight="1">
      <c r="A40" s="50"/>
      <c r="B40" s="5" t="str">
        <v>Mayo Macs_Tracker.xlsx</v>
      </c>
      <c r="C40" s="5" t="str">
        <v>15. Service Add On</v>
      </c>
      <c r="D40" s="115" t="str">
        <v xml:space="preserve">Matthews Group - INV-1595 </v>
      </c>
      <c r="E40" s="83">
        <v>46081</v>
      </c>
      <c r="F40" s="5">
        <v>0.5</v>
      </c>
      <c r="G40" s="5" t="str">
        <v>Realised</v>
      </c>
      <c r="H40" s="5" t="str">
        <v>Mayo Macs_Tracker.xlsx | Table row 141 | 15. Service Add On | Inv Matthews Group - INV-1595  | Col ExpenseActualTotal</v>
      </c>
      <c r="I40" s="5"/>
      <c r="J40" s="5"/>
      <c r="K40" s="5"/>
      <c r="L40" s="5"/>
      <c r="M40" s="5"/>
      <c r="N40" s="5"/>
      <c r="O40" s="5"/>
      <c r="P40" s="5" t="str">
        <v>SA Metal_14 Christiaan_B_Tracker.xlsx</v>
      </c>
      <c r="Q40" s="5"/>
      <c r="R40" s="5"/>
      <c r="S40" s="5"/>
      <c r="T40" s="5"/>
      <c r="U40" s="5"/>
      <c r="V40" s="5"/>
      <c r="W40" s="5"/>
      <c r="X40" s="5"/>
      <c r="Y40" s="5"/>
      <c r="Z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</row>
    <row r="41" spans="1:54" s="54" customFormat="1" ht="15.75" hidden="1" customHeight="1">
      <c r="A41" s="50"/>
      <c r="B41" s="5" t="str">
        <v>Mondi_Tracker_Rev02.xlsm</v>
      </c>
      <c r="C41" s="5" t="str">
        <v>Fees to Consultant - IEP</v>
      </c>
      <c r="D41" s="115" t="str">
        <v>IEP South Africa Inv: 202502235</v>
      </c>
      <c r="E41" s="83">
        <v>46081</v>
      </c>
      <c r="F41" s="5">
        <v>3899999.9999950002</v>
      </c>
      <c r="G41" s="5" t="str">
        <v>Realised</v>
      </c>
      <c r="H41" s="5" t="str">
        <v>Mondi_Tracker_Rev02.xlsm | Table row 173 | Fees to Consultant - IEP | Inv IEP South Africa Inv: 202502235 | Col ExpenseActualTotal</v>
      </c>
      <c r="I41" s="5"/>
      <c r="J41" s="5"/>
      <c r="K41" s="5"/>
      <c r="L41" s="5"/>
      <c r="M41" s="5"/>
      <c r="N41" s="5"/>
      <c r="O41" s="5"/>
      <c r="P41" s="5" t="str">
        <v>SA Metal_20 Christiaan_Tracker.xlsx</v>
      </c>
      <c r="Q41" s="5"/>
      <c r="R41" s="5"/>
      <c r="S41" s="5"/>
      <c r="T41" s="5"/>
      <c r="U41" s="5"/>
      <c r="V41" s="5"/>
      <c r="W41" s="5"/>
      <c r="X41" s="5"/>
      <c r="Y41" s="5"/>
      <c r="Z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</row>
    <row r="42" spans="1:54" s="54" customFormat="1" ht="15.75" hidden="1" customHeight="1">
      <c r="A42" s="50"/>
      <c r="B42" s="5" t="str">
        <v>Mondi_Tracker_Rev02.xlsm</v>
      </c>
      <c r="C42" s="5" t="str">
        <v>Fees to Consultant - IEP</v>
      </c>
      <c r="D42" s="115" t="str">
        <v>IEP South Africa Inv: 202505271</v>
      </c>
      <c r="E42" s="83">
        <v>46081</v>
      </c>
      <c r="F42" s="5">
        <v>1500000</v>
      </c>
      <c r="G42" s="5" t="str">
        <v>Realised</v>
      </c>
      <c r="H42" s="5" t="str">
        <v>Mondi_Tracker_Rev02.xlsm | Table row 174 | Fees to Consultant - IEP | Inv IEP South Africa Inv: 202505271 | Col ExpenseActualTotal</v>
      </c>
      <c r="I42" s="5"/>
      <c r="J42" s="5"/>
      <c r="K42" s="5"/>
      <c r="L42" s="5"/>
      <c r="M42" s="5"/>
      <c r="N42" s="5"/>
      <c r="O42" s="5"/>
      <c r="P42" s="5" t="str">
        <v>SA Metal_22 Christiaan_Tracker.xlsx</v>
      </c>
      <c r="Q42" s="5"/>
      <c r="R42" s="5"/>
      <c r="S42" s="5"/>
      <c r="T42" s="5"/>
      <c r="U42" s="5"/>
      <c r="V42" s="5"/>
      <c r="W42" s="5"/>
      <c r="X42" s="5"/>
      <c r="Y42" s="5"/>
      <c r="Z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</row>
    <row r="43" spans="1:54" s="54" customFormat="1" ht="15.75" hidden="1" customHeight="1">
      <c r="A43" s="50"/>
      <c r="B43" s="5" t="str">
        <v>Mondi_Tracker_Rev02.xlsm</v>
      </c>
      <c r="C43" s="5" t="str">
        <v>Containerised Inverter Housings - Turnkey Solution at Switchboard - Deposit 30%</v>
      </c>
      <c r="D43" s="115" t="str">
        <v>Switchboard - 2-SOI002846</v>
      </c>
      <c r="E43" s="83">
        <v>46081</v>
      </c>
      <c r="F43" s="5">
        <v>1648130.976</v>
      </c>
      <c r="G43" s="5" t="str">
        <v>Realised</v>
      </c>
      <c r="H43" s="5" t="str">
        <v>Mondi_Tracker_Rev02.xlsm | Table row 177 | Containerised Inverter Housings - Turnkey Solution at Switchboard - Deposit 30% | Inv Switchboard - 2-SOI002846 | Col ExpenseActualTotal</v>
      </c>
      <c r="I43" s="5"/>
      <c r="J43" s="5"/>
      <c r="K43" s="5"/>
      <c r="L43" s="5"/>
      <c r="M43" s="5"/>
      <c r="N43" s="5"/>
      <c r="O43" s="5"/>
      <c r="P43" s="5" t="str">
        <v>Seshego Circle_Tracker.xlsx</v>
      </c>
      <c r="Q43" s="5"/>
      <c r="R43" s="5"/>
      <c r="S43" s="5"/>
      <c r="T43" s="5"/>
      <c r="U43" s="5"/>
      <c r="V43" s="5"/>
      <c r="W43" s="5"/>
      <c r="X43" s="5"/>
      <c r="Y43" s="5"/>
      <c r="Z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</row>
    <row r="44" spans="1:54" s="54" customFormat="1" ht="15.75" hidden="1" customHeight="1">
      <c r="A44" s="50"/>
      <c r="B44" s="5" t="str">
        <v>Mondi_Tracker_Rev02.xlsm</v>
      </c>
      <c r="C44" s="5" t="str">
        <v>Roof Structural Sign Off</v>
      </c>
      <c r="D44" s="115" t="str">
        <v>L&amp;B Consulting INV-1964</v>
      </c>
      <c r="E44" s="83">
        <v>46081</v>
      </c>
      <c r="F44" s="5">
        <v>15630</v>
      </c>
      <c r="G44" s="5" t="str">
        <v>Realised</v>
      </c>
      <c r="H44" s="5" t="str">
        <v>Mondi_Tracker_Rev02.xlsm | Table row 339 | Roof Structural Sign Off | Inv L&amp;B Consulting INV-1964 | Col ExpenseActualTotal</v>
      </c>
      <c r="I44" s="5"/>
      <c r="J44" s="5"/>
      <c r="K44" s="5"/>
      <c r="L44" s="5"/>
      <c r="M44" s="5"/>
      <c r="N44" s="5"/>
      <c r="O44" s="5"/>
      <c r="P44" s="5" t="str">
        <v>Shoprite Mini_Bredarsdorp_Tracker.xlsx</v>
      </c>
      <c r="Q44" s="5"/>
      <c r="R44" s="5"/>
      <c r="S44" s="5"/>
      <c r="T44" s="5"/>
      <c r="U44" s="5"/>
      <c r="V44" s="5"/>
      <c r="W44" s="5"/>
      <c r="X44" s="5"/>
      <c r="Y44" s="5"/>
      <c r="Z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</row>
    <row r="45" spans="1:54" s="54" customFormat="1" ht="15.75" hidden="1" customHeight="1">
      <c r="A45" s="50"/>
      <c r="B45" s="5" t="str">
        <v>Mondi_Tracker_Rev02.xlsm</v>
      </c>
      <c r="C45" s="5" t="str">
        <v>Grid Study</v>
      </c>
      <c r="D45" s="115" t="str">
        <v>Defered Expenses - Okusha Engineering Inv EE15</v>
      </c>
      <c r="E45" s="83">
        <v>46081</v>
      </c>
      <c r="F45" s="5">
        <v>102900</v>
      </c>
      <c r="G45" s="5" t="str">
        <v>Realised</v>
      </c>
      <c r="H45" s="5" t="str">
        <v>Mondi_Tracker_Rev02.xlsm | Table row 340 | Grid Study | Inv Defered Expenses - Okusha Engineering Inv EE15 | Col ExpenseActualTotal</v>
      </c>
      <c r="I45" s="5"/>
      <c r="J45" s="5"/>
      <c r="K45" s="5"/>
      <c r="L45" s="5"/>
      <c r="M45" s="5"/>
      <c r="N45" s="5"/>
      <c r="O45" s="5"/>
      <c r="P45" s="5" t="str">
        <v>Shoprite Mini_Citrusdal_Tracker.xlsx</v>
      </c>
      <c r="Q45" s="5"/>
      <c r="R45" s="5"/>
      <c r="S45" s="5"/>
      <c r="T45" s="5"/>
      <c r="U45" s="5"/>
      <c r="V45" s="5"/>
      <c r="W45" s="5"/>
      <c r="X45" s="5"/>
      <c r="Y45" s="5"/>
      <c r="Z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</row>
    <row r="46" spans="1:54" s="54" customFormat="1" ht="15.75" hidden="1" customHeight="1">
      <c r="A46" s="50"/>
      <c r="B46" s="5" t="str">
        <v>Mondi_Tracker_Rev02.xlsm</v>
      </c>
      <c r="C46" s="5" t="str">
        <v>Lightning Risk assessment</v>
      </c>
      <c r="D46" s="115" t="str">
        <v>RSLP Inv0011533</v>
      </c>
      <c r="E46" s="83">
        <v>46081</v>
      </c>
      <c r="F46" s="5">
        <v>2400</v>
      </c>
      <c r="G46" s="5" t="str">
        <v>Realised</v>
      </c>
      <c r="H46" s="5" t="str">
        <v>Mondi_Tracker_Rev02.xlsm | Table row 341 | Lightning Risk assessment | Inv RSLP Inv0011533 | Col ExpenseActualTotal</v>
      </c>
      <c r="I46" s="5"/>
      <c r="J46" s="5"/>
      <c r="K46" s="5"/>
      <c r="L46" s="5"/>
      <c r="M46" s="5"/>
      <c r="N46" s="5"/>
      <c r="O46" s="5"/>
      <c r="P46" s="5" t="str">
        <v>Sibasa_Tracker.xlsx</v>
      </c>
      <c r="Q46" s="5"/>
      <c r="R46" s="5"/>
      <c r="S46" s="5"/>
      <c r="T46" s="5"/>
      <c r="U46" s="5"/>
      <c r="V46" s="5"/>
      <c r="W46" s="5"/>
      <c r="X46" s="5"/>
      <c r="Y46" s="5"/>
      <c r="Z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</row>
    <row r="47" spans="1:54" s="54" customFormat="1" ht="15.75" hidden="1" customHeight="1">
      <c r="A47" s="50"/>
      <c r="B47" s="5" t="str">
        <v>Pimville_Tracker.xlsx</v>
      </c>
      <c r="C47" s="5" t="str">
        <v>Travel</v>
      </c>
      <c r="D47" s="115" t="str">
        <v>Expense Claim</v>
      </c>
      <c r="E47" s="83">
        <v>46081</v>
      </c>
      <c r="F47" s="5">
        <v>100</v>
      </c>
      <c r="G47" s="5" t="str">
        <v>Realised</v>
      </c>
      <c r="H47" s="5" t="str">
        <v>Pimville_Tracker.xlsx | Table row 157 | Travel | Inv Expense Claim | Col ExpenseActualTotal</v>
      </c>
      <c r="I47" s="5"/>
      <c r="J47" s="5"/>
      <c r="K47" s="5"/>
      <c r="L47" s="5"/>
      <c r="M47" s="5"/>
      <c r="N47" s="5"/>
      <c r="O47" s="5"/>
      <c r="P47" s="5" t="str">
        <v>STD GQ_Tracker.xlsx</v>
      </c>
      <c r="Q47" s="5"/>
      <c r="R47" s="5"/>
      <c r="S47" s="5"/>
      <c r="T47" s="5"/>
      <c r="U47" s="5"/>
      <c r="V47" s="5"/>
      <c r="W47" s="5"/>
      <c r="X47" s="5"/>
      <c r="Y47" s="5"/>
      <c r="Z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</row>
    <row r="48" spans="1:54" s="54" customFormat="1" ht="15.75" hidden="1" customHeight="1">
      <c r="A48" s="50"/>
      <c r="B48" s="5" t="str">
        <v>Randfontein_Tracker.xlsx</v>
      </c>
      <c r="C48" s="5" t="str">
        <v>End Clamps Top Up - Schletter</v>
      </c>
      <c r="D48" s="115" t="str">
        <v>Schletter - INV002603</v>
      </c>
      <c r="E48" s="83">
        <v>46081</v>
      </c>
      <c r="F48" s="5">
        <v>1252</v>
      </c>
      <c r="G48" s="5" t="str">
        <v>Realised</v>
      </c>
      <c r="H48" s="5" t="str">
        <v>Randfontein_Tracker.xlsx | Table row 22 | End Clamps Top Up - Schletter | Inv Schletter - INV002603 | Col ExpenseActualTotal</v>
      </c>
      <c r="I48" s="5"/>
      <c r="J48" s="5"/>
      <c r="K48" s="5"/>
      <c r="L48" s="5"/>
      <c r="M48" s="5"/>
      <c r="N48" s="5"/>
      <c r="O48" s="5"/>
      <c r="P48" s="5" t="str">
        <v>Steelpark_Tracker.xlsx</v>
      </c>
      <c r="Q48" s="5"/>
      <c r="R48" s="5"/>
      <c r="S48" s="5"/>
      <c r="T48" s="5"/>
      <c r="U48" s="5"/>
      <c r="V48" s="5"/>
      <c r="W48" s="5"/>
      <c r="X48" s="5"/>
      <c r="Y48" s="5"/>
      <c r="Z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</row>
    <row r="49" spans="2:54" s="50" customFormat="1" ht="15.75" hidden="1" customHeight="1">
      <c r="B49" s="5" t="str">
        <v>Randfontein_Tracker.xlsx</v>
      </c>
      <c r="C49" s="5" t="str">
        <v>Grid CTs and Router - AccuEnergy</v>
      </c>
      <c r="D49" s="115" t="str">
        <v>Accuenergy - ASAI-007333</v>
      </c>
      <c r="E49" s="83">
        <v>46081</v>
      </c>
      <c r="F49" s="5">
        <v>7197.5</v>
      </c>
      <c r="G49" s="5" t="str">
        <v>Realised</v>
      </c>
      <c r="H49" s="5" t="str">
        <v>Randfontein_Tracker.xlsx | Table row 50 | Grid CTs and Router - AccuEnergy | Inv Accuenergy - ASAI-007333 | Col ExpenseActualTotal</v>
      </c>
      <c r="I49" s="5"/>
      <c r="J49" s="5"/>
      <c r="K49" s="5"/>
      <c r="L49" s="5"/>
      <c r="M49" s="5"/>
      <c r="N49" s="5"/>
      <c r="O49" s="5"/>
      <c r="P49" s="5" t="str">
        <v>Superspar Ph2_Tracker.xlsx</v>
      </c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</row>
    <row r="50" spans="2:54" s="50" customFormat="1" ht="15.75" hidden="1" customHeight="1">
      <c r="B50" s="5" t="str">
        <v>Randfontein_Tracker.xlsx</v>
      </c>
      <c r="C50" s="5" t="str">
        <v>30way DC Combiner Box 30A 1000v - ThulaMoya</v>
      </c>
      <c r="D50" s="115" t="str">
        <v>Thula Moya - IN05020</v>
      </c>
      <c r="E50" s="83">
        <v>46081</v>
      </c>
      <c r="F50" s="5">
        <v>16725</v>
      </c>
      <c r="G50" s="5" t="str">
        <v>Realised</v>
      </c>
      <c r="H50" s="5" t="str">
        <v>Randfontein_Tracker.xlsx | Table row 89 | 30way DC Combiner Box 30A 1000v - ThulaMoya | Inv Thula Moya - IN05020 | Col ExpenseActualTotal</v>
      </c>
      <c r="I50" s="5"/>
      <c r="J50" s="5"/>
      <c r="K50" s="5"/>
      <c r="L50" s="5"/>
      <c r="M50" s="5"/>
      <c r="N50" s="5"/>
      <c r="O50" s="5"/>
      <c r="P50" s="5" t="str">
        <v>Swellengrebel_Tracker.xlsx</v>
      </c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</row>
    <row r="51" spans="2:54" s="50" customFormat="1" ht="15.75" hidden="1" customHeight="1">
      <c r="B51" s="5" t="str">
        <v>Red Rocket_Tracker.xlsx</v>
      </c>
      <c r="C51" s="5" t="str">
        <v>JA Electrical - Additional scope and EE changes - VO</v>
      </c>
      <c r="D51" s="115" t="str">
        <v>JA Electrical - INV 1158</v>
      </c>
      <c r="E51" s="83">
        <v>46081</v>
      </c>
      <c r="F51" s="5">
        <v>52687.973913043483</v>
      </c>
      <c r="G51" s="5" t="str">
        <v>Realised</v>
      </c>
      <c r="H51" s="5" t="str">
        <v>Red Rocket_Tracker.xlsx | Table row 206 | JA Electrical - Additional scope and EE changes - VO | Inv JA Electrical - INV 1158 | Col ExpenseActualTotal</v>
      </c>
      <c r="I51" s="5"/>
      <c r="J51" s="5"/>
      <c r="K51" s="5"/>
      <c r="L51" s="5"/>
      <c r="M51" s="5"/>
      <c r="N51" s="5"/>
      <c r="O51" s="5"/>
      <c r="P51" s="5" t="str">
        <v>Topsteel_Tracker.xlsx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</row>
    <row r="52" spans="2:54" s="50" customFormat="1" ht="15.75" hidden="1" customHeight="1">
      <c r="B52" s="5" t="str">
        <v>Red Rocket_Tracker.xlsx</v>
      </c>
      <c r="C52" s="5" t="str">
        <v>Tie - in 2 Isolation Transformer Bypass</v>
      </c>
      <c r="D52" s="115" t="str">
        <v>HappySolar - INV-0353</v>
      </c>
      <c r="E52" s="83">
        <v>46081</v>
      </c>
      <c r="F52" s="5">
        <v>7000.0000000000009</v>
      </c>
      <c r="G52" s="5" t="str">
        <v>Realised</v>
      </c>
      <c r="H52" s="5" t="str">
        <v>Red Rocket_Tracker.xlsx | Table row 214 | Tie - in 2 Isolation Transformer Bypass | Inv HappySolar - INV-0353 | Col ExpenseActualTotal</v>
      </c>
      <c r="I52" s="5"/>
      <c r="J52" s="5"/>
      <c r="K52" s="5"/>
      <c r="L52" s="5"/>
      <c r="M52" s="5"/>
      <c r="N52" s="5"/>
      <c r="O52" s="5"/>
      <c r="P52" s="5" t="str">
        <v>Trident Steel GP_Tracker.xlsx</v>
      </c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</row>
    <row r="53" spans="2:54" s="50" customFormat="1" ht="15.75" hidden="1" customHeight="1">
      <c r="B53" s="5" t="str">
        <v>Riverside Mall_Tracker.xlsx</v>
      </c>
      <c r="C53" s="5" t="str">
        <v>Anchor Points - Ascend Deposit</v>
      </c>
      <c r="D53" s="115" t="str">
        <v>Ascend Inv-4989</v>
      </c>
      <c r="E53" s="83">
        <v>46081</v>
      </c>
      <c r="F53" s="5">
        <v>33715.449999999997</v>
      </c>
      <c r="G53" s="5" t="str">
        <v>Realised</v>
      </c>
      <c r="H53" s="5" t="str">
        <v>Riverside Mall_Tracker.xlsx | Table row 85 | Anchor Points - Ascend Deposit | Inv Ascend Inv-4989 | Col ExpenseActualTotal</v>
      </c>
      <c r="I53" s="5"/>
      <c r="J53" s="5"/>
      <c r="K53" s="5"/>
      <c r="L53" s="5"/>
      <c r="M53" s="5"/>
      <c r="N53" s="5"/>
      <c r="O53" s="5"/>
      <c r="P53" s="5" t="str">
        <v>Trident Steel PE_Tracker.xlsx</v>
      </c>
      <c r="Q53" s="5"/>
      <c r="R53" s="5"/>
      <c r="S53" s="5"/>
      <c r="T53" s="5"/>
      <c r="U53" s="5"/>
      <c r="V53" s="5"/>
      <c r="W53" s="5"/>
      <c r="X53" s="5"/>
      <c r="Y53" s="5"/>
      <c r="Z53" s="5"/>
      <c r="AA53" s="53"/>
      <c r="AB53" s="53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</row>
    <row r="54" spans="2:54" s="50" customFormat="1" ht="15.75" hidden="1" customHeight="1">
      <c r="B54" s="5" t="str">
        <v>Sibasa_Tracker.xlsx</v>
      </c>
      <c r="C54" s="5" t="str">
        <v>Replacement panels</v>
      </c>
      <c r="D54" s="115" t="str">
        <v>MSA Energy INV0003591</v>
      </c>
      <c r="E54" s="83">
        <v>46081</v>
      </c>
      <c r="F54" s="5">
        <v>3701.4</v>
      </c>
      <c r="G54" s="5" t="str">
        <v>Realised</v>
      </c>
      <c r="H54" s="5" t="str">
        <v>Sibasa_Tracker.xlsx | Table row 7 | Replacement panels | Inv MSA Energy INV0003591 | Col ExpenseActualTotal</v>
      </c>
      <c r="I54" s="5"/>
      <c r="J54" s="5"/>
      <c r="K54" s="5"/>
      <c r="L54" s="5"/>
      <c r="M54" s="5"/>
      <c r="N54" s="5"/>
      <c r="O54" s="5"/>
      <c r="P54" s="5" t="str">
        <v>Tsakana Corner_Tracker.xlsx</v>
      </c>
      <c r="Q54" s="5"/>
      <c r="R54" s="5"/>
      <c r="S54" s="5"/>
      <c r="T54" s="5"/>
      <c r="U54" s="5"/>
      <c r="V54" s="5"/>
      <c r="W54" s="5"/>
      <c r="X54" s="5"/>
      <c r="Y54" s="5"/>
      <c r="Z54" s="5"/>
      <c r="AA54" s="53"/>
      <c r="AB54" s="53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</row>
    <row r="55" spans="2:54" s="50" customFormat="1" ht="15.75" hidden="1" customHeight="1">
      <c r="B55" s="5" t="str">
        <v>Sibasa_Tracker.xlsx</v>
      </c>
      <c r="C55" s="5" t="str">
        <v>Transport</v>
      </c>
      <c r="D55" s="115" t="str">
        <v>MSA Energy INV0003591</v>
      </c>
      <c r="E55" s="83">
        <v>46081</v>
      </c>
      <c r="F55" s="5">
        <v>500</v>
      </c>
      <c r="G55" s="5" t="str">
        <v>Realised</v>
      </c>
      <c r="H55" s="5" t="str">
        <v>Sibasa_Tracker.xlsx | Table row 8 | Transport | Inv MSA Energy INV0003591 | Col ExpenseActualTotal</v>
      </c>
      <c r="I55" s="5"/>
      <c r="J55" s="5"/>
      <c r="K55" s="5"/>
      <c r="L55" s="5"/>
      <c r="M55" s="5"/>
      <c r="N55" s="5"/>
      <c r="O55" s="5"/>
      <c r="P55" s="5" t="str">
        <v>Umzimkhulu_Tracker.xlsx</v>
      </c>
      <c r="Q55" s="5"/>
      <c r="R55" s="5"/>
      <c r="S55" s="5"/>
      <c r="T55" s="5"/>
      <c r="U55" s="5"/>
      <c r="V55" s="5"/>
      <c r="W55" s="5"/>
      <c r="X55" s="5"/>
      <c r="Y55" s="5"/>
      <c r="Z55" s="5"/>
      <c r="AA55" s="53"/>
      <c r="AB55" s="53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</row>
    <row r="56" spans="2:54" s="50" customFormat="1" ht="15.75" hidden="1" customHeight="1">
      <c r="B56" s="5" t="str">
        <v>Sibasa_Tracker.xlsx</v>
      </c>
      <c r="C56" s="5" t="str">
        <v>CS - Waterproofing removing and reinstall panels - Snag Completion - VO</v>
      </c>
      <c r="D56" s="115" t="str">
        <v>Cosmic Sun - CS_SRS_013</v>
      </c>
      <c r="E56" s="83">
        <v>46081</v>
      </c>
      <c r="F56" s="5">
        <v>112080</v>
      </c>
      <c r="G56" s="5" t="str">
        <v>Realised</v>
      </c>
      <c r="H56" s="5" t="str">
        <v>Sibasa_Tracker.xlsx | Table row 88 | CS - Waterproofing removing and reinstall panels - Snag Completion - VO | Inv Cosmic Sun - CS_SRS_013 | Col ExpenseActualTotal</v>
      </c>
      <c r="I56" s="5"/>
      <c r="J56" s="5"/>
      <c r="K56" s="5"/>
      <c r="L56" s="5"/>
      <c r="M56" s="5"/>
      <c r="N56" s="5"/>
      <c r="O56" s="5"/>
      <c r="P56" s="5" t="str">
        <v>Upper_East_Side_Hotel_Tracker.xlsx</v>
      </c>
      <c r="Q56" s="5"/>
      <c r="R56" s="5"/>
      <c r="S56" s="5"/>
      <c r="T56" s="5"/>
      <c r="U56" s="5"/>
      <c r="V56" s="5"/>
      <c r="W56" s="5"/>
      <c r="X56" s="5"/>
      <c r="Y56" s="5"/>
      <c r="Z56" s="5"/>
      <c r="AA56" s="53"/>
      <c r="AB56" s="53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</row>
    <row r="57" spans="2:54" s="50" customFormat="1" ht="15.75" hidden="1" customHeight="1">
      <c r="B57" s="5" t="str">
        <v>Superspar Ph2_Tracker.xlsx</v>
      </c>
      <c r="C57" s="5" t="str">
        <v>Upgrade of Router</v>
      </c>
      <c r="D57" s="115" t="str">
        <v>AccEnergy ASAI-007327</v>
      </c>
      <c r="E57" s="83">
        <v>46081</v>
      </c>
      <c r="F57" s="5">
        <v>2120</v>
      </c>
      <c r="G57" s="5" t="str">
        <v>Realised</v>
      </c>
      <c r="H57" s="5" t="str">
        <v>Superspar Ph2_Tracker.xlsx | Table row 84 | Upgrade of Router | Inv AccEnergy ASAI-007327 | Col ExpenseActualTotal</v>
      </c>
      <c r="I57" s="5"/>
      <c r="J57" s="5"/>
      <c r="K57" s="5"/>
      <c r="L57" s="5"/>
      <c r="M57" s="5"/>
      <c r="N57" s="5"/>
      <c r="O57" s="5"/>
      <c r="P57" s="5" t="str">
        <v>Waterside_Tracker.xlsx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3"/>
      <c r="AB57" s="53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</row>
    <row r="58" spans="2:54" s="50" customFormat="1" ht="15.75" hidden="1" customHeight="1">
      <c r="B58" s="5" t="str">
        <v>Superspar Ph2_Tracker.xlsx</v>
      </c>
      <c r="C58" s="5" t="str">
        <v>Higeco Recommission - VO</v>
      </c>
      <c r="D58" s="115" t="str">
        <v>Infinity Inv: IN002354</v>
      </c>
      <c r="E58" s="83">
        <v>46081</v>
      </c>
      <c r="F58" s="5">
        <v>30000</v>
      </c>
      <c r="G58" s="5" t="str">
        <v>Realised</v>
      </c>
      <c r="H58" s="5" t="str">
        <v>Superspar Ph2_Tracker.xlsx | Table row 151 | Higeco Recommission - VO | Inv Infinity Inv: IN002354 | Col ExpenseActualTotal</v>
      </c>
      <c r="I58" s="5"/>
      <c r="J58" s="5"/>
      <c r="K58" s="5"/>
      <c r="L58" s="5"/>
      <c r="M58" s="5"/>
      <c r="N58" s="5"/>
      <c r="O58" s="5"/>
      <c r="P58" s="5" t="str">
        <v>Westway BESS_Tracker.xlsx</v>
      </c>
      <c r="Q58" s="5"/>
      <c r="R58" s="5"/>
      <c r="S58" s="5"/>
      <c r="T58" s="5"/>
      <c r="U58" s="5"/>
      <c r="V58" s="5"/>
      <c r="W58" s="5"/>
      <c r="X58" s="5"/>
      <c r="Y58" s="5"/>
      <c r="Z58" s="5"/>
      <c r="AA58" s="53"/>
      <c r="AB58" s="53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</row>
    <row r="59" spans="2:54" s="50" customFormat="1" ht="15.75" hidden="1" customHeight="1">
      <c r="B59" s="5" t="str">
        <v>Tsakana Corner_Tracker.xlsx</v>
      </c>
      <c r="C59" s="5" t="str">
        <v>Alternative Tie In - Cosmic Sun</v>
      </c>
      <c r="D59" s="115" t="str">
        <v>Cosmic Sun: CS_TSK_013</v>
      </c>
      <c r="E59" s="83">
        <v>46081</v>
      </c>
      <c r="F59" s="5">
        <v>30384.37</v>
      </c>
      <c r="G59" s="5" t="str">
        <v>Realised</v>
      </c>
      <c r="H59" s="5" t="str">
        <v>Tsakana Corner_Tracker.xlsx | Table row 161 | Alternative Tie In - Cosmic Sun | Inv Cosmic Sun: CS_TSK_013 | Col ExpenseActualTotal</v>
      </c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3"/>
      <c r="AB59" s="53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</row>
    <row r="60" spans="2:54" s="50" customFormat="1" ht="15.75" hidden="1" customHeight="1">
      <c r="B60" s="5" t="str">
        <v>Tsakana Corner_Tracker.xlsx</v>
      </c>
      <c r="C60" s="5">
        <v>0</v>
      </c>
      <c r="D60" s="115" t="str">
        <v>Cosmic Sun - CS_TSK_014</v>
      </c>
      <c r="E60" s="83">
        <v>46081</v>
      </c>
      <c r="F60" s="5">
        <v>30384.37</v>
      </c>
      <c r="G60" s="5" t="str">
        <v>Realised</v>
      </c>
      <c r="H60" s="5" t="str">
        <v>Tsakana Corner_Tracker.xlsx | Table row 162 |  | Inv Cosmic Sun - CS_TSK_014 | Col ExpenseActualTotal</v>
      </c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3"/>
      <c r="AB60" s="53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</row>
    <row r="61" spans="2:54" s="50" customFormat="1" ht="15.75" hidden="1" customHeight="1">
      <c r="B61" s="5" t="str">
        <v>Umzimkhulu_Tracker.xlsx</v>
      </c>
      <c r="C61" s="5" t="str">
        <v>Supply and Install SPDs - Recover cost from SWB</v>
      </c>
      <c r="D61" s="115" t="str">
        <v>Switchboard - 2-ARI001536</v>
      </c>
      <c r="E61" s="83">
        <v>46081</v>
      </c>
      <c r="F61" s="5">
        <v>-4825.5</v>
      </c>
      <c r="G61" s="5" t="str">
        <v>Realised</v>
      </c>
      <c r="H61" s="5" t="str">
        <v>Umzimkhulu_Tracker.xlsx | Table row 59 | Supply and Install SPDs - Recover cost from SWB | Inv Switchboard - 2-ARI001536 | Col ExpenseActualTotal</v>
      </c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3"/>
      <c r="AB61" s="53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</row>
    <row r="62" spans="2:54" s="50" customFormat="1" ht="15.75" hidden="1" customHeight="1">
      <c r="B62" s="5" t="str">
        <v>Upper_East_Side_Hotel_Tracker.xlsx</v>
      </c>
      <c r="C62" s="5" t="str">
        <v>Replacement panels</v>
      </c>
      <c r="D62" s="115" t="str">
        <v>MSA Energy INV0003593</v>
      </c>
      <c r="E62" s="83">
        <v>46081</v>
      </c>
      <c r="F62" s="5">
        <v>2301</v>
      </c>
      <c r="G62" s="5" t="str">
        <v>Realised</v>
      </c>
      <c r="H62" s="5" t="str">
        <v>Upper_East_Side_Hotel_Tracker.xlsx | Table row 7 | Replacement panels | Inv MSA Energy INV0003593 | Col ExpenseActualTotal</v>
      </c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3"/>
      <c r="AB62" s="53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</row>
    <row r="63" spans="2:54" s="50" customFormat="1" ht="15.75" hidden="1" customHeight="1">
      <c r="B63" s="5" t="str">
        <v>Upper_East_Side_Hotel_Tracker.xlsx</v>
      </c>
      <c r="C63" s="5" t="str">
        <v>Transport</v>
      </c>
      <c r="D63" s="115" t="str">
        <v>MSA Energy INV0003593</v>
      </c>
      <c r="E63" s="83">
        <v>46081</v>
      </c>
      <c r="F63" s="5">
        <v>400</v>
      </c>
      <c r="G63" s="5" t="str">
        <v>Realised</v>
      </c>
      <c r="H63" s="5" t="str">
        <v>Upper_East_Side_Hotel_Tracker.xlsx | Table row 8 | Transport | Inv MSA Energy INV0003593 | Col ExpenseActualTotal</v>
      </c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3"/>
      <c r="AB63" s="53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</row>
    <row r="64" spans="2:54" s="50" customFormat="1" ht="15.75" hidden="1" customHeight="1">
      <c r="B64" s="5" t="str">
        <v>Upper_East_Side_Hotel_Tracker.xlsx</v>
      </c>
      <c r="C64" s="5" t="str">
        <v>DC Installation Complete</v>
      </c>
      <c r="D64" s="115" t="str">
        <v>Cosmic Sun - CS_UES_003</v>
      </c>
      <c r="E64" s="83">
        <v>46081</v>
      </c>
      <c r="F64" s="5">
        <v>119175</v>
      </c>
      <c r="G64" s="5" t="str">
        <v>Realised</v>
      </c>
      <c r="H64" s="5" t="str">
        <v>Upper_East_Side_Hotel_Tracker.xlsx | Table row 98 | DC Installation Complete | Inv Cosmic Sun - CS_UES_003 | Col ExpenseActualTotal</v>
      </c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49"/>
      <c r="AB64" s="49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</row>
    <row r="65" spans="1:54" s="50" customFormat="1" ht="15.75" hidden="1" customHeight="1">
      <c r="B65" s="5" t="str">
        <v>Upper_East_Side_Hotel_Tracker.xlsx</v>
      </c>
      <c r="C65" s="5" t="str">
        <v>Commissioning Complete</v>
      </c>
      <c r="D65" s="115" t="str">
        <v>Cosmic Sun - CS_UES_003</v>
      </c>
      <c r="E65" s="83">
        <v>46081</v>
      </c>
      <c r="F65" s="5">
        <v>47670</v>
      </c>
      <c r="G65" s="5" t="str">
        <v>Realised</v>
      </c>
      <c r="H65" s="5" t="str">
        <v>Upper_East_Side_Hotel_Tracker.xlsx | Table row 99 | Commissioning Complete | Inv Cosmic Sun - CS_UES_003 | Col ExpenseActualTotal</v>
      </c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49"/>
      <c r="AB65" s="49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</row>
    <row r="66" spans="1:54" s="50" customFormat="1" ht="15.75" hidden="1" customHeight="1">
      <c r="B66" s="5" t="str">
        <v>Upper_East_Side_Hotel_Tracker.xlsx</v>
      </c>
      <c r="C66" s="5" t="str">
        <v>Site De-establisment</v>
      </c>
      <c r="D66" s="115" t="str">
        <v>Cosmic Sun - CS_UES_003</v>
      </c>
      <c r="E66" s="83">
        <v>46081</v>
      </c>
      <c r="F66" s="5">
        <v>47670</v>
      </c>
      <c r="G66" s="5" t="str">
        <v>Realised</v>
      </c>
      <c r="H66" s="5" t="str">
        <v>Upper_East_Side_Hotel_Tracker.xlsx | Table row 100 | Site De-establisment | Inv Cosmic Sun - CS_UES_003 | Col ExpenseActualTotal</v>
      </c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49"/>
      <c r="AB66" s="49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</row>
    <row r="67" spans="1:54" s="50" customFormat="1" ht="15.75" hidden="1" customHeight="1">
      <c r="B67" s="5" t="str">
        <v>Upper_East_Side_Hotel_Tracker.xlsx</v>
      </c>
      <c r="C67" s="5" t="str">
        <v>Handover Document Complete</v>
      </c>
      <c r="D67" s="115" t="str">
        <v>Cosmic Sun - CS_UES_003</v>
      </c>
      <c r="E67" s="83">
        <v>46081</v>
      </c>
      <c r="F67" s="5">
        <v>23835</v>
      </c>
      <c r="G67" s="5" t="str">
        <v>Realised</v>
      </c>
      <c r="H67" s="5" t="str">
        <v>Upper_East_Side_Hotel_Tracker.xlsx | Table row 101 | Handover Document Complete | Inv Cosmic Sun - CS_UES_003 | Col ExpenseActualTotal</v>
      </c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49"/>
      <c r="AB67" s="49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</row>
    <row r="68" spans="1:54" s="50" customFormat="1" ht="15.75" hidden="1" customHeight="1">
      <c r="B68" s="5" t="str">
        <v>Upper_East_Side_Hotel_Tracker.xlsx</v>
      </c>
      <c r="C68" s="5" t="str">
        <v>End of Defects Period</v>
      </c>
      <c r="D68" s="115" t="str">
        <v>Cosmic Sun - CS_UES_003</v>
      </c>
      <c r="E68" s="83">
        <v>46081</v>
      </c>
      <c r="F68" s="5">
        <v>23835</v>
      </c>
      <c r="G68" s="5" t="str">
        <v>Realised</v>
      </c>
      <c r="H68" s="5" t="str">
        <v>Upper_East_Side_Hotel_Tracker.xlsx | Table row 102 | End of Defects Period | Inv Cosmic Sun - CS_UES_003 | Col ExpenseActualTotal</v>
      </c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49"/>
      <c r="AB68" s="49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</row>
    <row r="69" spans="1:54" s="50" customFormat="1" ht="15.75" hidden="1" customHeight="1">
      <c r="B69" s="5" t="str">
        <v>Upper_East_Side_Hotel_Tracker.xlsx</v>
      </c>
      <c r="C69" s="5" t="str">
        <v>DC Installation Complete</v>
      </c>
      <c r="D69" s="115" t="str">
        <v>Cosmic Sun - CS_UES_003</v>
      </c>
      <c r="E69" s="83">
        <v>46081</v>
      </c>
      <c r="F69" s="5">
        <v>37761.875</v>
      </c>
      <c r="G69" s="5" t="str">
        <v>Realised</v>
      </c>
      <c r="H69" s="5" t="str">
        <v>Upper_East_Side_Hotel_Tracker.xlsx | Table row 116 | DC Installation Complete | Inv Cosmic Sun - CS_UES_003 | Col ExpenseActualTotal</v>
      </c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49"/>
      <c r="AB69" s="49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</row>
    <row r="70" spans="1:54" s="50" customFormat="1" ht="15.75" hidden="1" customHeight="1">
      <c r="B70" s="5" t="str">
        <v>Upper_East_Side_Hotel_Tracker.xlsx</v>
      </c>
      <c r="C70" s="5" t="str">
        <v>Commissioning Complete</v>
      </c>
      <c r="D70" s="115" t="str">
        <v>Cosmic Sun - CS_UES_003</v>
      </c>
      <c r="E70" s="83">
        <v>46081</v>
      </c>
      <c r="F70" s="5">
        <v>15104.75</v>
      </c>
      <c r="G70" s="5" t="str">
        <v>Realised</v>
      </c>
      <c r="H70" s="5" t="str">
        <v>Upper_East_Side_Hotel_Tracker.xlsx | Table row 117 | Commissioning Complete | Inv Cosmic Sun - CS_UES_003 | Col ExpenseActualTotal</v>
      </c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49"/>
      <c r="AB70" s="49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</row>
    <row r="71" spans="1:54" s="50" customFormat="1" ht="15.75" hidden="1" customHeight="1">
      <c r="B71" s="5" t="str">
        <v>Upper_East_Side_Hotel_Tracker.xlsx</v>
      </c>
      <c r="C71" s="5" t="str">
        <v>Site De-establisment</v>
      </c>
      <c r="D71" s="115" t="str">
        <v>Cosmic Sun - CS_UES_003</v>
      </c>
      <c r="E71" s="83">
        <v>46081</v>
      </c>
      <c r="F71" s="5">
        <v>15104.75</v>
      </c>
      <c r="G71" s="5" t="str">
        <v>Realised</v>
      </c>
      <c r="H71" s="5" t="str">
        <v>Upper_East_Side_Hotel_Tracker.xlsx | Table row 118 | Site De-establisment | Inv Cosmic Sun - CS_UES_003 | Col ExpenseActualTotal</v>
      </c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49"/>
      <c r="AB71" s="49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</row>
    <row r="72" spans="1:54" s="50" customFormat="1" ht="15.75" customHeight="1">
      <c r="B72" s="5" t="str">
        <v>Upper_East_Side_Hotel_Tracker.xlsx</v>
      </c>
      <c r="C72" s="5" t="str">
        <v>Handover Document Complete</v>
      </c>
      <c r="D72" s="115" t="str">
        <v>Cosmic Sun - CS_UES_003</v>
      </c>
      <c r="E72" s="83">
        <v>46081</v>
      </c>
      <c r="F72" s="5">
        <v>7552.375</v>
      </c>
      <c r="G72" s="5" t="str">
        <v>Realised</v>
      </c>
      <c r="H72" s="5" t="str">
        <v>Upper_East_Side_Hotel_Tracker.xlsx | Table row 119 | Handover Document Complete | Inv Cosmic Sun - CS_UES_003 | Col ExpenseActualTotal</v>
      </c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49"/>
      <c r="AB72" s="49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</row>
    <row r="73" spans="1:54" s="50" customFormat="1" ht="15.75" customHeight="1">
      <c r="B73" s="5" t="str">
        <v>Upper_East_Side_Hotel_Tracker.xlsx</v>
      </c>
      <c r="C73" s="5" t="str">
        <v>End of Defects Period</v>
      </c>
      <c r="D73" s="115" t="str">
        <v>Cosmic Sun - CS_UES_003</v>
      </c>
      <c r="E73" s="83">
        <v>46081</v>
      </c>
      <c r="F73" s="5">
        <v>7552.375</v>
      </c>
      <c r="G73" s="5" t="str">
        <v>Realised</v>
      </c>
      <c r="H73" s="5" t="str">
        <v>Upper_East_Side_Hotel_Tracker.xlsx | Table row 120 | End of Defects Period | Inv Cosmic Sun - CS_UES_003 | Col ExpenseActualTotal</v>
      </c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49"/>
      <c r="AB73" s="49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</row>
    <row r="74" spans="1:54" ht="15.75" customHeight="1">
      <c r="A74" s="9"/>
      <c r="B74" s="5" t="str">
        <v>Waterside_Tracker.xlsx</v>
      </c>
      <c r="C74" s="5" t="str">
        <v>Commissioning Complete</v>
      </c>
      <c r="D74" s="115" t="str">
        <v>Matthews Group - INV-1572</v>
      </c>
      <c r="E74" s="83">
        <v>46081</v>
      </c>
      <c r="F74" s="5">
        <v>8873.2000000000007</v>
      </c>
      <c r="G74" s="5" t="str">
        <v>Realised</v>
      </c>
      <c r="H74" s="5" t="str">
        <v>Waterside_Tracker.xlsx | Table row 94 | Commissioning Complete | Inv Matthews Group - INV-1572 | Col ExpenseActualTotal</v>
      </c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49"/>
      <c r="AB74" s="49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</row>
    <row r="75" spans="1:54" ht="15.75" customHeight="1">
      <c r="A75" s="9"/>
      <c r="B75" s="5" t="str">
        <v>1 Bolt Ave_Tracker.xlsx</v>
      </c>
      <c r="C75" s="5" t="str">
        <v>Red Team Inspection</v>
      </c>
      <c r="D75" s="115">
        <v>0</v>
      </c>
      <c r="E75" s="83">
        <v>46081</v>
      </c>
      <c r="F75" s="5">
        <v>6000</v>
      </c>
      <c r="G75" s="5" t="str">
        <v>Outstanding</v>
      </c>
      <c r="H75" s="5" t="str">
        <v>1 Bolt Ave_Tracker.xlsx | Table row 123 | Red Team Inspection | Inv  | Col ExpenseActualTotal</v>
      </c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49"/>
      <c r="AB75" s="49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</row>
    <row r="76" spans="1:54" ht="15.75" customHeight="1">
      <c r="A76" s="9"/>
      <c r="B76" s="5" t="str">
        <v>1 Bolt Ave_Tracker.xlsx</v>
      </c>
      <c r="C76" s="5" t="str">
        <v>Matriarch Defects Period - 1.25%</v>
      </c>
      <c r="D76" s="115">
        <v>0</v>
      </c>
      <c r="E76" s="83">
        <v>46081</v>
      </c>
      <c r="F76" s="5">
        <v>41047.631874999999</v>
      </c>
      <c r="G76" s="5" t="str">
        <v>Outstanding</v>
      </c>
      <c r="H76" s="5" t="str">
        <v>1 Bolt Ave_Tracker.xlsx | Table row 129 | Matriarch Defects Period - 1.25% | Inv  | Col ExpenseActualTotal</v>
      </c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49"/>
      <c r="AB76" s="49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</row>
    <row r="77" spans="1:54" ht="15.75" customHeight="1">
      <c r="A77" s="9"/>
      <c r="B77" s="5" t="str">
        <v>1 Bolt Ave_Tracker.xlsx</v>
      </c>
      <c r="C77" s="5" t="str">
        <v>Travel</v>
      </c>
      <c r="D77" s="115">
        <v>0</v>
      </c>
      <c r="E77" s="83">
        <v>46081</v>
      </c>
      <c r="F77" s="5">
        <v>500</v>
      </c>
      <c r="G77" s="5" t="str">
        <v>Outstanding</v>
      </c>
      <c r="H77" s="5" t="str">
        <v>1 Bolt Ave_Tracker.xlsx | Table row 141 | Travel | Inv  | Col ExpenseActualTotal</v>
      </c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49"/>
      <c r="AB77" s="49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</row>
    <row r="78" spans="1:54" ht="15.75" customHeight="1">
      <c r="A78" s="9"/>
      <c r="B78" s="185" t="str">
        <v>7th Avenue Park_Tracker.xlsx</v>
      </c>
      <c r="C78" s="5" t="str">
        <v>Revenue Grade Meter</v>
      </c>
      <c r="D78" s="116">
        <v>0</v>
      </c>
      <c r="E78" s="83">
        <v>46081</v>
      </c>
      <c r="F78" s="5">
        <v>15000</v>
      </c>
      <c r="G78" s="5" t="str">
        <v>Outstanding</v>
      </c>
      <c r="H78" s="5" t="str">
        <v>7th Avenue Park_Tracker.xlsx | Table row 46 | Revenue Grade Meter | Inv  | Col ExpenseActualTotal</v>
      </c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49"/>
      <c r="AB78" s="49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</row>
    <row r="79" spans="1:54" ht="15.75" customHeight="1">
      <c r="A79" s="9"/>
      <c r="B79" s="185" t="str">
        <v>7th Avenue Park_Tracker.xlsx</v>
      </c>
      <c r="C79" s="5" t="str">
        <v>PVDB</v>
      </c>
      <c r="D79" s="116">
        <v>0</v>
      </c>
      <c r="E79" s="83">
        <v>46081</v>
      </c>
      <c r="F79" s="51">
        <v>89859.36</v>
      </c>
      <c r="G79" s="5" t="str">
        <v>Outstanding</v>
      </c>
      <c r="H79" s="51" t="str">
        <v>7th Avenue Park_Tracker.xlsx | Table row 53 | PVDB | Inv  | Col ExpenseActualTotal</v>
      </c>
      <c r="I79" s="5"/>
      <c r="J79" s="51"/>
      <c r="K79" s="5"/>
      <c r="L79" s="51"/>
      <c r="M79" s="5"/>
      <c r="N79" s="51"/>
      <c r="O79" s="5"/>
      <c r="P79" s="51"/>
      <c r="Q79" s="5"/>
      <c r="R79" s="51"/>
      <c r="S79" s="5"/>
      <c r="T79" s="51"/>
      <c r="U79" s="5"/>
      <c r="V79" s="51"/>
      <c r="W79" s="5"/>
      <c r="X79" s="51"/>
      <c r="Y79" s="5"/>
      <c r="Z79" s="5"/>
      <c r="AA79" s="49"/>
      <c r="AB79" s="49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</row>
    <row r="80" spans="1:54" ht="15.75" customHeight="1">
      <c r="A80" s="9"/>
      <c r="B80" s="185" t="str">
        <v>7th Avenue Park_Tracker.xlsx</v>
      </c>
      <c r="C80" s="5" t="str">
        <v>Balance refundable to EE by Hi-Safe</v>
      </c>
      <c r="D80" s="116">
        <v>0</v>
      </c>
      <c r="E80" s="83">
        <v>46081</v>
      </c>
      <c r="F80" s="51">
        <v>-2604.9000000000015</v>
      </c>
      <c r="G80" s="5" t="str">
        <v>Outstanding</v>
      </c>
      <c r="H80" s="51" t="str">
        <v>7th Avenue Park_Tracker.xlsx | Table row 82 | Balance refundable to EE by Hi-Safe | Inv  | Col ExpenseActualTotal</v>
      </c>
      <c r="I80" s="5"/>
      <c r="J80" s="51"/>
      <c r="K80" s="5"/>
      <c r="L80" s="51"/>
      <c r="M80" s="5"/>
      <c r="N80" s="51"/>
      <c r="O80" s="5"/>
      <c r="P80" s="51"/>
      <c r="Q80" s="5"/>
      <c r="R80" s="51"/>
      <c r="S80" s="5"/>
      <c r="T80" s="51"/>
      <c r="U80" s="5"/>
      <c r="V80" s="51"/>
      <c r="W80" s="5"/>
      <c r="X80" s="51"/>
      <c r="Y80" s="5"/>
      <c r="Z80" s="5"/>
      <c r="AA80" s="49"/>
      <c r="AB80" s="49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</row>
    <row r="81" spans="1:54" ht="15.75" customHeight="1">
      <c r="A81" s="9"/>
      <c r="B81" s="185" t="str">
        <v>7th Avenue Park_Tracker.xlsx</v>
      </c>
      <c r="C81" s="5" t="str">
        <v>Travel</v>
      </c>
      <c r="D81" s="116">
        <v>0</v>
      </c>
      <c r="E81" s="83">
        <v>46081</v>
      </c>
      <c r="F81" s="51">
        <v>481.25</v>
      </c>
      <c r="G81" s="5" t="str">
        <v>Outstanding</v>
      </c>
      <c r="H81" s="51" t="str">
        <v>7th Avenue Park_Tracker.xlsx | Table row 136 | Travel | Inv  | Col ExpenseActualTotal</v>
      </c>
      <c r="I81" s="5"/>
      <c r="J81" s="51"/>
      <c r="K81" s="5"/>
      <c r="L81" s="51"/>
      <c r="M81" s="5"/>
      <c r="N81" s="51"/>
      <c r="O81" s="5"/>
      <c r="P81" s="51"/>
      <c r="Q81" s="5"/>
      <c r="R81" s="51"/>
      <c r="S81" s="5"/>
      <c r="T81" s="51"/>
      <c r="U81" s="5"/>
      <c r="V81" s="51"/>
      <c r="W81" s="5"/>
      <c r="X81" s="51"/>
      <c r="Y81" s="5"/>
      <c r="Z81" s="5"/>
      <c r="AA81" s="49"/>
      <c r="AB81" s="49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</row>
    <row r="82" spans="1:54" ht="15.75" customHeight="1">
      <c r="A82" s="9"/>
      <c r="B82" s="185" t="str">
        <v>Blackheath Park_Tracker.xlsx</v>
      </c>
      <c r="C82" s="5" t="str">
        <v>Matriarch Defects Period - 1.25%</v>
      </c>
      <c r="D82" s="116">
        <v>0</v>
      </c>
      <c r="E82" s="83">
        <v>46081</v>
      </c>
      <c r="F82" s="51">
        <v>79441.873960413388</v>
      </c>
      <c r="G82" s="5" t="str">
        <v>Outstanding</v>
      </c>
      <c r="H82" s="51" t="str">
        <v>Blackheath Park_Tracker.xlsx | Table row 142 | Matriarch Defects Period - 1.25% | Inv  | Col ExpenseActualTotal</v>
      </c>
      <c r="I82" s="5"/>
      <c r="J82" s="51"/>
      <c r="K82" s="5"/>
      <c r="L82" s="51"/>
      <c r="M82" s="5"/>
      <c r="N82" s="51"/>
      <c r="O82" s="5"/>
      <c r="P82" s="51"/>
      <c r="Q82" s="5"/>
      <c r="R82" s="51"/>
      <c r="S82" s="5"/>
      <c r="T82" s="51"/>
      <c r="U82" s="5"/>
      <c r="V82" s="51"/>
      <c r="W82" s="5"/>
      <c r="X82" s="51"/>
      <c r="Y82" s="5"/>
      <c r="Z82" s="5"/>
      <c r="AA82" s="49"/>
      <c r="AB82" s="49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</row>
    <row r="83" spans="1:54" ht="15.75" customHeight="1">
      <c r="A83" s="9"/>
      <c r="B83" s="185" t="str">
        <v>Blackheath Park_Tracker.xlsx</v>
      </c>
      <c r="C83" s="5" t="str">
        <v>Travel</v>
      </c>
      <c r="D83" s="116">
        <v>0</v>
      </c>
      <c r="E83" s="83">
        <v>46081</v>
      </c>
      <c r="F83" s="51">
        <v>500</v>
      </c>
      <c r="G83" s="5" t="str">
        <v>Outstanding</v>
      </c>
      <c r="H83" s="51" t="str">
        <v>Blackheath Park_Tracker.xlsx | Table row 157 | Travel | Inv  | Col ExpenseActualTotal</v>
      </c>
      <c r="I83" s="5"/>
      <c r="J83" s="51"/>
      <c r="K83" s="5"/>
      <c r="L83" s="51"/>
      <c r="M83" s="5"/>
      <c r="N83" s="51"/>
      <c r="O83" s="5"/>
      <c r="P83" s="51"/>
      <c r="Q83" s="5"/>
      <c r="R83" s="51"/>
      <c r="S83" s="5"/>
      <c r="T83" s="51"/>
      <c r="U83" s="5"/>
      <c r="V83" s="51"/>
      <c r="W83" s="5"/>
      <c r="X83" s="51"/>
      <c r="Y83" s="5"/>
      <c r="Z83" s="5"/>
      <c r="AA83" s="49"/>
      <c r="AB83" s="49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</row>
    <row r="84" spans="1:54" ht="15.75" customHeight="1">
      <c r="A84" s="9"/>
      <c r="B84" s="185" t="str">
        <v>BMG Fluid Tech_Tracker.xlsx</v>
      </c>
      <c r="C84" s="5" t="str">
        <v>End of Defects Period</v>
      </c>
      <c r="D84" s="116">
        <v>0</v>
      </c>
      <c r="E84" s="83">
        <v>46081</v>
      </c>
      <c r="F84" s="51">
        <v>11016</v>
      </c>
      <c r="G84" s="5" t="str">
        <v>Outstanding</v>
      </c>
      <c r="H84" s="51" t="str">
        <v>BMG Fluid Tech_Tracker.xlsx | Table row 125 | End of Defects Period | Inv  | Col ExpenseActualTotal</v>
      </c>
      <c r="I84" s="5"/>
      <c r="J84" s="51"/>
      <c r="K84" s="5"/>
      <c r="L84" s="51"/>
      <c r="M84" s="5"/>
      <c r="N84" s="51"/>
      <c r="O84" s="5"/>
      <c r="P84" s="51"/>
      <c r="Q84" s="5"/>
      <c r="R84" s="51"/>
      <c r="S84" s="5"/>
      <c r="T84" s="51"/>
      <c r="U84" s="5"/>
      <c r="V84" s="51"/>
      <c r="W84" s="5"/>
      <c r="X84" s="51"/>
      <c r="Y84" s="5"/>
      <c r="Z84" s="5"/>
      <c r="AA84" s="49"/>
      <c r="AB84" s="49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</row>
    <row r="85" spans="1:54" ht="15.75" customHeight="1">
      <c r="B85" s="185" t="str">
        <v>BMG Fluid Tech_Tracker.xlsx</v>
      </c>
      <c r="C85" s="5" t="str">
        <v>Matriarch Defects Period - 1.25%</v>
      </c>
      <c r="D85" s="116">
        <v>0</v>
      </c>
      <c r="E85" s="83">
        <v>46081</v>
      </c>
      <c r="F85" s="51">
        <v>49800.865598008757</v>
      </c>
      <c r="G85" s="5" t="str">
        <v>Outstanding</v>
      </c>
      <c r="H85" s="51" t="str">
        <v>BMG Fluid Tech_Tracker.xlsx | Table row 155 | Matriarch Defects Period - 1.25% | Inv  | Col ExpenseActualTotal</v>
      </c>
      <c r="I85" s="5"/>
      <c r="J85" s="51"/>
      <c r="K85" s="5"/>
      <c r="L85" s="51"/>
      <c r="M85" s="5"/>
      <c r="N85" s="51"/>
      <c r="O85" s="5"/>
      <c r="P85" s="51"/>
      <c r="Q85" s="5"/>
      <c r="R85" s="51"/>
      <c r="S85" s="5"/>
      <c r="T85" s="51"/>
      <c r="U85" s="5"/>
      <c r="V85" s="51"/>
      <c r="W85" s="5"/>
      <c r="X85" s="51"/>
      <c r="Y85" s="5"/>
      <c r="Z85" s="5"/>
      <c r="AA85" s="49"/>
      <c r="AB85" s="49"/>
      <c r="AC85" s="5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</row>
    <row r="86" spans="1:54" ht="15.75" customHeight="1">
      <c r="A86" s="9"/>
      <c r="B86" s="185" t="str">
        <v>BMG Fluid Tech_Tracker.xlsx</v>
      </c>
      <c r="C86" s="5" t="str">
        <v>Travel</v>
      </c>
      <c r="D86" s="116">
        <v>0</v>
      </c>
      <c r="E86" s="83">
        <v>46081</v>
      </c>
      <c r="F86" s="51">
        <v>500</v>
      </c>
      <c r="G86" s="5" t="str">
        <v>Outstanding</v>
      </c>
      <c r="H86" s="51" t="str">
        <v>BMG Fluid Tech_Tracker.xlsx | Table row 173 | Travel | Inv  | Col ExpenseActualTotal</v>
      </c>
      <c r="I86" s="5"/>
      <c r="J86" s="51"/>
      <c r="K86" s="5"/>
      <c r="L86" s="51"/>
      <c r="M86" s="5"/>
      <c r="N86" s="51"/>
      <c r="O86" s="5"/>
      <c r="P86" s="51"/>
      <c r="Q86" s="5"/>
      <c r="R86" s="51"/>
      <c r="S86" s="5"/>
      <c r="T86" s="51"/>
      <c r="U86" s="5"/>
      <c r="V86" s="51"/>
      <c r="W86" s="5"/>
      <c r="X86" s="51"/>
      <c r="Y86" s="5"/>
      <c r="Z86" s="5"/>
      <c r="AA86" s="49"/>
      <c r="AB86" s="49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</row>
    <row r="87" spans="1:54" ht="15.75" customHeight="1">
      <c r="B87" s="185" t="str">
        <v>Boundary Terraces_Tracker.xlsx</v>
      </c>
      <c r="C87" s="5" t="str">
        <v>RMA - SWB - ABB XT5N 400A TP MCCB</v>
      </c>
      <c r="D87" s="116">
        <v>0</v>
      </c>
      <c r="E87" s="83">
        <v>46081</v>
      </c>
      <c r="F87" s="51">
        <v>-10499.85</v>
      </c>
      <c r="G87" s="5" t="str">
        <v>Outstanding</v>
      </c>
      <c r="H87" s="51" t="str">
        <v>Boundary Terraces_Tracker.xlsx | Table row 58 | RMA - SWB - ABB XT5N 400A TP MCCB | Inv  | Col ExpenseActualTotal</v>
      </c>
      <c r="I87" s="5"/>
      <c r="J87" s="51"/>
      <c r="K87" s="5"/>
      <c r="L87" s="51"/>
      <c r="M87" s="5"/>
      <c r="N87" s="51"/>
      <c r="O87" s="5"/>
      <c r="P87" s="51"/>
      <c r="Q87" s="5"/>
      <c r="R87" s="51"/>
      <c r="S87" s="5"/>
      <c r="T87" s="51"/>
      <c r="U87" s="5"/>
      <c r="V87" s="51"/>
      <c r="W87" s="5"/>
      <c r="X87" s="51"/>
      <c r="Y87" s="5"/>
      <c r="Z87" s="5"/>
      <c r="AA87" s="49"/>
      <c r="AB87" s="49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</row>
    <row r="88" spans="1:54" ht="15.75" customHeight="1">
      <c r="B88" s="185" t="str">
        <v>Coega Steels Ph2_Tracker.xlsx</v>
      </c>
      <c r="C88" s="5" t="str">
        <v>Waterpoints - Ground Mount &amp; Roof</v>
      </c>
      <c r="D88" s="116">
        <v>0</v>
      </c>
      <c r="E88" s="83">
        <v>46081</v>
      </c>
      <c r="F88" s="51">
        <v>50000</v>
      </c>
      <c r="G88" s="5" t="str">
        <v>Outstanding</v>
      </c>
      <c r="H88" s="51" t="str">
        <v>Coega Steels Ph2_Tracker.xlsx | Table row 177 | Waterpoints - Ground Mount &amp; Roof | Inv  | Col ExpenseActualTotal</v>
      </c>
      <c r="I88" s="5"/>
      <c r="J88" s="51"/>
      <c r="K88" s="5"/>
      <c r="L88" s="51"/>
      <c r="M88" s="5"/>
      <c r="N88" s="51"/>
      <c r="O88" s="5"/>
      <c r="P88" s="51"/>
      <c r="Q88" s="5"/>
      <c r="R88" s="51"/>
      <c r="S88" s="5"/>
      <c r="T88" s="51"/>
      <c r="U88" s="5"/>
      <c r="V88" s="51"/>
      <c r="W88" s="5"/>
      <c r="X88" s="51"/>
      <c r="Y88" s="5"/>
      <c r="Z88" s="5"/>
      <c r="AA88" s="49"/>
      <c r="AB88" s="49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</row>
    <row r="89" spans="1:54" ht="15.75" customHeight="1">
      <c r="B89" s="185" t="str">
        <v>Coega Steels Ph2_Tracker.xlsx</v>
      </c>
      <c r="C89" s="5" t="str">
        <v>Electrical PrEng sign off</v>
      </c>
      <c r="D89" s="116">
        <v>0</v>
      </c>
      <c r="E89" s="83">
        <v>46081</v>
      </c>
      <c r="F89" s="51">
        <v>236000</v>
      </c>
      <c r="G89" s="5" t="str">
        <v>Outstanding</v>
      </c>
      <c r="H89" s="51" t="str">
        <v>Coega Steels Ph2_Tracker.xlsx | Table row 283 | Electrical PrEng sign off | Inv  | Col ExpenseActualTotal</v>
      </c>
      <c r="I89" s="5"/>
      <c r="J89" s="51"/>
      <c r="K89" s="5"/>
      <c r="L89" s="51"/>
      <c r="M89" s="5"/>
      <c r="N89" s="51"/>
      <c r="O89" s="5"/>
      <c r="P89" s="51"/>
      <c r="Q89" s="5"/>
      <c r="R89" s="51"/>
      <c r="S89" s="5"/>
      <c r="T89" s="51"/>
      <c r="U89" s="5"/>
      <c r="V89" s="51"/>
      <c r="W89" s="5"/>
      <c r="X89" s="51"/>
      <c r="Y89" s="5"/>
      <c r="Z89" s="5"/>
      <c r="AA89" s="49"/>
      <c r="AB89" s="49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</row>
    <row r="90" spans="1:54" ht="15.75" customHeight="1">
      <c r="B90" s="185" t="str">
        <v>Coega Steels Ph2_Tracker.xlsx</v>
      </c>
      <c r="C90" s="5" t="str">
        <v>Red Team Inspection - Dec - 1</v>
      </c>
      <c r="D90" s="116">
        <v>0</v>
      </c>
      <c r="E90" s="83">
        <v>46081</v>
      </c>
      <c r="F90" s="51">
        <v>8000</v>
      </c>
      <c r="G90" s="5" t="str">
        <v>Outstanding</v>
      </c>
      <c r="H90" s="5" t="str">
        <v>Coega Steels Ph2_Tracker.xlsx | Table row 295 | Red Team Inspection - Dec - 1 | Inv  | Col ExpenseActualTotal</v>
      </c>
      <c r="I90" s="5"/>
      <c r="J90" s="51"/>
      <c r="K90" s="5"/>
      <c r="L90" s="51"/>
      <c r="M90" s="5"/>
      <c r="N90" s="51"/>
      <c r="O90" s="5"/>
      <c r="P90" s="51"/>
      <c r="Q90" s="5"/>
      <c r="R90" s="51"/>
      <c r="S90" s="5"/>
      <c r="T90" s="51"/>
      <c r="U90" s="5"/>
      <c r="V90" s="51"/>
      <c r="W90" s="5"/>
      <c r="X90" s="51"/>
      <c r="Y90" s="5"/>
      <c r="Z90" s="5"/>
      <c r="AA90" s="49"/>
      <c r="AB90" s="49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</row>
    <row r="91" spans="1:54" ht="15.75" customHeight="1">
      <c r="B91" s="185" t="str">
        <v>Coega Steels Ph2_Tracker.xlsx</v>
      </c>
      <c r="C91" s="5" t="str">
        <v>Red Team Inspection - Dec - 2</v>
      </c>
      <c r="D91" s="116">
        <v>0</v>
      </c>
      <c r="E91" s="83">
        <v>46081</v>
      </c>
      <c r="F91" s="51">
        <v>8000</v>
      </c>
      <c r="G91" s="5" t="str">
        <v>Outstanding</v>
      </c>
      <c r="H91" s="51" t="str">
        <v>Coega Steels Ph2_Tracker.xlsx | Table row 296 | Red Team Inspection - Dec - 2 | Inv  | Col ExpenseActualTotal</v>
      </c>
      <c r="I91" s="5"/>
      <c r="J91" s="51"/>
      <c r="K91" s="5"/>
      <c r="L91" s="51"/>
      <c r="M91" s="5"/>
      <c r="N91" s="51"/>
      <c r="O91" s="5"/>
      <c r="P91" s="51"/>
      <c r="Q91" s="5"/>
      <c r="R91" s="51"/>
      <c r="S91" s="5"/>
      <c r="T91" s="51"/>
      <c r="U91" s="5"/>
      <c r="V91" s="51"/>
      <c r="W91" s="5"/>
      <c r="X91" s="51"/>
      <c r="Y91" s="5"/>
      <c r="Z91" s="5"/>
      <c r="AA91" s="49"/>
      <c r="AB91" s="49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</row>
    <row r="92" spans="1:54" ht="15.75" customHeight="1">
      <c r="B92" s="185" t="str">
        <v>Coega Steels Ph2_Tracker.xlsx</v>
      </c>
      <c r="C92" s="5" t="str">
        <v>Performance Guarantee</v>
      </c>
      <c r="D92" s="116">
        <v>0</v>
      </c>
      <c r="E92" s="83">
        <v>46081</v>
      </c>
      <c r="F92" s="51">
        <v>1011275</v>
      </c>
      <c r="G92" s="5" t="str">
        <v>Outstanding</v>
      </c>
      <c r="H92" s="51" t="str">
        <v>Coega Steels Ph2_Tracker.xlsx | Table row 301 | Performance Guarantee | Inv  | Col ExpenseActualTotal</v>
      </c>
      <c r="I92" s="5"/>
      <c r="J92" s="51"/>
      <c r="K92" s="5"/>
      <c r="L92" s="51"/>
      <c r="M92" s="5"/>
      <c r="N92" s="51"/>
      <c r="O92" s="5"/>
      <c r="P92" s="51"/>
      <c r="Q92" s="5"/>
      <c r="R92" s="51"/>
      <c r="S92" s="5"/>
      <c r="T92" s="51"/>
      <c r="U92" s="5"/>
      <c r="V92" s="51"/>
      <c r="W92" s="5"/>
      <c r="X92" s="51"/>
      <c r="Y92" s="5"/>
      <c r="Z92" s="5"/>
      <c r="AA92" s="49"/>
      <c r="AB92" s="49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</row>
    <row r="93" spans="1:54" ht="15.75" customHeight="1">
      <c r="B93" s="185" t="str">
        <v>Coega Steels Ph2_Tracker.xlsx</v>
      </c>
      <c r="C93" s="5" t="str">
        <v>Travel</v>
      </c>
      <c r="D93" s="116">
        <v>0</v>
      </c>
      <c r="E93" s="83">
        <v>46081</v>
      </c>
      <c r="F93" s="51">
        <v>30662.5</v>
      </c>
      <c r="G93" s="5" t="str">
        <v>Outstanding</v>
      </c>
      <c r="H93" s="51" t="str">
        <v>Coega Steels Ph2_Tracker.xlsx | Table row 320 | Travel | Inv  | Col ExpenseActualTotal</v>
      </c>
      <c r="I93" s="5"/>
      <c r="J93" s="51"/>
      <c r="K93" s="5"/>
      <c r="L93" s="51"/>
      <c r="M93" s="5"/>
      <c r="N93" s="51"/>
      <c r="O93" s="5"/>
      <c r="P93" s="51"/>
      <c r="Q93" s="5"/>
      <c r="R93" s="51"/>
      <c r="S93" s="5"/>
      <c r="T93" s="51"/>
      <c r="U93" s="5"/>
      <c r="V93" s="51"/>
      <c r="W93" s="5"/>
      <c r="X93" s="51"/>
      <c r="Y93" s="5"/>
      <c r="Z93" s="5"/>
      <c r="AA93" s="49"/>
      <c r="AB93" s="49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</row>
    <row r="94" spans="1:54" ht="15.75" customHeight="1">
      <c r="B94" s="186" t="str">
        <v>Coega Steels Ph2_Tracker.xlsx</v>
      </c>
      <c r="C94" s="5" t="str">
        <v>5000L Water</v>
      </c>
      <c r="D94" s="117">
        <v>0</v>
      </c>
      <c r="E94" s="83">
        <v>46081</v>
      </c>
      <c r="F94" s="51">
        <v>1200</v>
      </c>
      <c r="G94" s="5" t="str">
        <v>Outstanding</v>
      </c>
      <c r="H94" s="56" t="str">
        <v>Coega Steels Ph2_Tracker.xlsx | Table row 351 | 5000L Water | Inv  | Col ExpenseActualTotal</v>
      </c>
      <c r="I94" s="5"/>
      <c r="J94" s="56"/>
      <c r="K94" s="5"/>
      <c r="L94" s="56"/>
      <c r="M94" s="5"/>
      <c r="N94" s="56"/>
      <c r="O94" s="5"/>
      <c r="P94" s="56"/>
      <c r="Q94" s="5"/>
      <c r="R94" s="56"/>
      <c r="S94" s="5"/>
      <c r="T94" s="56"/>
      <c r="U94" s="5"/>
      <c r="V94" s="56"/>
      <c r="W94" s="5"/>
      <c r="X94" s="56"/>
      <c r="Y94" s="5"/>
      <c r="Z94" s="5"/>
      <c r="AA94" s="49"/>
      <c r="AB94" s="49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</row>
    <row r="95" spans="1:54" ht="15.75" customHeight="1">
      <c r="B95" s="187" t="str">
        <v>Coega Steels Ph2_Tracker.xlsx</v>
      </c>
      <c r="C95" s="5" t="str">
        <v>5000L Water</v>
      </c>
      <c r="D95" s="117">
        <v>0</v>
      </c>
      <c r="E95" s="83">
        <v>46081</v>
      </c>
      <c r="F95" s="51">
        <v>1200</v>
      </c>
      <c r="G95" s="5" t="str">
        <v>Outstanding</v>
      </c>
      <c r="H95" s="56" t="str">
        <v>Coega Steels Ph2_Tracker.xlsx | Table row 352 | 5000L Water | Inv  | Col ExpenseActualTotal</v>
      </c>
      <c r="I95" s="5"/>
      <c r="J95" s="56"/>
      <c r="K95" s="5"/>
      <c r="L95" s="56"/>
      <c r="M95" s="5"/>
      <c r="N95" s="56"/>
      <c r="O95" s="5"/>
      <c r="P95" s="56"/>
      <c r="Q95" s="5"/>
      <c r="R95" s="56"/>
      <c r="S95" s="5"/>
      <c r="T95" s="56"/>
      <c r="U95" s="5"/>
      <c r="V95" s="56"/>
      <c r="W95" s="5"/>
      <c r="X95" s="56"/>
      <c r="Y95" s="5"/>
      <c r="Z95" s="5"/>
      <c r="AA95" s="49"/>
      <c r="AB95" s="49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</row>
    <row r="96" spans="1:54" ht="15.75" customHeight="1">
      <c r="B96" s="188" t="str">
        <v>Coega Steels Ph2_Tracker.xlsx</v>
      </c>
      <c r="C96" s="5" t="str">
        <v>Delay Damages</v>
      </c>
      <c r="D96" s="184">
        <v>0</v>
      </c>
      <c r="E96" s="83">
        <v>46081</v>
      </c>
      <c r="F96" s="5">
        <v>1151150.17</v>
      </c>
      <c r="G96" s="5" t="str">
        <v>Outstanding</v>
      </c>
      <c r="H96" s="3" t="str">
        <v>Coega Steels Ph2_Tracker.xlsx | Table row 357 | Delay Damages | Inv  | Col ExpenseActualTotal</v>
      </c>
      <c r="I96" s="5"/>
      <c r="J96" s="3"/>
      <c r="K96" s="5"/>
      <c r="L96" s="3"/>
      <c r="M96" s="5"/>
      <c r="N96" s="3"/>
      <c r="O96" s="5"/>
      <c r="P96" s="3"/>
      <c r="Q96" s="5"/>
      <c r="R96" s="3"/>
      <c r="S96" s="5"/>
      <c r="T96" s="3"/>
      <c r="U96" s="5"/>
      <c r="V96" s="3"/>
      <c r="W96" s="5"/>
      <c r="X96" s="3"/>
      <c r="Y96" s="5"/>
      <c r="Z96" s="5"/>
      <c r="AA96" s="49"/>
      <c r="AB96" s="49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</row>
    <row r="97" spans="1:54" ht="15.75" customHeight="1">
      <c r="B97" s="188" t="str">
        <v>De Drift_Tracker.xlsx</v>
      </c>
      <c r="C97" s="5" t="str">
        <v>Travel</v>
      </c>
      <c r="D97" s="184">
        <v>0</v>
      </c>
      <c r="E97" s="83">
        <v>46081</v>
      </c>
      <c r="F97" s="5">
        <v>3500</v>
      </c>
      <c r="G97" s="5" t="str">
        <v>Outstanding</v>
      </c>
      <c r="H97" s="3" t="str">
        <v>De Drift_Tracker.xlsx | Table row 134 | Travel | Inv  | Col ExpenseActualTotal</v>
      </c>
      <c r="I97" s="5"/>
      <c r="J97" s="3"/>
      <c r="K97" s="5"/>
      <c r="L97" s="3"/>
      <c r="M97" s="5"/>
      <c r="N97" s="3"/>
      <c r="O97" s="5"/>
      <c r="P97" s="3"/>
      <c r="Q97" s="5"/>
      <c r="R97" s="3"/>
      <c r="S97" s="5"/>
      <c r="T97" s="3"/>
      <c r="U97" s="5"/>
      <c r="V97" s="3"/>
      <c r="W97" s="5"/>
      <c r="X97" s="3"/>
      <c r="Y97" s="5"/>
      <c r="Z97" s="5"/>
      <c r="AA97" s="49"/>
      <c r="AB97" s="49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</row>
    <row r="98" spans="1:54" ht="15.75" customHeight="1">
      <c r="B98" s="337" t="str">
        <v>Dobsonpoint_Tracker.xlsx</v>
      </c>
      <c r="C98" s="64" t="str">
        <v>Matriarch Defects Period - 1.25%</v>
      </c>
      <c r="D98" s="184">
        <v>0</v>
      </c>
      <c r="E98" s="50">
        <v>46081</v>
      </c>
      <c r="F98" s="112">
        <v>48677.596038628755</v>
      </c>
      <c r="G98" s="64" t="str">
        <v>Outstanding</v>
      </c>
      <c r="H98" s="64" t="str">
        <v>Dobsonpoint_Tracker.xlsx | Table row 138 | Matriarch Defects Period - 1.25% | Inv  | Col ExpenseActualTotal</v>
      </c>
      <c r="I98" s="64"/>
      <c r="J98" s="64"/>
      <c r="K98" s="64"/>
      <c r="L98" s="64"/>
      <c r="M98" s="64"/>
      <c r="N98" s="64"/>
      <c r="O98" s="64"/>
      <c r="P98" s="64"/>
      <c r="Q98" s="64"/>
      <c r="R98" s="64"/>
      <c r="S98" s="64"/>
      <c r="T98" s="338"/>
      <c r="U98" s="64"/>
      <c r="V98" s="338"/>
      <c r="W98" s="64"/>
      <c r="X98" s="338"/>
      <c r="Y98" s="64"/>
      <c r="Z98" s="64"/>
      <c r="AA98" s="71"/>
      <c r="AC98" s="112"/>
      <c r="AD98" s="112"/>
      <c r="AE98" s="112"/>
      <c r="AF98" s="112"/>
      <c r="AG98" s="112"/>
      <c r="AH98" s="112"/>
      <c r="AI98" s="112"/>
      <c r="AJ98" s="112"/>
      <c r="AK98" s="112"/>
      <c r="AL98" s="112"/>
      <c r="AM98" s="112"/>
      <c r="AN98" s="112"/>
      <c r="AO98" s="112"/>
      <c r="AP98" s="112"/>
      <c r="AQ98" s="112"/>
      <c r="AR98" s="112"/>
      <c r="AS98" s="112"/>
      <c r="AT98" s="112"/>
      <c r="AU98" s="112"/>
      <c r="AV98" s="112"/>
      <c r="AW98" s="112"/>
      <c r="AX98" s="112"/>
      <c r="AY98" s="112"/>
      <c r="AZ98" s="112"/>
      <c r="BA98" s="112"/>
      <c r="BB98" s="112"/>
    </row>
    <row r="99" spans="1:54" ht="15.75" customHeight="1">
      <c r="B99" s="187" t="str">
        <v>FY 2026 Adhoc_Tracker.xlsx</v>
      </c>
      <c r="C99" s="52" t="str">
        <v>Router</v>
      </c>
      <c r="D99" s="184">
        <v>0</v>
      </c>
      <c r="E99" s="50">
        <v>46081</v>
      </c>
      <c r="F99" s="5">
        <v>2500</v>
      </c>
      <c r="G99" s="52" t="str">
        <v>Outstanding</v>
      </c>
      <c r="H99" s="63" t="str">
        <v>FY 2026 Adhoc_Tracker.xlsx | Table row 6 | Router | Inv  | Col ExpenseActualTotal</v>
      </c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</row>
    <row r="100" spans="1:54" ht="15.75" customHeight="1">
      <c r="A100" s="57"/>
      <c r="B100" s="185" t="str">
        <v>Gezina Galleries_Tracker.xlsx</v>
      </c>
      <c r="C100" s="52" t="str">
        <v>Red Team Inspection</v>
      </c>
      <c r="D100" s="116">
        <v>0</v>
      </c>
      <c r="E100" s="83">
        <v>46081</v>
      </c>
      <c r="F100" s="5">
        <v>8000</v>
      </c>
      <c r="G100" s="5" t="str">
        <v>Outstanding</v>
      </c>
      <c r="H100" s="5" t="str">
        <v>Gezina Galleries_Tracker.xlsx | Table row 129 | Red Team Inspection | Inv  | Col ExpenseActualTotal</v>
      </c>
      <c r="I100" s="5"/>
      <c r="J100" s="5"/>
      <c r="K100" s="64"/>
      <c r="L100" s="5"/>
      <c r="M100" s="64"/>
      <c r="N100" s="5"/>
      <c r="O100" s="64"/>
      <c r="P100" s="5"/>
      <c r="Q100" s="64"/>
      <c r="R100" s="5"/>
      <c r="S100" s="64"/>
      <c r="T100" s="5"/>
      <c r="U100" s="64"/>
      <c r="V100" s="5"/>
      <c r="W100" s="64"/>
      <c r="X100" s="5"/>
      <c r="Y100" s="64"/>
      <c r="Z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4" s="5" customFormat="1" ht="15.75" customHeight="1">
      <c r="B101" s="185" t="str">
        <v>Gezina Galleries_Tracker.xlsx</v>
      </c>
      <c r="C101" s="5" t="str">
        <v>Matriarch Defects Period - 1.25%</v>
      </c>
      <c r="D101" s="116">
        <v>0</v>
      </c>
      <c r="E101" s="83">
        <v>46081</v>
      </c>
      <c r="F101" s="5">
        <v>108660.607625</v>
      </c>
      <c r="G101" s="5" t="str">
        <v>Outstanding</v>
      </c>
      <c r="H101" s="5" t="str">
        <v>Gezina Galleries_Tracker.xlsx | Table row 134 | Matriarch Defects Period - 1.25% | Inv  | Col ExpenseActualTotal</v>
      </c>
    </row>
    <row r="102" spans="1:54" ht="15.75" customHeight="1">
      <c r="B102" s="189" t="str">
        <v>Gezina Galleries_Tracker.xlsx</v>
      </c>
      <c r="C102" s="52" t="str">
        <v>Travel</v>
      </c>
      <c r="D102" s="117">
        <v>0</v>
      </c>
      <c r="E102" s="50">
        <v>46081</v>
      </c>
      <c r="F102" s="5">
        <v>500</v>
      </c>
      <c r="G102" s="52" t="str">
        <v>Outstanding</v>
      </c>
      <c r="H102" s="66" t="str">
        <v>Gezina Galleries_Tracker.xlsx | Table row 152 | Travel | Inv  | Col ExpenseActualTotal</v>
      </c>
      <c r="J102" s="66"/>
      <c r="L102" s="66"/>
      <c r="N102" s="66"/>
      <c r="P102" s="66"/>
      <c r="R102" s="66"/>
      <c r="T102" s="67"/>
      <c r="U102" s="68"/>
      <c r="V102" s="69"/>
      <c r="W102" s="5"/>
      <c r="Z102" s="66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</row>
    <row r="103" spans="1:54" ht="15.75" customHeight="1">
      <c r="B103" s="187" t="str">
        <v>Mahikeng Builders Express_Tracker.xlsx</v>
      </c>
      <c r="C103" s="52" t="str">
        <v>End of Defects Period</v>
      </c>
      <c r="D103" s="184">
        <v>0</v>
      </c>
      <c r="E103" s="50">
        <v>46081</v>
      </c>
      <c r="F103" s="5">
        <v>5791.3460000000005</v>
      </c>
      <c r="G103" s="52" t="str">
        <v>Outstanding</v>
      </c>
      <c r="H103" s="52" t="str">
        <v>Mahikeng Builders Express_Tracker.xlsx | Table row 39 | End of Defects Period | Inv  | Col ExpenseActualTotal</v>
      </c>
      <c r="T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</row>
    <row r="104" spans="1:54" ht="15.75" customHeight="1">
      <c r="B104" s="185" t="str">
        <v>Mahikeng Builders Express_Tracker.xlsx</v>
      </c>
      <c r="C104" s="5" t="str">
        <v>End of Defects Period</v>
      </c>
      <c r="D104" s="116">
        <v>0</v>
      </c>
      <c r="E104" s="83">
        <v>46081</v>
      </c>
      <c r="F104" s="5">
        <v>19490.498000000003</v>
      </c>
      <c r="G104" s="5" t="str">
        <v>Outstanding</v>
      </c>
      <c r="H104" s="5" t="str">
        <v>Mahikeng Builders Express_Tracker.xlsx | Table row 66 | End of Defects Period | Inv  | Col ExpenseActualTotal</v>
      </c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49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</row>
    <row r="105" spans="1:54" ht="15.75" customHeight="1">
      <c r="B105" s="185" t="str">
        <v>Mahikeng Builders Express_Tracker.xlsx</v>
      </c>
      <c r="C105" s="5" t="str">
        <v>Enclosure Modification</v>
      </c>
      <c r="D105" s="116">
        <v>0</v>
      </c>
      <c r="E105" s="83">
        <v>46081</v>
      </c>
      <c r="F105" s="5">
        <v>6123</v>
      </c>
      <c r="G105" s="5" t="str">
        <v>Outstanding</v>
      </c>
      <c r="H105" s="5" t="str">
        <v>Mahikeng Builders Express_Tracker.xlsx | Table row 104 | Enclosure Modification | Inv  | Col ExpenseActualTotal</v>
      </c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</row>
    <row r="106" spans="1:54" ht="15.75" customHeight="1">
      <c r="B106" s="190" t="str">
        <v>Mahikeng Builders Express_Tracker.xlsx</v>
      </c>
      <c r="C106" s="70" t="str">
        <v>End of Defects Period</v>
      </c>
      <c r="D106" s="117">
        <v>0</v>
      </c>
      <c r="E106" s="84">
        <v>46081</v>
      </c>
      <c r="F106" s="5">
        <v>18066.7</v>
      </c>
      <c r="G106" s="70" t="str">
        <v>Outstanding</v>
      </c>
      <c r="H106" s="70" t="str">
        <v>Mahikeng Builders Express_Tracker.xlsx | Table row 122 | End of Defects Period | Inv  | Col ExpenseActualTotal</v>
      </c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49"/>
      <c r="AD106" s="70"/>
      <c r="AE106" s="70"/>
      <c r="AF106" s="70"/>
      <c r="AG106" s="70"/>
      <c r="AH106" s="70"/>
      <c r="AI106" s="70"/>
      <c r="AJ106" s="70"/>
      <c r="AK106" s="70"/>
      <c r="AL106" s="70"/>
      <c r="AM106" s="70"/>
      <c r="AN106" s="70"/>
      <c r="AO106" s="70"/>
      <c r="AP106" s="70"/>
      <c r="AQ106" s="70"/>
      <c r="AR106" s="70"/>
      <c r="AS106" s="70"/>
      <c r="AT106" s="70"/>
      <c r="AU106" s="70"/>
      <c r="AV106" s="70"/>
      <c r="AW106" s="70"/>
      <c r="AX106" s="70"/>
      <c r="AY106" s="70"/>
      <c r="AZ106" s="70"/>
      <c r="BA106" s="5"/>
      <c r="BB106" s="5"/>
    </row>
    <row r="107" spans="1:54" ht="15.75" customHeight="1">
      <c r="B107" s="190" t="str">
        <v>Mahikeng Builders Express_Tracker.xlsx</v>
      </c>
      <c r="C107" s="52" t="str">
        <v>End of Defects Period</v>
      </c>
      <c r="D107" s="117">
        <v>0</v>
      </c>
      <c r="E107" s="50">
        <v>46081</v>
      </c>
      <c r="F107" s="5">
        <v>7407.53</v>
      </c>
      <c r="G107" s="52" t="str">
        <v>Outstanding</v>
      </c>
      <c r="H107" s="70" t="str">
        <v>Mahikeng Builders Express_Tracker.xlsx | Table row 138 | End of Defects Period | Inv  | Col ExpenseActualTotal</v>
      </c>
      <c r="J107" s="70"/>
      <c r="L107" s="70"/>
      <c r="N107" s="70"/>
      <c r="P107" s="70"/>
      <c r="R107" s="70"/>
      <c r="T107" s="70"/>
      <c r="V107" s="70"/>
      <c r="X107" s="70"/>
      <c r="AD107" s="70"/>
      <c r="AE107" s="70"/>
      <c r="AF107" s="70"/>
      <c r="AG107" s="70"/>
      <c r="AH107" s="70"/>
      <c r="AI107" s="70"/>
      <c r="AJ107" s="70"/>
      <c r="AK107" s="70"/>
      <c r="AL107" s="70"/>
      <c r="AN107" s="70"/>
      <c r="AO107" s="70"/>
      <c r="AP107" s="70"/>
      <c r="AQ107" s="70"/>
      <c r="AR107" s="70"/>
      <c r="AS107" s="70"/>
      <c r="AT107" s="70"/>
      <c r="AU107" s="70"/>
      <c r="AV107" s="70"/>
      <c r="AW107" s="70"/>
      <c r="AX107" s="70"/>
      <c r="AY107" s="70"/>
      <c r="AZ107" s="70"/>
      <c r="BA107" s="70"/>
      <c r="BB107" s="70"/>
    </row>
    <row r="108" spans="1:54" ht="15.75" customHeight="1">
      <c r="B108" s="187" t="str">
        <v>Mahikeng Builders Express_Tracker.xlsx</v>
      </c>
      <c r="C108" s="52" t="str">
        <v>Red Team Inspection</v>
      </c>
      <c r="D108" s="184">
        <v>0</v>
      </c>
      <c r="E108" s="50">
        <v>46081</v>
      </c>
      <c r="F108" s="352">
        <v>6000</v>
      </c>
      <c r="G108" s="64" t="str">
        <v>Outstanding</v>
      </c>
      <c r="H108" s="52" t="str">
        <v>Mahikeng Builders Express_Tracker.xlsx | Table row 146 | Red Team Inspection | Inv  | Col ExpenseActualTotal</v>
      </c>
      <c r="I108" s="112"/>
      <c r="J108" s="71"/>
      <c r="K108" s="339"/>
      <c r="L108" s="339"/>
    </row>
    <row r="109" spans="1:54" ht="15.75" customHeight="1">
      <c r="B109" s="187" t="str">
        <v>Mahikeng Builders Express_Tracker.xlsx</v>
      </c>
      <c r="C109" s="52" t="str">
        <v>Matriarch Defects Period - 1.25%</v>
      </c>
      <c r="D109" s="184">
        <v>0</v>
      </c>
      <c r="E109" s="50">
        <v>46081</v>
      </c>
      <c r="F109" s="5">
        <v>32269.137500000001</v>
      </c>
      <c r="G109" s="52" t="str">
        <v>Outstanding</v>
      </c>
      <c r="H109" s="52" t="str">
        <v>Mahikeng Builders Express_Tracker.xlsx | Table row 154 | Matriarch Defects Period - 1.25% | Inv  | Col ExpenseActualTotal</v>
      </c>
      <c r="I109" s="5"/>
    </row>
    <row r="110" spans="1:54" ht="15.75" customHeight="1">
      <c r="B110" s="191" t="str">
        <v>Mahikeng Builders Express_Tracker.xlsx</v>
      </c>
      <c r="C110" s="50" t="str">
        <v>Travel</v>
      </c>
      <c r="D110" s="184">
        <v>0</v>
      </c>
      <c r="E110" s="50">
        <v>46081</v>
      </c>
      <c r="F110" s="5">
        <v>3500</v>
      </c>
      <c r="G110" s="50" t="str">
        <v>Outstanding</v>
      </c>
      <c r="H110" s="50" t="str">
        <v>Mahikeng Builders Express_Tracker.xlsx | Table row 165 | Travel | Inv  | Col ExpenseActualTotal</v>
      </c>
      <c r="I110" s="50"/>
      <c r="J110" s="50"/>
      <c r="K110" s="50"/>
      <c r="L110" s="50"/>
      <c r="M110" s="50"/>
      <c r="T110" s="5"/>
      <c r="V110" s="5"/>
      <c r="X110" s="5"/>
      <c r="BB110" s="5"/>
    </row>
    <row r="111" spans="1:54" ht="15.75" customHeight="1">
      <c r="B111" s="192" t="str">
        <v>Mahikeng Builders Express_Tracker.xlsx</v>
      </c>
      <c r="C111" s="49" t="str">
        <v>Waterproofing - Client Cost</v>
      </c>
      <c r="D111" s="184">
        <v>0</v>
      </c>
      <c r="E111" s="50">
        <v>46081</v>
      </c>
      <c r="F111" s="5">
        <v>5450</v>
      </c>
      <c r="G111" s="49" t="str">
        <v>Outstanding</v>
      </c>
      <c r="H111" s="49" t="str">
        <v>Mahikeng Builders Express_Tracker.xlsx | Table row 178 | Waterproofing - Client Cost | Inv  | Col ExpenseActualTotal</v>
      </c>
      <c r="I111" s="72"/>
      <c r="J111" s="72"/>
      <c r="K111" s="72"/>
      <c r="L111" s="72"/>
      <c r="M111" s="72"/>
    </row>
    <row r="112" spans="1:54" ht="15.75" customHeight="1">
      <c r="B112" s="192" t="str">
        <v>Malvern Ph2_Tracker.xlsx</v>
      </c>
      <c r="C112" s="49" t="str">
        <v>Travel</v>
      </c>
      <c r="D112" s="184">
        <v>0</v>
      </c>
      <c r="E112" s="50">
        <v>46081</v>
      </c>
      <c r="F112" s="5">
        <v>500</v>
      </c>
      <c r="G112" s="49" t="str">
        <v>Outstanding</v>
      </c>
      <c r="H112" s="49" t="str">
        <v>Malvern Ph2_Tracker.xlsx | Table row 145 | Travel | Inv  | Col ExpenseActualTotal</v>
      </c>
      <c r="I112" s="49"/>
      <c r="J112" s="49"/>
      <c r="K112" s="49"/>
      <c r="L112" s="49"/>
      <c r="M112" s="49"/>
      <c r="N112" s="5"/>
      <c r="O112" s="5"/>
    </row>
    <row r="113" spans="2:21" ht="15.75" customHeight="1">
      <c r="B113" s="192" t="str">
        <v>Mayo Macs_Tracker.xlsx</v>
      </c>
      <c r="C113" s="49" t="str">
        <v>15. Service Add On</v>
      </c>
      <c r="D113" s="184">
        <v>0</v>
      </c>
      <c r="E113" s="50">
        <v>46081</v>
      </c>
      <c r="F113" s="5">
        <v>0.5</v>
      </c>
      <c r="G113" s="49" t="str">
        <v>Outstanding</v>
      </c>
      <c r="H113" s="49" t="str">
        <v>Mayo Macs_Tracker.xlsx | Table row 144 | 15. Service Add On | Inv  | Col ExpenseActualTotal</v>
      </c>
      <c r="I113" s="49"/>
      <c r="J113" s="49"/>
      <c r="K113" s="49"/>
      <c r="L113" s="49"/>
      <c r="M113" s="49"/>
      <c r="N113" s="73"/>
    </row>
    <row r="114" spans="2:21" ht="15.75" customHeight="1">
      <c r="B114" s="192" t="str">
        <v>Meraki Ph3_Tracker.xlsx</v>
      </c>
      <c r="C114" s="73" t="str">
        <v>RMA 100kW Inverter</v>
      </c>
      <c r="D114" s="184">
        <v>0</v>
      </c>
      <c r="E114" s="50">
        <v>46081</v>
      </c>
      <c r="F114" s="5">
        <v>-67440</v>
      </c>
      <c r="G114" s="73" t="str">
        <v>Outstanding</v>
      </c>
      <c r="H114" s="73" t="str">
        <v>Meraki Ph3_Tracker.xlsx | Table row 17 | RMA 100kW Inverter | Inv  | Col ExpenseActualTotal</v>
      </c>
      <c r="I114" s="73"/>
      <c r="J114" s="73"/>
      <c r="K114" s="73"/>
      <c r="L114" s="73"/>
      <c r="M114" s="73"/>
      <c r="N114" s="73"/>
      <c r="O114" s="74"/>
    </row>
    <row r="115" spans="2:21" ht="15.75" customHeight="1">
      <c r="B115" s="187" t="str">
        <v>Mondi_Tracker_Rev02.xlsm</v>
      </c>
      <c r="C115" s="52" t="str">
        <v>Site Office - December</v>
      </c>
      <c r="D115" s="184">
        <v>0</v>
      </c>
      <c r="E115" s="50">
        <v>46081</v>
      </c>
      <c r="F115" s="5">
        <v>2000</v>
      </c>
      <c r="G115" s="5" t="str">
        <v>Outstanding</v>
      </c>
      <c r="H115" s="52" t="str">
        <v>Mondi_Tracker_Rev02.xlsm | Table row 307 | Site Office - December | Inv  | Col ExpenseActualTotal</v>
      </c>
      <c r="N115" s="73"/>
      <c r="T115" s="5"/>
    </row>
    <row r="116" spans="2:21" ht="15.75" customHeight="1">
      <c r="B116" s="187" t="str">
        <v>Mondi_Tracker_Rev02.xlsm</v>
      </c>
      <c r="C116" s="52" t="str">
        <v>Drone Footage and land Surveying</v>
      </c>
      <c r="D116" s="184">
        <v>0</v>
      </c>
      <c r="E116" s="50">
        <v>46081</v>
      </c>
      <c r="F116" s="5">
        <v>57615</v>
      </c>
      <c r="G116" s="5" t="str">
        <v>Outstanding</v>
      </c>
      <c r="H116" s="52" t="str">
        <v>Mondi_Tracker_Rev02.xlsm | Table row 344 | Drone Footage and land Surveying | Inv  | Col ExpenseActualTotal</v>
      </c>
      <c r="L116" s="73"/>
      <c r="T116" s="5"/>
    </row>
    <row r="117" spans="2:21" ht="15.75" customHeight="1">
      <c r="B117" s="187" t="str">
        <v>Mondi_Tracker_Rev02.xlsm</v>
      </c>
      <c r="C117" s="52" t="str">
        <v>Protection Design - TestARelay</v>
      </c>
      <c r="D117" s="184">
        <v>0</v>
      </c>
      <c r="E117" s="50">
        <v>46081</v>
      </c>
      <c r="F117" s="5">
        <v>306500</v>
      </c>
      <c r="G117" s="70" t="str">
        <v>Outstanding</v>
      </c>
      <c r="H117" s="52" t="str">
        <v>Mondi_Tracker_Rev02.xlsm | Table row 345 | Protection Design - TestARelay | Inv  | Col ExpenseActualTotal</v>
      </c>
      <c r="L117" s="73"/>
    </row>
    <row r="118" spans="2:21" ht="15.75" customHeight="1">
      <c r="B118" s="187" t="str">
        <v>Mondi_Tracker_Rev02.xlsm</v>
      </c>
      <c r="C118" s="52" t="str">
        <v>Supply Chain Optimisers - Site Visit</v>
      </c>
      <c r="D118" s="184">
        <v>0</v>
      </c>
      <c r="E118" s="50">
        <v>46081</v>
      </c>
      <c r="F118" s="5">
        <v>11500</v>
      </c>
      <c r="G118" s="52" t="str">
        <v>Outstanding</v>
      </c>
      <c r="H118" s="52" t="str">
        <v>Mondi_Tracker_Rev02.xlsm | Table row 346 | Supply Chain Optimisers - Site Visit | Inv  | Col ExpenseActualTotal</v>
      </c>
    </row>
    <row r="119" spans="2:21" ht="15.75" customHeight="1">
      <c r="B119" s="187" t="str">
        <v>Mondi_Tracker_Rev02.xlsm</v>
      </c>
      <c r="C119" s="52" t="str">
        <v>Geotechnical Analysis - Ramming Test</v>
      </c>
      <c r="D119" s="184">
        <v>0</v>
      </c>
      <c r="E119" s="50">
        <v>46081</v>
      </c>
      <c r="F119" s="5">
        <v>57305</v>
      </c>
      <c r="G119" s="52" t="str">
        <v>Outstanding</v>
      </c>
      <c r="H119" s="52" t="str">
        <v>Mondi_Tracker_Rev02.xlsm | Table row 347 | Geotechnical Analysis - Ramming Test | Inv  | Col ExpenseActualTotal</v>
      </c>
    </row>
    <row r="120" spans="2:21" ht="15.75" customHeight="1">
      <c r="B120" s="187" t="str">
        <v>Mondi_Tracker_Rev02.xlsm</v>
      </c>
      <c r="C120" s="52" t="str">
        <v>HSEC Online System Monthly Retainer Fee</v>
      </c>
      <c r="D120" s="184">
        <v>0</v>
      </c>
      <c r="E120" s="50">
        <v>46081</v>
      </c>
      <c r="F120" s="5">
        <v>6500</v>
      </c>
      <c r="G120" s="52" t="str">
        <v>Outstanding</v>
      </c>
      <c r="H120" s="52" t="str">
        <v>Mondi_Tracker_Rev02.xlsm | Table row 348 | HSEC Online System Monthly Retainer Fee | Inv  | Col ExpenseActualTotal</v>
      </c>
      <c r="L120" s="64"/>
    </row>
    <row r="121" spans="2:21" ht="15.75" customHeight="1">
      <c r="B121" s="187" t="str">
        <v>Mondi_Tracker_Rev02.xlsm</v>
      </c>
      <c r="C121" s="52" t="str">
        <v>Full Time HSE Officer - Month 1</v>
      </c>
      <c r="D121" s="184">
        <v>0</v>
      </c>
      <c r="E121" s="50">
        <v>46081</v>
      </c>
      <c r="F121" s="5">
        <v>51000</v>
      </c>
      <c r="G121" s="52" t="str">
        <v>Outstanding</v>
      </c>
      <c r="H121" s="52" t="str">
        <v>Mondi_Tracker_Rev02.xlsm | Table row 349 | Full Time HSE Officer - Month 1 | Inv  | Col ExpenseActualTotal</v>
      </c>
    </row>
    <row r="122" spans="2:21" ht="15.75" customHeight="1">
      <c r="B122" s="187" t="str">
        <v>Mondi_Tracker_Rev02.xlsm</v>
      </c>
      <c r="C122" s="52" t="str">
        <v>Documentation</v>
      </c>
      <c r="D122" s="184">
        <v>0</v>
      </c>
      <c r="E122" s="50">
        <v>46081</v>
      </c>
      <c r="F122" s="5">
        <v>12000</v>
      </c>
      <c r="G122" s="52" t="str">
        <v>Outstanding</v>
      </c>
      <c r="H122" s="52" t="str">
        <v>Mondi_Tracker_Rev02.xlsm | Table row 351 | Documentation | Inv  | Col ExpenseActualTotal</v>
      </c>
      <c r="T122" s="63"/>
      <c r="U122" s="64"/>
    </row>
    <row r="123" spans="2:21" ht="15.75" customHeight="1">
      <c r="B123" s="187" t="str">
        <v>Mondi_Tracker_Rev02.xlsm</v>
      </c>
      <c r="C123" s="52" t="str">
        <v>Baseline Risk Assessment</v>
      </c>
      <c r="D123" s="184">
        <v>0</v>
      </c>
      <c r="E123" s="50">
        <v>46081</v>
      </c>
      <c r="F123" s="5">
        <v>10000</v>
      </c>
      <c r="G123" s="52" t="str">
        <v>Outstanding</v>
      </c>
      <c r="H123" s="52" t="str">
        <v>Mondi_Tracker_Rev02.xlsm | Table row 352 | Baseline Risk Assessment | Inv  | Col ExpenseActualTotal</v>
      </c>
      <c r="T123" s="63"/>
    </row>
    <row r="124" spans="2:21" ht="15.75" customHeight="1">
      <c r="B124" s="187" t="str">
        <v>Mondi_Tracker_Rev02.xlsm</v>
      </c>
      <c r="C124" s="52" t="str">
        <v>January  2026</v>
      </c>
      <c r="D124" s="184">
        <v>0</v>
      </c>
      <c r="E124" s="50">
        <v>46081</v>
      </c>
      <c r="F124" s="5">
        <v>9128.7999999999993</v>
      </c>
      <c r="G124" s="52" t="str">
        <v>Outstanding</v>
      </c>
      <c r="H124" s="52" t="str">
        <v>Mondi_Tracker_Rev02.xlsm | Table row 353 | January  2026 | Inv  | Col ExpenseActualTotal</v>
      </c>
    </row>
    <row r="125" spans="2:21" ht="15.75" customHeight="1">
      <c r="B125" s="187" t="str">
        <v>Mondi_Tracker_Rev02.xlsm</v>
      </c>
      <c r="C125" s="52" t="str">
        <v>February  2026</v>
      </c>
      <c r="D125" s="184">
        <v>0</v>
      </c>
      <c r="E125" s="50">
        <v>46081</v>
      </c>
      <c r="F125" s="5">
        <v>18257.599999999999</v>
      </c>
      <c r="G125" s="52" t="str">
        <v>Outstanding</v>
      </c>
      <c r="H125" s="52" t="str">
        <v>Mondi_Tracker_Rev02.xlsm | Table row 354 | February  2026 | Inv  | Col ExpenseActualTotal</v>
      </c>
    </row>
    <row r="126" spans="2:21" ht="15.75" customHeight="1">
      <c r="B126" s="187" t="str">
        <v>Mondi_Tracker_Rev02.xlsm</v>
      </c>
      <c r="C126" s="52" t="str">
        <v>Training &amp; Travel &amp; Travel- Feb</v>
      </c>
      <c r="D126" s="184">
        <v>0</v>
      </c>
      <c r="E126" s="50">
        <v>46081</v>
      </c>
      <c r="F126" s="5">
        <v>25000</v>
      </c>
      <c r="G126" s="52" t="str">
        <v>Outstanding</v>
      </c>
      <c r="H126" s="52" t="str">
        <v>Mondi_Tracker_Rev02.xlsm | Table row 395 | Training &amp; Travel &amp; Travel- Feb | Inv  | Col ExpenseActualTotal</v>
      </c>
    </row>
    <row r="127" spans="2:21" ht="15.75" customHeight="1">
      <c r="B127" s="187" t="str">
        <v>Mondi_Tracker_Rev02.xlsm</v>
      </c>
      <c r="C127" s="52" t="str">
        <v>Housing - Feb</v>
      </c>
      <c r="D127" s="184">
        <v>0</v>
      </c>
      <c r="E127" s="50">
        <v>46081</v>
      </c>
      <c r="F127" s="5">
        <v>28000</v>
      </c>
      <c r="G127" s="52" t="str">
        <v>Outstanding</v>
      </c>
      <c r="H127" s="52" t="str">
        <v>Mondi_Tracker_Rev02.xlsm | Table row 404 | Housing - Feb | Inv  | Col ExpenseActualTotal</v>
      </c>
    </row>
    <row r="128" spans="2:21" ht="15.75" customHeight="1">
      <c r="B128" s="187" t="str">
        <v>Mondi_Tracker_Rev02.xlsm</v>
      </c>
      <c r="C128" s="52" t="str">
        <v>Site Travel - Between Housing and Site - Feb</v>
      </c>
      <c r="D128" s="184">
        <v>0</v>
      </c>
      <c r="E128" s="50">
        <v>46081</v>
      </c>
      <c r="F128" s="5">
        <v>3150</v>
      </c>
      <c r="G128" s="52" t="str">
        <v>Outstanding</v>
      </c>
      <c r="H128" s="52" t="str">
        <v>Mondi_Tracker_Rev02.xlsm | Table row 414 | Site Travel - Between Housing and Site - Feb | Inv  | Col ExpenseActualTotal</v>
      </c>
    </row>
    <row r="129" spans="2:8" ht="15.75" customHeight="1">
      <c r="B129" s="187" t="str">
        <v>Mondi_Tracker_Rev02.xlsm</v>
      </c>
      <c r="C129" s="52" t="str">
        <v>Car Rental - Feb</v>
      </c>
      <c r="D129" s="184">
        <v>0</v>
      </c>
      <c r="E129" s="50">
        <v>46081</v>
      </c>
      <c r="F129" s="5">
        <v>8800</v>
      </c>
      <c r="G129" s="52" t="str">
        <v>Outstanding</v>
      </c>
      <c r="H129" s="52" t="str">
        <v>Mondi_Tracker_Rev02.xlsm | Table row 422 | Car Rental - Feb | Inv  | Col ExpenseActualTotal</v>
      </c>
    </row>
    <row r="130" spans="2:8" ht="15.75" customHeight="1">
      <c r="B130" s="187" t="str">
        <v>Mondi_Tracker_Rev02.xlsm</v>
      </c>
      <c r="C130" s="52" t="str">
        <v>Raising Fee</v>
      </c>
      <c r="D130" s="184">
        <v>0</v>
      </c>
      <c r="E130" s="50">
        <v>46081</v>
      </c>
      <c r="F130" s="5">
        <v>92000</v>
      </c>
      <c r="G130" s="52" t="str">
        <v>Outstanding</v>
      </c>
      <c r="H130" s="52" t="str">
        <v>Mondi_Tracker_Rev02.xlsm | Table row 444 | Raising Fee | Inv  | Col ExpenseActualTotal</v>
      </c>
    </row>
    <row r="131" spans="2:8" ht="15.75" customHeight="1">
      <c r="B131" s="187" t="str">
        <v>Mondi_Tracker_Rev02.xlsm</v>
      </c>
      <c r="C131" s="52" t="str">
        <v>January Interest</v>
      </c>
      <c r="D131" s="184">
        <v>0</v>
      </c>
      <c r="E131" s="50">
        <v>46081</v>
      </c>
      <c r="F131" s="5">
        <v>35049.699999999997</v>
      </c>
      <c r="G131" s="52" t="str">
        <v>Outstanding</v>
      </c>
      <c r="H131" s="52" t="str">
        <v>Mondi_Tracker_Rev02.xlsm | Table row 445 | January Interest | Inv  | Col ExpenseActualTotal</v>
      </c>
    </row>
    <row r="132" spans="2:8" ht="15.75" customHeight="1">
      <c r="B132" s="187" t="str">
        <v>Mondi_Tracker_Rev02.xlsm</v>
      </c>
      <c r="C132" s="52" t="str">
        <v>February Interest</v>
      </c>
      <c r="D132" s="184">
        <v>0</v>
      </c>
      <c r="E132" s="50">
        <v>46081</v>
      </c>
      <c r="F132" s="5">
        <v>204566.79</v>
      </c>
      <c r="G132" s="52" t="str">
        <v>Outstanding</v>
      </c>
      <c r="H132" s="52" t="str">
        <v>Mondi_Tracker_Rev02.xlsm | Table row 446 | February Interest | Inv  | Col ExpenseActualTotal</v>
      </c>
    </row>
    <row r="133" spans="2:8" ht="15.75" customHeight="1">
      <c r="B133" s="187" t="str">
        <v>Pimville_Tracker.xlsx</v>
      </c>
      <c r="C133" s="52" t="str">
        <v>Matriarch Defects Period - 1.25%</v>
      </c>
      <c r="D133" s="184">
        <v>0</v>
      </c>
      <c r="E133" s="50">
        <v>46081</v>
      </c>
      <c r="F133" s="5">
        <v>42501.324999999997</v>
      </c>
      <c r="G133" s="52" t="str">
        <v>Outstanding</v>
      </c>
      <c r="H133" s="52" t="str">
        <v>Pimville_Tracker.xlsx | Table row 140 | Matriarch Defects Period - 1.25% | Inv  | Col ExpenseActualTotal</v>
      </c>
    </row>
    <row r="134" spans="2:8" ht="15.75" customHeight="1">
      <c r="B134" s="187" t="str">
        <v>PnP Bethal_Tracker.xlsx</v>
      </c>
      <c r="C134" s="52" t="str">
        <v>Travel</v>
      </c>
      <c r="D134" s="184">
        <v>0</v>
      </c>
      <c r="E134" s="50">
        <v>46081</v>
      </c>
      <c r="F134" s="5">
        <v>1400</v>
      </c>
      <c r="G134" s="52" t="str">
        <v>Outstanding</v>
      </c>
      <c r="H134" s="52" t="str">
        <v>PnP Bethal_Tracker.xlsx | Table row 140 | Travel | Inv  | Col ExpenseActualTotal</v>
      </c>
    </row>
    <row r="135" spans="2:8" ht="15.75" customHeight="1">
      <c r="B135" s="187" t="str">
        <v>Pretoria North_Tracker.xlsx</v>
      </c>
      <c r="C135" s="52" t="str">
        <v>Grid Impact Study</v>
      </c>
      <c r="D135" s="184">
        <v>0</v>
      </c>
      <c r="E135" s="50">
        <v>46081</v>
      </c>
      <c r="F135" s="5">
        <v>79700</v>
      </c>
      <c r="G135" s="52" t="str">
        <v>Outstanding</v>
      </c>
      <c r="H135" s="52" t="str">
        <v>Pretoria North_Tracker.xlsx | Table row 131 | Grid Impact Study | Inv  | Col ExpenseActualTotal</v>
      </c>
    </row>
    <row r="136" spans="2:8" ht="15.75" customHeight="1">
      <c r="B136" s="187" t="str">
        <v>Pretoria North_Tracker.xlsx</v>
      </c>
      <c r="C136" s="52" t="str">
        <v>Matriarch Defects Period - 1.25%</v>
      </c>
      <c r="D136" s="184">
        <v>0</v>
      </c>
      <c r="E136" s="50">
        <v>46081</v>
      </c>
      <c r="F136" s="5">
        <v>59518.412500000006</v>
      </c>
      <c r="G136" s="52" t="str">
        <v>Outstanding</v>
      </c>
      <c r="H136" s="52" t="str">
        <v>Pretoria North_Tracker.xlsx | Table row 138 | Matriarch Defects Period - 1.25% | Inv  | Col ExpenseActualTotal</v>
      </c>
    </row>
    <row r="137" spans="2:8" ht="15.75" customHeight="1">
      <c r="B137" s="187" t="str">
        <v>Randfontein_Tracker.xlsx</v>
      </c>
      <c r="C137" s="52" t="str">
        <v>Commissioning Complete</v>
      </c>
      <c r="D137" s="184">
        <v>0</v>
      </c>
      <c r="E137" s="50">
        <v>46081</v>
      </c>
      <c r="F137" s="5">
        <v>48312.024660138013</v>
      </c>
      <c r="G137" s="52" t="str">
        <v>Outstanding</v>
      </c>
      <c r="H137" s="52" t="str">
        <v>Randfontein_Tracker.xlsx | Table row 98 | Commissioning Complete | Inv  | Col ExpenseActualTotal</v>
      </c>
    </row>
    <row r="138" spans="2:8" ht="15.75" customHeight="1">
      <c r="B138" s="187" t="str">
        <v>Randfontein_Tracker.xlsx</v>
      </c>
      <c r="C138" s="52" t="str">
        <v>Site De-establisment</v>
      </c>
      <c r="D138" s="184">
        <v>0</v>
      </c>
      <c r="E138" s="50">
        <v>46081</v>
      </c>
      <c r="F138" s="5">
        <v>48312.024660138013</v>
      </c>
      <c r="G138" s="52" t="str">
        <v>Outstanding</v>
      </c>
      <c r="H138" s="52" t="str">
        <v>Randfontein_Tracker.xlsx | Table row 99 | Site De-establisment | Inv  | Col ExpenseActualTotal</v>
      </c>
    </row>
    <row r="139" spans="2:8" ht="15.75" customHeight="1">
      <c r="B139" s="187" t="str">
        <v>Randfontein_Tracker.xlsx</v>
      </c>
      <c r="C139" s="52" t="str">
        <v>Handover Document Complete</v>
      </c>
      <c r="D139" s="184">
        <v>0</v>
      </c>
      <c r="E139" s="50">
        <v>46081</v>
      </c>
      <c r="F139" s="5">
        <v>24156.012330069007</v>
      </c>
      <c r="G139" s="52" t="str">
        <v>Outstanding</v>
      </c>
      <c r="H139" s="52" t="str">
        <v>Randfontein_Tracker.xlsx | Table row 100 | Handover Document Complete | Inv  | Col ExpenseActualTotal</v>
      </c>
    </row>
    <row r="140" spans="2:8" ht="15.75" customHeight="1">
      <c r="B140" s="187" t="str">
        <v>Randfontein_Tracker.xlsx</v>
      </c>
      <c r="C140" s="52" t="str">
        <v>Red Team Inspection</v>
      </c>
      <c r="D140" s="184">
        <v>0</v>
      </c>
      <c r="E140" s="50">
        <v>46081</v>
      </c>
      <c r="F140" s="5">
        <v>6000</v>
      </c>
      <c r="G140" s="52" t="str">
        <v>Outstanding</v>
      </c>
      <c r="H140" s="52" t="str">
        <v>Randfontein_Tracker.xlsx | Table row 131 | Red Team Inspection | Inv  | Col ExpenseActualTotal</v>
      </c>
    </row>
    <row r="141" spans="2:8" ht="15.75" customHeight="1">
      <c r="B141" s="187" t="str">
        <v>Randfontein_Tracker.xlsx</v>
      </c>
      <c r="C141" s="52" t="str">
        <v>Matriarch Defects Period - 1.25%</v>
      </c>
      <c r="D141" s="184">
        <v>0</v>
      </c>
      <c r="E141" s="50">
        <v>46081</v>
      </c>
      <c r="F141" s="5">
        <v>41942.987500000003</v>
      </c>
      <c r="G141" s="52" t="str">
        <v>Outstanding</v>
      </c>
      <c r="H141" s="52" t="str">
        <v>Randfontein_Tracker.xlsx | Table row 136 | Matriarch Defects Period - 1.25% | Inv  | Col ExpenseActualTotal</v>
      </c>
    </row>
    <row r="142" spans="2:8" ht="15.75" customHeight="1">
      <c r="B142" s="187" t="str">
        <v>Randfontein_Tracker.xlsx</v>
      </c>
      <c r="C142" s="52" t="str">
        <v>Travel</v>
      </c>
      <c r="D142" s="184">
        <v>0</v>
      </c>
      <c r="E142" s="50">
        <v>46081</v>
      </c>
      <c r="F142" s="5">
        <v>300</v>
      </c>
      <c r="G142" s="52" t="str">
        <v>Outstanding</v>
      </c>
      <c r="H142" s="52" t="str">
        <v>Randfontein_Tracker.xlsx | Table row 153 | Travel | Inv  | Col ExpenseActualTotal</v>
      </c>
    </row>
    <row r="143" spans="2:8" ht="15.75" customHeight="1">
      <c r="B143" s="187" t="str">
        <v>Red Rocket_Tracker.xlsx</v>
      </c>
      <c r="C143" s="52" t="str">
        <v>Top Tie In Fence/Gate - V&amp;A</v>
      </c>
      <c r="D143" s="184">
        <v>0</v>
      </c>
      <c r="E143" s="50">
        <v>46081</v>
      </c>
      <c r="F143" s="5">
        <v>18995</v>
      </c>
      <c r="G143" s="52" t="str">
        <v>Outstanding</v>
      </c>
      <c r="H143" s="52" t="str">
        <v>Red Rocket_Tracker.xlsx | Table row 120 | Top Tie In Fence/Gate - V&amp;A | Inv  | Col ExpenseActualTotal</v>
      </c>
    </row>
    <row r="144" spans="2:8" ht="15.75" customHeight="1">
      <c r="B144" s="187" t="str">
        <v>Red Rocket_Tracker.xlsx</v>
      </c>
      <c r="C144" s="52" t="str">
        <v>Replacement of Gas Extinguishing System - V&amp;A</v>
      </c>
      <c r="D144" s="184">
        <v>0</v>
      </c>
      <c r="E144" s="50">
        <v>46081</v>
      </c>
      <c r="F144" s="5">
        <v>27294.75</v>
      </c>
      <c r="G144" s="52" t="str">
        <v>Outstanding</v>
      </c>
      <c r="H144" s="52" t="str">
        <v>Red Rocket_Tracker.xlsx | Table row 135 | Replacement of Gas Extinguishing System - V&amp;A | Inv  | Col ExpenseActualTotal</v>
      </c>
    </row>
    <row r="145" spans="2:8" ht="15.75" customHeight="1">
      <c r="B145" s="187" t="str">
        <v>Red Rocket_Tracker.xlsx</v>
      </c>
      <c r="C145" s="52">
        <v>0</v>
      </c>
      <c r="D145" s="184">
        <v>0</v>
      </c>
      <c r="E145" s="50">
        <v>46081</v>
      </c>
      <c r="F145" s="5">
        <v>650</v>
      </c>
      <c r="G145" s="52" t="str">
        <v>Outstanding</v>
      </c>
      <c r="H145" s="52" t="str">
        <v>Red Rocket_Tracker.xlsx | Table row 201 |  | Inv  | Col ExpenseActualTotal</v>
      </c>
    </row>
    <row r="146" spans="2:8" ht="15.75" customHeight="1">
      <c r="B146" s="187" t="str">
        <v>Riverside Mall_Tracker.xlsx</v>
      </c>
      <c r="C146" s="52" t="str">
        <v>Techsitter</v>
      </c>
      <c r="D146" s="184">
        <v>0</v>
      </c>
      <c r="E146" s="50">
        <v>46081</v>
      </c>
      <c r="F146" s="5">
        <v>15000</v>
      </c>
      <c r="G146" s="52" t="str">
        <v>Outstanding</v>
      </c>
      <c r="H146" s="52" t="str">
        <v>Riverside Mall_Tracker.xlsx | Table row 47 | Techsitter | Inv  | Col ExpenseActualTotal</v>
      </c>
    </row>
    <row r="147" spans="2:8" ht="15.75" customHeight="1">
      <c r="B147" s="187" t="str">
        <v>Riverside Mall_Tracker.xlsx</v>
      </c>
      <c r="C147" s="52" t="str">
        <v>Inverter Room Prep</v>
      </c>
      <c r="D147" s="184">
        <v>0</v>
      </c>
      <c r="E147" s="50">
        <v>46081</v>
      </c>
      <c r="F147" s="5">
        <v>80000</v>
      </c>
      <c r="G147" s="52" t="str">
        <v>Outstanding</v>
      </c>
      <c r="H147" s="52" t="str">
        <v>Riverside Mall_Tracker.xlsx | Table row 81 | Inverter Room Prep | Inv  | Col ExpenseActualTotal</v>
      </c>
    </row>
    <row r="148" spans="2:8" ht="15.75" customHeight="1">
      <c r="B148" s="187" t="str">
        <v>Riverside Mall_Tracker.xlsx</v>
      </c>
      <c r="C148" s="52" t="str">
        <v>Scada for CoCT</v>
      </c>
      <c r="D148" s="184">
        <v>0</v>
      </c>
      <c r="E148" s="50">
        <v>46081</v>
      </c>
      <c r="F148" s="5">
        <v>50000</v>
      </c>
      <c r="G148" s="52" t="str">
        <v>Outstanding</v>
      </c>
      <c r="H148" s="52" t="str">
        <v>Riverside Mall_Tracker.xlsx | Table row 121 | Scada for CoCT | Inv  | Col ExpenseActualTotal</v>
      </c>
    </row>
    <row r="149" spans="2:8" ht="15.75" customHeight="1">
      <c r="B149" s="187" t="str">
        <v>Riverside Mall_Tracker.xlsx</v>
      </c>
      <c r="C149" s="52" t="str">
        <v>Travel</v>
      </c>
      <c r="D149" s="184">
        <v>0</v>
      </c>
      <c r="E149" s="50">
        <v>46081</v>
      </c>
      <c r="F149" s="5">
        <v>157.5</v>
      </c>
      <c r="G149" s="52" t="str">
        <v>Outstanding</v>
      </c>
      <c r="H149" s="52" t="str">
        <v>Riverside Mall_Tracker.xlsx | Table row 137 | Travel | Inv  | Col ExpenseActualTotal</v>
      </c>
    </row>
    <row r="150" spans="2:8" ht="15.75" customHeight="1">
      <c r="B150" s="187" t="str">
        <v>Seshego Circle_Tracker.xlsx</v>
      </c>
      <c r="C150" s="52" t="str">
        <v>XS Clamps - K2</v>
      </c>
      <c r="D150" s="184">
        <v>0</v>
      </c>
      <c r="E150" s="50">
        <v>46081</v>
      </c>
      <c r="F150" s="5">
        <v>2283.6999999999998</v>
      </c>
      <c r="G150" s="52" t="str">
        <v>Outstanding</v>
      </c>
      <c r="H150" s="52" t="str">
        <v>Seshego Circle_Tracker.xlsx | Table row 27 | XS Clamps - K2 | Inv  | Col ExpenseActualTotal</v>
      </c>
    </row>
    <row r="151" spans="2:8" ht="15.75" customHeight="1">
      <c r="B151" s="187" t="str">
        <v>Seshego Circle_Tracker.xlsx</v>
      </c>
      <c r="C151" s="52" t="str">
        <v>Terragriff (254 clamps short returned) to be deducted from subbie</v>
      </c>
      <c r="D151" s="184">
        <v>0</v>
      </c>
      <c r="E151" s="50">
        <v>46081</v>
      </c>
      <c r="F151" s="5">
        <v>3737.49</v>
      </c>
      <c r="G151" s="52" t="str">
        <v>Outstanding</v>
      </c>
      <c r="H151" s="52" t="str">
        <v>Seshego Circle_Tracker.xlsx | Table row 28 | Terragriff (254 clamps short returned) to be deducted from subbie | Inv  | Col ExpenseActualTotal</v>
      </c>
    </row>
    <row r="152" spans="2:8" ht="15.75" customHeight="1">
      <c r="B152" s="187" t="str">
        <v>Seshego Circle_Tracker.xlsx</v>
      </c>
      <c r="C152" s="52" t="str">
        <v>AC Installation Complete</v>
      </c>
      <c r="D152" s="184">
        <v>0</v>
      </c>
      <c r="E152" s="50">
        <v>46081</v>
      </c>
      <c r="F152" s="5">
        <v>4241.63</v>
      </c>
      <c r="G152" s="52" t="str">
        <v>Outstanding</v>
      </c>
      <c r="H152" s="52" t="str">
        <v>Seshego Circle_Tracker.xlsx | Table row 39 | AC Installation Complete | Inv  | Col ExpenseActualTotal</v>
      </c>
    </row>
    <row r="153" spans="2:8" ht="15.75" customHeight="1">
      <c r="B153" s="187" t="str">
        <v>Seshego Circle_Tracker.xlsx</v>
      </c>
      <c r="C153" s="52" t="str">
        <v>DC Installation Complete</v>
      </c>
      <c r="D153" s="184">
        <v>0</v>
      </c>
      <c r="E153" s="50">
        <v>46081</v>
      </c>
      <c r="F153" s="5">
        <v>4241.63</v>
      </c>
      <c r="G153" s="52" t="str">
        <v>Outstanding</v>
      </c>
      <c r="H153" s="52" t="str">
        <v>Seshego Circle_Tracker.xlsx | Table row 42 | DC Installation Complete | Inv  | Col ExpenseActualTotal</v>
      </c>
    </row>
    <row r="154" spans="2:8" ht="15.75" customHeight="1">
      <c r="B154" s="187" t="str">
        <v>Seshego Circle_Tracker.xlsx</v>
      </c>
      <c r="C154" s="52" t="str">
        <v>Commissioning Complete</v>
      </c>
      <c r="D154" s="184">
        <v>0</v>
      </c>
      <c r="E154" s="50">
        <v>46081</v>
      </c>
      <c r="F154" s="5">
        <v>16966.52</v>
      </c>
      <c r="G154" s="52" t="str">
        <v>Outstanding</v>
      </c>
      <c r="H154" s="52" t="str">
        <v>Seshego Circle_Tracker.xlsx | Table row 43 | Commissioning Complete | Inv  | Col ExpenseActualTotal</v>
      </c>
    </row>
    <row r="155" spans="2:8" ht="15.75" customHeight="1">
      <c r="B155" s="187" t="str">
        <v>Seshego Circle_Tracker.xlsx</v>
      </c>
      <c r="C155" s="52" t="str">
        <v>AC Installation Complete</v>
      </c>
      <c r="D155" s="184">
        <v>0</v>
      </c>
      <c r="E155" s="50">
        <v>46081</v>
      </c>
      <c r="F155" s="5">
        <v>5787.72</v>
      </c>
      <c r="G155" s="52" t="str">
        <v>Outstanding</v>
      </c>
      <c r="H155" s="52" t="str">
        <v>Seshego Circle_Tracker.xlsx | Table row 73 | AC Installation Complete | Inv  | Col ExpenseActualTotal</v>
      </c>
    </row>
    <row r="156" spans="2:8" ht="15.75" customHeight="1">
      <c r="B156" s="187" t="str">
        <v>Seshego Circle_Tracker.xlsx</v>
      </c>
      <c r="C156" s="52" t="str">
        <v>DC Installation Complete</v>
      </c>
      <c r="D156" s="184">
        <v>0</v>
      </c>
      <c r="E156" s="50">
        <v>46081</v>
      </c>
      <c r="F156" s="5">
        <v>5787.72</v>
      </c>
      <c r="G156" s="52" t="str">
        <v>Outstanding</v>
      </c>
      <c r="H156" s="52" t="str">
        <v>Seshego Circle_Tracker.xlsx | Table row 75 | DC Installation Complete | Inv  | Col ExpenseActualTotal</v>
      </c>
    </row>
    <row r="157" spans="2:8" ht="15.75" customHeight="1">
      <c r="B157" s="187" t="str">
        <v>Seshego Circle_Tracker.xlsx</v>
      </c>
      <c r="C157" s="52" t="str">
        <v>Commissioning Complete</v>
      </c>
      <c r="D157" s="184">
        <v>0</v>
      </c>
      <c r="E157" s="50">
        <v>46081</v>
      </c>
      <c r="F157" s="5">
        <v>23150.880000000001</v>
      </c>
      <c r="G157" s="52" t="str">
        <v>Outstanding</v>
      </c>
      <c r="H157" s="52" t="str">
        <v>Seshego Circle_Tracker.xlsx | Table row 77 | Commissioning Complete | Inv  | Col ExpenseActualTotal</v>
      </c>
    </row>
    <row r="158" spans="2:8" ht="15.75" customHeight="1">
      <c r="B158" s="187" t="str">
        <v>Seshego Circle_Tracker.xlsx</v>
      </c>
      <c r="C158" s="52" t="str">
        <v>Tie In Kiosk</v>
      </c>
      <c r="D158" s="184">
        <v>0</v>
      </c>
      <c r="E158" s="50">
        <v>46081</v>
      </c>
      <c r="F158" s="5">
        <v>50000</v>
      </c>
      <c r="G158" s="52" t="str">
        <v>Outstanding</v>
      </c>
      <c r="H158" s="52" t="str">
        <v>Seshego Circle_Tracker.xlsx | Table row 95 | Tie In Kiosk | Inv  | Col ExpenseActualTotal</v>
      </c>
    </row>
    <row r="159" spans="2:8" ht="15.75" customHeight="1">
      <c r="B159" s="187" t="str">
        <v>Seshego Circle_Tracker.xlsx</v>
      </c>
      <c r="C159" s="52" t="str">
        <v>AC Installation Complete</v>
      </c>
      <c r="D159" s="184">
        <v>0</v>
      </c>
      <c r="E159" s="50">
        <v>46081</v>
      </c>
      <c r="F159" s="5">
        <v>27632.31</v>
      </c>
      <c r="G159" s="52" t="str">
        <v>Outstanding</v>
      </c>
      <c r="H159" s="52" t="str">
        <v>Seshego Circle_Tracker.xlsx | Table row 109 | AC Installation Complete | Inv  | Col ExpenseActualTotal</v>
      </c>
    </row>
    <row r="160" spans="2:8" ht="15.75" customHeight="1">
      <c r="B160" s="187" t="str">
        <v>Seshego Circle_Tracker.xlsx</v>
      </c>
      <c r="C160" s="52" t="str">
        <v>DC Installation Complete</v>
      </c>
      <c r="D160" s="184">
        <v>0</v>
      </c>
      <c r="E160" s="50">
        <v>46081</v>
      </c>
      <c r="F160" s="5">
        <v>27632.305</v>
      </c>
      <c r="G160" s="52" t="str">
        <v>Outstanding</v>
      </c>
      <c r="H160" s="52" t="str">
        <v>Seshego Circle_Tracker.xlsx | Table row 112 | DC Installation Complete | Inv  | Col ExpenseActualTotal</v>
      </c>
    </row>
    <row r="161" spans="2:8" ht="15.75" customHeight="1">
      <c r="B161" s="187" t="str">
        <v>Seshego Circle_Tracker.xlsx</v>
      </c>
      <c r="C161" s="52" t="str">
        <v>Commissioning Complete</v>
      </c>
      <c r="D161" s="184">
        <v>0</v>
      </c>
      <c r="E161" s="50">
        <v>46081</v>
      </c>
      <c r="F161" s="5">
        <v>110529.22</v>
      </c>
      <c r="G161" s="52" t="str">
        <v>Outstanding</v>
      </c>
      <c r="H161" s="52" t="str">
        <v>Seshego Circle_Tracker.xlsx | Table row 113 | Commissioning Complete | Inv  | Col ExpenseActualTotal</v>
      </c>
    </row>
    <row r="162" spans="2:8" ht="15.75" customHeight="1">
      <c r="B162" s="187" t="str">
        <v>Seshego Circle_Tracker.xlsx</v>
      </c>
      <c r="C162" s="52" t="str">
        <v>AC Installation Complete</v>
      </c>
      <c r="D162" s="184">
        <v>0</v>
      </c>
      <c r="E162" s="50">
        <v>46081</v>
      </c>
      <c r="F162" s="5">
        <v>4913.6000000000004</v>
      </c>
      <c r="G162" s="52" t="str">
        <v>Outstanding</v>
      </c>
      <c r="H162" s="52" t="str">
        <v>Seshego Circle_Tracker.xlsx | Table row 133 | AC Installation Complete | Inv  | Col ExpenseActualTotal</v>
      </c>
    </row>
    <row r="163" spans="2:8" ht="15.75" customHeight="1">
      <c r="B163" s="187" t="str">
        <v>Seshego Circle_Tracker.xlsx</v>
      </c>
      <c r="C163" s="52" t="str">
        <v>DC Installation Complete</v>
      </c>
      <c r="D163" s="184">
        <v>0</v>
      </c>
      <c r="E163" s="50">
        <v>46081</v>
      </c>
      <c r="F163" s="5">
        <v>4913.6000000000004</v>
      </c>
      <c r="G163" s="52" t="str">
        <v>Outstanding</v>
      </c>
      <c r="H163" s="52" t="str">
        <v>Seshego Circle_Tracker.xlsx | Table row 136 | DC Installation Complete | Inv  | Col ExpenseActualTotal</v>
      </c>
    </row>
    <row r="164" spans="2:8" ht="15.75" customHeight="1">
      <c r="B164" s="187" t="str">
        <v>Seshego Circle_Tracker.xlsx</v>
      </c>
      <c r="C164" s="52" t="str">
        <v>Commissioning Complete</v>
      </c>
      <c r="D164" s="184">
        <v>0</v>
      </c>
      <c r="E164" s="50">
        <v>46081</v>
      </c>
      <c r="F164" s="5">
        <v>19654.400000000001</v>
      </c>
      <c r="G164" s="52" t="str">
        <v>Outstanding</v>
      </c>
      <c r="H164" s="52" t="str">
        <v>Seshego Circle_Tracker.xlsx | Table row 137 | Commissioning Complete | Inv  | Col ExpenseActualTotal</v>
      </c>
    </row>
    <row r="165" spans="2:8" ht="15.75" customHeight="1">
      <c r="B165" s="187" t="str">
        <v>Seshego Circle_Tracker.xlsx</v>
      </c>
      <c r="C165" s="52">
        <v>0</v>
      </c>
      <c r="D165" s="184">
        <v>0</v>
      </c>
      <c r="E165" s="50">
        <v>46081</v>
      </c>
      <c r="F165" s="5">
        <v>8500</v>
      </c>
      <c r="G165" s="52" t="str">
        <v>Outstanding</v>
      </c>
      <c r="H165" s="52" t="str">
        <v>Seshego Circle_Tracker.xlsx | Table row 166 |  | Inv  | Col ExpenseActualTotal</v>
      </c>
    </row>
    <row r="166" spans="2:8" ht="15.75" customHeight="1">
      <c r="B166" s="187" t="str">
        <v>Sibasa_Tracker.xlsx</v>
      </c>
      <c r="C166" s="52" t="str">
        <v>Travel</v>
      </c>
      <c r="D166" s="184">
        <v>0</v>
      </c>
      <c r="E166" s="50">
        <v>46081</v>
      </c>
      <c r="F166" s="5">
        <v>1500</v>
      </c>
      <c r="G166" s="52" t="str">
        <v>Outstanding</v>
      </c>
      <c r="H166" s="52" t="str">
        <v>Sibasa_Tracker.xlsx | Table row 153 | Travel | Inv  | Col ExpenseActualTotal</v>
      </c>
    </row>
    <row r="167" spans="2:8" ht="15.75" customHeight="1">
      <c r="B167" s="187" t="str">
        <v>STD GQ_Tracker.xlsx</v>
      </c>
      <c r="C167" s="52" t="str">
        <v>Contigency</v>
      </c>
      <c r="D167" s="184">
        <v>0</v>
      </c>
      <c r="E167" s="50">
        <v>46081</v>
      </c>
      <c r="F167" s="5">
        <v>166769.48000000001</v>
      </c>
      <c r="G167" s="52" t="str">
        <v>Outstanding</v>
      </c>
      <c r="H167" s="52" t="str">
        <v>STD GQ_Tracker.xlsx | Table row 85 | Contigency | Inv  | Col ExpenseActualTotal</v>
      </c>
    </row>
    <row r="168" spans="2:8" ht="15.75" customHeight="1">
      <c r="B168" s="187" t="str">
        <v>STD GQ_Tracker.xlsx</v>
      </c>
      <c r="C168" s="52" t="str">
        <v>RS 485 SPD - Luken Supply &amp; Install</v>
      </c>
      <c r="D168" s="184">
        <v>0</v>
      </c>
      <c r="E168" s="50">
        <v>46081</v>
      </c>
      <c r="F168" s="5">
        <v>1129.28</v>
      </c>
      <c r="G168" s="52" t="str">
        <v>Outstanding</v>
      </c>
      <c r="H168" s="52" t="str">
        <v>STD GQ_Tracker.xlsx | Table row 92 | RS 485 SPD - Luken Supply &amp; Install | Inv  | Col ExpenseActualTotal</v>
      </c>
    </row>
    <row r="169" spans="2:8" ht="15.75" customHeight="1">
      <c r="B169" s="187" t="str">
        <v>STD GQ_Tracker.xlsx</v>
      </c>
      <c r="C169" s="52" t="str">
        <v>Travel</v>
      </c>
      <c r="D169" s="184">
        <v>0</v>
      </c>
      <c r="E169" s="50">
        <v>46081</v>
      </c>
      <c r="F169" s="5">
        <v>250</v>
      </c>
      <c r="G169" s="52" t="str">
        <v>Outstanding</v>
      </c>
      <c r="H169" s="52" t="str">
        <v>STD GQ_Tracker.xlsx | Table row 146 | Travel | Inv  | Col ExpenseActualTotal</v>
      </c>
    </row>
    <row r="170" spans="2:8" ht="15.75" customHeight="1">
      <c r="B170" s="187" t="str">
        <v>Steelpark_Tracker.xlsx</v>
      </c>
      <c r="C170" s="52" t="str">
        <v>Jinko 590W - JKM590N-72HL4-BDV - Menlo</v>
      </c>
      <c r="D170" s="184">
        <v>0</v>
      </c>
      <c r="E170" s="50">
        <v>46081</v>
      </c>
      <c r="F170" s="5">
        <v>260780</v>
      </c>
      <c r="G170" s="52" t="str">
        <v>Outstanding</v>
      </c>
      <c r="H170" s="52" t="str">
        <v>Steelpark_Tracker.xlsx | Table row 6 | Jinko 590W - JKM590N-72HL4-BDV - Menlo | Inv  | Col ExpenseActualTotal</v>
      </c>
    </row>
    <row r="171" spans="2:8" ht="15.75" customHeight="1">
      <c r="B171" s="187" t="str">
        <v>Steelpark_Tracker.xlsx</v>
      </c>
      <c r="C171" s="52" t="str">
        <v>Huawei 100KTL - Use stock from Mayo Macs</v>
      </c>
      <c r="D171" s="184">
        <v>0</v>
      </c>
      <c r="E171" s="50">
        <v>46081</v>
      </c>
      <c r="F171" s="5">
        <v>69000</v>
      </c>
      <c r="G171" s="52" t="str">
        <v>Outstanding</v>
      </c>
      <c r="H171" s="52" t="str">
        <v>Steelpark_Tracker.xlsx | Table row 14 | Huawei 100KTL - Use stock from Mayo Macs | Inv  | Col ExpenseActualTotal</v>
      </c>
    </row>
    <row r="172" spans="2:8" ht="15.75" customHeight="1">
      <c r="B172" s="187" t="str">
        <v>Steelpark_Tracker.xlsx</v>
      </c>
      <c r="C172" s="52" t="str">
        <v>Schletter Structure</v>
      </c>
      <c r="D172" s="184">
        <v>0</v>
      </c>
      <c r="E172" s="50">
        <v>46081</v>
      </c>
      <c r="F172" s="5">
        <v>29315.1</v>
      </c>
      <c r="G172" s="52" t="str">
        <v>Outstanding</v>
      </c>
      <c r="H172" s="52" t="str">
        <v>Steelpark_Tracker.xlsx | Table row 21 | Schletter Structure | Inv  | Col ExpenseActualTotal</v>
      </c>
    </row>
    <row r="173" spans="2:8" ht="15.75" customHeight="1">
      <c r="B173" s="187" t="str">
        <v>Steelpark_Tracker.xlsx</v>
      </c>
      <c r="C173" s="52" t="str">
        <v>DC Cable - Menlo</v>
      </c>
      <c r="D173" s="184">
        <v>0</v>
      </c>
      <c r="E173" s="50">
        <v>46081</v>
      </c>
      <c r="F173" s="5">
        <v>28000</v>
      </c>
      <c r="G173" s="52" t="str">
        <v>Outstanding</v>
      </c>
      <c r="H173" s="52" t="str">
        <v>Steelpark_Tracker.xlsx | Table row 31 | DC Cable - Menlo | Inv  | Col ExpenseActualTotal</v>
      </c>
    </row>
    <row r="174" spans="2:8" ht="15.75" customHeight="1">
      <c r="B174" s="187" t="str">
        <v>Steelpark_Tracker.xlsx</v>
      </c>
      <c r="C174" s="52" t="str">
        <v>Project Kick Off</v>
      </c>
      <c r="D174" s="184">
        <v>0</v>
      </c>
      <c r="E174" s="50">
        <v>46081</v>
      </c>
      <c r="F174" s="112">
        <v>6853.6450000000004</v>
      </c>
      <c r="G174" s="52" t="str">
        <v>Outstanding</v>
      </c>
      <c r="H174" s="52" t="str">
        <v>Steelpark_Tracker.xlsx | Table row 35 | Project Kick Off | Inv  | Col ExpenseActualTotal</v>
      </c>
    </row>
    <row r="175" spans="2:8" ht="15.75" customHeight="1">
      <c r="B175" s="259" t="str">
        <v>Steelpark_Tracker.xlsx</v>
      </c>
      <c r="C175" t="str">
        <v>Site Establishment</v>
      </c>
      <c r="D175" s="132">
        <v>0</v>
      </c>
      <c r="E175" s="2">
        <v>46081</v>
      </c>
      <c r="F175" s="260">
        <v>10280.467500000001</v>
      </c>
      <c r="G175" t="str">
        <v>Outstanding</v>
      </c>
      <c r="H175" s="52" t="str">
        <v>Steelpark_Tracker.xlsx | Table row 36 | Site Establishment | Inv  | Col ExpenseActualTotal</v>
      </c>
    </row>
    <row r="176" spans="2:8" ht="15.75" customHeight="1">
      <c r="B176" s="259" t="str">
        <v>Steelpark_Tracker.xlsx</v>
      </c>
      <c r="C176" t="str">
        <v>Smartlogger 3000 - Menlo</v>
      </c>
      <c r="D176" s="132">
        <v>0</v>
      </c>
      <c r="E176" s="2">
        <v>46081</v>
      </c>
      <c r="F176" s="260">
        <v>8598.34</v>
      </c>
      <c r="G176" t="str">
        <v>Outstanding</v>
      </c>
      <c r="H176" s="52" t="str">
        <v>Steelpark_Tracker.xlsx | Table row 47 | Smartlogger 3000 - Menlo | Inv  | Col ExpenseActualTotal</v>
      </c>
    </row>
    <row r="177" spans="2:8" ht="15.75" customHeight="1">
      <c r="B177" s="259" t="str">
        <v>Steelpark_Tracker.xlsx</v>
      </c>
      <c r="C177" t="str">
        <v>CTs</v>
      </c>
      <c r="D177" s="132">
        <v>0</v>
      </c>
      <c r="E177" s="2">
        <v>46081</v>
      </c>
      <c r="F177" s="260">
        <v>14934</v>
      </c>
      <c r="G177" t="str">
        <v>Outstanding</v>
      </c>
      <c r="H177" s="52" t="str">
        <v>Steelpark_Tracker.xlsx | Table row 48 | CTs | Inv  | Col ExpenseActualTotal</v>
      </c>
    </row>
    <row r="178" spans="2:8" ht="15.75" customHeight="1">
      <c r="B178" s="259" t="str">
        <v>Steelpark_Tracker.xlsx</v>
      </c>
      <c r="C178" t="str">
        <v>Revenue Grade Meter</v>
      </c>
      <c r="D178" s="132">
        <v>0</v>
      </c>
      <c r="E178" s="2">
        <v>46081</v>
      </c>
      <c r="F178" s="260">
        <v>15000</v>
      </c>
      <c r="G178" t="str">
        <v>Outstanding</v>
      </c>
      <c r="H178" s="52" t="str">
        <v>Steelpark_Tracker.xlsx | Table row 49 | Revenue Grade Meter | Inv  | Col ExpenseActualTotal</v>
      </c>
    </row>
    <row r="179" spans="2:8" ht="15.75" customHeight="1">
      <c r="B179" s="259" t="str">
        <v>Steelpark_Tracker.xlsx</v>
      </c>
      <c r="C179" t="str">
        <v>Comms DB</v>
      </c>
      <c r="D179" s="132">
        <v>0</v>
      </c>
      <c r="E179" s="2">
        <v>46081</v>
      </c>
      <c r="F179" s="260">
        <v>24740.639999999999</v>
      </c>
      <c r="G179" t="str">
        <v>Outstanding</v>
      </c>
      <c r="H179" s="52" t="str">
        <v>Steelpark_Tracker.xlsx | Table row 57 | Comms DB | Inv  | Col ExpenseActualTotal</v>
      </c>
    </row>
    <row r="180" spans="2:8" ht="15.75" customHeight="1">
      <c r="B180" s="259" t="str">
        <v>Steelpark_Tracker.xlsx</v>
      </c>
      <c r="C180" t="str">
        <v>Project Kick Off</v>
      </c>
      <c r="D180" s="132">
        <v>0</v>
      </c>
      <c r="E180" s="2">
        <v>46081</v>
      </c>
      <c r="F180" s="260">
        <v>3355.7290000000003</v>
      </c>
      <c r="G180" t="str">
        <v>Outstanding</v>
      </c>
      <c r="H180" s="52" t="str">
        <v>Steelpark_Tracker.xlsx | Table row 62 | Project Kick Off | Inv  | Col ExpenseActualTotal</v>
      </c>
    </row>
    <row r="181" spans="2:8" ht="15.75" customHeight="1">
      <c r="B181" s="259" t="str">
        <v>Steelpark_Tracker.xlsx</v>
      </c>
      <c r="C181" t="str">
        <v>Site Establishment</v>
      </c>
      <c r="D181" s="132">
        <v>0</v>
      </c>
      <c r="E181" s="2">
        <v>46081</v>
      </c>
      <c r="F181" s="260">
        <v>5033.5934999999999</v>
      </c>
      <c r="G181" t="str">
        <v>Outstanding</v>
      </c>
      <c r="H181" s="52" t="str">
        <v>Steelpark_Tracker.xlsx | Table row 63 | Site Establishment | Inv  | Col ExpenseActualTotal</v>
      </c>
    </row>
    <row r="182" spans="2:8" ht="15.75" customHeight="1">
      <c r="B182" s="259" t="str">
        <v>Steelpark_Tracker.xlsx</v>
      </c>
      <c r="C182" t="str">
        <v>Project Kick Off</v>
      </c>
      <c r="D182" s="132">
        <v>0</v>
      </c>
      <c r="E182" s="2">
        <v>46081</v>
      </c>
      <c r="F182" s="260">
        <v>11922.819</v>
      </c>
      <c r="G182" t="str">
        <v>Outstanding</v>
      </c>
      <c r="H182" s="52" t="str">
        <v>Steelpark_Tracker.xlsx | Table row 94 | Project Kick Off | Inv  | Col ExpenseActualTotal</v>
      </c>
    </row>
    <row r="183" spans="2:8" ht="15.75" customHeight="1">
      <c r="B183" s="187" t="str">
        <v>Steelpark_Tracker.xlsx</v>
      </c>
      <c r="C183" s="52" t="str">
        <v>Site Establishment</v>
      </c>
      <c r="D183" s="184">
        <v>0</v>
      </c>
      <c r="E183" s="50">
        <v>46081</v>
      </c>
      <c r="F183" s="112">
        <v>17884.228500000001</v>
      </c>
      <c r="G183" s="52" t="str">
        <v>Outstanding</v>
      </c>
      <c r="H183" s="52" t="str">
        <v>Steelpark_Tracker.xlsx | Table row 95 | Site Establishment | Inv  | Col ExpenseActualTotal</v>
      </c>
    </row>
    <row r="184" spans="2:8" ht="15.75" customHeight="1">
      <c r="B184" s="187" t="str">
        <v>Steelpark_Tracker.xlsx</v>
      </c>
      <c r="C184" s="52" t="str">
        <v>Project Kick Off</v>
      </c>
      <c r="D184" s="184">
        <v>0</v>
      </c>
      <c r="E184" s="50">
        <v>46081</v>
      </c>
      <c r="F184" s="112">
        <v>4984.4430000000002</v>
      </c>
      <c r="G184" s="52" t="str">
        <v>Outstanding</v>
      </c>
      <c r="H184" s="52" t="str">
        <v>Steelpark_Tracker.xlsx | Table row 110 | Project Kick Off | Inv  | Col ExpenseActualTotal</v>
      </c>
    </row>
    <row r="185" spans="2:8" ht="15.75" customHeight="1">
      <c r="B185" s="187" t="str">
        <v>Steelpark_Tracker.xlsx</v>
      </c>
      <c r="C185" s="52" t="str">
        <v>Site Establishment</v>
      </c>
      <c r="D185" s="184">
        <v>0</v>
      </c>
      <c r="E185" s="50">
        <v>46081</v>
      </c>
      <c r="F185" s="112">
        <v>7476.6644999999999</v>
      </c>
      <c r="G185" s="52" t="str">
        <v>Outstanding</v>
      </c>
      <c r="H185" s="52" t="str">
        <v>Steelpark_Tracker.xlsx | Table row 111 | Site Establishment | Inv  | Col ExpenseActualTotal</v>
      </c>
    </row>
    <row r="186" spans="2:8" ht="15.75" customHeight="1">
      <c r="B186" s="187" t="str">
        <v>Steelpark_Tracker.xlsx</v>
      </c>
      <c r="C186" s="52" t="str">
        <v>Scada for CoCT</v>
      </c>
      <c r="D186" s="184">
        <v>0</v>
      </c>
      <c r="E186" s="50">
        <v>46081</v>
      </c>
      <c r="F186" s="112">
        <v>50000</v>
      </c>
      <c r="G186" s="52" t="str">
        <v>Outstanding</v>
      </c>
      <c r="H186" s="52" t="str">
        <v>Steelpark_Tracker.xlsx | Table row 124 | Scada for CoCT | Inv  | Col ExpenseActualTotal</v>
      </c>
    </row>
    <row r="187" spans="2:8" ht="15.75" customHeight="1">
      <c r="B187" s="187" t="str">
        <v>Steelpark_Tracker.xlsx</v>
      </c>
      <c r="C187" s="52" t="str">
        <v>Travel</v>
      </c>
      <c r="D187" s="184">
        <v>0</v>
      </c>
      <c r="E187" s="50">
        <v>46081</v>
      </c>
      <c r="F187" s="112">
        <v>525</v>
      </c>
      <c r="G187" s="52" t="str">
        <v>Outstanding</v>
      </c>
      <c r="H187" s="52" t="str">
        <v>Steelpark_Tracker.xlsx | Table row 139 | Travel | Inv  | Col ExpenseActualTotal</v>
      </c>
    </row>
    <row r="188" spans="2:8" ht="15.75" customHeight="1">
      <c r="B188" s="187" t="str">
        <v>Superspar Ph2_Tracker.xlsx</v>
      </c>
      <c r="C188" s="52" t="str">
        <v>AC Installation Complete</v>
      </c>
      <c r="D188" s="184">
        <v>0</v>
      </c>
      <c r="E188" s="50">
        <v>46081</v>
      </c>
      <c r="F188" s="112">
        <v>7869</v>
      </c>
      <c r="G188" s="52" t="str">
        <v>Outstanding</v>
      </c>
      <c r="H188" s="52" t="str">
        <v>Superspar Ph2_Tracker.xlsx | Table row 37 | AC Installation Complete | Inv  | Col ExpenseActualTotal</v>
      </c>
    </row>
    <row r="189" spans="2:8" ht="15.75" customHeight="1">
      <c r="B189" s="187" t="str">
        <v>Superspar Ph2_Tracker.xlsx</v>
      </c>
      <c r="C189" s="52" t="str">
        <v>DC Installation Complete</v>
      </c>
      <c r="D189" s="184">
        <v>0</v>
      </c>
      <c r="E189" s="50">
        <v>46081</v>
      </c>
      <c r="F189" s="112">
        <v>9836.25</v>
      </c>
      <c r="G189" s="52" t="str">
        <v>Outstanding</v>
      </c>
      <c r="H189" s="52" t="str">
        <v>Superspar Ph2_Tracker.xlsx | Table row 38 | DC Installation Complete | Inv  | Col ExpenseActualTotal</v>
      </c>
    </row>
    <row r="190" spans="2:8" ht="15.75" customHeight="1">
      <c r="B190" s="187" t="str">
        <v>Superspar Ph2_Tracker.xlsx</v>
      </c>
      <c r="C190" s="52" t="str">
        <v>Commissioning Complete</v>
      </c>
      <c r="D190" s="184">
        <v>0</v>
      </c>
      <c r="E190" s="50">
        <v>46081</v>
      </c>
      <c r="F190" s="112">
        <v>3934.5</v>
      </c>
      <c r="G190" s="52" t="str">
        <v>Outstanding</v>
      </c>
      <c r="H190" s="52" t="str">
        <v>Superspar Ph2_Tracker.xlsx | Table row 39 | Commissioning Complete | Inv  | Col ExpenseActualTotal</v>
      </c>
    </row>
    <row r="191" spans="2:8" ht="15.75" customHeight="1">
      <c r="B191" s="209" t="str">
        <v>Superspar Ph2_Tracker.xlsx</v>
      </c>
      <c r="C191" s="52" t="str">
        <v>Site De-establisment</v>
      </c>
      <c r="D191" s="184">
        <v>0</v>
      </c>
      <c r="E191" s="50">
        <v>46081</v>
      </c>
      <c r="F191" s="112">
        <v>3934.5</v>
      </c>
      <c r="G191" s="52" t="str">
        <v>Outstanding</v>
      </c>
      <c r="H191" s="52" t="str">
        <v>Superspar Ph2_Tracker.xlsx | Table row 40 | Site De-establisment | Inv  | Col ExpenseActualTotal</v>
      </c>
    </row>
    <row r="192" spans="2:8" ht="15.75" customHeight="1">
      <c r="B192" s="187" t="str">
        <v>Superspar Ph2_Tracker.xlsx</v>
      </c>
      <c r="C192" s="52" t="str">
        <v>Handover Document Complete</v>
      </c>
      <c r="D192" s="184">
        <v>0</v>
      </c>
      <c r="E192" s="50">
        <v>46081</v>
      </c>
      <c r="F192" s="112">
        <v>1967.25</v>
      </c>
      <c r="G192" s="52" t="str">
        <v>Outstanding</v>
      </c>
      <c r="H192" s="52" t="str">
        <v>Superspar Ph2_Tracker.xlsx | Table row 41 | Handover Document Complete | Inv  | Col ExpenseActualTotal</v>
      </c>
    </row>
    <row r="193" spans="2:8" ht="15.75" customHeight="1">
      <c r="B193" s="187" t="str">
        <v>Superspar Ph2_Tracker.xlsx</v>
      </c>
      <c r="C193" s="52" t="str">
        <v>Techsitter Meter</v>
      </c>
      <c r="D193" s="184">
        <v>0</v>
      </c>
      <c r="E193" s="50">
        <v>46081</v>
      </c>
      <c r="F193" s="112">
        <v>11169</v>
      </c>
      <c r="G193" s="52" t="str">
        <v>Outstanding</v>
      </c>
      <c r="H193" s="52" t="str">
        <v>Superspar Ph2_Tracker.xlsx | Table row 47 | Techsitter Meter | Inv  | Col ExpenseActualTotal</v>
      </c>
    </row>
    <row r="194" spans="2:8" ht="15.75" customHeight="1">
      <c r="B194" s="187" t="str">
        <v>Superspar Ph2_Tracker.xlsx</v>
      </c>
      <c r="C194" s="52" t="str">
        <v>AC Installation Complete</v>
      </c>
      <c r="D194" s="184">
        <v>0</v>
      </c>
      <c r="E194" s="50">
        <v>46081</v>
      </c>
      <c r="F194" s="112">
        <v>12590.4</v>
      </c>
      <c r="G194" s="52" t="str">
        <v>Outstanding</v>
      </c>
      <c r="H194" s="52" t="str">
        <v>Superspar Ph2_Tracker.xlsx | Table row 63 | AC Installation Complete | Inv  | Col ExpenseActualTotal</v>
      </c>
    </row>
    <row r="195" spans="2:8" ht="15.75" customHeight="1">
      <c r="B195" s="187" t="str">
        <v>Superspar Ph2_Tracker.xlsx</v>
      </c>
      <c r="C195" s="52" t="str">
        <v>DC Installation Complete</v>
      </c>
      <c r="D195" s="184">
        <v>0</v>
      </c>
      <c r="E195" s="50">
        <v>46081</v>
      </c>
      <c r="F195" s="112">
        <v>15738</v>
      </c>
      <c r="G195" s="52" t="str">
        <v>Outstanding</v>
      </c>
      <c r="H195" s="52" t="str">
        <v>Superspar Ph2_Tracker.xlsx | Table row 64 | DC Installation Complete | Inv  | Col ExpenseActualTotal</v>
      </c>
    </row>
    <row r="196" spans="2:8" ht="15.75" customHeight="1">
      <c r="B196" s="187" t="str">
        <v>Superspar Ph2_Tracker.xlsx</v>
      </c>
      <c r="C196" s="52" t="str">
        <v>Commissioning Complete</v>
      </c>
      <c r="D196" s="184">
        <v>0</v>
      </c>
      <c r="E196" s="50">
        <v>46081</v>
      </c>
      <c r="F196" s="112">
        <v>6295.2000000000007</v>
      </c>
      <c r="G196" s="52" t="str">
        <v>Outstanding</v>
      </c>
      <c r="H196" s="52" t="str">
        <v>Superspar Ph2_Tracker.xlsx | Table row 65 | Commissioning Complete | Inv  | Col ExpenseActualTotal</v>
      </c>
    </row>
    <row r="197" spans="2:8" ht="15.75" customHeight="1">
      <c r="B197" s="187" t="str">
        <v>Superspar Ph2_Tracker.xlsx</v>
      </c>
      <c r="C197" s="52" t="str">
        <v>Site De-establisment</v>
      </c>
      <c r="D197" s="184">
        <v>0</v>
      </c>
      <c r="E197" s="50">
        <v>46081</v>
      </c>
      <c r="F197" s="112">
        <v>6295.2000000000007</v>
      </c>
      <c r="G197" s="52" t="str">
        <v>Outstanding</v>
      </c>
      <c r="H197" s="52" t="str">
        <v>Superspar Ph2_Tracker.xlsx | Table row 66 | Site De-establisment | Inv  | Col ExpenseActualTotal</v>
      </c>
    </row>
    <row r="198" spans="2:8" ht="15.75" customHeight="1">
      <c r="B198" s="187" t="str">
        <v>Superspar Ph2_Tracker.xlsx</v>
      </c>
      <c r="C198" s="52" t="str">
        <v>Handover Document Complete</v>
      </c>
      <c r="D198" s="184">
        <v>0</v>
      </c>
      <c r="E198" s="50">
        <v>46081</v>
      </c>
      <c r="F198" s="112">
        <v>3147.6000000000004</v>
      </c>
      <c r="G198" s="52" t="str">
        <v>Outstanding</v>
      </c>
      <c r="H198" s="52" t="str">
        <v>Superspar Ph2_Tracker.xlsx | Table row 67 | Handover Document Complete | Inv  | Col ExpenseActualTotal</v>
      </c>
    </row>
    <row r="199" spans="2:8" ht="15.75" customHeight="1">
      <c r="B199" s="187" t="str">
        <v>Superspar Ph2_Tracker.xlsx</v>
      </c>
      <c r="C199" s="52" t="str">
        <v>O&amp;M Performance Monitoring &amp; Advisory Ph1 and Ph2 included</v>
      </c>
      <c r="D199" s="184">
        <v>0</v>
      </c>
      <c r="E199" s="50">
        <v>46081</v>
      </c>
      <c r="F199" s="112">
        <v>34428</v>
      </c>
      <c r="G199" s="52" t="str">
        <v>Outstanding</v>
      </c>
      <c r="H199" s="52" t="str">
        <v>Superspar Ph2_Tracker.xlsx | Table row 82 | O&amp;M Performance Monitoring &amp; Advisory Ph1 and Ph2 included | Inv  | Col ExpenseActualTotal</v>
      </c>
    </row>
    <row r="200" spans="2:8" ht="15.75" customHeight="1">
      <c r="B200" s="187" t="str">
        <v>Superspar Ph2_Tracker.xlsx</v>
      </c>
      <c r="C200" s="52" t="str">
        <v>AC Installation Complete</v>
      </c>
      <c r="D200" s="184">
        <v>0</v>
      </c>
      <c r="E200" s="50">
        <v>46081</v>
      </c>
      <c r="F200" s="112">
        <v>27069.360000000001</v>
      </c>
      <c r="G200" s="52" t="str">
        <v>Outstanding</v>
      </c>
      <c r="H200" s="52" t="str">
        <v>Superspar Ph2_Tracker.xlsx | Table row 95 | AC Installation Complete | Inv  | Col ExpenseActualTotal</v>
      </c>
    </row>
    <row r="201" spans="2:8" ht="15.75" customHeight="1">
      <c r="B201" s="187" t="str">
        <v>Superspar Ph2_Tracker.xlsx</v>
      </c>
      <c r="C201" s="52" t="str">
        <v>DC Installation Complete</v>
      </c>
      <c r="D201" s="184">
        <v>0</v>
      </c>
      <c r="E201" s="50">
        <v>46081</v>
      </c>
      <c r="F201" s="112">
        <v>33836.699999999997</v>
      </c>
      <c r="G201" s="52" t="str">
        <v>Outstanding</v>
      </c>
      <c r="H201" s="52" t="str">
        <v>Superspar Ph2_Tracker.xlsx | Table row 96 | DC Installation Complete | Inv  | Col ExpenseActualTotal</v>
      </c>
    </row>
    <row r="202" spans="2:8" ht="15.75" customHeight="1">
      <c r="B202" s="187" t="str">
        <v>Superspar Ph2_Tracker.xlsx</v>
      </c>
      <c r="C202" s="52" t="str">
        <v>Commissioning Complete</v>
      </c>
      <c r="D202" s="184">
        <v>0</v>
      </c>
      <c r="E202" s="50">
        <v>46081</v>
      </c>
      <c r="F202" s="112">
        <v>13534.68</v>
      </c>
      <c r="G202" s="52" t="str">
        <v>Outstanding</v>
      </c>
      <c r="H202" s="52" t="str">
        <v>Superspar Ph2_Tracker.xlsx | Table row 97 | Commissioning Complete | Inv  | Col ExpenseActualTotal</v>
      </c>
    </row>
    <row r="203" spans="2:8" ht="15.75" customHeight="1">
      <c r="B203" s="187" t="str">
        <v>Superspar Ph2_Tracker.xlsx</v>
      </c>
      <c r="C203" s="52" t="str">
        <v>Site De-establisment</v>
      </c>
      <c r="D203" s="184">
        <v>0</v>
      </c>
      <c r="E203" s="50">
        <v>46081</v>
      </c>
      <c r="F203" s="112">
        <v>13534.68</v>
      </c>
      <c r="G203" s="52" t="str">
        <v>Outstanding</v>
      </c>
      <c r="H203" s="52" t="str">
        <v>Superspar Ph2_Tracker.xlsx | Table row 98 | Site De-establisment | Inv  | Col ExpenseActualTotal</v>
      </c>
    </row>
    <row r="204" spans="2:8" ht="15.75" customHeight="1">
      <c r="B204" s="187" t="str">
        <v>Superspar Ph2_Tracker.xlsx</v>
      </c>
      <c r="C204" s="52" t="str">
        <v>Handover Document Complete</v>
      </c>
      <c r="D204" s="184">
        <v>0</v>
      </c>
      <c r="E204" s="50">
        <v>46081</v>
      </c>
      <c r="F204" s="112">
        <v>6767.34</v>
      </c>
      <c r="G204" s="52" t="str">
        <v>Outstanding</v>
      </c>
      <c r="H204" s="52" t="str">
        <v>Superspar Ph2_Tracker.xlsx | Table row 99 | Handover Document Complete | Inv  | Col ExpenseActualTotal</v>
      </c>
    </row>
    <row r="205" spans="2:8" ht="15.75" customHeight="1">
      <c r="B205" s="209" t="str">
        <v>Superspar Ph2_Tracker.xlsx</v>
      </c>
      <c r="C205" s="52" t="str">
        <v>AC Installation Complete</v>
      </c>
      <c r="D205" s="184">
        <v>0</v>
      </c>
      <c r="E205" s="50">
        <v>46081</v>
      </c>
      <c r="F205" s="112">
        <v>4462.3599999999997</v>
      </c>
      <c r="G205" s="52" t="str">
        <v>Outstanding</v>
      </c>
      <c r="H205" s="52" t="str">
        <v>Superspar Ph2_Tracker.xlsx | Table row 111 | AC Installation Complete | Inv  | Col ExpenseActualTotal</v>
      </c>
    </row>
    <row r="206" spans="2:8" ht="15.75" customHeight="1">
      <c r="B206" s="187" t="str">
        <v>Superspar Ph2_Tracker.xlsx</v>
      </c>
      <c r="C206" s="52" t="str">
        <v>DC Installation Complete</v>
      </c>
      <c r="D206" s="184">
        <v>0</v>
      </c>
      <c r="E206" s="50">
        <v>46081</v>
      </c>
      <c r="F206" s="112">
        <v>5577.95</v>
      </c>
      <c r="G206" s="52" t="str">
        <v>Outstanding</v>
      </c>
      <c r="H206" s="52" t="str">
        <v>Superspar Ph2_Tracker.xlsx | Table row 112 | DC Installation Complete | Inv  | Col ExpenseActualTotal</v>
      </c>
    </row>
    <row r="207" spans="2:8" ht="15.75" customHeight="1">
      <c r="B207" s="187" t="str">
        <v>Superspar Ph2_Tracker.xlsx</v>
      </c>
      <c r="C207" s="52" t="str">
        <v>Commissioning Complete</v>
      </c>
      <c r="D207" s="184">
        <v>0</v>
      </c>
      <c r="E207" s="50">
        <v>46081</v>
      </c>
      <c r="F207" s="112">
        <v>2231.1799999999998</v>
      </c>
      <c r="G207" s="52" t="str">
        <v>Outstanding</v>
      </c>
      <c r="H207" s="52" t="str">
        <v>Superspar Ph2_Tracker.xlsx | Table row 113 | Commissioning Complete | Inv  | Col ExpenseActualTotal</v>
      </c>
    </row>
    <row r="208" spans="2:8" ht="15.75" customHeight="1">
      <c r="B208" s="209" t="str">
        <v>Superspar Ph2_Tracker.xlsx</v>
      </c>
      <c r="C208" s="52" t="str">
        <v>Site De-establisment</v>
      </c>
      <c r="D208" s="184">
        <v>0</v>
      </c>
      <c r="E208" s="50">
        <v>46081</v>
      </c>
      <c r="F208" s="112">
        <v>2231.1799999999998</v>
      </c>
      <c r="G208" s="52" t="str">
        <v>Outstanding</v>
      </c>
      <c r="H208" s="52" t="str">
        <v>Superspar Ph2_Tracker.xlsx | Table row 114 | Site De-establisment | Inv  | Col ExpenseActualTotal</v>
      </c>
    </row>
    <row r="209" spans="2:8" ht="15.75" customHeight="1">
      <c r="B209" s="187" t="str">
        <v>Superspar Ph2_Tracker.xlsx</v>
      </c>
      <c r="C209" s="52" t="str">
        <v>Handover Document Complete</v>
      </c>
      <c r="D209" s="184">
        <v>0</v>
      </c>
      <c r="E209" s="50">
        <v>46081</v>
      </c>
      <c r="F209" s="112">
        <v>1115.5899999999999</v>
      </c>
      <c r="G209" s="52" t="str">
        <v>Outstanding</v>
      </c>
      <c r="H209" s="52" t="str">
        <v>Superspar Ph2_Tracker.xlsx | Table row 115 | Handover Document Complete | Inv  | Col ExpenseActualTotal</v>
      </c>
    </row>
    <row r="210" spans="2:8" ht="15.75" customHeight="1">
      <c r="B210" s="187" t="str">
        <v>Superspar Ph2_Tracker.xlsx</v>
      </c>
      <c r="C210" s="52" t="str">
        <v>Electrical PrEng sign off</v>
      </c>
      <c r="D210" s="184">
        <v>0</v>
      </c>
      <c r="E210" s="50">
        <v>46081</v>
      </c>
      <c r="F210" s="112">
        <v>12577.5</v>
      </c>
      <c r="G210" s="52" t="str">
        <v>Outstanding</v>
      </c>
      <c r="H210" s="52" t="str">
        <v>Superspar Ph2_Tracker.xlsx | Table row 121 | Electrical PrEng sign off | Inv  | Col ExpenseActualTotal</v>
      </c>
    </row>
    <row r="211" spans="2:8" ht="15.75" customHeight="1">
      <c r="B211" s="209" t="str">
        <v>Superspar Ph2_Tracker.xlsx</v>
      </c>
      <c r="C211" s="52" t="str">
        <v>Red Team Inspection</v>
      </c>
      <c r="D211" s="184">
        <v>0</v>
      </c>
      <c r="E211" s="50">
        <v>46081</v>
      </c>
      <c r="F211" s="112">
        <v>6000</v>
      </c>
      <c r="G211" s="52" t="str">
        <v>Outstanding</v>
      </c>
      <c r="H211" s="52" t="str">
        <v>Superspar Ph2_Tracker.xlsx | Table row 124 | Red Team Inspection | Inv  | Col ExpenseActualTotal</v>
      </c>
    </row>
    <row r="212" spans="2:8" ht="15.75" customHeight="1">
      <c r="B212" s="187" t="str">
        <v>Superspar Ph2_Tracker.xlsx</v>
      </c>
      <c r="C212" s="52" t="str">
        <v>Travel</v>
      </c>
      <c r="D212" s="184">
        <v>0</v>
      </c>
      <c r="E212" s="50">
        <v>46081</v>
      </c>
      <c r="F212" s="112">
        <v>656.25</v>
      </c>
      <c r="G212" s="52" t="str">
        <v>Outstanding</v>
      </c>
      <c r="H212" s="52" t="str">
        <v>Superspar Ph2_Tracker.xlsx | Table row 140 | Travel | Inv  | Col ExpenseActualTotal</v>
      </c>
    </row>
    <row r="213" spans="2:8" ht="15.75" customHeight="1">
      <c r="B213" s="187" t="str">
        <v>Superspar Ph2_Tracker.xlsx</v>
      </c>
      <c r="C213" s="52" t="str">
        <v>Inverter Cage - VO</v>
      </c>
      <c r="D213" s="184">
        <v>0</v>
      </c>
      <c r="E213" s="50">
        <v>46081</v>
      </c>
      <c r="F213" s="112">
        <v>3897</v>
      </c>
      <c r="G213" s="52" t="str">
        <v>Outstanding</v>
      </c>
      <c r="H213" s="52" t="str">
        <v>Superspar Ph2_Tracker.xlsx | Table row 152 | Inverter Cage - VO | Inv  | Col ExpenseActualTotal</v>
      </c>
    </row>
    <row r="214" spans="2:8" ht="15.75" customHeight="1">
      <c r="B214" s="187" t="str">
        <v>Swellengrebel_Tracker.xlsx</v>
      </c>
      <c r="C214" s="52" t="str">
        <v>Travel</v>
      </c>
      <c r="D214" s="184">
        <v>0</v>
      </c>
      <c r="E214" s="50">
        <v>46081</v>
      </c>
      <c r="F214" s="112">
        <v>3123.75</v>
      </c>
      <c r="G214" s="52" t="str">
        <v>Outstanding</v>
      </c>
      <c r="H214" s="52" t="str">
        <v>Swellengrebel_Tracker.xlsx | Table row 134 | Travel | Inv  | Col ExpenseActualTotal</v>
      </c>
    </row>
    <row r="215" spans="2:8" ht="15.75" customHeight="1">
      <c r="B215" s="187" t="str">
        <v>Topsteel_Tracker.xlsx</v>
      </c>
      <c r="C215" s="52" t="str">
        <v>Revenue Grade Meter</v>
      </c>
      <c r="D215" s="184">
        <v>0</v>
      </c>
      <c r="E215" s="50">
        <v>46081</v>
      </c>
      <c r="F215" s="112">
        <v>15000</v>
      </c>
      <c r="G215" s="52" t="str">
        <v>Outstanding</v>
      </c>
      <c r="H215" s="52" t="str">
        <v>Topsteel_Tracker.xlsx | Table row 46 | Revenue Grade Meter | Inv  | Col ExpenseActualTotal</v>
      </c>
    </row>
    <row r="216" spans="2:8" ht="15.75" customHeight="1">
      <c r="B216" s="187" t="str">
        <v>Topsteel_Tracker.xlsx</v>
      </c>
      <c r="C216" s="52" t="str">
        <v>PVDB</v>
      </c>
      <c r="D216" s="184">
        <v>0</v>
      </c>
      <c r="E216" s="50">
        <v>46081</v>
      </c>
      <c r="F216" s="112">
        <v>83351.62</v>
      </c>
      <c r="G216" s="52" t="str">
        <v>Outstanding</v>
      </c>
      <c r="H216" s="52" t="str">
        <v>Topsteel_Tracker.xlsx | Table row 53 | PVDB | Inv  | Col ExpenseActualTotal</v>
      </c>
    </row>
    <row r="217" spans="2:8" ht="15.75" customHeight="1">
      <c r="B217" s="187" t="str">
        <v>Topsteel_Tracker.xlsx</v>
      </c>
      <c r="C217" s="52" t="str">
        <v>Travel</v>
      </c>
      <c r="D217" s="184">
        <v>0</v>
      </c>
      <c r="E217" s="50">
        <v>46081</v>
      </c>
      <c r="F217" s="112">
        <v>1181.25</v>
      </c>
      <c r="G217" s="52" t="str">
        <v>Outstanding</v>
      </c>
      <c r="H217" s="52" t="str">
        <v>Topsteel_Tracker.xlsx | Table row 136 | Travel | Inv  | Col ExpenseActualTotal</v>
      </c>
    </row>
    <row r="218" spans="2:8" ht="15.75" customHeight="1">
      <c r="B218" s="187" t="str">
        <v>Tsakana Corner_Tracker.xlsx</v>
      </c>
      <c r="C218" s="52" t="str">
        <v>Red Team Inspection</v>
      </c>
      <c r="D218" s="184">
        <v>0</v>
      </c>
      <c r="E218" s="50">
        <v>46081</v>
      </c>
      <c r="F218" s="112">
        <v>6000</v>
      </c>
      <c r="G218" s="52" t="str">
        <v>Outstanding</v>
      </c>
      <c r="H218" s="52" t="str">
        <v>Tsakana Corner_Tracker.xlsx | Table row 129 | Red Team Inspection | Inv  | Col ExpenseActualTotal</v>
      </c>
    </row>
    <row r="219" spans="2:8" ht="15.75" customHeight="1">
      <c r="B219" s="187" t="str">
        <v>Tsakana Corner_Tracker.xlsx</v>
      </c>
      <c r="C219" s="52" t="str">
        <v>Matriarch Defects Period - 1.25%</v>
      </c>
      <c r="D219" s="184">
        <v>0</v>
      </c>
      <c r="E219" s="50">
        <v>46081</v>
      </c>
      <c r="F219" s="112">
        <v>33706.8125</v>
      </c>
      <c r="G219" s="52" t="str">
        <v>Outstanding</v>
      </c>
      <c r="H219" s="52" t="str">
        <v>Tsakana Corner_Tracker.xlsx | Table row 136 | Matriarch Defects Period - 1.25% | Inv  | Col ExpenseActualTotal</v>
      </c>
    </row>
    <row r="220" spans="2:8" ht="15.75" customHeight="1">
      <c r="B220" s="187" t="str">
        <v>Tsakana Corner_Tracker.xlsx</v>
      </c>
      <c r="C220" s="52">
        <v>0</v>
      </c>
      <c r="D220" s="184">
        <v>0</v>
      </c>
      <c r="E220" s="50">
        <v>46081</v>
      </c>
      <c r="F220" s="112">
        <v>700</v>
      </c>
      <c r="G220" s="52" t="str">
        <v>Outstanding</v>
      </c>
      <c r="H220" s="52" t="str">
        <v>Tsakana Corner_Tracker.xlsx | Table row 153 |  | Inv  | Col ExpenseActualTotal</v>
      </c>
    </row>
    <row r="221" spans="2:8" ht="15.75" customHeight="1">
      <c r="B221" s="187" t="str">
        <v>Upper_East_Side_Hotel_Tracker.xlsx</v>
      </c>
      <c r="C221" s="52" t="str">
        <v>Mid Clamps</v>
      </c>
      <c r="D221" s="184">
        <v>0</v>
      </c>
      <c r="E221" s="50">
        <v>46081</v>
      </c>
      <c r="F221" s="112">
        <v>1300</v>
      </c>
      <c r="G221" s="52" t="str">
        <v>Outstanding</v>
      </c>
      <c r="H221" s="52" t="str">
        <v>Upper_East_Side_Hotel_Tracker.xlsx | Table row 23 | Mid Clamps | Inv  | Col ExpenseActualTotal</v>
      </c>
    </row>
    <row r="222" spans="2:8" ht="15.75" customHeight="1">
      <c r="B222" s="187" t="str">
        <v>Upper_East_Side_Hotel_Tracker.xlsx</v>
      </c>
      <c r="C222" s="52" t="str">
        <v>Data Manager</v>
      </c>
      <c r="D222" s="184">
        <v>0</v>
      </c>
      <c r="E222" s="50">
        <v>46081</v>
      </c>
      <c r="F222" s="112">
        <v>36324.44</v>
      </c>
      <c r="G222" s="52" t="str">
        <v>Outstanding</v>
      </c>
      <c r="H222" s="52" t="str">
        <v>Upper_East_Side_Hotel_Tracker.xlsx | Table row 44 | Data Manager | Inv  | Col ExpenseActualTotal</v>
      </c>
    </row>
    <row r="223" spans="2:8" ht="15.75" customHeight="1">
      <c r="B223" s="187" t="str">
        <v>Upper_East_Side_Hotel_Tracker.xlsx</v>
      </c>
      <c r="C223" s="52" t="str">
        <v>Electrical PrEng sign off</v>
      </c>
      <c r="D223" s="184">
        <v>0</v>
      </c>
      <c r="E223" s="50">
        <v>46081</v>
      </c>
      <c r="F223" s="112">
        <v>11349</v>
      </c>
      <c r="G223" s="52" t="str">
        <v>Outstanding</v>
      </c>
      <c r="H223" s="52" t="str">
        <v>Upper_East_Side_Hotel_Tracker.xlsx | Table row 125 | Electrical PrEng sign off | Inv  | Col ExpenseActualTotal</v>
      </c>
    </row>
    <row r="224" spans="2:8" ht="15.75" customHeight="1">
      <c r="B224" s="187" t="str">
        <v>Upper_East_Side_Hotel_Tracker.xlsx</v>
      </c>
      <c r="C224" s="52" t="str">
        <v>Red Team</v>
      </c>
      <c r="D224" s="184">
        <v>0</v>
      </c>
      <c r="E224" s="50">
        <v>46081</v>
      </c>
      <c r="F224" s="112">
        <v>8000</v>
      </c>
      <c r="G224" s="52" t="str">
        <v>Outstanding</v>
      </c>
      <c r="H224" s="52" t="str">
        <v>Upper_East_Side_Hotel_Tracker.xlsx | Table row 128 | Red Team | Inv  | Col ExpenseActualTotal</v>
      </c>
    </row>
    <row r="225" spans="2:8" ht="15.75" customHeight="1">
      <c r="B225" s="187" t="str">
        <v>Upper_East_Side_Hotel_Tracker.xlsx</v>
      </c>
      <c r="C225" s="52" t="str">
        <v>Matriarch Defects Period - 1.25%</v>
      </c>
      <c r="D225" s="184">
        <v>0</v>
      </c>
      <c r="E225" s="50">
        <v>46081</v>
      </c>
      <c r="F225" s="112">
        <v>58003.7235</v>
      </c>
      <c r="G225" s="52" t="str">
        <v>Outstanding</v>
      </c>
      <c r="H225" s="52" t="str">
        <v>Upper_East_Side_Hotel_Tracker.xlsx | Table row 134 | Matriarch Defects Period - 1.25% | Inv  | Col ExpenseActualTotal</v>
      </c>
    </row>
    <row r="226" spans="2:8" ht="15.75" customHeight="1">
      <c r="B226" s="187" t="str">
        <v>Upper_East_Side_Hotel_Tracker.xlsx</v>
      </c>
      <c r="C226" s="52" t="str">
        <v>Management</v>
      </c>
      <c r="D226" s="184">
        <v>0</v>
      </c>
      <c r="E226" s="50">
        <v>46081</v>
      </c>
      <c r="F226" s="112">
        <v>32000</v>
      </c>
      <c r="G226" s="52" t="str">
        <v>Outstanding</v>
      </c>
      <c r="H226" s="52" t="str">
        <v>Upper_East_Side_Hotel_Tracker.xlsx | Table row 135 | Management | Inv  | Col ExpenseActualTotal</v>
      </c>
    </row>
    <row r="227" spans="2:8" ht="15.75" customHeight="1">
      <c r="B227" s="187" t="str">
        <v>Upper_East_Side_Hotel_Tracker.xlsx</v>
      </c>
      <c r="C227" s="52" t="str">
        <v xml:space="preserve">Project manager </v>
      </c>
      <c r="D227" s="184">
        <v>0</v>
      </c>
      <c r="E227" s="50">
        <v>46081</v>
      </c>
      <c r="F227" s="112">
        <v>81600</v>
      </c>
      <c r="G227" s="52" t="str">
        <v>Outstanding</v>
      </c>
      <c r="H227" s="52" t="str">
        <v>Upper_East_Side_Hotel_Tracker.xlsx | Table row 136 | Project manager  | Inv  | Col ExpenseActualTotal</v>
      </c>
    </row>
    <row r="228" spans="2:8" ht="15.75" customHeight="1">
      <c r="B228" s="187" t="str">
        <v>Upper_East_Side_Hotel_Tracker.xlsx</v>
      </c>
      <c r="C228" s="52" t="str">
        <v>Planner time</v>
      </c>
      <c r="D228" s="184">
        <v>0</v>
      </c>
      <c r="E228" s="50">
        <v>46081</v>
      </c>
      <c r="F228" s="112">
        <v>41600</v>
      </c>
      <c r="G228" s="52" t="str">
        <v>Outstanding</v>
      </c>
      <c r="H228" s="52" t="str">
        <v>Upper_East_Side_Hotel_Tracker.xlsx | Table row 137 | Planner time | Inv  | Col ExpenseActualTotal</v>
      </c>
    </row>
    <row r="229" spans="2:8" ht="15.75" customHeight="1">
      <c r="B229" s="187" t="str">
        <v>Upper_East_Side_Hotel_Tracker.xlsx</v>
      </c>
      <c r="C229" s="52" t="str">
        <v>De Snagging</v>
      </c>
      <c r="D229" s="184">
        <v>0</v>
      </c>
      <c r="E229" s="50">
        <v>46081</v>
      </c>
      <c r="F229" s="112">
        <v>34000</v>
      </c>
      <c r="G229" s="52" t="str">
        <v>Outstanding</v>
      </c>
      <c r="H229" s="52" t="str">
        <v>Upper_East_Side_Hotel_Tracker.xlsx | Table row 138 | De Snagging | Inv  | Col ExpenseActualTotal</v>
      </c>
    </row>
    <row r="230" spans="2:8" ht="15.75" customHeight="1">
      <c r="B230" s="187" t="str">
        <v>Upper_East_Side_Hotel_Tracker.xlsx</v>
      </c>
      <c r="C230" s="52" t="str">
        <v>Travel</v>
      </c>
      <c r="D230" s="184">
        <v>0</v>
      </c>
      <c r="E230" s="50">
        <v>46081</v>
      </c>
      <c r="F230" s="112">
        <v>780</v>
      </c>
      <c r="G230" s="52" t="str">
        <v>Outstanding</v>
      </c>
      <c r="H230" s="52" t="str">
        <v>Upper_East_Side_Hotel_Tracker.xlsx | Table row 151 | Travel | Inv  | Col ExpenseActualTotal</v>
      </c>
    </row>
    <row r="231" spans="2:8" ht="15.75" customHeight="1">
      <c r="B231" s="187" t="str">
        <v>Waterside_Tracker.xlsx</v>
      </c>
      <c r="C231" s="52" t="str">
        <v>Matriarch Defects Period - 1.25%</v>
      </c>
      <c r="D231" s="184">
        <v>0</v>
      </c>
      <c r="E231" s="50">
        <v>46081</v>
      </c>
      <c r="F231" s="112">
        <v>10354.590569768076</v>
      </c>
      <c r="G231" s="52" t="str">
        <v>Outstanding</v>
      </c>
      <c r="H231" s="52" t="str">
        <v>Waterside_Tracker.xlsx | Table row 127 | Matriarch Defects Period - 1.25% | Inv  | Col ExpenseActualTotal</v>
      </c>
    </row>
    <row r="232" spans="2:8" ht="15.75" customHeight="1">
      <c r="B232" s="187" t="str">
        <v>Waterside_Tracker.xlsx</v>
      </c>
      <c r="C232" s="52" t="str">
        <v>Equipment delivery</v>
      </c>
      <c r="D232" s="184">
        <v>0</v>
      </c>
      <c r="E232" s="50">
        <v>46081</v>
      </c>
      <c r="F232" s="112">
        <v>3985</v>
      </c>
      <c r="G232" s="52" t="str">
        <v>Outstanding</v>
      </c>
      <c r="H232" s="52" t="str">
        <v>Waterside_Tracker.xlsx | Table row 148 | Equipment delivery | Inv  | Col ExpenseActualTotal</v>
      </c>
    </row>
    <row r="233" spans="2:8" ht="15.75" customHeight="1">
      <c r="B233" s="187" t="str">
        <v>Westway BESS_Tracker.xlsx</v>
      </c>
      <c r="C233" s="52" t="str">
        <v>SigenStack 50kW Hybrid Inverter</v>
      </c>
      <c r="D233" s="184">
        <v>0</v>
      </c>
      <c r="E233" s="50">
        <v>46081</v>
      </c>
      <c r="F233" s="112">
        <v>69250</v>
      </c>
      <c r="G233" s="52" t="str">
        <v>Outstanding</v>
      </c>
      <c r="H233" s="52" t="str">
        <v>Westway BESS_Tracker.xlsx | Table row 71 | SigenStack 50kW Hybrid Inverter | Inv  | Col ExpenseActualTotal</v>
      </c>
    </row>
    <row r="234" spans="2:8" ht="15.75" customHeight="1">
      <c r="B234" s="187" t="str">
        <v>Westway BESS_Tracker.xlsx</v>
      </c>
      <c r="C234" s="52" t="str">
        <v>SigenStack Battery 12kWh</v>
      </c>
      <c r="D234" s="184">
        <v>0</v>
      </c>
      <c r="E234" s="50">
        <v>46081</v>
      </c>
      <c r="F234" s="112">
        <v>308000</v>
      </c>
      <c r="G234" s="52" t="str">
        <v>Outstanding</v>
      </c>
      <c r="H234" s="52" t="str">
        <v>Westway BESS_Tracker.xlsx | Table row 72 | SigenStack Battery 12kWh | Inv  | Col ExpenseActualTotal</v>
      </c>
    </row>
    <row r="235" spans="2:8" ht="15.75" customHeight="1">
      <c r="B235" s="187" t="str">
        <v>Westway BESS_Tracker.xlsx</v>
      </c>
      <c r="C235" s="52" t="str">
        <v>Sigen Power Sensor</v>
      </c>
      <c r="D235" s="184">
        <v>0</v>
      </c>
      <c r="E235" s="50">
        <v>46081</v>
      </c>
      <c r="F235" s="112">
        <v>7300</v>
      </c>
      <c r="G235" s="52" t="str">
        <v>Outstanding</v>
      </c>
      <c r="H235" s="52" t="str">
        <v>Westway BESS_Tracker.xlsx | Table row 73 | Sigen Power Sensor | Inv  | Col ExpenseActualTotal</v>
      </c>
    </row>
    <row r="236" spans="2:8" ht="15.75" customHeight="1">
      <c r="B236" s="187" t="str">
        <v>Westway BESS_Tracker.xlsx</v>
      </c>
      <c r="C236" s="52" t="str">
        <v>SigenStack Battery controller</v>
      </c>
      <c r="D236" s="184">
        <v>0</v>
      </c>
      <c r="E236" s="50">
        <v>46081</v>
      </c>
      <c r="F236" s="112">
        <v>57800</v>
      </c>
      <c r="G236" s="52" t="str">
        <v>Outstanding</v>
      </c>
      <c r="H236" s="52" t="str">
        <v>Westway BESS_Tracker.xlsx | Table row 74 | SigenStack Battery controller | Inv  | Col ExpenseActualTotal</v>
      </c>
    </row>
    <row r="237" spans="2:8" ht="15.75" hidden="1" customHeight="1">
      <c r="B237" s="187" t="str">
        <v>Westway BESS_Tracker.xlsx</v>
      </c>
      <c r="C237" s="52" t="str">
        <v xml:space="preserve">SigenStack Accessories </v>
      </c>
      <c r="D237" s="184">
        <v>0</v>
      </c>
      <c r="E237" s="50">
        <v>46081</v>
      </c>
      <c r="F237" s="112">
        <v>29300</v>
      </c>
      <c r="G237" s="52" t="str">
        <v>Outstanding</v>
      </c>
      <c r="H237" s="52" t="str">
        <v>Westway BESS_Tracker.xlsx | Table row 75 | SigenStack Accessories  | Inv  | Col ExpenseActualTotal</v>
      </c>
    </row>
    <row r="238" spans="2:8" ht="15.75" hidden="1" customHeight="1">
      <c r="B238" s="187" t="str">
        <v>Westway BESS_Tracker.xlsx</v>
      </c>
      <c r="C238" s="52" t="str">
        <v>Installation - Deposit</v>
      </c>
      <c r="D238" s="184">
        <v>0</v>
      </c>
      <c r="E238" s="50">
        <v>46081</v>
      </c>
      <c r="F238" s="112">
        <v>30855</v>
      </c>
      <c r="G238" s="52" t="str">
        <v>Outstanding</v>
      </c>
      <c r="H238" s="52" t="str">
        <v>Westway BESS_Tracker.xlsx | Table row 77 | Installation - Deposit | Inv  | Col ExpenseActualTotal</v>
      </c>
    </row>
    <row r="239" spans="2:8" ht="15.75" hidden="1" customHeight="1">
      <c r="B239" s="187" t="str">
        <v>Westway BESS_Tracker.xlsx</v>
      </c>
      <c r="C239" s="52" t="str">
        <v>Installation - Commissioning Complete</v>
      </c>
      <c r="D239" s="184">
        <v>0</v>
      </c>
      <c r="E239" s="50">
        <v>46081</v>
      </c>
      <c r="F239" s="112">
        <v>18513</v>
      </c>
      <c r="G239" s="52" t="str">
        <v>Outstanding</v>
      </c>
      <c r="H239" s="52" t="str">
        <v>Westway BESS_Tracker.xlsx | Table row 78 | Installation - Commissioning Complete | Inv  | Col ExpenseActualTotal</v>
      </c>
    </row>
    <row r="240" spans="2:8" ht="15.75" hidden="1" customHeight="1">
      <c r="B240" s="187" t="str">
        <v>Westway BESS_Tracker.xlsx</v>
      </c>
      <c r="C240" s="52" t="str">
        <v>Installer Equipment - Deposit</v>
      </c>
      <c r="D240" s="184">
        <v>0</v>
      </c>
      <c r="E240" s="50">
        <v>46081</v>
      </c>
      <c r="F240" s="112">
        <v>32365.8685</v>
      </c>
      <c r="G240" s="52" t="str">
        <v>Outstanding</v>
      </c>
      <c r="H240" s="52" t="str">
        <v>Westway BESS_Tracker.xlsx | Table row 82 | Installer Equipment - Deposit | Inv  | Col ExpenseActualTotal</v>
      </c>
    </row>
    <row r="241" spans="2:8" ht="15.75" hidden="1" customHeight="1">
      <c r="B241" s="187" t="str">
        <v>Westway BESS_Tracker.xlsx</v>
      </c>
      <c r="C241" s="52" t="str">
        <v>Installer Equipment - Balance</v>
      </c>
      <c r="D241" s="184">
        <v>0</v>
      </c>
      <c r="E241" s="50">
        <v>46081</v>
      </c>
      <c r="F241" s="112">
        <v>19419.521100000002</v>
      </c>
      <c r="G241" s="52" t="str">
        <v>Outstanding</v>
      </c>
      <c r="H241" s="52" t="str">
        <v>Westway BESS_Tracker.xlsx | Table row 83 | Installer Equipment - Balance | Inv  | Col ExpenseActualTotal</v>
      </c>
    </row>
    <row r="242" spans="2:8" ht="15.75" hidden="1" customHeight="1">
      <c r="B242" s="187" t="str">
        <v>Westway BESS_Tracker.xlsx</v>
      </c>
      <c r="C242" s="52" t="str">
        <v>Travel</v>
      </c>
      <c r="D242" s="184">
        <v>0</v>
      </c>
      <c r="E242" s="50">
        <v>46081</v>
      </c>
      <c r="F242" s="112">
        <v>291.66666666666669</v>
      </c>
      <c r="G242" s="52" t="str">
        <v>Outstanding</v>
      </c>
      <c r="H242" s="52" t="str">
        <v>Westway BESS_Tracker.xlsx | Table row 155 | Travel | Inv  | Col ExpenseActualTotal</v>
      </c>
    </row>
    <row r="243" spans="2:8" ht="15.75" hidden="1" customHeight="1">
      <c r="B243" s="187"/>
      <c r="D243" s="184"/>
      <c r="F243" s="112"/>
    </row>
    <row r="244" spans="2:8" ht="15.75" hidden="1" customHeight="1">
      <c r="B244" s="187"/>
      <c r="D244" s="184"/>
      <c r="F244" s="112"/>
    </row>
    <row r="245" spans="2:8" ht="15.75" hidden="1" customHeight="1">
      <c r="B245" s="187"/>
      <c r="D245" s="184"/>
      <c r="F245" s="112"/>
    </row>
    <row r="246" spans="2:8" ht="15.75" hidden="1" customHeight="1">
      <c r="B246" s="187"/>
      <c r="D246" s="184"/>
      <c r="F246" s="112"/>
    </row>
    <row r="247" spans="2:8" ht="15.75" hidden="1" customHeight="1">
      <c r="B247" s="187"/>
      <c r="D247" s="184"/>
      <c r="F247" s="112"/>
    </row>
    <row r="248" spans="2:8" ht="15.75" hidden="1" customHeight="1">
      <c r="B248" s="187"/>
      <c r="D248" s="184"/>
      <c r="F248" s="112"/>
    </row>
    <row r="249" spans="2:8" ht="15.75" hidden="1" customHeight="1">
      <c r="B249" s="187"/>
      <c r="D249" s="184"/>
      <c r="F249" s="112"/>
    </row>
    <row r="250" spans="2:8" ht="15.75" hidden="1" customHeight="1">
      <c r="B250" s="187"/>
      <c r="D250" s="184"/>
      <c r="F250" s="112"/>
    </row>
    <row r="251" spans="2:8" ht="15.75" hidden="1" customHeight="1">
      <c r="B251" s="187"/>
      <c r="D251" s="184"/>
      <c r="F251" s="112"/>
    </row>
    <row r="252" spans="2:8" ht="15.75" hidden="1" customHeight="1">
      <c r="B252" s="187"/>
      <c r="D252" s="184"/>
      <c r="F252" s="112"/>
    </row>
    <row r="253" spans="2:8" ht="15.75" hidden="1" customHeight="1">
      <c r="B253" s="187"/>
      <c r="D253" s="184"/>
      <c r="F253" s="112"/>
    </row>
    <row r="254" spans="2:8" ht="15.75" hidden="1" customHeight="1">
      <c r="B254" s="187"/>
      <c r="D254" s="184"/>
      <c r="F254" s="112"/>
    </row>
    <row r="255" spans="2:8" ht="15.75" hidden="1" customHeight="1">
      <c r="B255" s="187"/>
      <c r="D255" s="184"/>
      <c r="F255" s="112"/>
    </row>
    <row r="256" spans="2:8" ht="15.75" hidden="1" customHeight="1">
      <c r="B256" s="187"/>
      <c r="D256" s="184"/>
      <c r="F256" s="112"/>
    </row>
    <row r="257" spans="2:6" ht="15.75" hidden="1" customHeight="1">
      <c r="B257" s="187"/>
      <c r="D257" s="184"/>
      <c r="F257" s="112"/>
    </row>
    <row r="258" spans="2:6" ht="15.75" hidden="1" customHeight="1">
      <c r="B258" s="187"/>
      <c r="D258" s="184"/>
      <c r="F258" s="112"/>
    </row>
    <row r="259" spans="2:6" ht="15.75" hidden="1" customHeight="1">
      <c r="B259" s="187"/>
      <c r="D259" s="184"/>
      <c r="F259" s="112"/>
    </row>
    <row r="260" spans="2:6" ht="15.75" hidden="1" customHeight="1">
      <c r="B260" s="187"/>
      <c r="D260" s="184"/>
      <c r="F260" s="112"/>
    </row>
    <row r="261" spans="2:6" ht="15.75" hidden="1" customHeight="1">
      <c r="B261" s="187"/>
      <c r="D261" s="184"/>
      <c r="F261" s="112"/>
    </row>
    <row r="262" spans="2:6" ht="15.75" hidden="1" customHeight="1">
      <c r="B262" s="187"/>
      <c r="D262" s="184"/>
      <c r="F262" s="112"/>
    </row>
    <row r="263" spans="2:6" ht="15.75" hidden="1" customHeight="1">
      <c r="B263" s="187"/>
      <c r="D263" s="184"/>
      <c r="F263" s="112"/>
    </row>
    <row r="264" spans="2:6" ht="15.75" hidden="1" customHeight="1">
      <c r="B264" s="187"/>
      <c r="D264" s="184"/>
      <c r="F264" s="112"/>
    </row>
    <row r="265" spans="2:6" ht="15.75" hidden="1" customHeight="1">
      <c r="B265" s="187"/>
      <c r="D265" s="184"/>
      <c r="F265" s="112"/>
    </row>
    <row r="266" spans="2:6" ht="15.75" hidden="1" customHeight="1">
      <c r="B266" s="187"/>
      <c r="D266" s="184"/>
      <c r="F266" s="112"/>
    </row>
    <row r="267" spans="2:6" ht="15.75" hidden="1" customHeight="1">
      <c r="B267" s="187"/>
      <c r="D267" s="184"/>
      <c r="F267" s="112"/>
    </row>
    <row r="268" spans="2:6" ht="15.75" hidden="1" customHeight="1">
      <c r="B268" s="187"/>
      <c r="D268" s="184"/>
      <c r="F268" s="112"/>
    </row>
    <row r="269" spans="2:6" ht="15.75" hidden="1" customHeight="1">
      <c r="B269" s="187"/>
      <c r="D269" s="184"/>
      <c r="F269" s="112"/>
    </row>
    <row r="270" spans="2:6" ht="15.75" hidden="1" customHeight="1">
      <c r="B270" s="187"/>
      <c r="D270" s="184"/>
      <c r="F270" s="112"/>
    </row>
    <row r="271" spans="2:6" ht="15.75" hidden="1" customHeight="1">
      <c r="B271" s="187"/>
      <c r="D271" s="184"/>
      <c r="F271" s="112"/>
    </row>
    <row r="272" spans="2:6" ht="15.75" hidden="1" customHeight="1">
      <c r="B272" s="187"/>
      <c r="D272" s="184"/>
      <c r="F272" s="112"/>
    </row>
    <row r="273" spans="1:6" ht="15.75" hidden="1" customHeight="1">
      <c r="B273" s="187"/>
      <c r="D273" s="184"/>
      <c r="F273" s="112"/>
    </row>
    <row r="274" spans="1:6" ht="15.75" hidden="1" customHeight="1">
      <c r="B274" s="187"/>
      <c r="D274" s="184"/>
      <c r="F274" s="112"/>
    </row>
    <row r="275" spans="1:6" ht="15.75" hidden="1" customHeight="1">
      <c r="A275" s="52" t="s">
        <v>143</v>
      </c>
      <c r="B275" s="187"/>
      <c r="D275" s="184"/>
      <c r="F275" s="112"/>
    </row>
    <row r="276" spans="1:6" ht="15.75" hidden="1" customHeight="1">
      <c r="B276" s="187"/>
      <c r="D276" s="184"/>
      <c r="F276" s="112"/>
    </row>
    <row r="277" spans="1:6" ht="15.75" hidden="1" customHeight="1">
      <c r="B277" s="187"/>
      <c r="D277" s="184"/>
      <c r="F277" s="112"/>
    </row>
    <row r="278" spans="1:6" ht="15.75" hidden="1" customHeight="1">
      <c r="B278" s="187"/>
      <c r="D278" s="184"/>
      <c r="F278" s="112"/>
    </row>
    <row r="279" spans="1:6" ht="15.75" hidden="1" customHeight="1">
      <c r="B279" s="187"/>
      <c r="D279" s="184"/>
      <c r="F279" s="112"/>
    </row>
    <row r="280" spans="1:6" ht="15.75" hidden="1" customHeight="1">
      <c r="B280" s="187"/>
      <c r="D280" s="184"/>
      <c r="F280" s="112"/>
    </row>
    <row r="281" spans="1:6" ht="15.75" hidden="1" customHeight="1">
      <c r="B281" s="187"/>
      <c r="D281" s="184"/>
      <c r="F281" s="112"/>
    </row>
    <row r="282" spans="1:6" ht="15.75" hidden="1" customHeight="1">
      <c r="B282" s="187"/>
      <c r="D282" s="184"/>
      <c r="F282" s="112"/>
    </row>
    <row r="283" spans="1:6" ht="15.75" hidden="1" customHeight="1">
      <c r="B283" s="187"/>
      <c r="D283" s="184"/>
      <c r="F283" s="112"/>
    </row>
    <row r="284" spans="1:6" ht="15.75" hidden="1" customHeight="1">
      <c r="B284" s="187"/>
      <c r="D284" s="184"/>
      <c r="F284" s="112"/>
    </row>
    <row r="285" spans="1:6" ht="15.75" hidden="1" customHeight="1">
      <c r="B285" s="187"/>
      <c r="D285" s="184"/>
      <c r="F285" s="112"/>
    </row>
    <row r="286" spans="1:6" ht="15.75" hidden="1" customHeight="1">
      <c r="B286" s="187"/>
      <c r="D286" s="184"/>
      <c r="F286" s="112"/>
    </row>
    <row r="287" spans="1:6" ht="15.75" hidden="1" customHeight="1">
      <c r="B287" s="187"/>
      <c r="D287" s="184"/>
      <c r="F287" s="112"/>
    </row>
    <row r="288" spans="1:6" ht="15.75" hidden="1" customHeight="1">
      <c r="B288" s="187"/>
      <c r="D288" s="184"/>
      <c r="F288" s="112"/>
    </row>
    <row r="289" spans="2:6" ht="15.75" hidden="1" customHeight="1">
      <c r="B289" s="187"/>
      <c r="D289" s="184"/>
      <c r="F289" s="112"/>
    </row>
    <row r="290" spans="2:6" ht="15.75" hidden="1" customHeight="1">
      <c r="B290" s="187"/>
      <c r="D290" s="184"/>
      <c r="F290" s="112"/>
    </row>
    <row r="291" spans="2:6" ht="15.75" hidden="1" customHeight="1">
      <c r="B291" s="187"/>
      <c r="D291" s="184"/>
      <c r="F291" s="112"/>
    </row>
    <row r="292" spans="2:6" ht="15.75" hidden="1" customHeight="1">
      <c r="B292" s="187"/>
      <c r="D292" s="184"/>
      <c r="F292" s="112"/>
    </row>
    <row r="293" spans="2:6" ht="15.75" hidden="1" customHeight="1">
      <c r="B293" s="187"/>
      <c r="D293" s="184"/>
      <c r="F293" s="112"/>
    </row>
    <row r="294" spans="2:6" ht="15.75" hidden="1" customHeight="1">
      <c r="B294" s="187"/>
      <c r="D294" s="184"/>
      <c r="F294" s="112"/>
    </row>
    <row r="295" spans="2:6" ht="15.75" hidden="1" customHeight="1">
      <c r="B295" s="187"/>
      <c r="D295" s="184"/>
      <c r="F295" s="112"/>
    </row>
    <row r="296" spans="2:6" ht="15.75" hidden="1" customHeight="1">
      <c r="B296" s="187"/>
      <c r="D296" s="184"/>
      <c r="F296" s="112"/>
    </row>
    <row r="297" spans="2:6" ht="15.75" hidden="1" customHeight="1">
      <c r="B297" s="187"/>
      <c r="D297" s="184"/>
      <c r="F297" s="112"/>
    </row>
    <row r="298" spans="2:6" ht="15.75" hidden="1" customHeight="1">
      <c r="B298" s="187"/>
      <c r="D298" s="184"/>
      <c r="F298" s="112"/>
    </row>
    <row r="299" spans="2:6" ht="15.75" hidden="1" customHeight="1">
      <c r="B299" s="187"/>
      <c r="D299" s="184"/>
      <c r="F299" s="112"/>
    </row>
    <row r="300" spans="2:6" ht="15.75" hidden="1" customHeight="1">
      <c r="B300" s="187"/>
      <c r="D300" s="184"/>
      <c r="F300" s="112"/>
    </row>
    <row r="301" spans="2:6" ht="15.75" hidden="1" customHeight="1">
      <c r="B301" s="187"/>
      <c r="D301" s="184"/>
      <c r="F301" s="112"/>
    </row>
    <row r="302" spans="2:6" ht="15.75" hidden="1" customHeight="1">
      <c r="B302" s="187"/>
      <c r="D302" s="184"/>
      <c r="F302" s="112"/>
    </row>
    <row r="303" spans="2:6" ht="15.75" hidden="1" customHeight="1">
      <c r="B303" s="187"/>
      <c r="D303" s="184"/>
      <c r="F303" s="112"/>
    </row>
    <row r="304" spans="2:6" ht="15.75" hidden="1" customHeight="1">
      <c r="B304" s="187"/>
      <c r="D304" s="184"/>
      <c r="F304" s="112"/>
    </row>
    <row r="305" spans="2:6" ht="15.75" hidden="1" customHeight="1">
      <c r="B305" s="187"/>
      <c r="D305" s="184"/>
      <c r="F305" s="112"/>
    </row>
    <row r="306" spans="2:6" ht="15.75" hidden="1" customHeight="1">
      <c r="B306" s="187"/>
      <c r="D306" s="184"/>
      <c r="F306" s="112"/>
    </row>
    <row r="307" spans="2:6" ht="15.75" hidden="1" customHeight="1">
      <c r="B307" s="187"/>
      <c r="D307" s="184"/>
      <c r="F307" s="112"/>
    </row>
    <row r="308" spans="2:6" ht="15.75" hidden="1" customHeight="1">
      <c r="B308" s="187"/>
      <c r="D308" s="184"/>
      <c r="F308" s="112"/>
    </row>
    <row r="309" spans="2:6" ht="15.75" hidden="1" customHeight="1">
      <c r="B309" s="187"/>
      <c r="D309" s="184"/>
      <c r="F309" s="112"/>
    </row>
    <row r="310" spans="2:6" ht="15.75" hidden="1" customHeight="1">
      <c r="B310" s="187"/>
      <c r="D310" s="184"/>
      <c r="F310" s="112"/>
    </row>
    <row r="311" spans="2:6" ht="15.75" hidden="1" customHeight="1">
      <c r="B311" s="187"/>
      <c r="D311" s="184"/>
      <c r="F311" s="112"/>
    </row>
    <row r="312" spans="2:6" ht="15.75" hidden="1" customHeight="1">
      <c r="B312" s="187"/>
      <c r="D312" s="184"/>
      <c r="F312" s="112"/>
    </row>
    <row r="313" spans="2:6" ht="15.75" hidden="1" customHeight="1">
      <c r="B313" s="187"/>
      <c r="D313" s="184"/>
      <c r="F313" s="112"/>
    </row>
    <row r="314" spans="2:6" ht="15.75" hidden="1" customHeight="1">
      <c r="B314" s="187"/>
      <c r="D314" s="184"/>
      <c r="F314" s="112"/>
    </row>
    <row r="315" spans="2:6" ht="15.75" hidden="1" customHeight="1">
      <c r="B315" s="187"/>
      <c r="D315" s="184"/>
      <c r="F315" s="112"/>
    </row>
    <row r="316" spans="2:6" ht="15.75" hidden="1" customHeight="1">
      <c r="B316" s="187"/>
      <c r="D316" s="184"/>
      <c r="F316" s="112"/>
    </row>
    <row r="317" spans="2:6" ht="15.75" hidden="1" customHeight="1">
      <c r="B317" s="187"/>
      <c r="D317" s="184"/>
      <c r="F317" s="112"/>
    </row>
    <row r="318" spans="2:6" ht="15.75" hidden="1" customHeight="1">
      <c r="B318" s="187"/>
      <c r="D318" s="184"/>
      <c r="F318" s="112"/>
    </row>
    <row r="319" spans="2:6" ht="15.75" hidden="1" customHeight="1">
      <c r="B319" s="187"/>
      <c r="D319" s="184"/>
      <c r="F319" s="112"/>
    </row>
    <row r="320" spans="2:6" ht="15.75" hidden="1" customHeight="1">
      <c r="B320" s="187"/>
      <c r="D320" s="184"/>
      <c r="F320" s="112"/>
    </row>
    <row r="321" spans="2:6" ht="15.75" hidden="1" customHeight="1">
      <c r="B321" s="187"/>
      <c r="D321" s="184"/>
      <c r="F321" s="112"/>
    </row>
    <row r="322" spans="2:6" ht="15.75" hidden="1" customHeight="1">
      <c r="B322" s="187"/>
      <c r="D322" s="184"/>
      <c r="F322" s="112"/>
    </row>
    <row r="323" spans="2:6" ht="15.75" hidden="1" customHeight="1">
      <c r="B323" s="187"/>
      <c r="D323" s="184"/>
      <c r="F323" s="112"/>
    </row>
    <row r="324" spans="2:6" ht="15.75" hidden="1" customHeight="1">
      <c r="B324" s="187"/>
      <c r="D324" s="184"/>
      <c r="F324" s="112"/>
    </row>
    <row r="325" spans="2:6" ht="15.75" hidden="1" customHeight="1">
      <c r="B325" s="187"/>
      <c r="D325" s="184"/>
      <c r="F325" s="112"/>
    </row>
    <row r="326" spans="2:6" ht="15.75" hidden="1" customHeight="1">
      <c r="B326" s="187"/>
      <c r="D326" s="184"/>
      <c r="F326" s="112"/>
    </row>
    <row r="327" spans="2:6" ht="15.75" hidden="1" customHeight="1">
      <c r="B327" s="187"/>
      <c r="D327" s="184"/>
      <c r="F327" s="112"/>
    </row>
    <row r="328" spans="2:6" ht="15.75" hidden="1" customHeight="1">
      <c r="B328" s="187"/>
      <c r="D328" s="184"/>
      <c r="F328" s="112"/>
    </row>
    <row r="329" spans="2:6" ht="15.75" hidden="1" customHeight="1">
      <c r="B329" s="187"/>
      <c r="D329" s="184"/>
      <c r="F329" s="112"/>
    </row>
    <row r="330" spans="2:6" ht="15.75" hidden="1" customHeight="1">
      <c r="B330" s="187"/>
      <c r="D330" s="184"/>
      <c r="F330" s="112"/>
    </row>
    <row r="331" spans="2:6" ht="15.75" hidden="1" customHeight="1">
      <c r="B331" s="187"/>
      <c r="D331" s="184"/>
      <c r="F331" s="112"/>
    </row>
    <row r="332" spans="2:6" ht="15.75" hidden="1" customHeight="1">
      <c r="B332" s="187"/>
      <c r="D332" s="184"/>
      <c r="F332" s="112"/>
    </row>
    <row r="333" spans="2:6" ht="15.75" hidden="1" customHeight="1">
      <c r="B333" s="187"/>
      <c r="D333" s="184"/>
      <c r="F333" s="112"/>
    </row>
    <row r="334" spans="2:6" ht="16.5" hidden="1" customHeight="1">
      <c r="B334" s="187"/>
      <c r="D334" s="184"/>
      <c r="F334" s="112"/>
    </row>
    <row r="335" spans="2:6" ht="15.75" hidden="1" customHeight="1"/>
    <row r="336" spans="2:6" ht="15.75" hidden="1" customHeight="1"/>
    <row r="337" ht="15.75" hidden="1" customHeight="1"/>
    <row r="338" ht="15.75" hidden="1" customHeight="1"/>
    <row r="339" ht="15.75" hidden="1" customHeight="1"/>
    <row r="340" ht="15.75" hidden="1" customHeight="1"/>
    <row r="341" ht="15.75" hidden="1" customHeight="1"/>
    <row r="342" ht="15.75" hidden="1" customHeight="1"/>
    <row r="343" ht="15.75" hidden="1" customHeight="1"/>
    <row r="344" ht="15.75" hidden="1" customHeight="1"/>
    <row r="345" ht="15.75" hidden="1" customHeight="1"/>
    <row r="346" ht="15.75" hidden="1" customHeight="1"/>
    <row r="347" ht="15.75" hidden="1" customHeight="1"/>
    <row r="348" ht="15.75" hidden="1" customHeight="1"/>
    <row r="349" ht="15.75" hidden="1" customHeight="1"/>
    <row r="350" ht="15.75" hidden="1" customHeight="1"/>
    <row r="351" ht="15.75" hidden="1" customHeight="1"/>
    <row r="352" ht="15.75" hidden="1" customHeight="1"/>
    <row r="353" ht="15.75" hidden="1" customHeight="1"/>
    <row r="354" ht="15.75" hidden="1" customHeight="1"/>
    <row r="355" ht="15.75" hidden="1" customHeight="1"/>
    <row r="356" ht="15.75" hidden="1" customHeight="1"/>
    <row r="357" ht="15.75" hidden="1" customHeight="1"/>
    <row r="358" ht="15.75" hidden="1" customHeight="1"/>
    <row r="359" ht="15.75" hidden="1" customHeight="1"/>
    <row r="360" ht="15.75" hidden="1" customHeight="1"/>
    <row r="361" ht="15.75" hidden="1" customHeight="1"/>
    <row r="362" ht="15.75" hidden="1" customHeight="1"/>
    <row r="363" ht="15.75" hidden="1" customHeight="1"/>
    <row r="364" ht="15.75" hidden="1" customHeight="1"/>
    <row r="365" ht="15.75" hidden="1" customHeight="1"/>
    <row r="366" ht="15.75" hidden="1" customHeight="1"/>
    <row r="367" ht="15.75" hidden="1" customHeight="1"/>
    <row r="368" ht="15.75" hidden="1" customHeight="1"/>
    <row r="369" ht="15.75" hidden="1" customHeight="1"/>
    <row r="370" ht="15.75" hidden="1" customHeight="1"/>
    <row r="371" ht="15.75" hidden="1" customHeight="1"/>
    <row r="372" ht="15.75" hidden="1" customHeight="1"/>
    <row r="373" ht="15.75" hidden="1" customHeight="1"/>
    <row r="374" ht="15.75" hidden="1" customHeight="1"/>
    <row r="375" ht="15.75" hidden="1" customHeight="1"/>
    <row r="376" ht="15.75" hidden="1" customHeight="1"/>
    <row r="377" ht="15.75" hidden="1" customHeight="1"/>
    <row r="378" ht="15.75" hidden="1" customHeight="1"/>
    <row r="379" ht="15.75" hidden="1" customHeight="1"/>
  </sheetData>
  <autoFilter ref="B24:G379" xr:uid="{452B83A8-1BAF-4AB4-AD86-29C68AD52A27}">
    <filterColumn colId="5">
      <filters>
        <filter val="Outstanding"/>
      </filters>
    </filterColumn>
  </autoFilter>
  <dataValidations count="3">
    <dataValidation type="list" allowBlank="1" showInputMessage="1" showErrorMessage="1" sqref="B20" xr:uid="{F140ACC7-80BB-4401-8EF9-1E998DE06C8C}">
      <formula1>"Hide,Show"</formula1>
    </dataValidation>
    <dataValidation type="list" allowBlank="1" showInputMessage="1" showErrorMessage="1" sqref="B21" xr:uid="{6440D762-C931-486F-BD07-652486FA02F2}">
      <formula1>$B$1:$M$1</formula1>
    </dataValidation>
    <dataValidation type="list" allowBlank="1" showInputMessage="1" showErrorMessage="1" sqref="B22" xr:uid="{E1870CCE-D7D1-407E-9CEF-BE851DD4342C}">
      <formula1>_xlfn.ANCHORARRAY(P1)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FCB0D-CA92-4EBD-91A3-9E9F9E5DA4D0}">
  <sheetPr codeName="Sheet14"/>
  <dimension ref="A1:M40"/>
  <sheetViews>
    <sheetView zoomScale="70" zoomScaleNormal="70" workbookViewId="0">
      <selection activeCell="K30" sqref="K30"/>
    </sheetView>
  </sheetViews>
  <sheetFormatPr defaultColWidth="14.54296875" defaultRowHeight="14.5"/>
  <cols>
    <col min="1" max="1" width="34.54296875" customWidth="1"/>
    <col min="2" max="2" width="23" customWidth="1"/>
    <col min="4" max="4" width="7.54296875" customWidth="1"/>
    <col min="5" max="5" width="7.36328125" customWidth="1"/>
    <col min="6" max="6" width="9.90625" customWidth="1"/>
    <col min="7" max="7" width="22.1796875" customWidth="1"/>
    <col min="8" max="8" width="8.90625" customWidth="1"/>
    <col min="9" max="9" width="17.453125" customWidth="1"/>
    <col min="12" max="12" width="65.6328125" style="229" customWidth="1"/>
    <col min="13" max="13" width="19.54296875" style="126" bestFit="1" customWidth="1"/>
  </cols>
  <sheetData>
    <row r="1" spans="1:13" ht="26.25" customHeight="1">
      <c r="A1" s="217" t="s">
        <v>144</v>
      </c>
      <c r="B1" s="217" t="s">
        <v>72</v>
      </c>
      <c r="C1" s="217" t="s">
        <v>26</v>
      </c>
      <c r="D1" s="217" t="s">
        <v>145</v>
      </c>
      <c r="E1" s="217" t="s">
        <v>146</v>
      </c>
      <c r="F1" s="217" t="s">
        <v>147</v>
      </c>
      <c r="G1" s="217" t="s">
        <v>148</v>
      </c>
      <c r="H1" s="217" t="s">
        <v>149</v>
      </c>
      <c r="I1" s="217" t="s">
        <v>150</v>
      </c>
      <c r="J1" s="217" t="s">
        <v>151</v>
      </c>
      <c r="K1" s="217" t="s">
        <v>152</v>
      </c>
      <c r="L1" s="357" t="s">
        <v>153</v>
      </c>
      <c r="M1" s="217" t="s">
        <v>154</v>
      </c>
    </row>
    <row r="2" spans="1:13" ht="29">
      <c r="A2" s="219" t="s">
        <v>155</v>
      </c>
      <c r="B2" s="220" t="s">
        <v>156</v>
      </c>
      <c r="C2" s="221" t="s">
        <v>37</v>
      </c>
      <c r="D2" s="218" t="s">
        <v>157</v>
      </c>
      <c r="E2" s="218" t="s">
        <v>157</v>
      </c>
      <c r="F2" s="218" t="s">
        <v>157</v>
      </c>
      <c r="G2" s="218" t="s">
        <v>41</v>
      </c>
      <c r="H2" s="218" t="s">
        <v>158</v>
      </c>
      <c r="I2" s="218" t="s">
        <v>159</v>
      </c>
      <c r="J2" s="218" t="s">
        <v>160</v>
      </c>
      <c r="K2" s="222">
        <v>0.80745638945233256</v>
      </c>
      <c r="L2" s="226" t="s">
        <v>161</v>
      </c>
      <c r="M2" s="126" t="s">
        <v>162</v>
      </c>
    </row>
    <row r="3" spans="1:13" ht="29">
      <c r="A3" t="s">
        <v>163</v>
      </c>
      <c r="B3" s="148" t="s">
        <v>164</v>
      </c>
      <c r="C3" s="162" t="s">
        <v>39</v>
      </c>
      <c r="D3" s="218" t="s">
        <v>157</v>
      </c>
      <c r="E3" s="218" t="s">
        <v>157</v>
      </c>
      <c r="F3" s="218" t="s">
        <v>157</v>
      </c>
      <c r="G3" s="218" t="s">
        <v>41</v>
      </c>
      <c r="H3" s="218" t="s">
        <v>158</v>
      </c>
      <c r="I3" s="218" t="s">
        <v>159</v>
      </c>
      <c r="J3" s="218" t="s">
        <v>160</v>
      </c>
      <c r="K3" s="222">
        <v>0.90540372670807456</v>
      </c>
      <c r="L3" s="226" t="s">
        <v>165</v>
      </c>
      <c r="M3" s="126" t="s">
        <v>166</v>
      </c>
    </row>
    <row r="4" spans="1:13" s="230" customFormat="1" ht="29">
      <c r="A4" s="230" t="s">
        <v>167</v>
      </c>
      <c r="B4" s="231" t="s">
        <v>168</v>
      </c>
      <c r="C4" s="232" t="s">
        <v>37</v>
      </c>
      <c r="D4" s="233" t="s">
        <v>157</v>
      </c>
      <c r="E4" s="233" t="s">
        <v>157</v>
      </c>
      <c r="F4" s="233" t="s">
        <v>157</v>
      </c>
      <c r="G4" s="233" t="s">
        <v>169</v>
      </c>
      <c r="H4" s="233" t="s">
        <v>170</v>
      </c>
      <c r="I4" s="233" t="s">
        <v>41</v>
      </c>
      <c r="J4" s="233" t="s">
        <v>160</v>
      </c>
      <c r="K4" s="234">
        <v>0.80070853462157809</v>
      </c>
      <c r="L4" s="235" t="s">
        <v>171</v>
      </c>
      <c r="M4" s="237" t="s">
        <v>172</v>
      </c>
    </row>
    <row r="5" spans="1:13" ht="29">
      <c r="A5" s="219" t="s">
        <v>173</v>
      </c>
      <c r="B5" s="220" t="s">
        <v>164</v>
      </c>
      <c r="C5" s="221" t="s">
        <v>41</v>
      </c>
      <c r="D5" s="218" t="s">
        <v>157</v>
      </c>
      <c r="E5" s="218" t="s">
        <v>157</v>
      </c>
      <c r="F5" s="218" t="s">
        <v>157</v>
      </c>
      <c r="G5" s="218"/>
      <c r="H5" s="218"/>
      <c r="I5" s="218" t="s">
        <v>159</v>
      </c>
      <c r="J5" s="218" t="s">
        <v>160</v>
      </c>
      <c r="K5" s="222">
        <v>0.87994186046511624</v>
      </c>
      <c r="L5" s="226" t="s">
        <v>174</v>
      </c>
    </row>
    <row r="6" spans="1:13" ht="24.75" customHeight="1">
      <c r="A6" t="s">
        <v>175</v>
      </c>
      <c r="B6" s="220" t="s">
        <v>176</v>
      </c>
      <c r="C6" s="162" t="s">
        <v>41</v>
      </c>
      <c r="D6" s="218" t="s">
        <v>157</v>
      </c>
      <c r="E6" s="218" t="s">
        <v>157</v>
      </c>
      <c r="F6" s="218" t="s">
        <v>157</v>
      </c>
      <c r="G6" s="218" t="s">
        <v>41</v>
      </c>
      <c r="H6" s="218" t="s">
        <v>158</v>
      </c>
      <c r="I6" s="218"/>
      <c r="J6" s="218" t="s">
        <v>160</v>
      </c>
      <c r="K6" s="222">
        <v>1</v>
      </c>
      <c r="L6" s="227" t="s">
        <v>177</v>
      </c>
    </row>
    <row r="7" spans="1:13">
      <c r="A7" t="s">
        <v>178</v>
      </c>
      <c r="B7" s="220" t="s">
        <v>176</v>
      </c>
      <c r="C7" s="162" t="s">
        <v>41</v>
      </c>
      <c r="D7" s="218" t="s">
        <v>157</v>
      </c>
      <c r="E7" s="218" t="s">
        <v>157</v>
      </c>
      <c r="F7" s="218" t="s">
        <v>157</v>
      </c>
      <c r="G7" s="218" t="s">
        <v>41</v>
      </c>
      <c r="H7" s="218" t="s">
        <v>158</v>
      </c>
      <c r="I7" s="218" t="s">
        <v>179</v>
      </c>
      <c r="J7" s="218" t="s">
        <v>180</v>
      </c>
      <c r="K7" s="222">
        <v>0.92307692307692313</v>
      </c>
      <c r="L7" s="227" t="s">
        <v>181</v>
      </c>
    </row>
    <row r="8" spans="1:13" ht="29">
      <c r="A8" t="s">
        <v>182</v>
      </c>
      <c r="B8" s="148" t="s">
        <v>176</v>
      </c>
      <c r="C8" s="162" t="s">
        <v>37</v>
      </c>
      <c r="D8" s="218" t="s">
        <v>157</v>
      </c>
      <c r="E8" s="218" t="s">
        <v>157</v>
      </c>
      <c r="F8" s="218" t="s">
        <v>157</v>
      </c>
      <c r="G8" s="218" t="s">
        <v>169</v>
      </c>
      <c r="H8" s="218" t="s">
        <v>158</v>
      </c>
      <c r="I8" s="218"/>
      <c r="J8" s="218" t="s">
        <v>180</v>
      </c>
      <c r="K8" s="222">
        <v>0.76</v>
      </c>
      <c r="L8" s="226" t="s">
        <v>183</v>
      </c>
    </row>
    <row r="9" spans="1:13">
      <c r="A9" t="s">
        <v>184</v>
      </c>
      <c r="B9" s="148" t="s">
        <v>185</v>
      </c>
      <c r="C9" s="162" t="s">
        <v>41</v>
      </c>
      <c r="D9" s="218" t="s">
        <v>157</v>
      </c>
      <c r="E9" s="218" t="s">
        <v>157</v>
      </c>
      <c r="F9" s="218" t="s">
        <v>157</v>
      </c>
      <c r="G9" s="218" t="s">
        <v>41</v>
      </c>
      <c r="H9" s="218" t="s">
        <v>158</v>
      </c>
      <c r="I9" s="218"/>
      <c r="J9" s="218" t="s">
        <v>72</v>
      </c>
      <c r="K9" s="222">
        <v>0.93833333333333335</v>
      </c>
      <c r="L9" s="227" t="s">
        <v>186</v>
      </c>
    </row>
    <row r="10" spans="1:13" ht="29">
      <c r="A10" t="s">
        <v>187</v>
      </c>
      <c r="B10" s="148" t="s">
        <v>168</v>
      </c>
      <c r="C10" s="162" t="s">
        <v>39</v>
      </c>
      <c r="D10" s="218" t="s">
        <v>157</v>
      </c>
      <c r="E10" s="218" t="s">
        <v>157</v>
      </c>
      <c r="F10" s="218" t="s">
        <v>157</v>
      </c>
      <c r="G10" s="218" t="s">
        <v>188</v>
      </c>
      <c r="H10" s="218" t="s">
        <v>158</v>
      </c>
      <c r="I10" s="218" t="s">
        <v>189</v>
      </c>
      <c r="J10" s="218" t="s">
        <v>180</v>
      </c>
      <c r="K10" s="222">
        <v>0.80238095238095231</v>
      </c>
      <c r="L10" s="227" t="s">
        <v>190</v>
      </c>
      <c r="M10" s="238" t="s">
        <v>191</v>
      </c>
    </row>
    <row r="11" spans="1:13" ht="43.5">
      <c r="A11" t="s">
        <v>192</v>
      </c>
      <c r="B11" s="148" t="s">
        <v>193</v>
      </c>
      <c r="C11" s="162" t="s">
        <v>39</v>
      </c>
      <c r="D11" s="218" t="s">
        <v>194</v>
      </c>
      <c r="E11" s="218" t="s">
        <v>194</v>
      </c>
      <c r="F11" s="218" t="s">
        <v>157</v>
      </c>
      <c r="G11" s="218" t="s">
        <v>41</v>
      </c>
      <c r="H11" s="218" t="s">
        <v>158</v>
      </c>
      <c r="I11" s="218" t="s">
        <v>195</v>
      </c>
      <c r="J11" s="218" t="s">
        <v>160</v>
      </c>
      <c r="K11" s="222">
        <v>0.76028571428571423</v>
      </c>
      <c r="L11" s="228" t="s">
        <v>196</v>
      </c>
    </row>
    <row r="12" spans="1:13">
      <c r="A12" t="s">
        <v>197</v>
      </c>
      <c r="B12" s="148" t="s">
        <v>176</v>
      </c>
      <c r="C12" s="162" t="s">
        <v>41</v>
      </c>
      <c r="D12" s="218" t="s">
        <v>157</v>
      </c>
      <c r="E12" s="218" t="s">
        <v>157</v>
      </c>
      <c r="F12" s="218" t="s">
        <v>157</v>
      </c>
      <c r="G12" s="218" t="s">
        <v>41</v>
      </c>
      <c r="H12" s="218" t="s">
        <v>158</v>
      </c>
      <c r="I12" s="218" t="s">
        <v>198</v>
      </c>
      <c r="J12" s="218" t="s">
        <v>160</v>
      </c>
      <c r="K12" s="222">
        <v>0.93824884792626739</v>
      </c>
      <c r="L12" s="227" t="s">
        <v>199</v>
      </c>
    </row>
    <row r="13" spans="1:13" ht="29">
      <c r="A13" t="s">
        <v>200</v>
      </c>
      <c r="B13" s="148" t="s">
        <v>156</v>
      </c>
      <c r="C13" s="162" t="s">
        <v>41</v>
      </c>
      <c r="D13" s="218" t="s">
        <v>201</v>
      </c>
      <c r="E13" s="218" t="s">
        <v>201</v>
      </c>
      <c r="F13" s="218" t="s">
        <v>194</v>
      </c>
      <c r="G13" s="218" t="s">
        <v>41</v>
      </c>
      <c r="H13" s="218" t="s">
        <v>158</v>
      </c>
      <c r="I13" s="218" t="s">
        <v>159</v>
      </c>
      <c r="J13" s="218" t="s">
        <v>160</v>
      </c>
      <c r="K13" s="222">
        <v>0.89044289044289038</v>
      </c>
      <c r="L13" s="227" t="s">
        <v>202</v>
      </c>
      <c r="M13" s="126" t="s">
        <v>162</v>
      </c>
    </row>
    <row r="14" spans="1:13">
      <c r="A14" t="s">
        <v>203</v>
      </c>
      <c r="B14" s="148" t="s">
        <v>193</v>
      </c>
      <c r="C14" s="162" t="s">
        <v>41</v>
      </c>
      <c r="D14" s="218" t="s">
        <v>194</v>
      </c>
      <c r="E14" s="218" t="s">
        <v>194</v>
      </c>
      <c r="F14" s="218" t="s">
        <v>194</v>
      </c>
      <c r="G14" s="218" t="s">
        <v>41</v>
      </c>
      <c r="H14" s="218" t="s">
        <v>158</v>
      </c>
      <c r="I14" s="218"/>
      <c r="J14" s="218" t="s">
        <v>160</v>
      </c>
      <c r="K14" s="222">
        <v>0.93852813852813843</v>
      </c>
      <c r="L14" s="227" t="s">
        <v>204</v>
      </c>
    </row>
    <row r="15" spans="1:13">
      <c r="A15" t="s">
        <v>205</v>
      </c>
      <c r="B15" s="148" t="s">
        <v>193</v>
      </c>
      <c r="C15" s="162" t="s">
        <v>41</v>
      </c>
      <c r="D15" s="218" t="s">
        <v>194</v>
      </c>
      <c r="E15" s="218" t="s">
        <v>194</v>
      </c>
      <c r="F15" s="218" t="s">
        <v>194</v>
      </c>
      <c r="G15" s="218" t="s">
        <v>41</v>
      </c>
      <c r="H15" s="218" t="s">
        <v>158</v>
      </c>
      <c r="I15" s="218" t="s">
        <v>206</v>
      </c>
      <c r="J15" s="218" t="s">
        <v>160</v>
      </c>
      <c r="K15" s="222">
        <v>0.90743178390237222</v>
      </c>
      <c r="L15" s="227" t="s">
        <v>207</v>
      </c>
    </row>
    <row r="16" spans="1:13" ht="29">
      <c r="A16" t="s">
        <v>208</v>
      </c>
      <c r="B16" s="148" t="s">
        <v>168</v>
      </c>
      <c r="C16" s="147" t="s">
        <v>41</v>
      </c>
      <c r="D16" s="218" t="s">
        <v>157</v>
      </c>
      <c r="E16" s="218" t="s">
        <v>194</v>
      </c>
      <c r="F16" s="218" t="s">
        <v>194</v>
      </c>
      <c r="G16" s="218" t="s">
        <v>41</v>
      </c>
      <c r="H16" s="218" t="s">
        <v>158</v>
      </c>
      <c r="I16" s="218" t="s">
        <v>209</v>
      </c>
      <c r="J16" s="218" t="s">
        <v>160</v>
      </c>
      <c r="K16" s="222">
        <v>0.8771929824561403</v>
      </c>
      <c r="L16" s="236" t="s">
        <v>210</v>
      </c>
      <c r="M16" s="238" t="s">
        <v>191</v>
      </c>
    </row>
    <row r="17" spans="1:13" ht="43.5">
      <c r="A17" t="s">
        <v>211</v>
      </c>
      <c r="B17" s="148" t="s">
        <v>176</v>
      </c>
      <c r="C17" s="162" t="s">
        <v>41</v>
      </c>
      <c r="D17" s="218" t="s">
        <v>201</v>
      </c>
      <c r="E17" s="218" t="s">
        <v>201</v>
      </c>
      <c r="F17" s="218" t="s">
        <v>201</v>
      </c>
      <c r="G17" s="218" t="s">
        <v>41</v>
      </c>
      <c r="H17" s="218" t="s">
        <v>158</v>
      </c>
      <c r="I17" s="218" t="s">
        <v>212</v>
      </c>
      <c r="J17" s="218" t="s">
        <v>160</v>
      </c>
      <c r="K17" s="222">
        <v>0.93756613756613738</v>
      </c>
      <c r="L17" s="227"/>
    </row>
    <row r="18" spans="1:13" ht="43.5">
      <c r="A18" t="s">
        <v>213</v>
      </c>
      <c r="B18" s="148" t="s">
        <v>176</v>
      </c>
      <c r="C18" s="162" t="s">
        <v>41</v>
      </c>
      <c r="D18" s="218" t="s">
        <v>157</v>
      </c>
      <c r="E18" s="218" t="s">
        <v>157</v>
      </c>
      <c r="F18" s="218" t="s">
        <v>157</v>
      </c>
      <c r="G18" s="218" t="s">
        <v>41</v>
      </c>
      <c r="H18" s="218" t="s">
        <v>158</v>
      </c>
      <c r="I18" s="218" t="s">
        <v>212</v>
      </c>
      <c r="J18" s="218" t="s">
        <v>160</v>
      </c>
      <c r="K18" s="222">
        <v>0.93736263736263736</v>
      </c>
      <c r="L18" s="227"/>
    </row>
    <row r="19" spans="1:13">
      <c r="A19" s="219" t="s">
        <v>214</v>
      </c>
      <c r="B19" s="220" t="s">
        <v>168</v>
      </c>
      <c r="C19" s="221" t="s">
        <v>215</v>
      </c>
      <c r="J19" s="218" t="s">
        <v>180</v>
      </c>
      <c r="K19" s="222">
        <v>1</v>
      </c>
      <c r="L19" s="227" t="s">
        <v>216</v>
      </c>
    </row>
    <row r="20" spans="1:13" ht="43.5">
      <c r="A20" s="219" t="s">
        <v>217</v>
      </c>
      <c r="B20" s="220" t="s">
        <v>176</v>
      </c>
      <c r="C20" s="221" t="s">
        <v>41</v>
      </c>
      <c r="D20" s="218" t="s">
        <v>157</v>
      </c>
      <c r="E20" s="218" t="s">
        <v>194</v>
      </c>
      <c r="F20" s="218" t="s">
        <v>194</v>
      </c>
      <c r="G20" s="218" t="s">
        <v>41</v>
      </c>
      <c r="H20" s="218" t="s">
        <v>158</v>
      </c>
      <c r="I20" s="218" t="s">
        <v>212</v>
      </c>
      <c r="J20" s="218" t="s">
        <v>160</v>
      </c>
      <c r="K20" s="222">
        <v>1</v>
      </c>
      <c r="L20" s="227"/>
    </row>
    <row r="21" spans="1:13" ht="43.5">
      <c r="A21" s="219" t="s">
        <v>218</v>
      </c>
      <c r="B21" s="220" t="s">
        <v>176</v>
      </c>
      <c r="C21" s="221" t="s">
        <v>41</v>
      </c>
      <c r="D21" s="218" t="s">
        <v>157</v>
      </c>
      <c r="E21" s="218" t="s">
        <v>194</v>
      </c>
      <c r="F21" s="218" t="s">
        <v>194</v>
      </c>
      <c r="G21" s="218" t="s">
        <v>41</v>
      </c>
      <c r="H21" s="218" t="s">
        <v>158</v>
      </c>
      <c r="I21" s="218" t="s">
        <v>212</v>
      </c>
      <c r="J21" s="218" t="s">
        <v>160</v>
      </c>
      <c r="K21" s="222">
        <v>0.91055555555555556</v>
      </c>
      <c r="L21" s="227"/>
    </row>
    <row r="22" spans="1:13" ht="43.5">
      <c r="A22" s="256" t="s">
        <v>219</v>
      </c>
      <c r="B22" s="148" t="s">
        <v>168</v>
      </c>
      <c r="C22" s="162" t="s">
        <v>39</v>
      </c>
      <c r="D22" s="261" t="s">
        <v>201</v>
      </c>
      <c r="E22" s="261" t="s">
        <v>201</v>
      </c>
      <c r="F22" s="261" t="s">
        <v>201</v>
      </c>
      <c r="G22" s="218" t="s">
        <v>41</v>
      </c>
      <c r="H22" s="218" t="s">
        <v>170</v>
      </c>
      <c r="I22" s="218" t="s">
        <v>220</v>
      </c>
      <c r="J22" s="218" t="s">
        <v>180</v>
      </c>
      <c r="K22" s="222">
        <v>0.79112554112554123</v>
      </c>
      <c r="L22" s="228" t="s">
        <v>221</v>
      </c>
      <c r="M22" s="238" t="s">
        <v>222</v>
      </c>
    </row>
    <row r="23" spans="1:13" ht="43.5">
      <c r="A23" t="s">
        <v>223</v>
      </c>
      <c r="B23" s="148" t="s">
        <v>193</v>
      </c>
      <c r="C23" s="162" t="s">
        <v>39</v>
      </c>
      <c r="D23" s="218" t="s">
        <v>157</v>
      </c>
      <c r="E23" s="218" t="s">
        <v>201</v>
      </c>
      <c r="F23" s="218" t="s">
        <v>201</v>
      </c>
      <c r="G23" s="218" t="s">
        <v>41</v>
      </c>
      <c r="H23" s="218" t="s">
        <v>158</v>
      </c>
      <c r="I23" s="218" t="s">
        <v>212</v>
      </c>
      <c r="J23" s="218" t="s">
        <v>160</v>
      </c>
      <c r="K23" s="222">
        <v>0.85509740259740263</v>
      </c>
      <c r="L23" s="227"/>
    </row>
    <row r="24" spans="1:13" ht="43.5">
      <c r="A24" t="s">
        <v>224</v>
      </c>
      <c r="B24" s="148" t="s">
        <v>168</v>
      </c>
      <c r="C24" s="162" t="s">
        <v>37</v>
      </c>
      <c r="D24" s="218" t="s">
        <v>201</v>
      </c>
      <c r="E24" s="218" t="s">
        <v>157</v>
      </c>
      <c r="F24" s="218" t="s">
        <v>157</v>
      </c>
      <c r="J24" s="218" t="s">
        <v>180</v>
      </c>
      <c r="K24" s="222">
        <v>0.59076923076923082</v>
      </c>
      <c r="L24" s="228" t="s">
        <v>225</v>
      </c>
    </row>
    <row r="25" spans="1:13" ht="43.5">
      <c r="A25" t="s">
        <v>226</v>
      </c>
      <c r="B25" s="148" t="s">
        <v>193</v>
      </c>
      <c r="C25" s="162" t="s">
        <v>37</v>
      </c>
      <c r="D25" s="218" t="s">
        <v>194</v>
      </c>
      <c r="E25" s="218" t="s">
        <v>157</v>
      </c>
      <c r="F25" s="218" t="s">
        <v>157</v>
      </c>
      <c r="G25" s="218" t="s">
        <v>227</v>
      </c>
      <c r="H25" s="218" t="s">
        <v>228</v>
      </c>
      <c r="I25" s="218" t="s">
        <v>229</v>
      </c>
      <c r="J25" s="218" t="s">
        <v>180</v>
      </c>
      <c r="K25" s="222">
        <v>0.56761787065123759</v>
      </c>
      <c r="L25" s="228" t="s">
        <v>230</v>
      </c>
    </row>
    <row r="26" spans="1:13" ht="29">
      <c r="A26" t="s">
        <v>231</v>
      </c>
      <c r="B26" s="148" t="s">
        <v>156</v>
      </c>
      <c r="C26" s="162" t="s">
        <v>41</v>
      </c>
      <c r="G26" s="218" t="s">
        <v>41</v>
      </c>
      <c r="I26" s="218" t="s">
        <v>159</v>
      </c>
      <c r="J26" s="218" t="s">
        <v>72</v>
      </c>
      <c r="K26" s="222">
        <v>0.88431372549019605</v>
      </c>
      <c r="L26" s="227" t="s">
        <v>202</v>
      </c>
      <c r="M26" s="126" t="s">
        <v>162</v>
      </c>
    </row>
    <row r="27" spans="1:13" ht="29">
      <c r="A27" t="s">
        <v>232</v>
      </c>
      <c r="B27" s="148" t="s">
        <v>156</v>
      </c>
      <c r="C27" s="162" t="s">
        <v>41</v>
      </c>
      <c r="G27" s="218" t="s">
        <v>41</v>
      </c>
      <c r="I27" s="218" t="s">
        <v>159</v>
      </c>
      <c r="J27" s="218" t="s">
        <v>72</v>
      </c>
      <c r="K27" s="222">
        <v>0.87502334267040149</v>
      </c>
      <c r="L27" s="227" t="s">
        <v>202</v>
      </c>
      <c r="M27" s="126" t="s">
        <v>162</v>
      </c>
    </row>
    <row r="28" spans="1:13" ht="29">
      <c r="A28" t="s">
        <v>233</v>
      </c>
      <c r="B28" s="220" t="s">
        <v>193</v>
      </c>
      <c r="C28" s="162" t="s">
        <v>37</v>
      </c>
      <c r="D28" t="s">
        <v>157</v>
      </c>
      <c r="E28" t="s">
        <v>157</v>
      </c>
      <c r="F28" t="s">
        <v>157</v>
      </c>
      <c r="G28" t="s">
        <v>227</v>
      </c>
      <c r="H28" t="s">
        <v>234</v>
      </c>
      <c r="I28" t="s">
        <v>235</v>
      </c>
      <c r="J28" t="s">
        <v>180</v>
      </c>
      <c r="K28" s="222">
        <v>0.65690866510538648</v>
      </c>
      <c r="L28" s="228" t="s">
        <v>236</v>
      </c>
    </row>
    <row r="29" spans="1:13" ht="20.25" customHeight="1">
      <c r="A29" s="219" t="s">
        <v>237</v>
      </c>
      <c r="B29" s="220" t="s">
        <v>176</v>
      </c>
      <c r="C29" s="221" t="s">
        <v>39</v>
      </c>
      <c r="K29" s="222">
        <v>0.82084578161161381</v>
      </c>
      <c r="L29" s="227"/>
    </row>
    <row r="30" spans="1:13" ht="20.25" customHeight="1">
      <c r="A30" t="s">
        <v>238</v>
      </c>
      <c r="B30" s="148" t="s">
        <v>176</v>
      </c>
      <c r="C30" s="221" t="s">
        <v>37</v>
      </c>
      <c r="D30" t="s">
        <v>157</v>
      </c>
      <c r="E30" t="s">
        <v>157</v>
      </c>
      <c r="F30" t="s">
        <v>157</v>
      </c>
      <c r="G30" t="s">
        <v>169</v>
      </c>
      <c r="H30" t="s">
        <v>239</v>
      </c>
      <c r="I30" t="s">
        <v>240</v>
      </c>
      <c r="J30" t="s">
        <v>180</v>
      </c>
      <c r="K30" s="222">
        <v>0.69910714285714282</v>
      </c>
      <c r="L30" s="227" t="s">
        <v>241</v>
      </c>
    </row>
    <row r="31" spans="1:13" ht="38.25" customHeight="1">
      <c r="A31" t="s">
        <v>242</v>
      </c>
      <c r="B31" s="148" t="s">
        <v>168</v>
      </c>
      <c r="C31" s="162" t="s">
        <v>41</v>
      </c>
      <c r="K31" s="222">
        <v>1</v>
      </c>
      <c r="L31" s="250" t="s">
        <v>243</v>
      </c>
    </row>
    <row r="32" spans="1:13" ht="26.9" customHeight="1">
      <c r="A32" t="s">
        <v>244</v>
      </c>
      <c r="B32" s="220" t="s">
        <v>168</v>
      </c>
      <c r="C32" s="162" t="s">
        <v>41</v>
      </c>
      <c r="K32" s="222">
        <v>1</v>
      </c>
      <c r="L32" s="240" t="s">
        <v>245</v>
      </c>
    </row>
    <row r="33" spans="1:13" s="239" customFormat="1" ht="21.75" customHeight="1">
      <c r="A33" s="239" t="s">
        <v>246</v>
      </c>
      <c r="B33" s="241" t="s">
        <v>168</v>
      </c>
      <c r="C33" s="242" t="s">
        <v>37</v>
      </c>
      <c r="D33" s="239" t="s">
        <v>201</v>
      </c>
      <c r="E33" s="239" t="s">
        <v>157</v>
      </c>
      <c r="F33" s="239" t="s">
        <v>157</v>
      </c>
      <c r="K33" s="243">
        <v>0.64759709538543775</v>
      </c>
      <c r="L33" s="244" t="s">
        <v>247</v>
      </c>
      <c r="M33" s="245"/>
    </row>
    <row r="34" spans="1:13">
      <c r="A34" t="s">
        <v>248</v>
      </c>
      <c r="B34" s="148" t="s">
        <v>176</v>
      </c>
      <c r="C34" s="162" t="s">
        <v>41</v>
      </c>
      <c r="D34" t="s">
        <v>157</v>
      </c>
      <c r="E34" t="s">
        <v>157</v>
      </c>
      <c r="F34" t="s">
        <v>157</v>
      </c>
      <c r="I34" t="s">
        <v>159</v>
      </c>
      <c r="J34" t="s">
        <v>160</v>
      </c>
      <c r="K34" s="222">
        <v>0.90612244897959182</v>
      </c>
      <c r="L34" s="227" t="s">
        <v>249</v>
      </c>
      <c r="M34" s="126" t="s">
        <v>166</v>
      </c>
    </row>
    <row r="35" spans="1:13" ht="29">
      <c r="A35" t="s">
        <v>250</v>
      </c>
      <c r="B35" s="148" t="s">
        <v>164</v>
      </c>
      <c r="C35" s="162" t="s">
        <v>37</v>
      </c>
      <c r="D35" t="s">
        <v>157</v>
      </c>
      <c r="E35" t="s">
        <v>157</v>
      </c>
      <c r="F35" t="s">
        <v>157</v>
      </c>
      <c r="G35" t="s">
        <v>169</v>
      </c>
      <c r="H35" t="s">
        <v>251</v>
      </c>
      <c r="I35" s="214" t="s">
        <v>252</v>
      </c>
      <c r="J35" t="s">
        <v>180</v>
      </c>
      <c r="K35" s="222">
        <v>0.55452991452991462</v>
      </c>
      <c r="L35" s="227" t="s">
        <v>253</v>
      </c>
    </row>
    <row r="36" spans="1:13">
      <c r="A36" s="225" t="s">
        <v>254</v>
      </c>
      <c r="B36" s="148" t="s">
        <v>255</v>
      </c>
      <c r="C36" s="221" t="s">
        <v>41</v>
      </c>
      <c r="D36" t="s">
        <v>157</v>
      </c>
      <c r="E36" t="s">
        <v>157</v>
      </c>
      <c r="F36" t="s">
        <v>157</v>
      </c>
      <c r="G36" t="s">
        <v>41</v>
      </c>
      <c r="H36" t="s">
        <v>158</v>
      </c>
      <c r="I36" t="s">
        <v>256</v>
      </c>
      <c r="J36" t="s">
        <v>72</v>
      </c>
      <c r="K36" s="222">
        <v>0.85612980327266042</v>
      </c>
      <c r="L36" s="227" t="s">
        <v>257</v>
      </c>
    </row>
    <row r="40" spans="1:13">
      <c r="K40" s="224"/>
    </row>
  </sheetData>
  <protectedRanges>
    <protectedRange algorithmName="SHA-512" hashValue="0fHuZEaiYGK5sqlV/38Hfc0T7yH0tOTbdy5iYtX6c3lYp4VF2ar7IMEIVGfLLUnhvJzWsmOZSDZnUiLySCBxdg==" saltValue="oeJbzSFL5Q9rgT2MjiMjew==" spinCount="100000" sqref="K30" name="Range1_1"/>
  </protectedRanges>
  <autoFilter ref="A1:L36" xr:uid="{A38FCB0D-CA92-4EBD-91A3-9E9F9E5DA4D0}">
    <sortState xmlns:xlrd2="http://schemas.microsoft.com/office/spreadsheetml/2017/richdata2" ref="A2:L36">
      <sortCondition ref="A1:A36"/>
    </sortState>
  </autoFilter>
  <conditionalFormatting sqref="C2:C35">
    <cfRule type="cellIs" dxfId="45" priority="17" operator="equal">
      <formula>"Pre Planning"</formula>
    </cfRule>
    <cfRule type="cellIs" dxfId="44" priority="22" operator="equal">
      <formula>"Construction"</formula>
    </cfRule>
    <cfRule type="cellIs" dxfId="43" priority="23" operator="equal">
      <formula>"Compliance Handover"</formula>
    </cfRule>
    <cfRule type="cellIs" dxfId="42" priority="24" operator="equal">
      <formula>"Financial Close"</formula>
    </cfRule>
    <cfRule type="cellIs" dxfId="41" priority="25" operator="equal">
      <formula>"Planning"</formula>
    </cfRule>
    <cfRule type="cellIs" dxfId="40" priority="26" operator="equal">
      <formula>"Pre Planning"</formula>
    </cfRule>
  </conditionalFormatting>
  <conditionalFormatting sqref="C2:C35">
    <cfRule type="cellIs" dxfId="39" priority="18" operator="equal">
      <formula>"Hold"</formula>
    </cfRule>
    <cfRule type="cellIs" dxfId="38" priority="19" operator="equal">
      <formula>"Closed"</formula>
    </cfRule>
    <cfRule type="cellIs" dxfId="37" priority="20" operator="equal">
      <formula>"Handover"</formula>
    </cfRule>
    <cfRule type="cellIs" dxfId="36" priority="21" operator="equal">
      <formula>"QA"</formula>
    </cfRule>
  </conditionalFormatting>
  <conditionalFormatting sqref="K2:K29 K31:K35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{13100F46-32AB-45CB-919A-560CCCFBE3BC}</x14:id>
        </ext>
      </extLst>
    </cfRule>
  </conditionalFormatting>
  <conditionalFormatting sqref="C36">
    <cfRule type="cellIs" dxfId="35" priority="6" operator="equal">
      <formula>"Pre Planning"</formula>
    </cfRule>
    <cfRule type="cellIs" dxfId="34" priority="11" operator="equal">
      <formula>"Construction"</formula>
    </cfRule>
    <cfRule type="cellIs" dxfId="33" priority="12" operator="equal">
      <formula>"Compliance Handover"</formula>
    </cfRule>
    <cfRule type="cellIs" dxfId="32" priority="13" operator="equal">
      <formula>"Financial Close"</formula>
    </cfRule>
    <cfRule type="cellIs" dxfId="31" priority="14" operator="equal">
      <formula>"Planning"</formula>
    </cfRule>
    <cfRule type="cellIs" dxfId="30" priority="15" operator="equal">
      <formula>"Pre Planning"</formula>
    </cfRule>
  </conditionalFormatting>
  <conditionalFormatting sqref="C36">
    <cfRule type="cellIs" dxfId="29" priority="7" operator="equal">
      <formula>"Hold"</formula>
    </cfRule>
    <cfRule type="cellIs" dxfId="28" priority="8" operator="equal">
      <formula>"Closed"</formula>
    </cfRule>
    <cfRule type="cellIs" dxfId="27" priority="9" operator="equal">
      <formula>"Handover"</formula>
    </cfRule>
    <cfRule type="cellIs" dxfId="26" priority="10" operator="equal">
      <formula>"QA"</formula>
    </cfRule>
  </conditionalFormatting>
  <conditionalFormatting sqref="K36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{8270D71D-750C-43FD-B8DF-E0491A385CEF}</x14:id>
        </ext>
      </extLst>
    </cfRule>
  </conditionalFormatting>
  <conditionalFormatting sqref="K4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{479DF126-B7E2-44CD-86F6-48F4DE45A497}</x14:id>
        </ext>
      </extLst>
    </cfRule>
  </conditionalFormatting>
  <conditionalFormatting sqref="K3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{FE5A40F4-11B4-4125-928D-5222F8532B82}</x14:id>
        </ext>
      </extLst>
    </cfRule>
  </conditionalFormatting>
  <dataValidations count="2">
    <dataValidation type="list" allowBlank="1" sqref="D2:F11" xr:uid="{552B5F4E-EB7A-4FED-A8D2-CB0DC6A7EA56}">
      <formula1>"R,A,G"</formula1>
    </dataValidation>
    <dataValidation type="list" allowBlank="1" showInputMessage="1" showErrorMessage="1" sqref="C2:C36" xr:uid="{363DE98B-9310-4D2D-A04E-444F03828493}">
      <formula1>FullList</formula1>
    </dataValidation>
  </dataValidations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3100F46-32AB-45CB-919A-560CCCFBE3B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K2:K29 K31:K35</xm:sqref>
        </x14:conditionalFormatting>
        <x14:conditionalFormatting xmlns:xm="http://schemas.microsoft.com/office/excel/2006/main">
          <x14:cfRule type="dataBar" id="{8270D71D-750C-43FD-B8DF-E0491A385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K36</xm:sqref>
        </x14:conditionalFormatting>
        <x14:conditionalFormatting xmlns:xm="http://schemas.microsoft.com/office/excel/2006/main">
          <x14:cfRule type="dataBar" id="{479DF126-B7E2-44CD-86F6-48F4DE45A49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K40</xm:sqref>
        </x14:conditionalFormatting>
        <x14:conditionalFormatting xmlns:xm="http://schemas.microsoft.com/office/excel/2006/main">
          <x14:cfRule type="dataBar" id="{FE5A40F4-11B4-4125-928D-5222F8532B8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K30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E045-0A8E-4094-876E-6ED941E93024}">
  <sheetPr codeName="Sheet15"/>
  <dimension ref="A1:L101"/>
  <sheetViews>
    <sheetView zoomScale="115" zoomScaleNormal="115" workbookViewId="0">
      <selection activeCell="C44" sqref="C44"/>
    </sheetView>
  </sheetViews>
  <sheetFormatPr defaultColWidth="16.1796875" defaultRowHeight="14.5"/>
  <cols>
    <col min="1" max="1" width="13.1796875" customWidth="1"/>
    <col min="2" max="2" width="16.54296875" customWidth="1"/>
    <col min="3" max="3" width="51.81640625" customWidth="1"/>
    <col min="5" max="5" width="18" customWidth="1"/>
    <col min="6" max="6" width="12.6328125" customWidth="1"/>
    <col min="7" max="7" width="13.81640625" style="211" customWidth="1"/>
    <col min="8" max="8" width="12.54296875" style="211" customWidth="1"/>
    <col min="9" max="9" width="13.1796875" customWidth="1"/>
    <col min="10" max="10" width="15.1796875" customWidth="1"/>
    <col min="11" max="11" width="72.26953125" customWidth="1"/>
  </cols>
  <sheetData>
    <row r="1" spans="1:12">
      <c r="A1" s="195" t="s">
        <v>258</v>
      </c>
      <c r="B1" s="195" t="s">
        <v>259</v>
      </c>
      <c r="C1" s="196" t="s">
        <v>260</v>
      </c>
      <c r="D1" s="196" t="s">
        <v>261</v>
      </c>
      <c r="E1" s="197" t="s">
        <v>151</v>
      </c>
      <c r="F1" s="197" t="s">
        <v>262</v>
      </c>
      <c r="G1" s="210" t="s">
        <v>263</v>
      </c>
      <c r="H1" s="210" t="s">
        <v>264</v>
      </c>
      <c r="I1" s="197" t="s">
        <v>134</v>
      </c>
      <c r="J1" s="197" t="s">
        <v>265</v>
      </c>
      <c r="K1" s="198" t="s">
        <v>266</v>
      </c>
      <c r="L1" s="213" t="s">
        <v>267</v>
      </c>
    </row>
    <row r="2" spans="1:12" hidden="1">
      <c r="A2" s="199" t="s">
        <v>268</v>
      </c>
      <c r="B2" s="199" t="s">
        <v>269</v>
      </c>
      <c r="C2" s="200" t="s">
        <v>270</v>
      </c>
      <c r="D2" s="201" t="s">
        <v>271</v>
      </c>
      <c r="E2" s="201" t="s">
        <v>272</v>
      </c>
      <c r="F2" s="201"/>
      <c r="G2" s="202">
        <v>46050</v>
      </c>
      <c r="H2" s="202">
        <f>Table16[[#This Row],[Date Raised]]+2</f>
        <v>46052</v>
      </c>
      <c r="I2" s="201" t="s">
        <v>273</v>
      </c>
      <c r="J2" s="202">
        <v>46068</v>
      </c>
      <c r="K2" s="203"/>
      <c r="L2" s="212"/>
    </row>
    <row r="3" spans="1:12" hidden="1">
      <c r="A3" s="199" t="s">
        <v>274</v>
      </c>
      <c r="B3" s="199" t="s">
        <v>275</v>
      </c>
      <c r="C3" s="200" t="s">
        <v>276</v>
      </c>
      <c r="D3" s="201" t="s">
        <v>271</v>
      </c>
      <c r="E3" s="201" t="s">
        <v>277</v>
      </c>
      <c r="F3" s="201" t="s">
        <v>272</v>
      </c>
      <c r="G3" s="202">
        <v>46050</v>
      </c>
      <c r="H3" s="202">
        <f>Table16[[#This Row],[Date Raised]]+7</f>
        <v>46057</v>
      </c>
      <c r="I3" s="201" t="s">
        <v>273</v>
      </c>
      <c r="J3" s="202"/>
      <c r="K3" s="203"/>
      <c r="L3" s="202"/>
    </row>
    <row r="4" spans="1:12" hidden="1">
      <c r="A4" s="199" t="s">
        <v>279</v>
      </c>
      <c r="B4" s="199" t="s">
        <v>37</v>
      </c>
      <c r="C4" s="200" t="s">
        <v>280</v>
      </c>
      <c r="D4" s="201" t="s">
        <v>281</v>
      </c>
      <c r="E4" s="201" t="s">
        <v>272</v>
      </c>
      <c r="F4" s="201" t="s">
        <v>282</v>
      </c>
      <c r="G4" s="202">
        <v>46036</v>
      </c>
      <c r="H4" s="202">
        <v>46038</v>
      </c>
      <c r="I4" s="201" t="s">
        <v>273</v>
      </c>
      <c r="J4" s="202">
        <v>46037</v>
      </c>
      <c r="K4" s="203" t="s">
        <v>283</v>
      </c>
      <c r="L4" s="202"/>
    </row>
    <row r="5" spans="1:12" hidden="1">
      <c r="A5" s="199" t="s">
        <v>284</v>
      </c>
      <c r="B5" s="199" t="s">
        <v>285</v>
      </c>
      <c r="C5" s="200" t="s">
        <v>286</v>
      </c>
      <c r="D5" s="201" t="s">
        <v>287</v>
      </c>
      <c r="E5" s="201" t="s">
        <v>288</v>
      </c>
      <c r="F5" s="201" t="s">
        <v>277</v>
      </c>
      <c r="G5" s="202">
        <v>46035</v>
      </c>
      <c r="H5" s="202">
        <v>46058</v>
      </c>
      <c r="I5" s="201" t="s">
        <v>273</v>
      </c>
      <c r="J5" s="202">
        <v>46061</v>
      </c>
      <c r="K5" s="203" t="s">
        <v>289</v>
      </c>
      <c r="L5" s="202"/>
    </row>
    <row r="6" spans="1:12" hidden="1">
      <c r="A6" s="199" t="s">
        <v>290</v>
      </c>
      <c r="B6" s="199" t="s">
        <v>275</v>
      </c>
      <c r="C6" s="200" t="s">
        <v>291</v>
      </c>
      <c r="D6" s="201" t="s">
        <v>271</v>
      </c>
      <c r="E6" s="201" t="s">
        <v>277</v>
      </c>
      <c r="F6" s="201" t="s">
        <v>272</v>
      </c>
      <c r="G6" s="202">
        <v>46044</v>
      </c>
      <c r="H6" s="202">
        <v>46059</v>
      </c>
      <c r="I6" s="201" t="s">
        <v>273</v>
      </c>
      <c r="J6" s="202">
        <v>46068</v>
      </c>
      <c r="K6" s="203"/>
      <c r="L6" s="202"/>
    </row>
    <row r="7" spans="1:12" hidden="1">
      <c r="A7" s="199" t="s">
        <v>292</v>
      </c>
      <c r="B7" s="199" t="s">
        <v>37</v>
      </c>
      <c r="C7" s="200" t="s">
        <v>293</v>
      </c>
      <c r="D7" s="201" t="s">
        <v>281</v>
      </c>
      <c r="E7" s="201" t="s">
        <v>272</v>
      </c>
      <c r="F7" s="201" t="s">
        <v>282</v>
      </c>
      <c r="G7" s="202">
        <v>46036</v>
      </c>
      <c r="H7" s="202">
        <v>46037</v>
      </c>
      <c r="I7" s="201" t="s">
        <v>273</v>
      </c>
      <c r="J7" s="202">
        <v>46037</v>
      </c>
      <c r="K7" s="203"/>
      <c r="L7" s="202"/>
    </row>
    <row r="8" spans="1:12" hidden="1">
      <c r="A8" s="199" t="s">
        <v>294</v>
      </c>
      <c r="B8" s="199" t="s">
        <v>35</v>
      </c>
      <c r="C8" s="200" t="s">
        <v>295</v>
      </c>
      <c r="D8" s="201" t="s">
        <v>281</v>
      </c>
      <c r="E8" s="201" t="s">
        <v>272</v>
      </c>
      <c r="F8" s="201" t="s">
        <v>296</v>
      </c>
      <c r="G8" s="202">
        <v>46036</v>
      </c>
      <c r="H8" s="202">
        <v>46037</v>
      </c>
      <c r="I8" s="201" t="s">
        <v>273</v>
      </c>
      <c r="J8" s="202">
        <v>46037</v>
      </c>
      <c r="K8" s="203"/>
      <c r="L8" s="202"/>
    </row>
    <row r="9" spans="1:12" hidden="1">
      <c r="A9" s="199" t="s">
        <v>297</v>
      </c>
      <c r="B9" s="199" t="s">
        <v>285</v>
      </c>
      <c r="C9" s="200" t="s">
        <v>298</v>
      </c>
      <c r="D9" s="201" t="s">
        <v>281</v>
      </c>
      <c r="E9" s="201" t="s">
        <v>277</v>
      </c>
      <c r="F9" s="201" t="s">
        <v>272</v>
      </c>
      <c r="G9" s="202">
        <v>46035</v>
      </c>
      <c r="H9" s="202">
        <v>46038</v>
      </c>
      <c r="I9" s="201" t="s">
        <v>273</v>
      </c>
      <c r="J9" s="202">
        <v>46048</v>
      </c>
      <c r="K9" s="203"/>
      <c r="L9" s="202"/>
    </row>
    <row r="10" spans="1:12" hidden="1">
      <c r="A10" s="199" t="s">
        <v>299</v>
      </c>
      <c r="B10" s="199" t="s">
        <v>35</v>
      </c>
      <c r="C10" s="200" t="s">
        <v>300</v>
      </c>
      <c r="D10" s="201" t="s">
        <v>281</v>
      </c>
      <c r="E10" s="201" t="s">
        <v>272</v>
      </c>
      <c r="F10" s="201"/>
      <c r="G10" s="202">
        <v>46052</v>
      </c>
      <c r="H10" s="202">
        <f>Table16[[#This Row],[Date Raised]]+7</f>
        <v>46059</v>
      </c>
      <c r="I10" s="201" t="s">
        <v>273</v>
      </c>
      <c r="J10" s="202">
        <v>46068</v>
      </c>
      <c r="K10" s="203"/>
      <c r="L10" s="202"/>
    </row>
    <row r="11" spans="1:12" hidden="1">
      <c r="A11" s="199" t="s">
        <v>301</v>
      </c>
      <c r="B11" s="199" t="s">
        <v>35</v>
      </c>
      <c r="C11" s="200" t="s">
        <v>302</v>
      </c>
      <c r="D11" s="201" t="s">
        <v>281</v>
      </c>
      <c r="E11" s="201" t="s">
        <v>272</v>
      </c>
      <c r="F11" s="201"/>
      <c r="G11" s="202">
        <v>46036</v>
      </c>
      <c r="H11" s="202">
        <v>46037</v>
      </c>
      <c r="I11" s="201" t="s">
        <v>273</v>
      </c>
      <c r="J11" s="202">
        <v>46037</v>
      </c>
      <c r="K11" s="203"/>
      <c r="L11" s="202"/>
    </row>
    <row r="12" spans="1:12" hidden="1">
      <c r="A12" s="199" t="s">
        <v>303</v>
      </c>
      <c r="B12" s="199" t="s">
        <v>269</v>
      </c>
      <c r="C12" s="200" t="s">
        <v>304</v>
      </c>
      <c r="D12" s="201" t="s">
        <v>281</v>
      </c>
      <c r="E12" s="201" t="s">
        <v>272</v>
      </c>
      <c r="F12" s="201" t="s">
        <v>305</v>
      </c>
      <c r="G12" s="202">
        <v>46037</v>
      </c>
      <c r="H12" s="202">
        <v>46046</v>
      </c>
      <c r="I12" s="201" t="s">
        <v>273</v>
      </c>
      <c r="J12" s="202">
        <v>46048</v>
      </c>
      <c r="K12" s="203" t="s">
        <v>306</v>
      </c>
      <c r="L12" s="202"/>
    </row>
    <row r="13" spans="1:12" hidden="1">
      <c r="A13" s="199" t="s">
        <v>307</v>
      </c>
      <c r="B13" s="199" t="s">
        <v>308</v>
      </c>
      <c r="C13" s="200" t="s">
        <v>309</v>
      </c>
      <c r="D13" s="201" t="s">
        <v>281</v>
      </c>
      <c r="E13" s="201" t="s">
        <v>282</v>
      </c>
      <c r="F13" s="201" t="s">
        <v>170</v>
      </c>
      <c r="G13" s="202">
        <v>46036</v>
      </c>
      <c r="H13" s="202">
        <v>46038</v>
      </c>
      <c r="I13" s="201" t="s">
        <v>273</v>
      </c>
      <c r="J13" s="202">
        <v>46050</v>
      </c>
      <c r="K13" s="203"/>
      <c r="L13" s="202"/>
    </row>
    <row r="14" spans="1:12" hidden="1">
      <c r="A14" s="199" t="s">
        <v>310</v>
      </c>
      <c r="B14" s="199" t="s">
        <v>35</v>
      </c>
      <c r="C14" s="200" t="s">
        <v>311</v>
      </c>
      <c r="D14" s="201" t="s">
        <v>281</v>
      </c>
      <c r="E14" s="201" t="s">
        <v>272</v>
      </c>
      <c r="F14" s="201"/>
      <c r="G14" s="202">
        <v>46037</v>
      </c>
      <c r="H14" s="202">
        <v>46045</v>
      </c>
      <c r="I14" s="201" t="s">
        <v>273</v>
      </c>
      <c r="J14" s="202">
        <v>46041</v>
      </c>
      <c r="K14" s="203"/>
      <c r="L14" s="202"/>
    </row>
    <row r="15" spans="1:12" hidden="1">
      <c r="A15" s="199" t="s">
        <v>312</v>
      </c>
      <c r="B15" s="199" t="s">
        <v>269</v>
      </c>
      <c r="C15" s="200" t="s">
        <v>313</v>
      </c>
      <c r="D15" s="201" t="s">
        <v>281</v>
      </c>
      <c r="E15" s="201" t="s">
        <v>272</v>
      </c>
      <c r="F15" s="201"/>
      <c r="G15" s="202">
        <v>46037</v>
      </c>
      <c r="H15" s="202">
        <v>46043</v>
      </c>
      <c r="I15" s="201" t="s">
        <v>273</v>
      </c>
      <c r="J15" s="202">
        <v>46044</v>
      </c>
      <c r="K15" s="203" t="s">
        <v>314</v>
      </c>
      <c r="L15" s="202"/>
    </row>
    <row r="16" spans="1:12" hidden="1">
      <c r="A16" s="199" t="s">
        <v>315</v>
      </c>
      <c r="B16" s="199" t="s">
        <v>35</v>
      </c>
      <c r="C16" s="200" t="s">
        <v>316</v>
      </c>
      <c r="D16" s="201" t="s">
        <v>281</v>
      </c>
      <c r="E16" s="201" t="s">
        <v>272</v>
      </c>
      <c r="F16" s="201" t="s">
        <v>317</v>
      </c>
      <c r="G16" s="202">
        <v>46041</v>
      </c>
      <c r="H16" s="202">
        <v>46046</v>
      </c>
      <c r="I16" s="201" t="s">
        <v>273</v>
      </c>
      <c r="J16" s="202">
        <v>46050</v>
      </c>
      <c r="K16" s="203" t="s">
        <v>318</v>
      </c>
      <c r="L16" s="202"/>
    </row>
    <row r="17" spans="1:12" hidden="1">
      <c r="A17" s="199" t="s">
        <v>319</v>
      </c>
      <c r="B17" s="199" t="s">
        <v>269</v>
      </c>
      <c r="C17" s="200" t="s">
        <v>320</v>
      </c>
      <c r="D17" s="201" t="s">
        <v>271</v>
      </c>
      <c r="E17" s="201" t="s">
        <v>272</v>
      </c>
      <c r="F17" s="201" t="s">
        <v>317</v>
      </c>
      <c r="G17" s="202">
        <v>46041</v>
      </c>
      <c r="H17" s="202">
        <v>46043</v>
      </c>
      <c r="I17" s="201" t="s">
        <v>273</v>
      </c>
      <c r="J17" s="202">
        <v>46043</v>
      </c>
      <c r="K17" s="203" t="s">
        <v>321</v>
      </c>
      <c r="L17" s="202"/>
    </row>
    <row r="18" spans="1:12" ht="29" hidden="1">
      <c r="A18" s="199" t="s">
        <v>322</v>
      </c>
      <c r="B18" s="199" t="s">
        <v>269</v>
      </c>
      <c r="C18" s="200" t="s">
        <v>323</v>
      </c>
      <c r="D18" s="201" t="s">
        <v>287</v>
      </c>
      <c r="E18" s="201" t="s">
        <v>317</v>
      </c>
      <c r="F18" s="201" t="s">
        <v>324</v>
      </c>
      <c r="G18" s="202">
        <v>46041</v>
      </c>
      <c r="H18" s="202">
        <v>46043</v>
      </c>
      <c r="I18" s="201" t="s">
        <v>273</v>
      </c>
      <c r="J18" s="202">
        <v>46048</v>
      </c>
      <c r="K18" s="203" t="s">
        <v>325</v>
      </c>
      <c r="L18" s="202"/>
    </row>
    <row r="19" spans="1:12" hidden="1">
      <c r="A19" s="199" t="s">
        <v>326</v>
      </c>
      <c r="B19" s="199" t="s">
        <v>35</v>
      </c>
      <c r="C19" s="200" t="s">
        <v>327</v>
      </c>
      <c r="D19" s="201" t="s">
        <v>271</v>
      </c>
      <c r="E19" s="201" t="s">
        <v>272</v>
      </c>
      <c r="F19" s="201"/>
      <c r="G19" s="202">
        <v>46042</v>
      </c>
      <c r="H19" s="202">
        <v>46046</v>
      </c>
      <c r="I19" s="201" t="s">
        <v>273</v>
      </c>
      <c r="J19" s="202">
        <v>46044</v>
      </c>
      <c r="K19" s="203"/>
      <c r="L19" s="202"/>
    </row>
    <row r="20" spans="1:12" ht="29" hidden="1">
      <c r="A20" s="199" t="s">
        <v>328</v>
      </c>
      <c r="B20" s="199" t="s">
        <v>269</v>
      </c>
      <c r="C20" s="200" t="s">
        <v>329</v>
      </c>
      <c r="D20" s="201" t="s">
        <v>271</v>
      </c>
      <c r="E20" s="201" t="s">
        <v>272</v>
      </c>
      <c r="F20" s="201" t="s">
        <v>282</v>
      </c>
      <c r="G20" s="202">
        <v>46042</v>
      </c>
      <c r="H20" s="202">
        <v>46043</v>
      </c>
      <c r="I20" s="201" t="s">
        <v>273</v>
      </c>
      <c r="J20" s="202">
        <v>46043</v>
      </c>
      <c r="K20" s="203"/>
      <c r="L20" s="202"/>
    </row>
    <row r="21" spans="1:12" hidden="1">
      <c r="A21" s="199" t="s">
        <v>330</v>
      </c>
      <c r="B21" s="199" t="s">
        <v>269</v>
      </c>
      <c r="C21" s="200" t="s">
        <v>331</v>
      </c>
      <c r="D21" s="201" t="s">
        <v>281</v>
      </c>
      <c r="E21" s="201" t="s">
        <v>272</v>
      </c>
      <c r="F21" s="201" t="s">
        <v>317</v>
      </c>
      <c r="G21" s="202">
        <v>46042</v>
      </c>
      <c r="H21" s="202">
        <v>46050</v>
      </c>
      <c r="I21" s="201" t="s">
        <v>273</v>
      </c>
      <c r="J21" s="202">
        <v>46052</v>
      </c>
      <c r="K21" s="203"/>
      <c r="L21" s="202"/>
    </row>
    <row r="22" spans="1:12">
      <c r="A22" s="199" t="s">
        <v>332</v>
      </c>
      <c r="B22" s="199" t="s">
        <v>35</v>
      </c>
      <c r="C22" s="200" t="s">
        <v>333</v>
      </c>
      <c r="D22" s="201" t="s">
        <v>271</v>
      </c>
      <c r="E22" s="201" t="s">
        <v>9264</v>
      </c>
      <c r="F22" s="201" t="s">
        <v>282</v>
      </c>
      <c r="G22" s="202">
        <v>46063</v>
      </c>
      <c r="H22" s="202">
        <v>46064</v>
      </c>
      <c r="I22" s="201" t="s">
        <v>278</v>
      </c>
      <c r="J22" s="202"/>
      <c r="K22" s="203"/>
      <c r="L22" s="202"/>
    </row>
    <row r="23" spans="1:12" hidden="1">
      <c r="A23" s="199" t="s">
        <v>334</v>
      </c>
      <c r="B23" s="199" t="s">
        <v>335</v>
      </c>
      <c r="C23" s="200" t="s">
        <v>336</v>
      </c>
      <c r="D23" s="201" t="s">
        <v>287</v>
      </c>
      <c r="E23" s="201" t="s">
        <v>272</v>
      </c>
      <c r="F23" s="201"/>
      <c r="G23" s="202">
        <v>46043</v>
      </c>
      <c r="H23" s="202">
        <v>46043</v>
      </c>
      <c r="I23" s="201" t="s">
        <v>273</v>
      </c>
      <c r="J23" s="202">
        <v>46044</v>
      </c>
      <c r="K23" s="203"/>
      <c r="L23" s="202"/>
    </row>
    <row r="24" spans="1:12" hidden="1">
      <c r="A24" s="199" t="s">
        <v>337</v>
      </c>
      <c r="B24" s="199" t="s">
        <v>269</v>
      </c>
      <c r="C24" s="200" t="s">
        <v>338</v>
      </c>
      <c r="D24" s="201" t="s">
        <v>287</v>
      </c>
      <c r="E24" s="201" t="s">
        <v>277</v>
      </c>
      <c r="F24" s="201" t="s">
        <v>272</v>
      </c>
      <c r="G24" s="202">
        <v>46036</v>
      </c>
      <c r="H24" s="202">
        <v>46066</v>
      </c>
      <c r="I24" s="201" t="s">
        <v>273</v>
      </c>
      <c r="J24" s="202"/>
      <c r="K24" s="203" t="s">
        <v>339</v>
      </c>
      <c r="L24" s="202"/>
    </row>
    <row r="25" spans="1:12" hidden="1">
      <c r="A25" s="199" t="s">
        <v>340</v>
      </c>
      <c r="B25" s="199" t="s">
        <v>37</v>
      </c>
      <c r="C25" s="200" t="s">
        <v>341</v>
      </c>
      <c r="D25" s="201" t="s">
        <v>287</v>
      </c>
      <c r="E25" s="201" t="s">
        <v>282</v>
      </c>
      <c r="F25" s="201" t="s">
        <v>272</v>
      </c>
      <c r="G25" s="202">
        <v>46055</v>
      </c>
      <c r="H25" s="202">
        <v>46066</v>
      </c>
      <c r="I25" s="201" t="s">
        <v>273</v>
      </c>
      <c r="J25" s="202">
        <v>46066</v>
      </c>
      <c r="K25" s="203"/>
      <c r="L25" s="202"/>
    </row>
    <row r="26" spans="1:12" hidden="1">
      <c r="A26" s="199" t="s">
        <v>342</v>
      </c>
      <c r="B26" s="199" t="s">
        <v>35</v>
      </c>
      <c r="C26" s="200" t="s">
        <v>343</v>
      </c>
      <c r="D26" s="201" t="s">
        <v>281</v>
      </c>
      <c r="E26" s="201" t="s">
        <v>272</v>
      </c>
      <c r="F26" s="201"/>
      <c r="G26" s="202">
        <v>46063</v>
      </c>
      <c r="H26" s="202">
        <v>46066</v>
      </c>
      <c r="I26" s="201" t="s">
        <v>273</v>
      </c>
      <c r="J26" s="202">
        <v>46069</v>
      </c>
      <c r="K26" s="203"/>
      <c r="L26" s="202"/>
    </row>
    <row r="27" spans="1:12">
      <c r="A27" s="199" t="s">
        <v>344</v>
      </c>
      <c r="B27" s="199" t="s">
        <v>35</v>
      </c>
      <c r="C27" s="200" t="s">
        <v>345</v>
      </c>
      <c r="D27" s="201" t="s">
        <v>281</v>
      </c>
      <c r="E27" s="201" t="s">
        <v>272</v>
      </c>
      <c r="F27" s="201"/>
      <c r="G27" s="202">
        <v>46064</v>
      </c>
      <c r="H27" s="202">
        <f>Table16[[#This Row],[Date Raised]]+7</f>
        <v>46071</v>
      </c>
      <c r="I27" s="201" t="s">
        <v>278</v>
      </c>
      <c r="J27" s="202"/>
      <c r="K27" s="203" t="s">
        <v>346</v>
      </c>
      <c r="L27" s="202"/>
    </row>
    <row r="28" spans="1:12" hidden="1">
      <c r="A28" s="199" t="s">
        <v>347</v>
      </c>
      <c r="B28" s="199" t="s">
        <v>35</v>
      </c>
      <c r="C28" s="200" t="s">
        <v>348</v>
      </c>
      <c r="D28" s="201" t="s">
        <v>281</v>
      </c>
      <c r="E28" s="201" t="s">
        <v>272</v>
      </c>
      <c r="F28" s="201"/>
      <c r="G28" s="202">
        <v>46050</v>
      </c>
      <c r="H28" s="202">
        <v>46058</v>
      </c>
      <c r="I28" s="201" t="s">
        <v>273</v>
      </c>
      <c r="J28" s="202">
        <v>46061</v>
      </c>
      <c r="K28" s="203"/>
      <c r="L28" s="202"/>
    </row>
    <row r="29" spans="1:12" hidden="1">
      <c r="A29" s="199" t="s">
        <v>349</v>
      </c>
      <c r="B29" s="199" t="s">
        <v>37</v>
      </c>
      <c r="C29" s="200" t="s">
        <v>350</v>
      </c>
      <c r="D29" s="201" t="s">
        <v>271</v>
      </c>
      <c r="E29" s="201" t="s">
        <v>272</v>
      </c>
      <c r="F29" s="201"/>
      <c r="G29" s="202">
        <v>46052</v>
      </c>
      <c r="H29" s="202">
        <v>46052</v>
      </c>
      <c r="I29" s="201" t="s">
        <v>273</v>
      </c>
      <c r="J29" s="202">
        <v>46055</v>
      </c>
      <c r="K29" s="203"/>
      <c r="L29" s="202"/>
    </row>
    <row r="30" spans="1:12">
      <c r="A30" s="199" t="s">
        <v>351</v>
      </c>
      <c r="B30" s="199" t="s">
        <v>35</v>
      </c>
      <c r="C30" s="200" t="s">
        <v>352</v>
      </c>
      <c r="D30" s="201" t="s">
        <v>271</v>
      </c>
      <c r="E30" s="201" t="s">
        <v>272</v>
      </c>
      <c r="F30" s="201" t="s">
        <v>353</v>
      </c>
      <c r="G30" s="202">
        <v>46070</v>
      </c>
      <c r="H30" s="202">
        <v>46071</v>
      </c>
      <c r="I30" s="201" t="s">
        <v>278</v>
      </c>
      <c r="J30" s="202"/>
      <c r="K30" s="203"/>
      <c r="L30" s="202"/>
    </row>
    <row r="31" spans="1:12" hidden="1">
      <c r="A31" s="199" t="s">
        <v>354</v>
      </c>
      <c r="B31" s="199" t="s">
        <v>37</v>
      </c>
      <c r="C31" s="200" t="s">
        <v>355</v>
      </c>
      <c r="D31" s="201" t="s">
        <v>271</v>
      </c>
      <c r="E31" s="201" t="s">
        <v>282</v>
      </c>
      <c r="F31" s="201" t="s">
        <v>272</v>
      </c>
      <c r="G31" s="202">
        <v>46052</v>
      </c>
      <c r="H31" s="202">
        <f>Table16[[#This Row],[Date Raised]]+7</f>
        <v>46059</v>
      </c>
      <c r="I31" s="201" t="s">
        <v>273</v>
      </c>
      <c r="J31" s="202">
        <v>46063</v>
      </c>
      <c r="K31" s="203"/>
      <c r="L31" s="202"/>
    </row>
    <row r="32" spans="1:12" ht="72.5" hidden="1">
      <c r="A32" s="199" t="s">
        <v>356</v>
      </c>
      <c r="B32" s="199" t="s">
        <v>35</v>
      </c>
      <c r="C32" s="200" t="s">
        <v>357</v>
      </c>
      <c r="D32" s="201" t="s">
        <v>271</v>
      </c>
      <c r="E32" s="201" t="s">
        <v>272</v>
      </c>
      <c r="F32" s="201" t="s">
        <v>282</v>
      </c>
      <c r="G32" s="202">
        <v>46055</v>
      </c>
      <c r="H32" s="202">
        <f>Table16[[#This Row],[Date Raised]]+2</f>
        <v>46057</v>
      </c>
      <c r="I32" s="201" t="s">
        <v>273</v>
      </c>
      <c r="J32" s="202">
        <v>46059</v>
      </c>
      <c r="K32" s="203" t="s">
        <v>358</v>
      </c>
      <c r="L32" s="202"/>
    </row>
    <row r="33" spans="1:12" hidden="1">
      <c r="A33" s="199" t="s">
        <v>359</v>
      </c>
      <c r="B33" s="199" t="s">
        <v>335</v>
      </c>
      <c r="C33" s="200" t="s">
        <v>360</v>
      </c>
      <c r="D33" s="201" t="s">
        <v>287</v>
      </c>
      <c r="E33" s="201" t="s">
        <v>272</v>
      </c>
      <c r="F33" s="201" t="s">
        <v>361</v>
      </c>
      <c r="G33" s="202">
        <v>46070</v>
      </c>
      <c r="H33" s="202">
        <v>46072</v>
      </c>
      <c r="I33" s="201" t="s">
        <v>273</v>
      </c>
      <c r="J33" s="202"/>
      <c r="K33" s="203"/>
      <c r="L33" s="202"/>
    </row>
    <row r="34" spans="1:12" hidden="1">
      <c r="A34" s="199" t="s">
        <v>362</v>
      </c>
      <c r="B34" s="199" t="s">
        <v>35</v>
      </c>
      <c r="C34" s="200" t="s">
        <v>363</v>
      </c>
      <c r="D34" s="201" t="s">
        <v>287</v>
      </c>
      <c r="E34" s="201" t="s">
        <v>272</v>
      </c>
      <c r="F34" s="201" t="s">
        <v>282</v>
      </c>
      <c r="G34" s="202">
        <v>46062</v>
      </c>
      <c r="H34" s="202">
        <f>Table16[[#This Row],[Date Raised]]+14</f>
        <v>46076</v>
      </c>
      <c r="I34" s="201" t="s">
        <v>273</v>
      </c>
      <c r="J34" s="202">
        <v>46068</v>
      </c>
      <c r="K34" s="203" t="e" vm="1">
        <v>#VALUE!</v>
      </c>
      <c r="L34" s="202"/>
    </row>
    <row r="35" spans="1:12" ht="43.5">
      <c r="A35" s="199" t="s">
        <v>364</v>
      </c>
      <c r="B35" s="199" t="s">
        <v>269</v>
      </c>
      <c r="C35" s="200" t="s">
        <v>365</v>
      </c>
      <c r="D35" s="201" t="s">
        <v>271</v>
      </c>
      <c r="E35" s="201" t="s">
        <v>272</v>
      </c>
      <c r="F35" s="201" t="s">
        <v>282</v>
      </c>
      <c r="G35" s="202">
        <v>45985</v>
      </c>
      <c r="H35" s="202">
        <v>46073</v>
      </c>
      <c r="I35" s="201" t="s">
        <v>278</v>
      </c>
      <c r="J35" s="202"/>
      <c r="K35" s="203" t="s">
        <v>366</v>
      </c>
      <c r="L35" s="202"/>
    </row>
    <row r="36" spans="1:12">
      <c r="A36" s="199" t="s">
        <v>367</v>
      </c>
      <c r="B36" s="199" t="s">
        <v>269</v>
      </c>
      <c r="C36" s="200" t="s">
        <v>368</v>
      </c>
      <c r="D36" s="201" t="s">
        <v>287</v>
      </c>
      <c r="E36" s="201" t="s">
        <v>272</v>
      </c>
      <c r="F36" s="201" t="s">
        <v>282</v>
      </c>
      <c r="G36" s="202">
        <v>46036</v>
      </c>
      <c r="H36" s="202">
        <v>46073</v>
      </c>
      <c r="I36" s="201" t="s">
        <v>278</v>
      </c>
      <c r="J36" s="202"/>
      <c r="K36" s="203"/>
      <c r="L36" s="202"/>
    </row>
    <row r="37" spans="1:12" hidden="1">
      <c r="A37" s="199" t="s">
        <v>382</v>
      </c>
      <c r="B37" s="199" t="s">
        <v>35</v>
      </c>
      <c r="C37" s="200" t="s">
        <v>9263</v>
      </c>
      <c r="D37" s="201" t="s">
        <v>271</v>
      </c>
      <c r="E37" s="201" t="s">
        <v>272</v>
      </c>
      <c r="F37" s="201"/>
      <c r="G37" s="202">
        <v>46076</v>
      </c>
      <c r="H37" s="202">
        <v>46076</v>
      </c>
      <c r="I37" s="201" t="s">
        <v>273</v>
      </c>
      <c r="J37" s="202"/>
      <c r="K37" s="203"/>
      <c r="L37" s="202"/>
    </row>
    <row r="38" spans="1:12" hidden="1">
      <c r="A38" s="199" t="s">
        <v>369</v>
      </c>
      <c r="B38" s="199" t="s">
        <v>35</v>
      </c>
      <c r="C38" s="200" t="s">
        <v>370</v>
      </c>
      <c r="D38" s="201" t="s">
        <v>281</v>
      </c>
      <c r="E38" s="201" t="s">
        <v>324</v>
      </c>
      <c r="F38" s="201" t="s">
        <v>282</v>
      </c>
      <c r="G38" s="202">
        <v>46034</v>
      </c>
      <c r="H38" s="202">
        <v>46081</v>
      </c>
      <c r="I38" s="201" t="s">
        <v>273</v>
      </c>
      <c r="J38" s="202"/>
      <c r="K38" s="358"/>
      <c r="L38" s="202" t="e" vm="2">
        <v>#VALUE!</v>
      </c>
    </row>
    <row r="39" spans="1:12">
      <c r="A39" s="199" t="s">
        <v>371</v>
      </c>
      <c r="B39" s="199" t="s">
        <v>308</v>
      </c>
      <c r="C39" s="200" t="s">
        <v>372</v>
      </c>
      <c r="D39" s="201" t="s">
        <v>287</v>
      </c>
      <c r="E39" s="201" t="s">
        <v>272</v>
      </c>
      <c r="F39" s="201" t="s">
        <v>277</v>
      </c>
      <c r="G39" s="202">
        <v>46042</v>
      </c>
      <c r="H39" s="202">
        <v>46081</v>
      </c>
      <c r="I39" s="201" t="s">
        <v>278</v>
      </c>
      <c r="J39" s="202"/>
      <c r="K39" s="203"/>
      <c r="L39" s="202"/>
    </row>
    <row r="40" spans="1:12">
      <c r="A40" s="199" t="s">
        <v>373</v>
      </c>
      <c r="B40" s="199" t="s">
        <v>275</v>
      </c>
      <c r="C40" s="200" t="s">
        <v>374</v>
      </c>
      <c r="D40" s="201" t="s">
        <v>287</v>
      </c>
      <c r="E40" s="201" t="s">
        <v>272</v>
      </c>
      <c r="F40" s="201" t="s">
        <v>375</v>
      </c>
      <c r="G40" s="202">
        <v>46050</v>
      </c>
      <c r="H40" s="202">
        <v>46081</v>
      </c>
      <c r="I40" s="201" t="s">
        <v>278</v>
      </c>
      <c r="J40" s="202"/>
      <c r="K40" s="203"/>
      <c r="L40" s="202"/>
    </row>
    <row r="41" spans="1:12">
      <c r="A41" s="199" t="s">
        <v>376</v>
      </c>
      <c r="B41" s="199" t="s">
        <v>37</v>
      </c>
      <c r="C41" s="200" t="s">
        <v>377</v>
      </c>
      <c r="D41" s="201" t="s">
        <v>287</v>
      </c>
      <c r="E41" s="201" t="s">
        <v>272</v>
      </c>
      <c r="F41" s="201" t="s">
        <v>378</v>
      </c>
      <c r="G41" s="202">
        <v>46063</v>
      </c>
      <c r="H41" s="202">
        <f>Table16[[#This Row],[Date Raised]]+21</f>
        <v>46084</v>
      </c>
      <c r="I41" s="201" t="s">
        <v>278</v>
      </c>
      <c r="J41" s="202"/>
      <c r="K41" s="203"/>
      <c r="L41" s="202"/>
    </row>
    <row r="42" spans="1:12">
      <c r="A42" s="199" t="s">
        <v>379</v>
      </c>
      <c r="B42" s="199" t="s">
        <v>35</v>
      </c>
      <c r="C42" s="200" t="s">
        <v>380</v>
      </c>
      <c r="D42" s="201" t="s">
        <v>281</v>
      </c>
      <c r="E42" s="201" t="s">
        <v>272</v>
      </c>
      <c r="F42" s="201"/>
      <c r="G42" s="202">
        <v>46065</v>
      </c>
      <c r="H42" s="202">
        <v>46111</v>
      </c>
      <c r="I42" s="201" t="s">
        <v>278</v>
      </c>
      <c r="J42" s="202"/>
      <c r="K42" s="203" t="s">
        <v>381</v>
      </c>
      <c r="L42" s="202"/>
    </row>
    <row r="43" spans="1:12">
      <c r="A43" s="199" t="s">
        <v>383</v>
      </c>
      <c r="B43" s="199"/>
      <c r="C43" s="200"/>
      <c r="D43" s="201"/>
      <c r="E43" s="201"/>
      <c r="F43" s="201"/>
      <c r="G43" s="202"/>
      <c r="H43" s="202"/>
      <c r="I43" s="201"/>
      <c r="J43" s="202"/>
      <c r="K43" s="203"/>
      <c r="L43" s="202"/>
    </row>
    <row r="44" spans="1:12">
      <c r="A44" s="199" t="s">
        <v>384</v>
      </c>
      <c r="B44" s="199"/>
      <c r="C44" s="200"/>
      <c r="D44" s="201"/>
      <c r="E44" s="201"/>
      <c r="F44" s="201"/>
      <c r="G44" s="202"/>
      <c r="H44" s="202"/>
      <c r="I44" s="201"/>
      <c r="J44" s="202"/>
      <c r="K44" s="203"/>
      <c r="L44" s="202"/>
    </row>
    <row r="45" spans="1:12">
      <c r="A45" s="199" t="s">
        <v>385</v>
      </c>
      <c r="B45" s="199"/>
      <c r="C45" s="200"/>
      <c r="D45" s="201"/>
      <c r="E45" s="201"/>
      <c r="F45" s="201"/>
      <c r="G45" s="202"/>
      <c r="H45" s="202"/>
      <c r="I45" s="201"/>
      <c r="J45" s="202"/>
      <c r="K45" s="203"/>
      <c r="L45" s="202"/>
    </row>
    <row r="46" spans="1:12">
      <c r="A46" s="199" t="s">
        <v>386</v>
      </c>
      <c r="B46" s="199"/>
      <c r="C46" s="200"/>
      <c r="D46" s="201"/>
      <c r="E46" s="201"/>
      <c r="F46" s="201"/>
      <c r="G46" s="202"/>
      <c r="H46" s="202"/>
      <c r="I46" s="201"/>
      <c r="J46" s="202"/>
      <c r="K46" s="203"/>
      <c r="L46" s="202"/>
    </row>
    <row r="47" spans="1:12">
      <c r="A47" s="199" t="s">
        <v>387</v>
      </c>
      <c r="B47" s="199"/>
      <c r="C47" s="200"/>
      <c r="D47" s="201"/>
      <c r="E47" s="201"/>
      <c r="F47" s="201"/>
      <c r="G47" s="202"/>
      <c r="H47" s="202"/>
      <c r="I47" s="201"/>
      <c r="J47" s="202"/>
      <c r="K47" s="203"/>
      <c r="L47" s="202"/>
    </row>
    <row r="48" spans="1:12">
      <c r="A48" s="199" t="s">
        <v>388</v>
      </c>
      <c r="B48" s="199"/>
      <c r="C48" s="200"/>
      <c r="D48" s="201"/>
      <c r="E48" s="201"/>
      <c r="F48" s="201"/>
      <c r="G48" s="202"/>
      <c r="H48" s="202"/>
      <c r="I48" s="201"/>
      <c r="J48" s="202"/>
      <c r="K48" s="203"/>
      <c r="L48" s="202"/>
    </row>
    <row r="49" spans="1:12">
      <c r="A49" s="199" t="s">
        <v>389</v>
      </c>
      <c r="B49" s="199"/>
      <c r="C49" s="200"/>
      <c r="D49" s="201"/>
      <c r="E49" s="201"/>
      <c r="F49" s="201"/>
      <c r="G49" s="202"/>
      <c r="H49" s="202"/>
      <c r="I49" s="201"/>
      <c r="J49" s="202"/>
      <c r="K49" s="203"/>
      <c r="L49" s="202"/>
    </row>
    <row r="50" spans="1:12">
      <c r="A50" s="199" t="s">
        <v>390</v>
      </c>
      <c r="B50" s="199"/>
      <c r="C50" s="200"/>
      <c r="D50" s="201"/>
      <c r="E50" s="201"/>
      <c r="F50" s="201"/>
      <c r="G50" s="202"/>
      <c r="H50" s="202"/>
      <c r="I50" s="201"/>
      <c r="J50" s="202"/>
      <c r="K50" s="203"/>
      <c r="L50" s="202"/>
    </row>
    <row r="51" spans="1:12">
      <c r="A51" s="199" t="s">
        <v>391</v>
      </c>
      <c r="B51" s="199"/>
      <c r="C51" s="200"/>
      <c r="D51" s="201"/>
      <c r="E51" s="201"/>
      <c r="F51" s="201"/>
      <c r="G51" s="202"/>
      <c r="H51" s="202"/>
      <c r="I51" s="201"/>
      <c r="J51" s="202"/>
      <c r="K51" s="203"/>
      <c r="L51" s="202"/>
    </row>
    <row r="52" spans="1:12">
      <c r="A52" s="199" t="s">
        <v>392</v>
      </c>
      <c r="B52" s="199"/>
      <c r="C52" s="200"/>
      <c r="D52" s="201"/>
      <c r="E52" s="201"/>
      <c r="F52" s="201"/>
      <c r="G52" s="202"/>
      <c r="H52" s="202"/>
      <c r="I52" s="201"/>
      <c r="J52" s="202"/>
      <c r="K52" s="203"/>
      <c r="L52" s="202"/>
    </row>
    <row r="53" spans="1:12">
      <c r="A53" s="199" t="s">
        <v>393</v>
      </c>
      <c r="B53" s="199"/>
      <c r="C53" s="200"/>
      <c r="D53" s="201"/>
      <c r="E53" s="201"/>
      <c r="F53" s="201"/>
      <c r="G53" s="202"/>
      <c r="H53" s="202"/>
      <c r="I53" s="201"/>
      <c r="J53" s="202"/>
      <c r="K53" s="203"/>
      <c r="L53" s="202"/>
    </row>
    <row r="54" spans="1:12">
      <c r="A54" s="199" t="s">
        <v>394</v>
      </c>
      <c r="B54" s="199"/>
      <c r="C54" s="200"/>
      <c r="D54" s="201"/>
      <c r="E54" s="201"/>
      <c r="F54" s="201"/>
      <c r="G54" s="202"/>
      <c r="H54" s="202"/>
      <c r="I54" s="201"/>
      <c r="J54" s="202"/>
      <c r="K54" s="203"/>
      <c r="L54" s="202"/>
    </row>
    <row r="55" spans="1:12">
      <c r="A55" s="199" t="s">
        <v>395</v>
      </c>
      <c r="B55" s="199"/>
      <c r="C55" s="200"/>
      <c r="D55" s="201"/>
      <c r="E55" s="201"/>
      <c r="F55" s="201"/>
      <c r="G55" s="202"/>
      <c r="H55" s="202"/>
      <c r="I55" s="201"/>
      <c r="J55" s="202"/>
      <c r="K55" s="203"/>
      <c r="L55" s="202"/>
    </row>
    <row r="56" spans="1:12">
      <c r="A56" s="199" t="s">
        <v>396</v>
      </c>
      <c r="B56" s="199"/>
      <c r="C56" s="200"/>
      <c r="D56" s="201"/>
      <c r="E56" s="201"/>
      <c r="F56" s="201"/>
      <c r="G56" s="202"/>
      <c r="H56" s="202"/>
      <c r="I56" s="201"/>
      <c r="J56" s="202"/>
      <c r="K56" s="203"/>
      <c r="L56" s="202"/>
    </row>
    <row r="57" spans="1:12">
      <c r="A57" s="199" t="s">
        <v>397</v>
      </c>
      <c r="B57" s="199"/>
      <c r="C57" s="200"/>
      <c r="D57" s="201"/>
      <c r="E57" s="201"/>
      <c r="F57" s="201"/>
      <c r="G57" s="202"/>
      <c r="H57" s="202"/>
      <c r="I57" s="201"/>
      <c r="J57" s="202"/>
      <c r="K57" s="203"/>
      <c r="L57" s="202"/>
    </row>
    <row r="58" spans="1:12">
      <c r="A58" s="199" t="s">
        <v>398</v>
      </c>
      <c r="B58" s="199"/>
      <c r="C58" s="200"/>
      <c r="D58" s="201"/>
      <c r="E58" s="201"/>
      <c r="F58" s="201"/>
      <c r="G58" s="202"/>
      <c r="H58" s="202"/>
      <c r="I58" s="201"/>
      <c r="J58" s="202"/>
      <c r="K58" s="203"/>
      <c r="L58" s="202"/>
    </row>
    <row r="59" spans="1:12">
      <c r="A59" s="199" t="s">
        <v>399</v>
      </c>
      <c r="B59" s="199"/>
      <c r="C59" s="200"/>
      <c r="D59" s="201"/>
      <c r="E59" s="201"/>
      <c r="F59" s="201"/>
      <c r="G59" s="202"/>
      <c r="H59" s="202"/>
      <c r="I59" s="201"/>
      <c r="J59" s="202"/>
      <c r="K59" s="203"/>
      <c r="L59" s="202"/>
    </row>
    <row r="60" spans="1:12">
      <c r="A60" s="199" t="s">
        <v>400</v>
      </c>
      <c r="B60" s="199"/>
      <c r="C60" s="200"/>
      <c r="D60" s="201"/>
      <c r="E60" s="201"/>
      <c r="F60" s="201"/>
      <c r="G60" s="202"/>
      <c r="H60" s="202"/>
      <c r="I60" s="201"/>
      <c r="J60" s="202"/>
      <c r="K60" s="203"/>
      <c r="L60" s="202"/>
    </row>
    <row r="61" spans="1:12">
      <c r="A61" s="199" t="s">
        <v>401</v>
      </c>
      <c r="B61" s="199"/>
      <c r="C61" s="200"/>
      <c r="D61" s="201"/>
      <c r="E61" s="201"/>
      <c r="F61" s="201"/>
      <c r="G61" s="202"/>
      <c r="H61" s="202"/>
      <c r="I61" s="201"/>
      <c r="J61" s="202"/>
      <c r="K61" s="203"/>
      <c r="L61" s="202"/>
    </row>
    <row r="62" spans="1:12">
      <c r="A62" s="199" t="s">
        <v>402</v>
      </c>
      <c r="B62" s="199"/>
      <c r="C62" s="200"/>
      <c r="D62" s="201"/>
      <c r="E62" s="201"/>
      <c r="F62" s="201"/>
      <c r="G62" s="202"/>
      <c r="H62" s="202"/>
      <c r="I62" s="201"/>
      <c r="J62" s="202"/>
      <c r="K62" s="203"/>
      <c r="L62" s="202"/>
    </row>
    <row r="63" spans="1:12">
      <c r="A63" s="199" t="s">
        <v>403</v>
      </c>
      <c r="B63" s="199"/>
      <c r="C63" s="200"/>
      <c r="D63" s="201"/>
      <c r="E63" s="201"/>
      <c r="F63" s="201"/>
      <c r="G63" s="202"/>
      <c r="H63" s="202"/>
      <c r="I63" s="201"/>
      <c r="J63" s="202"/>
      <c r="K63" s="203"/>
      <c r="L63" s="202"/>
    </row>
    <row r="64" spans="1:12">
      <c r="A64" s="199" t="s">
        <v>404</v>
      </c>
      <c r="B64" s="199"/>
      <c r="C64" s="200"/>
      <c r="D64" s="201"/>
      <c r="E64" s="201"/>
      <c r="F64" s="201"/>
      <c r="G64" s="202"/>
      <c r="H64" s="202"/>
      <c r="I64" s="201"/>
      <c r="J64" s="202"/>
      <c r="K64" s="203"/>
      <c r="L64" s="202"/>
    </row>
    <row r="65" spans="1:12">
      <c r="A65" s="199" t="s">
        <v>405</v>
      </c>
      <c r="B65" s="199"/>
      <c r="C65" s="200"/>
      <c r="D65" s="201"/>
      <c r="E65" s="201"/>
      <c r="F65" s="201"/>
      <c r="G65" s="202"/>
      <c r="H65" s="202"/>
      <c r="I65" s="201"/>
      <c r="J65" s="202"/>
      <c r="K65" s="203"/>
      <c r="L65" s="202"/>
    </row>
    <row r="66" spans="1:12">
      <c r="A66" s="199" t="s">
        <v>406</v>
      </c>
      <c r="B66" s="199"/>
      <c r="C66" s="200"/>
      <c r="D66" s="201"/>
      <c r="E66" s="201"/>
      <c r="F66" s="201"/>
      <c r="G66" s="202"/>
      <c r="H66" s="202"/>
      <c r="I66" s="201"/>
      <c r="J66" s="202"/>
      <c r="K66" s="203"/>
      <c r="L66" s="202"/>
    </row>
    <row r="67" spans="1:12">
      <c r="A67" s="199" t="s">
        <v>407</v>
      </c>
      <c r="B67" s="199"/>
      <c r="C67" s="200"/>
      <c r="D67" s="201"/>
      <c r="E67" s="201"/>
      <c r="F67" s="201"/>
      <c r="G67" s="202"/>
      <c r="H67" s="202"/>
      <c r="I67" s="201"/>
      <c r="J67" s="202"/>
      <c r="K67" s="203"/>
      <c r="L67" s="202"/>
    </row>
    <row r="68" spans="1:12">
      <c r="A68" s="199" t="s">
        <v>408</v>
      </c>
      <c r="B68" s="199"/>
      <c r="C68" s="200"/>
      <c r="D68" s="201"/>
      <c r="E68" s="201"/>
      <c r="F68" s="201"/>
      <c r="G68" s="202"/>
      <c r="H68" s="202"/>
      <c r="I68" s="201"/>
      <c r="J68" s="202"/>
      <c r="K68" s="203"/>
      <c r="L68" s="202"/>
    </row>
    <row r="69" spans="1:12">
      <c r="A69" s="199" t="s">
        <v>409</v>
      </c>
      <c r="B69" s="199"/>
      <c r="C69" s="200"/>
      <c r="D69" s="201"/>
      <c r="E69" s="201"/>
      <c r="F69" s="201"/>
      <c r="G69" s="202"/>
      <c r="H69" s="202"/>
      <c r="I69" s="201"/>
      <c r="J69" s="202"/>
      <c r="K69" s="203"/>
      <c r="L69" s="202"/>
    </row>
    <row r="70" spans="1:12">
      <c r="A70" s="199" t="s">
        <v>410</v>
      </c>
      <c r="B70" s="199"/>
      <c r="C70" s="200"/>
      <c r="D70" s="201"/>
      <c r="E70" s="201"/>
      <c r="F70" s="201"/>
      <c r="G70" s="202"/>
      <c r="H70" s="202"/>
      <c r="I70" s="201"/>
      <c r="J70" s="202"/>
      <c r="K70" s="203"/>
      <c r="L70" s="202"/>
    </row>
    <row r="71" spans="1:12">
      <c r="A71" s="199" t="s">
        <v>411</v>
      </c>
      <c r="B71" s="199"/>
      <c r="C71" s="200"/>
      <c r="D71" s="201"/>
      <c r="E71" s="201"/>
      <c r="F71" s="201"/>
      <c r="G71" s="202"/>
      <c r="H71" s="202"/>
      <c r="I71" s="201"/>
      <c r="J71" s="202"/>
      <c r="K71" s="203"/>
      <c r="L71" s="202"/>
    </row>
    <row r="72" spans="1:12">
      <c r="A72" s="199" t="s">
        <v>412</v>
      </c>
      <c r="B72" s="199"/>
      <c r="C72" s="200"/>
      <c r="D72" s="201"/>
      <c r="E72" s="201"/>
      <c r="F72" s="201"/>
      <c r="G72" s="202"/>
      <c r="H72" s="202"/>
      <c r="I72" s="201"/>
      <c r="J72" s="202"/>
      <c r="K72" s="203"/>
      <c r="L72" s="202"/>
    </row>
    <row r="73" spans="1:12">
      <c r="A73" s="199" t="s">
        <v>413</v>
      </c>
      <c r="B73" s="199"/>
      <c r="C73" s="200"/>
      <c r="D73" s="201"/>
      <c r="E73" s="201"/>
      <c r="F73" s="201"/>
      <c r="G73" s="202"/>
      <c r="H73" s="202"/>
      <c r="I73" s="201"/>
      <c r="J73" s="202"/>
      <c r="K73" s="203"/>
      <c r="L73" s="202"/>
    </row>
    <row r="74" spans="1:12">
      <c r="A74" s="199" t="s">
        <v>414</v>
      </c>
      <c r="B74" s="199"/>
      <c r="C74" s="200"/>
      <c r="D74" s="201"/>
      <c r="E74" s="201"/>
      <c r="F74" s="201"/>
      <c r="G74" s="202"/>
      <c r="H74" s="202"/>
      <c r="I74" s="201"/>
      <c r="J74" s="202"/>
      <c r="K74" s="203"/>
      <c r="L74" s="202"/>
    </row>
    <row r="75" spans="1:12">
      <c r="A75" s="199" t="s">
        <v>415</v>
      </c>
      <c r="B75" s="199"/>
      <c r="C75" s="200"/>
      <c r="D75" s="201"/>
      <c r="E75" s="201"/>
      <c r="F75" s="201"/>
      <c r="G75" s="202"/>
      <c r="H75" s="202"/>
      <c r="I75" s="201"/>
      <c r="J75" s="202"/>
      <c r="K75" s="203"/>
      <c r="L75" s="202"/>
    </row>
    <row r="76" spans="1:12">
      <c r="A76" s="199" t="s">
        <v>416</v>
      </c>
      <c r="B76" s="199"/>
      <c r="C76" s="200"/>
      <c r="D76" s="201"/>
      <c r="E76" s="201"/>
      <c r="F76" s="201"/>
      <c r="G76" s="202"/>
      <c r="H76" s="202"/>
      <c r="I76" s="201"/>
      <c r="J76" s="202"/>
      <c r="K76" s="203"/>
      <c r="L76" s="202"/>
    </row>
    <row r="77" spans="1:12">
      <c r="A77" s="199" t="s">
        <v>417</v>
      </c>
      <c r="B77" s="199"/>
      <c r="C77" s="200"/>
      <c r="D77" s="201"/>
      <c r="E77" s="201"/>
      <c r="F77" s="201"/>
      <c r="G77" s="202"/>
      <c r="H77" s="202"/>
      <c r="I77" s="201"/>
      <c r="J77" s="202"/>
      <c r="K77" s="203"/>
      <c r="L77" s="202"/>
    </row>
    <row r="78" spans="1:12">
      <c r="A78" s="199" t="s">
        <v>418</v>
      </c>
      <c r="B78" s="199"/>
      <c r="C78" s="200"/>
      <c r="D78" s="201"/>
      <c r="E78" s="201"/>
      <c r="F78" s="201"/>
      <c r="G78" s="202"/>
      <c r="H78" s="202"/>
      <c r="I78" s="201"/>
      <c r="J78" s="202"/>
      <c r="K78" s="203"/>
      <c r="L78" s="202"/>
    </row>
    <row r="79" spans="1:12">
      <c r="A79" s="199" t="s">
        <v>419</v>
      </c>
      <c r="B79" s="199"/>
      <c r="C79" s="200"/>
      <c r="D79" s="201"/>
      <c r="E79" s="201"/>
      <c r="F79" s="201"/>
      <c r="G79" s="202"/>
      <c r="H79" s="202"/>
      <c r="I79" s="201"/>
      <c r="J79" s="202"/>
      <c r="K79" s="203"/>
      <c r="L79" s="202"/>
    </row>
    <row r="80" spans="1:12">
      <c r="A80" s="199" t="s">
        <v>420</v>
      </c>
      <c r="B80" s="199"/>
      <c r="C80" s="200"/>
      <c r="D80" s="201"/>
      <c r="E80" s="201"/>
      <c r="F80" s="201"/>
      <c r="G80" s="202"/>
      <c r="H80" s="202"/>
      <c r="I80" s="201"/>
      <c r="J80" s="202"/>
      <c r="K80" s="203"/>
      <c r="L80" s="202"/>
    </row>
    <row r="81" spans="1:12">
      <c r="A81" s="199" t="s">
        <v>421</v>
      </c>
      <c r="B81" s="199"/>
      <c r="C81" s="200"/>
      <c r="D81" s="201"/>
      <c r="E81" s="201"/>
      <c r="F81" s="201"/>
      <c r="G81" s="202"/>
      <c r="H81" s="202"/>
      <c r="I81" s="201"/>
      <c r="J81" s="202"/>
      <c r="K81" s="203"/>
      <c r="L81" s="202"/>
    </row>
    <row r="82" spans="1:12">
      <c r="A82" s="199" t="s">
        <v>422</v>
      </c>
      <c r="B82" s="199"/>
      <c r="C82" s="200"/>
      <c r="D82" s="201"/>
      <c r="E82" s="201"/>
      <c r="F82" s="201"/>
      <c r="G82" s="202"/>
      <c r="H82" s="202"/>
      <c r="I82" s="201"/>
      <c r="J82" s="202"/>
      <c r="K82" s="203"/>
      <c r="L82" s="202"/>
    </row>
    <row r="83" spans="1:12">
      <c r="A83" s="199" t="s">
        <v>423</v>
      </c>
      <c r="B83" s="199"/>
      <c r="C83" s="200"/>
      <c r="D83" s="201"/>
      <c r="E83" s="201"/>
      <c r="F83" s="201"/>
      <c r="G83" s="202"/>
      <c r="H83" s="202"/>
      <c r="I83" s="201"/>
      <c r="J83" s="202"/>
      <c r="K83" s="203"/>
      <c r="L83" s="202"/>
    </row>
    <row r="84" spans="1:12">
      <c r="A84" s="199" t="s">
        <v>424</v>
      </c>
      <c r="B84" s="199"/>
      <c r="C84" s="200"/>
      <c r="D84" s="201"/>
      <c r="E84" s="201"/>
      <c r="F84" s="201"/>
      <c r="G84" s="202"/>
      <c r="H84" s="202"/>
      <c r="I84" s="201"/>
      <c r="J84" s="202"/>
      <c r="K84" s="203"/>
      <c r="L84" s="202"/>
    </row>
    <row r="85" spans="1:12">
      <c r="A85" s="199" t="s">
        <v>425</v>
      </c>
      <c r="B85" s="199"/>
      <c r="C85" s="200"/>
      <c r="D85" s="201"/>
      <c r="E85" s="201"/>
      <c r="F85" s="201"/>
      <c r="G85" s="202"/>
      <c r="H85" s="202"/>
      <c r="I85" s="201"/>
      <c r="J85" s="202"/>
      <c r="K85" s="203"/>
      <c r="L85" s="202"/>
    </row>
    <row r="86" spans="1:12">
      <c r="A86" s="199" t="s">
        <v>426</v>
      </c>
      <c r="B86" s="199"/>
      <c r="C86" s="200"/>
      <c r="D86" s="201"/>
      <c r="E86" s="201"/>
      <c r="F86" s="201"/>
      <c r="G86" s="202"/>
      <c r="H86" s="202"/>
      <c r="I86" s="201"/>
      <c r="J86" s="202"/>
      <c r="K86" s="203"/>
      <c r="L86" s="202"/>
    </row>
    <row r="87" spans="1:12">
      <c r="A87" s="199" t="s">
        <v>427</v>
      </c>
      <c r="B87" s="199"/>
      <c r="C87" s="200"/>
      <c r="D87" s="201"/>
      <c r="E87" s="201"/>
      <c r="F87" s="201"/>
      <c r="G87" s="202"/>
      <c r="H87" s="202"/>
      <c r="I87" s="201"/>
      <c r="J87" s="202"/>
      <c r="K87" s="203"/>
      <c r="L87" s="202"/>
    </row>
    <row r="88" spans="1:12">
      <c r="A88" s="199" t="s">
        <v>428</v>
      </c>
      <c r="B88" s="199"/>
      <c r="C88" s="200"/>
      <c r="D88" s="201"/>
      <c r="E88" s="201"/>
      <c r="F88" s="201"/>
      <c r="G88" s="202"/>
      <c r="H88" s="202"/>
      <c r="I88" s="201"/>
      <c r="J88" s="202"/>
      <c r="K88" s="203"/>
      <c r="L88" s="202"/>
    </row>
    <row r="89" spans="1:12">
      <c r="A89" s="199" t="s">
        <v>429</v>
      </c>
      <c r="B89" s="199"/>
      <c r="C89" s="200"/>
      <c r="D89" s="201"/>
      <c r="E89" s="201"/>
      <c r="F89" s="201"/>
      <c r="G89" s="202"/>
      <c r="H89" s="202"/>
      <c r="I89" s="201"/>
      <c r="J89" s="202"/>
      <c r="K89" s="203"/>
      <c r="L89" s="202"/>
    </row>
    <row r="90" spans="1:12">
      <c r="A90" s="199" t="s">
        <v>430</v>
      </c>
      <c r="B90" s="199"/>
      <c r="C90" s="200"/>
      <c r="D90" s="201"/>
      <c r="E90" s="201"/>
      <c r="F90" s="201"/>
      <c r="G90" s="202"/>
      <c r="H90" s="202"/>
      <c r="I90" s="201"/>
      <c r="J90" s="202"/>
      <c r="K90" s="203"/>
      <c r="L90" s="202"/>
    </row>
    <row r="91" spans="1:12">
      <c r="A91" s="199" t="s">
        <v>431</v>
      </c>
      <c r="B91" s="199"/>
      <c r="C91" s="200"/>
      <c r="D91" s="201"/>
      <c r="E91" s="201"/>
      <c r="F91" s="201"/>
      <c r="G91" s="202"/>
      <c r="H91" s="202"/>
      <c r="I91" s="201"/>
      <c r="J91" s="202"/>
      <c r="K91" s="203"/>
      <c r="L91" s="202"/>
    </row>
    <row r="92" spans="1:12">
      <c r="A92" s="199" t="s">
        <v>432</v>
      </c>
      <c r="B92" s="199"/>
      <c r="C92" s="200"/>
      <c r="D92" s="201"/>
      <c r="E92" s="201"/>
      <c r="F92" s="201"/>
      <c r="G92" s="202"/>
      <c r="H92" s="202"/>
      <c r="I92" s="201"/>
      <c r="J92" s="202"/>
      <c r="K92" s="203"/>
      <c r="L92" s="202"/>
    </row>
    <row r="93" spans="1:12">
      <c r="A93" s="199" t="s">
        <v>433</v>
      </c>
      <c r="B93" s="199"/>
      <c r="C93" s="200"/>
      <c r="D93" s="201"/>
      <c r="E93" s="201"/>
      <c r="F93" s="201"/>
      <c r="G93" s="202"/>
      <c r="H93" s="202"/>
      <c r="I93" s="201"/>
      <c r="J93" s="202"/>
      <c r="K93" s="203"/>
      <c r="L93" s="202"/>
    </row>
    <row r="94" spans="1:12">
      <c r="A94" s="199" t="s">
        <v>434</v>
      </c>
      <c r="B94" s="199"/>
      <c r="C94" s="200"/>
      <c r="D94" s="201"/>
      <c r="E94" s="201"/>
      <c r="F94" s="201"/>
      <c r="G94" s="202"/>
      <c r="H94" s="202"/>
      <c r="I94" s="201"/>
      <c r="J94" s="202"/>
      <c r="K94" s="203"/>
      <c r="L94" s="202"/>
    </row>
    <row r="95" spans="1:12">
      <c r="A95" s="199" t="s">
        <v>435</v>
      </c>
      <c r="B95" s="199"/>
      <c r="C95" s="200"/>
      <c r="D95" s="201"/>
      <c r="E95" s="201"/>
      <c r="F95" s="201"/>
      <c r="G95" s="202"/>
      <c r="H95" s="202"/>
      <c r="I95" s="201"/>
      <c r="J95" s="202"/>
      <c r="K95" s="203"/>
      <c r="L95" s="202"/>
    </row>
    <row r="96" spans="1:12">
      <c r="A96" s="199" t="s">
        <v>436</v>
      </c>
      <c r="B96" s="199"/>
      <c r="C96" s="200"/>
      <c r="D96" s="201"/>
      <c r="E96" s="201"/>
      <c r="F96" s="201"/>
      <c r="G96" s="202"/>
      <c r="H96" s="202"/>
      <c r="I96" s="201"/>
      <c r="J96" s="202"/>
      <c r="K96" s="203"/>
      <c r="L96" s="202"/>
    </row>
    <row r="97" spans="1:12">
      <c r="A97" s="199" t="s">
        <v>437</v>
      </c>
      <c r="B97" s="199"/>
      <c r="C97" s="200"/>
      <c r="D97" s="201"/>
      <c r="E97" s="201"/>
      <c r="F97" s="201"/>
      <c r="G97" s="202"/>
      <c r="H97" s="202"/>
      <c r="I97" s="201"/>
      <c r="J97" s="202"/>
      <c r="K97" s="203"/>
      <c r="L97" s="202"/>
    </row>
    <row r="98" spans="1:12">
      <c r="A98" s="199" t="s">
        <v>438</v>
      </c>
      <c r="B98" s="199"/>
      <c r="C98" s="200"/>
      <c r="D98" s="201"/>
      <c r="E98" s="201"/>
      <c r="F98" s="201"/>
      <c r="G98" s="202"/>
      <c r="H98" s="202"/>
      <c r="I98" s="201"/>
      <c r="J98" s="202"/>
      <c r="K98" s="203"/>
      <c r="L98" s="202"/>
    </row>
    <row r="99" spans="1:12">
      <c r="A99" s="199" t="s">
        <v>439</v>
      </c>
      <c r="B99" s="199"/>
      <c r="C99" s="200"/>
      <c r="D99" s="201"/>
      <c r="E99" s="201"/>
      <c r="F99" s="201"/>
      <c r="G99" s="202"/>
      <c r="H99" s="202"/>
      <c r="I99" s="201"/>
      <c r="J99" s="202"/>
      <c r="K99" s="203"/>
      <c r="L99" s="202"/>
    </row>
    <row r="100" spans="1:12">
      <c r="A100" s="199" t="s">
        <v>440</v>
      </c>
      <c r="B100" s="199"/>
      <c r="C100" s="200"/>
      <c r="D100" s="201"/>
      <c r="E100" s="201"/>
      <c r="F100" s="201"/>
      <c r="G100" s="202"/>
      <c r="H100" s="202"/>
      <c r="I100" s="201"/>
      <c r="J100" s="202"/>
      <c r="K100" s="203"/>
      <c r="L100" s="202"/>
    </row>
    <row r="101" spans="1:12">
      <c r="A101" s="204" t="s">
        <v>441</v>
      </c>
      <c r="B101" s="204"/>
      <c r="C101" s="205"/>
      <c r="D101" s="206"/>
      <c r="E101" s="206"/>
      <c r="F101" s="206"/>
      <c r="G101" s="207"/>
      <c r="H101" s="207"/>
      <c r="I101" s="206"/>
      <c r="J101" s="207"/>
      <c r="K101" s="208"/>
      <c r="L101" s="207"/>
    </row>
  </sheetData>
  <conditionalFormatting sqref="D2:D101">
    <cfRule type="cellIs" dxfId="25" priority="2" operator="equal">
      <formula>"Green"</formula>
    </cfRule>
    <cfRule type="cellIs" dxfId="24" priority="3" operator="equal">
      <formula>"Amber"</formula>
    </cfRule>
    <cfRule type="cellIs" dxfId="23" priority="4" operator="equal">
      <formula>"Red"</formula>
    </cfRule>
  </conditionalFormatting>
  <conditionalFormatting sqref="I2:I101">
    <cfRule type="containsText" dxfId="22" priority="1" operator="containsText" text="Not Started">
      <formula>NOT(ISERROR(SEARCH("Not Started",I2)))</formula>
    </cfRule>
    <cfRule type="containsText" dxfId="21" priority="5" operator="containsText" text="Pending">
      <formula>NOT(ISERROR(SEARCH("Pending",I2)))</formula>
    </cfRule>
    <cfRule type="containsText" dxfId="20" priority="6" operator="containsText" text="Declined">
      <formula>NOT(ISERROR(SEARCH("Declined",I2)))</formula>
    </cfRule>
    <cfRule type="containsText" dxfId="19" priority="7" operator="containsText" text="Abandoned">
      <formula>NOT(ISERROR(SEARCH("Abandoned",I2)))</formula>
    </cfRule>
    <cfRule type="containsText" dxfId="18" priority="8" operator="containsText" text="Declined">
      <formula>NOT(ISERROR(SEARCH("Declined",I2)))</formula>
    </cfRule>
    <cfRule type="containsText" dxfId="17" priority="9" operator="containsText" text="Approved">
      <formula>NOT(ISERROR(SEARCH("Approved",I2)))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B1C295-28B9-433E-8920-D93C50742C9E}">
          <x14:formula1>
            <xm:f>'Meta Data'!$I$2:$I$4</xm:f>
          </x14:formula1>
          <xm:sqref>D2:D101</xm:sqref>
        </x14:dataValidation>
        <x14:dataValidation type="list" allowBlank="1" showInputMessage="1" showErrorMessage="1" xr:uid="{E3ED2AEB-8D80-4F7D-AD9C-B5CEB3E0CEBE}">
          <x14:formula1>
            <xm:f>'Meta Data'!$A$2:$A$10</xm:f>
          </x14:formula1>
          <xm:sqref>I2:I101</xm:sqref>
        </x14:dataValidation>
        <x14:dataValidation type="list" allowBlank="1" showInputMessage="1" showErrorMessage="1" xr:uid="{A1E5DB70-C8F6-456C-B070-8798453C1E66}">
          <x14:formula1>
            <xm:f>'Meta Data'!$J$2:$J$10</xm:f>
          </x14:formula1>
          <xm:sqref>B2:B101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16FE3-0E17-480D-B611-0D24378D6B38}">
  <sheetPr codeName="Sheet3"/>
  <dimension ref="A1:S408"/>
  <sheetViews>
    <sheetView zoomScale="55" zoomScaleNormal="55" workbookViewId="0">
      <selection activeCell="D34" sqref="D34"/>
    </sheetView>
  </sheetViews>
  <sheetFormatPr defaultColWidth="22.90625" defaultRowHeight="14.5"/>
  <cols>
    <col min="1" max="1" width="44.54296875" bestFit="1" customWidth="1"/>
    <col min="2" max="2" width="36.453125" bestFit="1" customWidth="1"/>
    <col min="3" max="3" width="21.54296875" bestFit="1" customWidth="1"/>
    <col min="4" max="4" width="52.90625" bestFit="1" customWidth="1"/>
    <col min="5" max="5" width="30" bestFit="1" customWidth="1"/>
    <col min="6" max="6" width="33.36328125" bestFit="1" customWidth="1"/>
    <col min="7" max="7" width="30.08984375" bestFit="1" customWidth="1"/>
    <col min="8" max="8" width="30" bestFit="1" customWidth="1"/>
    <col min="9" max="9" width="26" bestFit="1" customWidth="1"/>
    <col min="10" max="10" width="26.36328125" bestFit="1" customWidth="1"/>
    <col min="11" max="11" width="29.81640625" bestFit="1" customWidth="1"/>
    <col min="12" max="12" width="28.54296875" bestFit="1" customWidth="1"/>
    <col min="13" max="13" width="29.453125" bestFit="1" customWidth="1"/>
    <col min="14" max="14" width="32" bestFit="1" customWidth="1"/>
    <col min="15" max="15" width="15.453125" bestFit="1" customWidth="1"/>
    <col min="16" max="16" width="29.81640625" bestFit="1" customWidth="1"/>
    <col min="17" max="17" width="33" bestFit="1" customWidth="1"/>
    <col min="18" max="18" width="52.453125" bestFit="1" customWidth="1"/>
    <col min="19" max="19" width="12.54296875" bestFit="1" customWidth="1"/>
  </cols>
  <sheetData>
    <row r="1" spans="1:19">
      <c r="A1" t="s">
        <v>69</v>
      </c>
      <c r="B1" t="s">
        <v>442</v>
      </c>
      <c r="C1" t="s">
        <v>443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  <c r="K1" t="s">
        <v>451</v>
      </c>
      <c r="L1" t="s">
        <v>452</v>
      </c>
      <c r="M1" t="s">
        <v>453</v>
      </c>
      <c r="N1" t="s">
        <v>454</v>
      </c>
      <c r="O1" t="s">
        <v>180</v>
      </c>
      <c r="P1" t="s">
        <v>455</v>
      </c>
      <c r="Q1" t="s">
        <v>456</v>
      </c>
      <c r="R1" t="s">
        <v>457</v>
      </c>
      <c r="S1" t="s">
        <v>458</v>
      </c>
    </row>
    <row r="2" spans="1:19">
      <c r="A2" t="str" cm="1">
        <f t="array" ref="A2">_xlfn.LET(_xlpm.src,TRIM(#REF!), _xlpm.u,_xlfn._xlws.SORT(_xlfn.UNIQUE(_xlfn._xlws.FILTER(_xlpm.src,_xlpm.src&lt;&gt;""))), IFERROR(INDEX(_xlpm.u,ROWS(A$2:A2)),""))</f>
        <v/>
      </c>
      <c r="B2" s="118" t="e">
        <f>_xlfn.LET(_xlpm.p,tblProcurement2026[[#This Row],[Project Name]], SUMIFS(#REF!,#REF!, _xlpm.p))</f>
        <v>#REF!</v>
      </c>
      <c r="C2" s="118" t="e">
        <f ca="1">_xlfn.LET(_xlpm.p,tblProcurement2026[[#This Row],[Project Name]], SUMIFS(#REF!,#REF!, _xlpm.p,#REF!, "&lt;="&amp;TODAY(),#REF!, "&lt;&gt;"))</f>
        <v>#REF!</v>
      </c>
      <c r="D2" s="118" t="e">
        <f ca="1">_xlfn.LET(_xlpm.p,tblProcurement2026[[#This Row],[Project Name]], SUMIFS(#REF!,#REF!, _xlpm.p,#REF!, "&lt;="&amp;TODAY(),#REF!, "="))</f>
        <v>#REF!</v>
      </c>
      <c r="E2" s="118" t="e">
        <f ca="1">_xlfn.LET(_xlpm.p,tblProcurement2026[[#This Row],[Project Name]], SUMIFS(#REF!,#REF!, _xlpm.p,#REF!, "&gt;"&amp;TODAY(),#REF!, "&lt;&gt;"))</f>
        <v>#REF!</v>
      </c>
      <c r="F2" s="118" t="e">
        <f ca="1">_xlfn.LET(_xlpm.p,tblProcurement2026[[#This Row],[Project Name]], SUMIFS(#REF!,#REF!, _xlpm.p,#REF!, "&gt;"&amp;TODAY(),#REF!, "="))</f>
        <v>#REF!</v>
      </c>
      <c r="G2" s="119" t="e">
        <f>IF(tblProcurement2026[[#This Row],[Committed (All Expenses)]]=0,"",tblProcurement2026[[#This Row],[Paid/Realised]]/tblProcurement2026[[#This Row],[Committed (All Expenses)]])</f>
        <v>#REF!</v>
      </c>
      <c r="H2" s="120" t="e" cm="1">
        <f t="array" aca="1" ref="H2" ca="1">_xlfn.LET(_xlpm.p,tblProcurement2026[[#This Row],[Project Name]], _xlpm.nxt,MIN( IF((#REF!=_xlpm.p)*(#REF!&gt;TODAY()),#REF!)), IF(_xlpm.nxt=0,"",_xlpm.nxt-TODAY()))</f>
        <v>#REF!</v>
      </c>
      <c r="J2" s="118"/>
      <c r="K2" s="121"/>
      <c r="M2" s="118"/>
      <c r="N2" s="121"/>
      <c r="Q2" s="118"/>
      <c r="R2" s="118"/>
    </row>
    <row r="3" spans="1:19">
      <c r="A3" t="str" cm="1">
        <f t="array" ref="A3">_xlfn.LET(_xlpm.src,TRIM(#REF!), _xlpm.u,_xlfn._xlws.SORT(_xlfn.UNIQUE(_xlfn._xlws.FILTER(_xlpm.src,_xlpm.src&lt;&gt;""))), IFERROR(INDEX(_xlpm.u,ROWS(A$2:A3)),""))</f>
        <v/>
      </c>
      <c r="B3" s="118" t="e">
        <f>_xlfn.LET(_xlpm.p,tblProcurement2026[[#This Row],[Project Name]], SUMIFS(#REF!,#REF!, _xlpm.p))</f>
        <v>#REF!</v>
      </c>
      <c r="C3" s="118" t="e">
        <f ca="1">_xlfn.LET(_xlpm.p,tblProcurement2026[[#This Row],[Project Name]], SUMIFS(#REF!,#REF!, _xlpm.p,#REF!, "&lt;="&amp;TODAY(),#REF!, "&lt;&gt;"))</f>
        <v>#REF!</v>
      </c>
      <c r="D3" s="118" t="e">
        <f ca="1">_xlfn.LET(_xlpm.p,tblProcurement2026[[#This Row],[Project Name]], SUMIFS(#REF!,#REF!, _xlpm.p,#REF!, "&lt;="&amp;TODAY(),#REF!, "="))</f>
        <v>#REF!</v>
      </c>
      <c r="E3" s="118" t="e">
        <f ca="1">_xlfn.LET(_xlpm.p,tblProcurement2026[[#This Row],[Project Name]], SUMIFS(#REF!,#REF!, _xlpm.p,#REF!, "&gt;"&amp;TODAY(),#REF!, "&lt;&gt;"))</f>
        <v>#REF!</v>
      </c>
      <c r="F3" s="118" t="e">
        <f ca="1">_xlfn.LET(_xlpm.p,tblProcurement2026[[#This Row],[Project Name]], SUMIFS(#REF!,#REF!, _xlpm.p,#REF!, "&gt;"&amp;TODAY(),#REF!, "="))</f>
        <v>#REF!</v>
      </c>
      <c r="G3" s="119" t="e">
        <f>IF(tblProcurement2026[[#This Row],[Committed (All Expenses)]]=0,"",tblProcurement2026[[#This Row],[Paid/Realised]]/tblProcurement2026[[#This Row],[Committed (All Expenses)]])</f>
        <v>#REF!</v>
      </c>
      <c r="H3" s="120" t="e" cm="1">
        <f t="array" aca="1" ref="H3" ca="1">_xlfn.LET(_xlpm.p,tblProcurement2026[[#This Row],[Project Name]], _xlpm.nxt,MIN( IF((#REF!=_xlpm.p)*(#REF!&gt;TODAY()),#REF!)), IF(_xlpm.nxt=0,"",_xlpm.nxt-TODAY()))</f>
        <v>#REF!</v>
      </c>
      <c r="J3" s="118"/>
      <c r="K3" s="121"/>
      <c r="M3" s="118"/>
      <c r="N3" s="121"/>
      <c r="Q3" s="118"/>
      <c r="R3" s="118"/>
    </row>
    <row r="4" spans="1:19">
      <c r="A4" t="str" cm="1">
        <f t="array" ref="A4">_xlfn.LET(_xlpm.src,TRIM(#REF!), _xlpm.u,_xlfn._xlws.SORT(_xlfn.UNIQUE(_xlfn._xlws.FILTER(_xlpm.src,_xlpm.src&lt;&gt;""))), IFERROR(INDEX(_xlpm.u,ROWS(A$2:A4)),""))</f>
        <v/>
      </c>
      <c r="B4" s="118" t="e">
        <f>_xlfn.LET(_xlpm.p,tblProcurement2026[[#This Row],[Project Name]], SUMIFS(#REF!,#REF!, _xlpm.p))</f>
        <v>#REF!</v>
      </c>
      <c r="C4" s="118" t="e">
        <f ca="1">_xlfn.LET(_xlpm.p,tblProcurement2026[[#This Row],[Project Name]], SUMIFS(#REF!,#REF!, _xlpm.p,#REF!, "&lt;="&amp;TODAY(),#REF!, "&lt;&gt;"))</f>
        <v>#REF!</v>
      </c>
      <c r="D4" s="118" t="e">
        <f ca="1">_xlfn.LET(_xlpm.p,tblProcurement2026[[#This Row],[Project Name]], SUMIFS(#REF!,#REF!, _xlpm.p,#REF!, "&lt;="&amp;TODAY(),#REF!, "="))</f>
        <v>#REF!</v>
      </c>
      <c r="E4" s="118" t="e">
        <f ca="1">_xlfn.LET(_xlpm.p,tblProcurement2026[[#This Row],[Project Name]], SUMIFS(#REF!,#REF!, _xlpm.p,#REF!, "&gt;"&amp;TODAY(),#REF!, "&lt;&gt;"))</f>
        <v>#REF!</v>
      </c>
      <c r="F4" s="118" t="e">
        <f ca="1">_xlfn.LET(_xlpm.p,tblProcurement2026[[#This Row],[Project Name]], SUMIFS(#REF!,#REF!, _xlpm.p,#REF!, "&gt;"&amp;TODAY(),#REF!, "="))</f>
        <v>#REF!</v>
      </c>
      <c r="G4" s="119" t="e">
        <f>IF(tblProcurement2026[[#This Row],[Committed (All Expenses)]]=0,"",tblProcurement2026[[#This Row],[Paid/Realised]]/tblProcurement2026[[#This Row],[Committed (All Expenses)]])</f>
        <v>#REF!</v>
      </c>
      <c r="H4" s="120" t="e" cm="1">
        <f t="array" aca="1" ref="H4" ca="1">_xlfn.LET(_xlpm.p,tblProcurement2026[[#This Row],[Project Name]], _xlpm.nxt,MIN( IF((#REF!=_xlpm.p)*(#REF!&gt;TODAY()),#REF!)), IF(_xlpm.nxt=0,"",_xlpm.nxt-TODAY()))</f>
        <v>#REF!</v>
      </c>
      <c r="J4" s="118"/>
      <c r="K4" s="121"/>
      <c r="M4" s="118"/>
      <c r="N4" s="121"/>
      <c r="Q4" s="118"/>
      <c r="R4" s="118"/>
    </row>
    <row r="5" spans="1:19">
      <c r="A5" t="str" cm="1">
        <f t="array" ref="A5">_xlfn.LET(_xlpm.src,TRIM(#REF!), _xlpm.u,_xlfn._xlws.SORT(_xlfn.UNIQUE(_xlfn._xlws.FILTER(_xlpm.src,_xlpm.src&lt;&gt;""))), IFERROR(INDEX(_xlpm.u,ROWS(A$2:A5)),""))</f>
        <v/>
      </c>
      <c r="B5" s="118" t="e">
        <f>_xlfn.LET(_xlpm.p,tblProcurement2026[[#This Row],[Project Name]], SUMIFS(#REF!,#REF!, _xlpm.p))</f>
        <v>#REF!</v>
      </c>
      <c r="C5" s="118" t="e">
        <f ca="1">_xlfn.LET(_xlpm.p,tblProcurement2026[[#This Row],[Project Name]], SUMIFS(#REF!,#REF!, _xlpm.p,#REF!, "&lt;="&amp;TODAY(),#REF!, "&lt;&gt;"))</f>
        <v>#REF!</v>
      </c>
      <c r="D5" s="118" t="e">
        <f ca="1">_xlfn.LET(_xlpm.p,tblProcurement2026[[#This Row],[Project Name]], SUMIFS(#REF!,#REF!, _xlpm.p,#REF!, "&lt;="&amp;TODAY(),#REF!, "="))</f>
        <v>#REF!</v>
      </c>
      <c r="E5" s="118" t="e">
        <f ca="1">_xlfn.LET(_xlpm.p,tblProcurement2026[[#This Row],[Project Name]], SUMIFS(#REF!,#REF!, _xlpm.p,#REF!, "&gt;"&amp;TODAY(),#REF!, "&lt;&gt;"))</f>
        <v>#REF!</v>
      </c>
      <c r="F5" s="118" t="e">
        <f ca="1">_xlfn.LET(_xlpm.p,tblProcurement2026[[#This Row],[Project Name]], SUMIFS(#REF!,#REF!, _xlpm.p,#REF!, "&gt;"&amp;TODAY(),#REF!, "="))</f>
        <v>#REF!</v>
      </c>
      <c r="G5" s="119" t="e">
        <f>IF(tblProcurement2026[[#This Row],[Committed (All Expenses)]]=0,"",tblProcurement2026[[#This Row],[Paid/Realised]]/tblProcurement2026[[#This Row],[Committed (All Expenses)]])</f>
        <v>#REF!</v>
      </c>
      <c r="H5" s="120" t="e" cm="1">
        <f t="array" aca="1" ref="H5" ca="1">_xlfn.LET(_xlpm.p,tblProcurement2026[[#This Row],[Project Name]], _xlpm.nxt,MIN( IF((#REF!=_xlpm.p)*(#REF!&gt;TODAY()),#REF!)), IF(_xlpm.nxt=0,"",_xlpm.nxt-TODAY()))</f>
        <v>#REF!</v>
      </c>
      <c r="J5" s="118"/>
      <c r="K5" s="121"/>
      <c r="M5" s="118"/>
      <c r="N5" s="121"/>
      <c r="Q5" s="118"/>
      <c r="R5" s="118"/>
    </row>
    <row r="6" spans="1:19">
      <c r="A6" t="str" cm="1">
        <f t="array" ref="A6">_xlfn.LET(_xlpm.src,TRIM(#REF!), _xlpm.u,_xlfn._xlws.SORT(_xlfn.UNIQUE(_xlfn._xlws.FILTER(_xlpm.src,_xlpm.src&lt;&gt;""))), IFERROR(INDEX(_xlpm.u,ROWS(A$2:A6)),""))</f>
        <v/>
      </c>
      <c r="B6" s="118" t="e">
        <f>_xlfn.LET(_xlpm.p,tblProcurement2026[[#This Row],[Project Name]], SUMIFS(#REF!,#REF!, _xlpm.p))</f>
        <v>#REF!</v>
      </c>
      <c r="C6" s="118" t="e">
        <f ca="1">_xlfn.LET(_xlpm.p,tblProcurement2026[[#This Row],[Project Name]], SUMIFS(#REF!,#REF!, _xlpm.p,#REF!, "&lt;="&amp;TODAY(),#REF!, "&lt;&gt;"))</f>
        <v>#REF!</v>
      </c>
      <c r="D6" s="118" t="e">
        <f ca="1">_xlfn.LET(_xlpm.p,tblProcurement2026[[#This Row],[Project Name]], SUMIFS(#REF!,#REF!, _xlpm.p,#REF!, "&lt;="&amp;TODAY(),#REF!, "="))</f>
        <v>#REF!</v>
      </c>
      <c r="E6" s="118" t="e">
        <f ca="1">_xlfn.LET(_xlpm.p,tblProcurement2026[[#This Row],[Project Name]], SUMIFS(#REF!,#REF!, _xlpm.p,#REF!, "&gt;"&amp;TODAY(),#REF!, "&lt;&gt;"))</f>
        <v>#REF!</v>
      </c>
      <c r="F6" s="118" t="e">
        <f ca="1">_xlfn.LET(_xlpm.p,tblProcurement2026[[#This Row],[Project Name]], SUMIFS(#REF!,#REF!, _xlpm.p,#REF!, "&gt;"&amp;TODAY(),#REF!, "="))</f>
        <v>#REF!</v>
      </c>
      <c r="G6" s="119" t="e">
        <f>IF(tblProcurement2026[[#This Row],[Committed (All Expenses)]]=0,"",tblProcurement2026[[#This Row],[Paid/Realised]]/tblProcurement2026[[#This Row],[Committed (All Expenses)]])</f>
        <v>#REF!</v>
      </c>
      <c r="H6" s="120" t="e" cm="1">
        <f t="array" aca="1" ref="H6" ca="1">_xlfn.LET(_xlpm.p,tblProcurement2026[[#This Row],[Project Name]], _xlpm.nxt,MIN( IF((#REF!=_xlpm.p)*(#REF!&gt;TODAY()),#REF!)), IF(_xlpm.nxt=0,"",_xlpm.nxt-TODAY()))</f>
        <v>#REF!</v>
      </c>
      <c r="J6" s="118"/>
      <c r="K6" s="121"/>
      <c r="M6" s="118"/>
      <c r="N6" s="121"/>
      <c r="Q6" s="118"/>
      <c r="R6" s="118"/>
    </row>
    <row r="7" spans="1:19">
      <c r="A7" t="str" cm="1">
        <f t="array" ref="A7">_xlfn.LET(_xlpm.src,TRIM(#REF!), _xlpm.u,_xlfn._xlws.SORT(_xlfn.UNIQUE(_xlfn._xlws.FILTER(_xlpm.src,_xlpm.src&lt;&gt;""))), IFERROR(INDEX(_xlpm.u,ROWS(A$2:A7)),""))</f>
        <v/>
      </c>
      <c r="B7" s="118" t="e">
        <f>_xlfn.LET(_xlpm.p,tblProcurement2026[[#This Row],[Project Name]], SUMIFS(#REF!,#REF!, _xlpm.p))</f>
        <v>#REF!</v>
      </c>
      <c r="C7" s="118" t="e">
        <f ca="1">_xlfn.LET(_xlpm.p,tblProcurement2026[[#This Row],[Project Name]], SUMIFS(#REF!,#REF!, _xlpm.p,#REF!, "&lt;="&amp;TODAY(),#REF!, "&lt;&gt;"))</f>
        <v>#REF!</v>
      </c>
      <c r="D7" s="118" t="e">
        <f ca="1">_xlfn.LET(_xlpm.p,tblProcurement2026[[#This Row],[Project Name]], SUMIFS(#REF!,#REF!, _xlpm.p,#REF!, "&lt;="&amp;TODAY(),#REF!, "="))</f>
        <v>#REF!</v>
      </c>
      <c r="E7" s="118" t="e">
        <f ca="1">_xlfn.LET(_xlpm.p,tblProcurement2026[[#This Row],[Project Name]], SUMIFS(#REF!,#REF!, _xlpm.p,#REF!, "&gt;"&amp;TODAY(),#REF!, "&lt;&gt;"))</f>
        <v>#REF!</v>
      </c>
      <c r="F7" s="118" t="e">
        <f ca="1">_xlfn.LET(_xlpm.p,tblProcurement2026[[#This Row],[Project Name]], SUMIFS(#REF!,#REF!, _xlpm.p,#REF!, "&gt;"&amp;TODAY(),#REF!, "="))</f>
        <v>#REF!</v>
      </c>
      <c r="G7" s="119" t="e">
        <f>IF(tblProcurement2026[[#This Row],[Committed (All Expenses)]]=0,"",tblProcurement2026[[#This Row],[Paid/Realised]]/tblProcurement2026[[#This Row],[Committed (All Expenses)]])</f>
        <v>#REF!</v>
      </c>
      <c r="H7" s="120" t="e" cm="1">
        <f t="array" aca="1" ref="H7" ca="1">_xlfn.LET(_xlpm.p,tblProcurement2026[[#This Row],[Project Name]], _xlpm.nxt,MIN( IF((#REF!=_xlpm.p)*(#REF!&gt;TODAY()),#REF!)), IF(_xlpm.nxt=0,"",_xlpm.nxt-TODAY()))</f>
        <v>#REF!</v>
      </c>
      <c r="J7" s="118"/>
      <c r="K7" s="121"/>
      <c r="M7" s="118"/>
      <c r="N7" s="121"/>
      <c r="Q7" s="118"/>
      <c r="R7" s="118"/>
    </row>
    <row r="8" spans="1:19">
      <c r="A8" t="str" cm="1">
        <f t="array" ref="A8">_xlfn.LET(_xlpm.src,TRIM(#REF!), _xlpm.u,_xlfn._xlws.SORT(_xlfn.UNIQUE(_xlfn._xlws.FILTER(_xlpm.src,_xlpm.src&lt;&gt;""))), IFERROR(INDEX(_xlpm.u,ROWS(A$2:A8)),""))</f>
        <v/>
      </c>
      <c r="B8" s="118" t="e">
        <f>_xlfn.LET(_xlpm.p,tblProcurement2026[[#This Row],[Project Name]], SUMIFS(#REF!,#REF!, _xlpm.p))</f>
        <v>#REF!</v>
      </c>
      <c r="C8" s="118" t="e">
        <f ca="1">_xlfn.LET(_xlpm.p,tblProcurement2026[[#This Row],[Project Name]], SUMIFS(#REF!,#REF!, _xlpm.p,#REF!, "&lt;="&amp;TODAY(),#REF!, "&lt;&gt;"))</f>
        <v>#REF!</v>
      </c>
      <c r="D8" s="118" t="e">
        <f ca="1">_xlfn.LET(_xlpm.p,tblProcurement2026[[#This Row],[Project Name]], SUMIFS(#REF!,#REF!, _xlpm.p,#REF!, "&lt;="&amp;TODAY(),#REF!, "="))</f>
        <v>#REF!</v>
      </c>
      <c r="E8" s="118" t="e">
        <f ca="1">_xlfn.LET(_xlpm.p,tblProcurement2026[[#This Row],[Project Name]], SUMIFS(#REF!,#REF!, _xlpm.p,#REF!, "&gt;"&amp;TODAY(),#REF!, "&lt;&gt;"))</f>
        <v>#REF!</v>
      </c>
      <c r="F8" s="118" t="e">
        <f ca="1">_xlfn.LET(_xlpm.p,tblProcurement2026[[#This Row],[Project Name]], SUMIFS(#REF!,#REF!, _xlpm.p,#REF!, "&gt;"&amp;TODAY(),#REF!, "="))</f>
        <v>#REF!</v>
      </c>
      <c r="G8" s="119" t="e">
        <f>IF(tblProcurement2026[[#This Row],[Committed (All Expenses)]]=0,"",tblProcurement2026[[#This Row],[Paid/Realised]]/tblProcurement2026[[#This Row],[Committed (All Expenses)]])</f>
        <v>#REF!</v>
      </c>
      <c r="H8" s="120" t="e" cm="1">
        <f t="array" aca="1" ref="H8" ca="1">_xlfn.LET(_xlpm.p,tblProcurement2026[[#This Row],[Project Name]], _xlpm.nxt,MIN( IF((#REF!=_xlpm.p)*(#REF!&gt;TODAY()),#REF!)), IF(_xlpm.nxt=0,"",_xlpm.nxt-TODAY()))</f>
        <v>#REF!</v>
      </c>
      <c r="J8" s="118"/>
      <c r="K8" s="121"/>
      <c r="M8" s="118"/>
      <c r="N8" s="121"/>
      <c r="Q8" s="118"/>
      <c r="R8" s="118"/>
    </row>
    <row r="9" spans="1:19">
      <c r="A9" t="str" cm="1">
        <f t="array" ref="A9">_xlfn.LET(_xlpm.src,TRIM(#REF!), _xlpm.u,_xlfn._xlws.SORT(_xlfn.UNIQUE(_xlfn._xlws.FILTER(_xlpm.src,_xlpm.src&lt;&gt;""))), IFERROR(INDEX(_xlpm.u,ROWS(A$2:A9)),""))</f>
        <v/>
      </c>
      <c r="B9" s="118" t="e">
        <f>_xlfn.LET(_xlpm.p,tblProcurement2026[[#This Row],[Project Name]], SUMIFS(#REF!,#REF!, _xlpm.p))</f>
        <v>#REF!</v>
      </c>
      <c r="C9" s="118" t="e">
        <f ca="1">_xlfn.LET(_xlpm.p,tblProcurement2026[[#This Row],[Project Name]], SUMIFS(#REF!,#REF!, _xlpm.p,#REF!, "&lt;="&amp;TODAY(),#REF!, "&lt;&gt;"))</f>
        <v>#REF!</v>
      </c>
      <c r="D9" s="118" t="e">
        <f ca="1">_xlfn.LET(_xlpm.p,tblProcurement2026[[#This Row],[Project Name]], SUMIFS(#REF!,#REF!, _xlpm.p,#REF!, "&lt;="&amp;TODAY(),#REF!, "="))</f>
        <v>#REF!</v>
      </c>
      <c r="E9" s="118" t="e">
        <f ca="1">_xlfn.LET(_xlpm.p,tblProcurement2026[[#This Row],[Project Name]], SUMIFS(#REF!,#REF!, _xlpm.p,#REF!, "&gt;"&amp;TODAY(),#REF!, "&lt;&gt;"))</f>
        <v>#REF!</v>
      </c>
      <c r="F9" s="118" t="e">
        <f ca="1">_xlfn.LET(_xlpm.p,tblProcurement2026[[#This Row],[Project Name]], SUMIFS(#REF!,#REF!, _xlpm.p,#REF!, "&gt;"&amp;TODAY(),#REF!, "="))</f>
        <v>#REF!</v>
      </c>
      <c r="G9" s="119" t="e">
        <f>IF(tblProcurement2026[[#This Row],[Committed (All Expenses)]]=0,"",tblProcurement2026[[#This Row],[Paid/Realised]]/tblProcurement2026[[#This Row],[Committed (All Expenses)]])</f>
        <v>#REF!</v>
      </c>
      <c r="H9" s="120" t="e" cm="1">
        <f t="array" aca="1" ref="H9" ca="1">_xlfn.LET(_xlpm.p,tblProcurement2026[[#This Row],[Project Name]], _xlpm.nxt,MIN( IF((#REF!=_xlpm.p)*(#REF!&gt;TODAY()),#REF!)), IF(_xlpm.nxt=0,"",_xlpm.nxt-TODAY()))</f>
        <v>#REF!</v>
      </c>
      <c r="J9" s="118"/>
      <c r="K9" s="121"/>
      <c r="M9" s="118"/>
      <c r="N9" s="121"/>
      <c r="Q9" s="118"/>
      <c r="R9" s="118"/>
    </row>
    <row r="10" spans="1:19">
      <c r="A10" t="str" cm="1">
        <f t="array" ref="A10">_xlfn.LET(_xlpm.src,TRIM(#REF!), _xlpm.u,_xlfn._xlws.SORT(_xlfn.UNIQUE(_xlfn._xlws.FILTER(_xlpm.src,_xlpm.src&lt;&gt;""))), IFERROR(INDEX(_xlpm.u,ROWS(A$2:A10)),""))</f>
        <v/>
      </c>
      <c r="B10" s="118" t="e">
        <f>_xlfn.LET(_xlpm.p,tblProcurement2026[[#This Row],[Project Name]], SUMIFS(#REF!,#REF!, _xlpm.p))</f>
        <v>#REF!</v>
      </c>
      <c r="C10" s="118" t="e">
        <f ca="1">_xlfn.LET(_xlpm.p,tblProcurement2026[[#This Row],[Project Name]], SUMIFS(#REF!,#REF!, _xlpm.p,#REF!, "&lt;="&amp;TODAY(),#REF!, "&lt;&gt;"))</f>
        <v>#REF!</v>
      </c>
      <c r="D10" s="118" t="e">
        <f ca="1">_xlfn.LET(_xlpm.p,tblProcurement2026[[#This Row],[Project Name]], SUMIFS(#REF!,#REF!, _xlpm.p,#REF!, "&lt;="&amp;TODAY(),#REF!, "="))</f>
        <v>#REF!</v>
      </c>
      <c r="E10" s="118" t="e">
        <f ca="1">_xlfn.LET(_xlpm.p,tblProcurement2026[[#This Row],[Project Name]], SUMIFS(#REF!,#REF!, _xlpm.p,#REF!, "&gt;"&amp;TODAY(),#REF!, "&lt;&gt;"))</f>
        <v>#REF!</v>
      </c>
      <c r="F10" s="118" t="e">
        <f ca="1">_xlfn.LET(_xlpm.p,tblProcurement2026[[#This Row],[Project Name]], SUMIFS(#REF!,#REF!, _xlpm.p,#REF!, "&gt;"&amp;TODAY(),#REF!, "="))</f>
        <v>#REF!</v>
      </c>
      <c r="G10" s="119" t="e">
        <f>IF(tblProcurement2026[[#This Row],[Committed (All Expenses)]]=0,"",tblProcurement2026[[#This Row],[Paid/Realised]]/tblProcurement2026[[#This Row],[Committed (All Expenses)]])</f>
        <v>#REF!</v>
      </c>
      <c r="H10" s="120" t="e" cm="1">
        <f t="array" aca="1" ref="H10" ca="1">_xlfn.LET(_xlpm.p,tblProcurement2026[[#This Row],[Project Name]], _xlpm.nxt,MIN( IF((#REF!=_xlpm.p)*(#REF!&gt;TODAY()),#REF!)), IF(_xlpm.nxt=0,"",_xlpm.nxt-TODAY()))</f>
        <v>#REF!</v>
      </c>
      <c r="J10" s="118"/>
      <c r="K10" s="121"/>
      <c r="M10" s="118"/>
      <c r="N10" s="121"/>
      <c r="Q10" s="118"/>
      <c r="R10" s="118"/>
    </row>
    <row r="11" spans="1:19">
      <c r="A11" t="str" cm="1">
        <f t="array" ref="A11">_xlfn.LET(_xlpm.src,TRIM(#REF!), _xlpm.u,_xlfn._xlws.SORT(_xlfn.UNIQUE(_xlfn._xlws.FILTER(_xlpm.src,_xlpm.src&lt;&gt;""))), IFERROR(INDEX(_xlpm.u,ROWS(A$2:A11)),""))</f>
        <v/>
      </c>
      <c r="B11" s="118" t="e">
        <f>_xlfn.LET(_xlpm.p,tblProcurement2026[[#This Row],[Project Name]], SUMIFS(#REF!,#REF!, _xlpm.p))</f>
        <v>#REF!</v>
      </c>
      <c r="C11" s="118" t="e">
        <f ca="1">_xlfn.LET(_xlpm.p,tblProcurement2026[[#This Row],[Project Name]], SUMIFS(#REF!,#REF!, _xlpm.p,#REF!, "&lt;="&amp;TODAY(),#REF!, "&lt;&gt;"))</f>
        <v>#REF!</v>
      </c>
      <c r="D11" s="118" t="e">
        <f ca="1">_xlfn.LET(_xlpm.p,tblProcurement2026[[#This Row],[Project Name]], SUMIFS(#REF!,#REF!, _xlpm.p,#REF!, "&lt;="&amp;TODAY(),#REF!, "="))</f>
        <v>#REF!</v>
      </c>
      <c r="E11" s="118" t="e">
        <f ca="1">_xlfn.LET(_xlpm.p,tblProcurement2026[[#This Row],[Project Name]], SUMIFS(#REF!,#REF!, _xlpm.p,#REF!, "&gt;"&amp;TODAY(),#REF!, "&lt;&gt;"))</f>
        <v>#REF!</v>
      </c>
      <c r="F11" s="118" t="e">
        <f ca="1">_xlfn.LET(_xlpm.p,tblProcurement2026[[#This Row],[Project Name]], SUMIFS(#REF!,#REF!, _xlpm.p,#REF!, "&gt;"&amp;TODAY(),#REF!, "="))</f>
        <v>#REF!</v>
      </c>
      <c r="G11" s="119" t="e">
        <f>IF(tblProcurement2026[[#This Row],[Committed (All Expenses)]]=0,"",tblProcurement2026[[#This Row],[Paid/Realised]]/tblProcurement2026[[#This Row],[Committed (All Expenses)]])</f>
        <v>#REF!</v>
      </c>
      <c r="H11" s="120" t="e" cm="1">
        <f t="array" aca="1" ref="H11" ca="1">_xlfn.LET(_xlpm.p,tblProcurement2026[[#This Row],[Project Name]], _xlpm.nxt,MIN( IF((#REF!=_xlpm.p)*(#REF!&gt;TODAY()),#REF!)), IF(_xlpm.nxt=0,"",_xlpm.nxt-TODAY()))</f>
        <v>#REF!</v>
      </c>
      <c r="J11" s="118"/>
      <c r="K11" s="121"/>
      <c r="M11" s="118"/>
      <c r="N11" s="121"/>
      <c r="Q11" s="118"/>
      <c r="R11" s="118"/>
    </row>
    <row r="12" spans="1:19">
      <c r="A12" t="str" cm="1">
        <f t="array" ref="A12">_xlfn.LET(_xlpm.src,TRIM(#REF!), _xlpm.u,_xlfn._xlws.SORT(_xlfn.UNIQUE(_xlfn._xlws.FILTER(_xlpm.src,_xlpm.src&lt;&gt;""))), IFERROR(INDEX(_xlpm.u,ROWS(A$2:A12)),""))</f>
        <v/>
      </c>
      <c r="B12" s="118" t="e">
        <f>_xlfn.LET(_xlpm.p,tblProcurement2026[[#This Row],[Project Name]], SUMIFS(#REF!,#REF!, _xlpm.p))</f>
        <v>#REF!</v>
      </c>
      <c r="C12" s="118" t="e">
        <f ca="1">_xlfn.LET(_xlpm.p,tblProcurement2026[[#This Row],[Project Name]], SUMIFS(#REF!,#REF!, _xlpm.p,#REF!, "&lt;="&amp;TODAY(),#REF!, "&lt;&gt;"))</f>
        <v>#REF!</v>
      </c>
      <c r="D12" s="118" t="e">
        <f ca="1">_xlfn.LET(_xlpm.p,tblProcurement2026[[#This Row],[Project Name]], SUMIFS(#REF!,#REF!, _xlpm.p,#REF!, "&lt;="&amp;TODAY(),#REF!, "="))</f>
        <v>#REF!</v>
      </c>
      <c r="E12" s="118" t="e">
        <f ca="1">_xlfn.LET(_xlpm.p,tblProcurement2026[[#This Row],[Project Name]], SUMIFS(#REF!,#REF!, _xlpm.p,#REF!, "&gt;"&amp;TODAY(),#REF!, "&lt;&gt;"))</f>
        <v>#REF!</v>
      </c>
      <c r="F12" s="118" t="e">
        <f ca="1">_xlfn.LET(_xlpm.p,tblProcurement2026[[#This Row],[Project Name]], SUMIFS(#REF!,#REF!, _xlpm.p,#REF!, "&gt;"&amp;TODAY(),#REF!, "="))</f>
        <v>#REF!</v>
      </c>
      <c r="G12" s="119" t="e">
        <f>IF(tblProcurement2026[[#This Row],[Committed (All Expenses)]]=0,"",tblProcurement2026[[#This Row],[Paid/Realised]]/tblProcurement2026[[#This Row],[Committed (All Expenses)]])</f>
        <v>#REF!</v>
      </c>
      <c r="H12" s="120" t="e" cm="1">
        <f t="array" aca="1" ref="H12" ca="1">_xlfn.LET(_xlpm.p,tblProcurement2026[[#This Row],[Project Name]], _xlpm.nxt,MIN( IF((#REF!=_xlpm.p)*(#REF!&gt;TODAY()),#REF!)), IF(_xlpm.nxt=0,"",_xlpm.nxt-TODAY()))</f>
        <v>#REF!</v>
      </c>
      <c r="J12" s="118"/>
      <c r="K12" s="121"/>
      <c r="M12" s="118"/>
      <c r="N12" s="121"/>
      <c r="Q12" s="118"/>
      <c r="R12" s="118"/>
    </row>
    <row r="13" spans="1:19">
      <c r="A13" t="str" cm="1">
        <f t="array" ref="A13">_xlfn.LET(_xlpm.src,TRIM(#REF!), _xlpm.u,_xlfn._xlws.SORT(_xlfn.UNIQUE(_xlfn._xlws.FILTER(_xlpm.src,_xlpm.src&lt;&gt;""))), IFERROR(INDEX(_xlpm.u,ROWS(A$2:A13)),""))</f>
        <v/>
      </c>
      <c r="B13" s="118" t="e">
        <f>_xlfn.LET(_xlpm.p,tblProcurement2026[[#This Row],[Project Name]], SUMIFS(#REF!,#REF!, _xlpm.p))</f>
        <v>#REF!</v>
      </c>
      <c r="C13" s="118" t="e">
        <f ca="1">_xlfn.LET(_xlpm.p,tblProcurement2026[[#This Row],[Project Name]], SUMIFS(#REF!,#REF!, _xlpm.p,#REF!, "&lt;="&amp;TODAY(),#REF!, "&lt;&gt;"))</f>
        <v>#REF!</v>
      </c>
      <c r="D13" s="118" t="e">
        <f ca="1">_xlfn.LET(_xlpm.p,tblProcurement2026[[#This Row],[Project Name]], SUMIFS(#REF!,#REF!, _xlpm.p,#REF!, "&lt;="&amp;TODAY(),#REF!, "="))</f>
        <v>#REF!</v>
      </c>
      <c r="E13" s="118" t="e">
        <f ca="1">_xlfn.LET(_xlpm.p,tblProcurement2026[[#This Row],[Project Name]], SUMIFS(#REF!,#REF!, _xlpm.p,#REF!, "&gt;"&amp;TODAY(),#REF!, "&lt;&gt;"))</f>
        <v>#REF!</v>
      </c>
      <c r="F13" s="118" t="e">
        <f ca="1">_xlfn.LET(_xlpm.p,tblProcurement2026[[#This Row],[Project Name]], SUMIFS(#REF!,#REF!, _xlpm.p,#REF!, "&gt;"&amp;TODAY(),#REF!, "="))</f>
        <v>#REF!</v>
      </c>
      <c r="G13" s="119" t="e">
        <f>IF(tblProcurement2026[[#This Row],[Committed (All Expenses)]]=0,"",tblProcurement2026[[#This Row],[Paid/Realised]]/tblProcurement2026[[#This Row],[Committed (All Expenses)]])</f>
        <v>#REF!</v>
      </c>
      <c r="H13" s="120" t="e" cm="1">
        <f t="array" aca="1" ref="H13" ca="1">_xlfn.LET(_xlpm.p,tblProcurement2026[[#This Row],[Project Name]], _xlpm.nxt,MIN( IF((#REF!=_xlpm.p)*(#REF!&gt;TODAY()),#REF!)), IF(_xlpm.nxt=0,"",_xlpm.nxt-TODAY()))</f>
        <v>#REF!</v>
      </c>
      <c r="J13" s="118"/>
      <c r="K13" s="121"/>
      <c r="M13" s="118"/>
      <c r="N13" s="121"/>
      <c r="Q13" s="118"/>
      <c r="R13" s="118"/>
    </row>
    <row r="14" spans="1:19">
      <c r="A14" t="str" cm="1">
        <f t="array" ref="A14">_xlfn.LET(_xlpm.src,TRIM(#REF!), _xlpm.u,_xlfn._xlws.SORT(_xlfn.UNIQUE(_xlfn._xlws.FILTER(_xlpm.src,_xlpm.src&lt;&gt;""))), IFERROR(INDEX(_xlpm.u,ROWS(A$2:A14)),""))</f>
        <v/>
      </c>
      <c r="B14" s="118" t="e">
        <f>_xlfn.LET(_xlpm.p,tblProcurement2026[[#This Row],[Project Name]], SUMIFS(#REF!,#REF!, _xlpm.p))</f>
        <v>#REF!</v>
      </c>
      <c r="C14" s="118" t="e">
        <f ca="1">_xlfn.LET(_xlpm.p,tblProcurement2026[[#This Row],[Project Name]], SUMIFS(#REF!,#REF!, _xlpm.p,#REF!, "&lt;="&amp;TODAY(),#REF!, "&lt;&gt;"))</f>
        <v>#REF!</v>
      </c>
      <c r="D14" s="118" t="e">
        <f ca="1">_xlfn.LET(_xlpm.p,tblProcurement2026[[#This Row],[Project Name]], SUMIFS(#REF!,#REF!, _xlpm.p,#REF!, "&lt;="&amp;TODAY(),#REF!, "="))</f>
        <v>#REF!</v>
      </c>
      <c r="E14" s="118" t="e">
        <f ca="1">_xlfn.LET(_xlpm.p,tblProcurement2026[[#This Row],[Project Name]], SUMIFS(#REF!,#REF!, _xlpm.p,#REF!, "&gt;"&amp;TODAY(),#REF!, "&lt;&gt;"))</f>
        <v>#REF!</v>
      </c>
      <c r="F14" s="118" t="e">
        <f ca="1">_xlfn.LET(_xlpm.p,tblProcurement2026[[#This Row],[Project Name]], SUMIFS(#REF!,#REF!, _xlpm.p,#REF!, "&gt;"&amp;TODAY(),#REF!, "="))</f>
        <v>#REF!</v>
      </c>
      <c r="G14" s="119" t="e">
        <f>IF(tblProcurement2026[[#This Row],[Committed (All Expenses)]]=0,"",tblProcurement2026[[#This Row],[Paid/Realised]]/tblProcurement2026[[#This Row],[Committed (All Expenses)]])</f>
        <v>#REF!</v>
      </c>
      <c r="H14" s="120" t="e" cm="1">
        <f t="array" aca="1" ref="H14" ca="1">_xlfn.LET(_xlpm.p,tblProcurement2026[[#This Row],[Project Name]], _xlpm.nxt,MIN( IF((#REF!=_xlpm.p)*(#REF!&gt;TODAY()),#REF!)), IF(_xlpm.nxt=0,"",_xlpm.nxt-TODAY()))</f>
        <v>#REF!</v>
      </c>
      <c r="J14" s="118"/>
      <c r="K14" s="121"/>
      <c r="M14" s="118"/>
      <c r="N14" s="121"/>
      <c r="Q14" s="118"/>
      <c r="R14" s="118"/>
    </row>
    <row r="15" spans="1:19">
      <c r="A15" t="str" cm="1">
        <f t="array" ref="A15">_xlfn.LET(_xlpm.src,TRIM(#REF!), _xlpm.u,_xlfn._xlws.SORT(_xlfn.UNIQUE(_xlfn._xlws.FILTER(_xlpm.src,_xlpm.src&lt;&gt;""))), IFERROR(INDEX(_xlpm.u,ROWS(A$2:A15)),""))</f>
        <v/>
      </c>
      <c r="B15" s="118" t="e">
        <f>_xlfn.LET(_xlpm.p,tblProcurement2026[[#This Row],[Project Name]], SUMIFS(#REF!,#REF!, _xlpm.p))</f>
        <v>#REF!</v>
      </c>
      <c r="C15" s="118" t="e">
        <f ca="1">_xlfn.LET(_xlpm.p,tblProcurement2026[[#This Row],[Project Name]], SUMIFS(#REF!,#REF!, _xlpm.p,#REF!, "&lt;="&amp;TODAY(),#REF!, "&lt;&gt;"))</f>
        <v>#REF!</v>
      </c>
      <c r="D15" s="118" t="e">
        <f ca="1">_xlfn.LET(_xlpm.p,tblProcurement2026[[#This Row],[Project Name]], SUMIFS(#REF!,#REF!, _xlpm.p,#REF!, "&lt;="&amp;TODAY(),#REF!, "="))</f>
        <v>#REF!</v>
      </c>
      <c r="E15" s="118" t="e">
        <f ca="1">_xlfn.LET(_xlpm.p,tblProcurement2026[[#This Row],[Project Name]], SUMIFS(#REF!,#REF!, _xlpm.p,#REF!, "&gt;"&amp;TODAY(),#REF!, "&lt;&gt;"))</f>
        <v>#REF!</v>
      </c>
      <c r="F15" s="118" t="e">
        <f ca="1">_xlfn.LET(_xlpm.p,tblProcurement2026[[#This Row],[Project Name]], SUMIFS(#REF!,#REF!, _xlpm.p,#REF!, "&gt;"&amp;TODAY(),#REF!, "="))</f>
        <v>#REF!</v>
      </c>
      <c r="G15" s="119" t="e">
        <f>IF(tblProcurement2026[[#This Row],[Committed (All Expenses)]]=0,"",tblProcurement2026[[#This Row],[Paid/Realised]]/tblProcurement2026[[#This Row],[Committed (All Expenses)]])</f>
        <v>#REF!</v>
      </c>
      <c r="H15" s="120" t="e" cm="1">
        <f t="array" aca="1" ref="H15" ca="1">_xlfn.LET(_xlpm.p,tblProcurement2026[[#This Row],[Project Name]], _xlpm.nxt,MIN( IF((#REF!=_xlpm.p)*(#REF!&gt;TODAY()),#REF!)), IF(_xlpm.nxt=0,"",_xlpm.nxt-TODAY()))</f>
        <v>#REF!</v>
      </c>
      <c r="J15" s="118"/>
      <c r="K15" s="121"/>
      <c r="M15" s="118"/>
      <c r="N15" s="121"/>
      <c r="Q15" s="118"/>
      <c r="R15" s="118"/>
    </row>
    <row r="16" spans="1:19">
      <c r="A16" t="str" cm="1">
        <f t="array" ref="A16">_xlfn.LET(_xlpm.src,TRIM(#REF!), _xlpm.u,_xlfn._xlws.SORT(_xlfn.UNIQUE(_xlfn._xlws.FILTER(_xlpm.src,_xlpm.src&lt;&gt;""))), IFERROR(INDEX(_xlpm.u,ROWS(A$2:A16)),""))</f>
        <v/>
      </c>
      <c r="B16" s="118" t="e">
        <f>_xlfn.LET(_xlpm.p,tblProcurement2026[[#This Row],[Project Name]], SUMIFS(#REF!,#REF!, _xlpm.p))</f>
        <v>#REF!</v>
      </c>
      <c r="C16" s="118" t="e">
        <f ca="1">_xlfn.LET(_xlpm.p,tblProcurement2026[[#This Row],[Project Name]], SUMIFS(#REF!,#REF!, _xlpm.p,#REF!, "&lt;="&amp;TODAY(),#REF!, "&lt;&gt;"))</f>
        <v>#REF!</v>
      </c>
      <c r="D16" s="118" t="e">
        <f ca="1">_xlfn.LET(_xlpm.p,tblProcurement2026[[#This Row],[Project Name]], SUMIFS(#REF!,#REF!, _xlpm.p,#REF!, "&lt;="&amp;TODAY(),#REF!, "="))</f>
        <v>#REF!</v>
      </c>
      <c r="E16" s="118" t="e">
        <f ca="1">_xlfn.LET(_xlpm.p,tblProcurement2026[[#This Row],[Project Name]], SUMIFS(#REF!,#REF!, _xlpm.p,#REF!, "&gt;"&amp;TODAY(),#REF!, "&lt;&gt;"))</f>
        <v>#REF!</v>
      </c>
      <c r="F16" s="118" t="e">
        <f ca="1">_xlfn.LET(_xlpm.p,tblProcurement2026[[#This Row],[Project Name]], SUMIFS(#REF!,#REF!, _xlpm.p,#REF!, "&gt;"&amp;TODAY(),#REF!, "="))</f>
        <v>#REF!</v>
      </c>
      <c r="G16" s="119" t="e">
        <f>IF(tblProcurement2026[[#This Row],[Committed (All Expenses)]]=0,"",tblProcurement2026[[#This Row],[Paid/Realised]]/tblProcurement2026[[#This Row],[Committed (All Expenses)]])</f>
        <v>#REF!</v>
      </c>
      <c r="H16" s="120" t="e" cm="1">
        <f t="array" aca="1" ref="H16" ca="1">_xlfn.LET(_xlpm.p,tblProcurement2026[[#This Row],[Project Name]], _xlpm.nxt,MIN( IF((#REF!=_xlpm.p)*(#REF!&gt;TODAY()),#REF!)), IF(_xlpm.nxt=0,"",_xlpm.nxt-TODAY()))</f>
        <v>#REF!</v>
      </c>
      <c r="J16" s="118"/>
      <c r="K16" s="121"/>
      <c r="M16" s="118"/>
      <c r="N16" s="121"/>
      <c r="Q16" s="118"/>
      <c r="R16" s="118"/>
    </row>
    <row r="17" spans="1:18">
      <c r="A17" t="str" cm="1">
        <f t="array" ref="A17">_xlfn.LET(_xlpm.src,TRIM(#REF!), _xlpm.u,_xlfn._xlws.SORT(_xlfn.UNIQUE(_xlfn._xlws.FILTER(_xlpm.src,_xlpm.src&lt;&gt;""))), IFERROR(INDEX(_xlpm.u,ROWS(A$2:A17)),""))</f>
        <v/>
      </c>
      <c r="B17" s="118" t="e">
        <f>_xlfn.LET(_xlpm.p,tblProcurement2026[[#This Row],[Project Name]], SUMIFS(#REF!,#REF!, _xlpm.p))</f>
        <v>#REF!</v>
      </c>
      <c r="C17" s="118" t="e">
        <f ca="1">_xlfn.LET(_xlpm.p,tblProcurement2026[[#This Row],[Project Name]], SUMIFS(#REF!,#REF!, _xlpm.p,#REF!, "&lt;="&amp;TODAY(),#REF!, "&lt;&gt;"))</f>
        <v>#REF!</v>
      </c>
      <c r="D17" s="118" t="e">
        <f ca="1">_xlfn.LET(_xlpm.p,tblProcurement2026[[#This Row],[Project Name]], SUMIFS(#REF!,#REF!, _xlpm.p,#REF!, "&lt;="&amp;TODAY(),#REF!, "="))</f>
        <v>#REF!</v>
      </c>
      <c r="E17" s="118" t="e">
        <f ca="1">_xlfn.LET(_xlpm.p,tblProcurement2026[[#This Row],[Project Name]], SUMIFS(#REF!,#REF!, _xlpm.p,#REF!, "&gt;"&amp;TODAY(),#REF!, "&lt;&gt;"))</f>
        <v>#REF!</v>
      </c>
      <c r="F17" s="118" t="e">
        <f ca="1">_xlfn.LET(_xlpm.p,tblProcurement2026[[#This Row],[Project Name]], SUMIFS(#REF!,#REF!, _xlpm.p,#REF!, "&gt;"&amp;TODAY(),#REF!, "="))</f>
        <v>#REF!</v>
      </c>
      <c r="G17" s="119" t="e">
        <f>IF(tblProcurement2026[[#This Row],[Committed (All Expenses)]]=0,"",tblProcurement2026[[#This Row],[Paid/Realised]]/tblProcurement2026[[#This Row],[Committed (All Expenses)]])</f>
        <v>#REF!</v>
      </c>
      <c r="H17" s="120" t="e" cm="1">
        <f t="array" aca="1" ref="H17" ca="1">_xlfn.LET(_xlpm.p,tblProcurement2026[[#This Row],[Project Name]], _xlpm.nxt,MIN( IF((#REF!=_xlpm.p)*(#REF!&gt;TODAY()),#REF!)), IF(_xlpm.nxt=0,"",_xlpm.nxt-TODAY()))</f>
        <v>#REF!</v>
      </c>
      <c r="J17" s="118"/>
      <c r="K17" s="121"/>
      <c r="M17" s="118"/>
      <c r="N17" s="121"/>
      <c r="Q17" s="118"/>
      <c r="R17" s="118"/>
    </row>
    <row r="18" spans="1:18">
      <c r="A18" t="str" cm="1">
        <f t="array" ref="A18">_xlfn.LET(_xlpm.src,TRIM(#REF!), _xlpm.u,_xlfn._xlws.SORT(_xlfn.UNIQUE(_xlfn._xlws.FILTER(_xlpm.src,_xlpm.src&lt;&gt;""))), IFERROR(INDEX(_xlpm.u,ROWS(A$2:A18)),""))</f>
        <v/>
      </c>
      <c r="B18" s="118" t="e">
        <f>_xlfn.LET(_xlpm.p,tblProcurement2026[[#This Row],[Project Name]], SUMIFS(#REF!,#REF!, _xlpm.p))</f>
        <v>#REF!</v>
      </c>
      <c r="C18" s="118" t="e">
        <f ca="1">_xlfn.LET(_xlpm.p,tblProcurement2026[[#This Row],[Project Name]], SUMIFS(#REF!,#REF!, _xlpm.p,#REF!, "&lt;="&amp;TODAY(),#REF!, "&lt;&gt;"))</f>
        <v>#REF!</v>
      </c>
      <c r="D18" s="118" t="e">
        <f ca="1">_xlfn.LET(_xlpm.p,tblProcurement2026[[#This Row],[Project Name]], SUMIFS(#REF!,#REF!, _xlpm.p,#REF!, "&lt;="&amp;TODAY(),#REF!, "="))</f>
        <v>#REF!</v>
      </c>
      <c r="E18" s="118" t="e">
        <f ca="1">_xlfn.LET(_xlpm.p,tblProcurement2026[[#This Row],[Project Name]], SUMIFS(#REF!,#REF!, _xlpm.p,#REF!, "&gt;"&amp;TODAY(),#REF!, "&lt;&gt;"))</f>
        <v>#REF!</v>
      </c>
      <c r="F18" s="118" t="e">
        <f ca="1">_xlfn.LET(_xlpm.p,tblProcurement2026[[#This Row],[Project Name]], SUMIFS(#REF!,#REF!, _xlpm.p,#REF!, "&gt;"&amp;TODAY(),#REF!, "="))</f>
        <v>#REF!</v>
      </c>
      <c r="G18" s="119" t="e">
        <f>IF(tblProcurement2026[[#This Row],[Committed (All Expenses)]]=0,"",tblProcurement2026[[#This Row],[Paid/Realised]]/tblProcurement2026[[#This Row],[Committed (All Expenses)]])</f>
        <v>#REF!</v>
      </c>
      <c r="H18" s="120" t="e" cm="1">
        <f t="array" aca="1" ref="H18" ca="1">_xlfn.LET(_xlpm.p,tblProcurement2026[[#This Row],[Project Name]], _xlpm.nxt,MIN( IF((#REF!=_xlpm.p)*(#REF!&gt;TODAY()),#REF!)), IF(_xlpm.nxt=0,"",_xlpm.nxt-TODAY()))</f>
        <v>#REF!</v>
      </c>
      <c r="J18" s="118"/>
      <c r="K18" s="121"/>
      <c r="M18" s="118"/>
      <c r="N18" s="121"/>
      <c r="Q18" s="118"/>
      <c r="R18" s="118"/>
    </row>
    <row r="19" spans="1:18">
      <c r="A19" t="str" cm="1">
        <f t="array" ref="A19">_xlfn.LET(_xlpm.src,TRIM(#REF!), _xlpm.u,_xlfn._xlws.SORT(_xlfn.UNIQUE(_xlfn._xlws.FILTER(_xlpm.src,_xlpm.src&lt;&gt;""))), IFERROR(INDEX(_xlpm.u,ROWS(A$2:A19)),""))</f>
        <v/>
      </c>
      <c r="B19" s="118" t="e">
        <f>_xlfn.LET(_xlpm.p,tblProcurement2026[[#This Row],[Project Name]], SUMIFS(#REF!,#REF!, _xlpm.p))</f>
        <v>#REF!</v>
      </c>
      <c r="C19" s="118" t="e">
        <f ca="1">_xlfn.LET(_xlpm.p,tblProcurement2026[[#This Row],[Project Name]], SUMIFS(#REF!,#REF!, _xlpm.p,#REF!, "&lt;="&amp;TODAY(),#REF!, "&lt;&gt;"))</f>
        <v>#REF!</v>
      </c>
      <c r="D19" s="118" t="e">
        <f ca="1">_xlfn.LET(_xlpm.p,tblProcurement2026[[#This Row],[Project Name]], SUMIFS(#REF!,#REF!, _xlpm.p,#REF!, "&lt;="&amp;TODAY(),#REF!, "="))</f>
        <v>#REF!</v>
      </c>
      <c r="E19" s="118" t="e">
        <f ca="1">_xlfn.LET(_xlpm.p,tblProcurement2026[[#This Row],[Project Name]], SUMIFS(#REF!,#REF!, _xlpm.p,#REF!, "&gt;"&amp;TODAY(),#REF!, "&lt;&gt;"))</f>
        <v>#REF!</v>
      </c>
      <c r="F19" s="118" t="e">
        <f ca="1">_xlfn.LET(_xlpm.p,tblProcurement2026[[#This Row],[Project Name]], SUMIFS(#REF!,#REF!, _xlpm.p,#REF!, "&gt;"&amp;TODAY(),#REF!, "="))</f>
        <v>#REF!</v>
      </c>
      <c r="G19" s="119" t="e">
        <f>IF(tblProcurement2026[[#This Row],[Committed (All Expenses)]]=0,"",tblProcurement2026[[#This Row],[Paid/Realised]]/tblProcurement2026[[#This Row],[Committed (All Expenses)]])</f>
        <v>#REF!</v>
      </c>
      <c r="H19" s="120" t="e" cm="1">
        <f t="array" aca="1" ref="H19" ca="1">_xlfn.LET(_xlpm.p,tblProcurement2026[[#This Row],[Project Name]], _xlpm.nxt,MIN( IF((#REF!=_xlpm.p)*(#REF!&gt;TODAY()),#REF!)), IF(_xlpm.nxt=0,"",_xlpm.nxt-TODAY()))</f>
        <v>#REF!</v>
      </c>
      <c r="J19" s="118"/>
      <c r="K19" s="121"/>
      <c r="M19" s="118"/>
      <c r="N19" s="121"/>
      <c r="Q19" s="118"/>
      <c r="R19" s="118"/>
    </row>
    <row r="20" spans="1:18">
      <c r="A20" t="str" cm="1">
        <f t="array" ref="A20">_xlfn.LET(_xlpm.src,TRIM(#REF!), _xlpm.u,_xlfn._xlws.SORT(_xlfn.UNIQUE(_xlfn._xlws.FILTER(_xlpm.src,_xlpm.src&lt;&gt;""))), IFERROR(INDEX(_xlpm.u,ROWS(A$2:A20)),""))</f>
        <v/>
      </c>
      <c r="B20" s="118" t="e">
        <f>_xlfn.LET(_xlpm.p,tblProcurement2026[[#This Row],[Project Name]], SUMIFS(#REF!,#REF!, _xlpm.p))</f>
        <v>#REF!</v>
      </c>
      <c r="C20" s="118" t="e">
        <f ca="1">_xlfn.LET(_xlpm.p,tblProcurement2026[[#This Row],[Project Name]], SUMIFS(#REF!,#REF!, _xlpm.p,#REF!, "&lt;="&amp;TODAY(),#REF!, "&lt;&gt;"))</f>
        <v>#REF!</v>
      </c>
      <c r="D20" s="118" t="e">
        <f ca="1">_xlfn.LET(_xlpm.p,tblProcurement2026[[#This Row],[Project Name]], SUMIFS(#REF!,#REF!, _xlpm.p,#REF!, "&lt;="&amp;TODAY(),#REF!, "="))</f>
        <v>#REF!</v>
      </c>
      <c r="E20" s="118" t="e">
        <f ca="1">_xlfn.LET(_xlpm.p,tblProcurement2026[[#This Row],[Project Name]], SUMIFS(#REF!,#REF!, _xlpm.p,#REF!, "&gt;"&amp;TODAY(),#REF!, "&lt;&gt;"))</f>
        <v>#REF!</v>
      </c>
      <c r="F20" s="118" t="e">
        <f ca="1">_xlfn.LET(_xlpm.p,tblProcurement2026[[#This Row],[Project Name]], SUMIFS(#REF!,#REF!, _xlpm.p,#REF!, "&gt;"&amp;TODAY(),#REF!, "="))</f>
        <v>#REF!</v>
      </c>
      <c r="G20" s="119" t="e">
        <f>IF(tblProcurement2026[[#This Row],[Committed (All Expenses)]]=0,"",tblProcurement2026[[#This Row],[Paid/Realised]]/tblProcurement2026[[#This Row],[Committed (All Expenses)]])</f>
        <v>#REF!</v>
      </c>
      <c r="H20" s="120" t="e" cm="1">
        <f t="array" aca="1" ref="H20" ca="1">_xlfn.LET(_xlpm.p,tblProcurement2026[[#This Row],[Project Name]], _xlpm.nxt,MIN( IF((#REF!=_xlpm.p)*(#REF!&gt;TODAY()),#REF!)), IF(_xlpm.nxt=0,"",_xlpm.nxt-TODAY()))</f>
        <v>#REF!</v>
      </c>
      <c r="J20" s="118"/>
      <c r="K20" s="121"/>
      <c r="M20" s="118"/>
      <c r="N20" s="121"/>
      <c r="Q20" s="118"/>
      <c r="R20" s="118"/>
    </row>
    <row r="21" spans="1:18">
      <c r="A21" t="str" cm="1">
        <f t="array" ref="A21">_xlfn.LET(_xlpm.src,TRIM(#REF!), _xlpm.u,_xlfn._xlws.SORT(_xlfn.UNIQUE(_xlfn._xlws.FILTER(_xlpm.src,_xlpm.src&lt;&gt;""))), IFERROR(INDEX(_xlpm.u,ROWS(A$2:A21)),""))</f>
        <v/>
      </c>
      <c r="B21" s="118" t="e">
        <f>_xlfn.LET(_xlpm.p,tblProcurement2026[[#This Row],[Project Name]], SUMIFS(#REF!,#REF!, _xlpm.p))</f>
        <v>#REF!</v>
      </c>
      <c r="C21" s="118" t="e">
        <f ca="1">_xlfn.LET(_xlpm.p,tblProcurement2026[[#This Row],[Project Name]], SUMIFS(#REF!,#REF!, _xlpm.p,#REF!, "&lt;="&amp;TODAY(),#REF!, "&lt;&gt;"))</f>
        <v>#REF!</v>
      </c>
      <c r="D21" s="118" t="e">
        <f ca="1">_xlfn.LET(_xlpm.p,tblProcurement2026[[#This Row],[Project Name]], SUMIFS(#REF!,#REF!, _xlpm.p,#REF!, "&lt;="&amp;TODAY(),#REF!, "="))</f>
        <v>#REF!</v>
      </c>
      <c r="E21" s="118" t="e">
        <f ca="1">_xlfn.LET(_xlpm.p,tblProcurement2026[[#This Row],[Project Name]], SUMIFS(#REF!,#REF!, _xlpm.p,#REF!, "&gt;"&amp;TODAY(),#REF!, "&lt;&gt;"))</f>
        <v>#REF!</v>
      </c>
      <c r="F21" s="118" t="e">
        <f ca="1">_xlfn.LET(_xlpm.p,tblProcurement2026[[#This Row],[Project Name]], SUMIFS(#REF!,#REF!, _xlpm.p,#REF!, "&gt;"&amp;TODAY(),#REF!, "="))</f>
        <v>#REF!</v>
      </c>
      <c r="G21" s="119" t="e">
        <f>IF(tblProcurement2026[[#This Row],[Committed (All Expenses)]]=0,"",tblProcurement2026[[#This Row],[Paid/Realised]]/tblProcurement2026[[#This Row],[Committed (All Expenses)]])</f>
        <v>#REF!</v>
      </c>
      <c r="H21" s="120" t="e" cm="1">
        <f t="array" aca="1" ref="H21" ca="1">_xlfn.LET(_xlpm.p,tblProcurement2026[[#This Row],[Project Name]], _xlpm.nxt,MIN( IF((#REF!=_xlpm.p)*(#REF!&gt;TODAY()),#REF!)), IF(_xlpm.nxt=0,"",_xlpm.nxt-TODAY()))</f>
        <v>#REF!</v>
      </c>
      <c r="J21" s="118"/>
      <c r="K21" s="121"/>
      <c r="M21" s="118"/>
      <c r="N21" s="121"/>
      <c r="Q21" s="118"/>
      <c r="R21" s="118"/>
    </row>
    <row r="22" spans="1:18">
      <c r="A22" t="str" cm="1">
        <f t="array" ref="A22">_xlfn.LET(_xlpm.src,TRIM(#REF!), _xlpm.u,_xlfn._xlws.SORT(_xlfn.UNIQUE(_xlfn._xlws.FILTER(_xlpm.src,_xlpm.src&lt;&gt;""))), IFERROR(INDEX(_xlpm.u,ROWS(A$2:A22)),""))</f>
        <v/>
      </c>
      <c r="B22" s="118" t="e">
        <f>_xlfn.LET(_xlpm.p,tblProcurement2026[[#This Row],[Project Name]], SUMIFS(#REF!,#REF!, _xlpm.p))</f>
        <v>#REF!</v>
      </c>
      <c r="C22" s="118" t="e">
        <f ca="1">_xlfn.LET(_xlpm.p,tblProcurement2026[[#This Row],[Project Name]], SUMIFS(#REF!,#REF!, _xlpm.p,#REF!, "&lt;="&amp;TODAY(),#REF!, "&lt;&gt;"))</f>
        <v>#REF!</v>
      </c>
      <c r="D22" s="118" t="e">
        <f ca="1">_xlfn.LET(_xlpm.p,tblProcurement2026[[#This Row],[Project Name]], SUMIFS(#REF!,#REF!, _xlpm.p,#REF!, "&lt;="&amp;TODAY(),#REF!, "="))</f>
        <v>#REF!</v>
      </c>
      <c r="E22" s="118" t="e">
        <f ca="1">_xlfn.LET(_xlpm.p,tblProcurement2026[[#This Row],[Project Name]], SUMIFS(#REF!,#REF!, _xlpm.p,#REF!, "&gt;"&amp;TODAY(),#REF!, "&lt;&gt;"))</f>
        <v>#REF!</v>
      </c>
      <c r="F22" s="118" t="e">
        <f ca="1">_xlfn.LET(_xlpm.p,tblProcurement2026[[#This Row],[Project Name]], SUMIFS(#REF!,#REF!, _xlpm.p,#REF!, "&gt;"&amp;TODAY(),#REF!, "="))</f>
        <v>#REF!</v>
      </c>
      <c r="G22" s="119" t="e">
        <f>IF(tblProcurement2026[[#This Row],[Committed (All Expenses)]]=0,"",tblProcurement2026[[#This Row],[Paid/Realised]]/tblProcurement2026[[#This Row],[Committed (All Expenses)]])</f>
        <v>#REF!</v>
      </c>
      <c r="H22" s="120" t="e" cm="1">
        <f t="array" aca="1" ref="H22" ca="1">_xlfn.LET(_xlpm.p,tblProcurement2026[[#This Row],[Project Name]], _xlpm.nxt,MIN( IF((#REF!=_xlpm.p)*(#REF!&gt;TODAY()),#REF!)), IF(_xlpm.nxt=0,"",_xlpm.nxt-TODAY()))</f>
        <v>#REF!</v>
      </c>
      <c r="J22" s="118"/>
      <c r="K22" s="121"/>
      <c r="M22" s="118"/>
      <c r="N22" s="121"/>
      <c r="Q22" s="118"/>
      <c r="R22" s="118"/>
    </row>
    <row r="23" spans="1:18">
      <c r="A23" t="str" cm="1">
        <f t="array" ref="A23">_xlfn.LET(_xlpm.src,TRIM(#REF!), _xlpm.u,_xlfn._xlws.SORT(_xlfn.UNIQUE(_xlfn._xlws.FILTER(_xlpm.src,_xlpm.src&lt;&gt;""))), IFERROR(INDEX(_xlpm.u,ROWS(A$2:A23)),""))</f>
        <v/>
      </c>
      <c r="B23" s="118" t="e">
        <f>_xlfn.LET(_xlpm.p,tblProcurement2026[[#This Row],[Project Name]], SUMIFS(#REF!,#REF!, _xlpm.p))</f>
        <v>#REF!</v>
      </c>
      <c r="C23" s="118" t="e">
        <f ca="1">_xlfn.LET(_xlpm.p,tblProcurement2026[[#This Row],[Project Name]], SUMIFS(#REF!,#REF!, _xlpm.p,#REF!, "&lt;="&amp;TODAY(),#REF!, "&lt;&gt;"))</f>
        <v>#REF!</v>
      </c>
      <c r="D23" s="118" t="e">
        <f ca="1">_xlfn.LET(_xlpm.p,tblProcurement2026[[#This Row],[Project Name]], SUMIFS(#REF!,#REF!, _xlpm.p,#REF!, "&lt;="&amp;TODAY(),#REF!, "="))</f>
        <v>#REF!</v>
      </c>
      <c r="E23" s="118" t="e">
        <f ca="1">_xlfn.LET(_xlpm.p,tblProcurement2026[[#This Row],[Project Name]], SUMIFS(#REF!,#REF!, _xlpm.p,#REF!, "&gt;"&amp;TODAY(),#REF!, "&lt;&gt;"))</f>
        <v>#REF!</v>
      </c>
      <c r="F23" s="118" t="e">
        <f ca="1">_xlfn.LET(_xlpm.p,tblProcurement2026[[#This Row],[Project Name]], SUMIFS(#REF!,#REF!, _xlpm.p,#REF!, "&gt;"&amp;TODAY(),#REF!, "="))</f>
        <v>#REF!</v>
      </c>
      <c r="G23" s="119" t="e">
        <f>IF(tblProcurement2026[[#This Row],[Committed (All Expenses)]]=0,"",tblProcurement2026[[#This Row],[Paid/Realised]]/tblProcurement2026[[#This Row],[Committed (All Expenses)]])</f>
        <v>#REF!</v>
      </c>
      <c r="H23" s="120" t="e" cm="1">
        <f t="array" aca="1" ref="H23" ca="1">_xlfn.LET(_xlpm.p,tblProcurement2026[[#This Row],[Project Name]], _xlpm.nxt,MIN( IF((#REF!=_xlpm.p)*(#REF!&gt;TODAY()),#REF!)), IF(_xlpm.nxt=0,"",_xlpm.nxt-TODAY()))</f>
        <v>#REF!</v>
      </c>
      <c r="J23" s="118"/>
      <c r="K23" s="121"/>
      <c r="M23" s="118"/>
      <c r="N23" s="121"/>
      <c r="Q23" s="118"/>
      <c r="R23" s="118"/>
    </row>
    <row r="24" spans="1:18">
      <c r="A24" t="str" cm="1">
        <f t="array" ref="A24">_xlfn.LET(_xlpm.src,TRIM(#REF!), _xlpm.u,_xlfn._xlws.SORT(_xlfn.UNIQUE(_xlfn._xlws.FILTER(_xlpm.src,_xlpm.src&lt;&gt;""))), IFERROR(INDEX(_xlpm.u,ROWS(A$2:A24)),""))</f>
        <v/>
      </c>
      <c r="B24" s="118" t="e">
        <f>_xlfn.LET(_xlpm.p,tblProcurement2026[[#This Row],[Project Name]], SUMIFS(#REF!,#REF!, _xlpm.p))</f>
        <v>#REF!</v>
      </c>
      <c r="C24" s="118" t="e">
        <f ca="1">_xlfn.LET(_xlpm.p,tblProcurement2026[[#This Row],[Project Name]], SUMIFS(#REF!,#REF!, _xlpm.p,#REF!, "&lt;="&amp;TODAY(),#REF!, "&lt;&gt;"))</f>
        <v>#REF!</v>
      </c>
      <c r="D24" s="118" t="e">
        <f ca="1">_xlfn.LET(_xlpm.p,tblProcurement2026[[#This Row],[Project Name]], SUMIFS(#REF!,#REF!, _xlpm.p,#REF!, "&lt;="&amp;TODAY(),#REF!, "="))</f>
        <v>#REF!</v>
      </c>
      <c r="E24" s="118" t="e">
        <f ca="1">_xlfn.LET(_xlpm.p,tblProcurement2026[[#This Row],[Project Name]], SUMIFS(#REF!,#REF!, _xlpm.p,#REF!, "&gt;"&amp;TODAY(),#REF!, "&lt;&gt;"))</f>
        <v>#REF!</v>
      </c>
      <c r="F24" s="118" t="e">
        <f ca="1">_xlfn.LET(_xlpm.p,tblProcurement2026[[#This Row],[Project Name]], SUMIFS(#REF!,#REF!, _xlpm.p,#REF!, "&gt;"&amp;TODAY(),#REF!, "="))</f>
        <v>#REF!</v>
      </c>
      <c r="G24" s="119" t="e">
        <f>IF(tblProcurement2026[[#This Row],[Committed (All Expenses)]]=0,"",tblProcurement2026[[#This Row],[Paid/Realised]]/tblProcurement2026[[#This Row],[Committed (All Expenses)]])</f>
        <v>#REF!</v>
      </c>
      <c r="H24" s="120" t="e" cm="1">
        <f t="array" aca="1" ref="H24" ca="1">_xlfn.LET(_xlpm.p,tblProcurement2026[[#This Row],[Project Name]], _xlpm.nxt,MIN( IF((#REF!=_xlpm.p)*(#REF!&gt;TODAY()),#REF!)), IF(_xlpm.nxt=0,"",_xlpm.nxt-TODAY()))</f>
        <v>#REF!</v>
      </c>
      <c r="J24" s="118"/>
      <c r="K24" s="121"/>
      <c r="M24" s="118"/>
      <c r="N24" s="121"/>
      <c r="Q24" s="118"/>
      <c r="R24" s="118"/>
    </row>
    <row r="25" spans="1:18">
      <c r="A25" t="str" cm="1">
        <f t="array" ref="A25">_xlfn.LET(_xlpm.src,TRIM(#REF!), _xlpm.u,_xlfn._xlws.SORT(_xlfn.UNIQUE(_xlfn._xlws.FILTER(_xlpm.src,_xlpm.src&lt;&gt;""))), IFERROR(INDEX(_xlpm.u,ROWS(A$2:A25)),""))</f>
        <v/>
      </c>
      <c r="B25" s="118" t="e">
        <f>_xlfn.LET(_xlpm.p,tblProcurement2026[[#This Row],[Project Name]], SUMIFS(#REF!,#REF!, _xlpm.p))</f>
        <v>#REF!</v>
      </c>
      <c r="C25" s="118" t="e">
        <f ca="1">_xlfn.LET(_xlpm.p,tblProcurement2026[[#This Row],[Project Name]], SUMIFS(#REF!,#REF!, _xlpm.p,#REF!, "&lt;="&amp;TODAY(),#REF!, "&lt;&gt;"))</f>
        <v>#REF!</v>
      </c>
      <c r="D25" s="118" t="e">
        <f ca="1">_xlfn.LET(_xlpm.p,tblProcurement2026[[#This Row],[Project Name]], SUMIFS(#REF!,#REF!, _xlpm.p,#REF!, "&lt;="&amp;TODAY(),#REF!, "="))</f>
        <v>#REF!</v>
      </c>
      <c r="E25" s="118" t="e">
        <f ca="1">_xlfn.LET(_xlpm.p,tblProcurement2026[[#This Row],[Project Name]], SUMIFS(#REF!,#REF!, _xlpm.p,#REF!, "&gt;"&amp;TODAY(),#REF!, "&lt;&gt;"))</f>
        <v>#REF!</v>
      </c>
      <c r="F25" s="118" t="e">
        <f ca="1">_xlfn.LET(_xlpm.p,tblProcurement2026[[#This Row],[Project Name]], SUMIFS(#REF!,#REF!, _xlpm.p,#REF!, "&gt;"&amp;TODAY(),#REF!, "="))</f>
        <v>#REF!</v>
      </c>
      <c r="G25" s="119" t="e">
        <f>IF(tblProcurement2026[[#This Row],[Committed (All Expenses)]]=0,"",tblProcurement2026[[#This Row],[Paid/Realised]]/tblProcurement2026[[#This Row],[Committed (All Expenses)]])</f>
        <v>#REF!</v>
      </c>
      <c r="H25" s="120" t="e" cm="1">
        <f t="array" aca="1" ref="H25" ca="1">_xlfn.LET(_xlpm.p,tblProcurement2026[[#This Row],[Project Name]], _xlpm.nxt,MIN( IF((#REF!=_xlpm.p)*(#REF!&gt;TODAY()),#REF!)), IF(_xlpm.nxt=0,"",_xlpm.nxt-TODAY()))</f>
        <v>#REF!</v>
      </c>
      <c r="J25" s="118"/>
      <c r="K25" s="121"/>
      <c r="M25" s="118"/>
      <c r="N25" s="121"/>
      <c r="Q25" s="118"/>
      <c r="R25" s="118"/>
    </row>
    <row r="26" spans="1:18">
      <c r="A26" t="str" cm="1">
        <f t="array" ref="A26">_xlfn.LET(_xlpm.src,TRIM(#REF!), _xlpm.u,_xlfn._xlws.SORT(_xlfn.UNIQUE(_xlfn._xlws.FILTER(_xlpm.src,_xlpm.src&lt;&gt;""))), IFERROR(INDEX(_xlpm.u,ROWS(A$2:A26)),""))</f>
        <v/>
      </c>
      <c r="B26" s="118" t="e">
        <f>_xlfn.LET(_xlpm.p,tblProcurement2026[[#This Row],[Project Name]], SUMIFS(#REF!,#REF!, _xlpm.p))</f>
        <v>#REF!</v>
      </c>
      <c r="C26" s="118" t="e">
        <f ca="1">_xlfn.LET(_xlpm.p,tblProcurement2026[[#This Row],[Project Name]], SUMIFS(#REF!,#REF!, _xlpm.p,#REF!, "&lt;="&amp;TODAY(),#REF!, "&lt;&gt;"))</f>
        <v>#REF!</v>
      </c>
      <c r="D26" s="118" t="e">
        <f ca="1">_xlfn.LET(_xlpm.p,tblProcurement2026[[#This Row],[Project Name]], SUMIFS(#REF!,#REF!, _xlpm.p,#REF!, "&lt;="&amp;TODAY(),#REF!, "="))</f>
        <v>#REF!</v>
      </c>
      <c r="E26" s="118" t="e">
        <f ca="1">_xlfn.LET(_xlpm.p,tblProcurement2026[[#This Row],[Project Name]], SUMIFS(#REF!,#REF!, _xlpm.p,#REF!, "&gt;"&amp;TODAY(),#REF!, "&lt;&gt;"))</f>
        <v>#REF!</v>
      </c>
      <c r="F26" s="118" t="e">
        <f ca="1">_xlfn.LET(_xlpm.p,tblProcurement2026[[#This Row],[Project Name]], SUMIFS(#REF!,#REF!, _xlpm.p,#REF!, "&gt;"&amp;TODAY(),#REF!, "="))</f>
        <v>#REF!</v>
      </c>
      <c r="G26" s="119" t="e">
        <f>IF(tblProcurement2026[[#This Row],[Committed (All Expenses)]]=0,"",tblProcurement2026[[#This Row],[Paid/Realised]]/tblProcurement2026[[#This Row],[Committed (All Expenses)]])</f>
        <v>#REF!</v>
      </c>
      <c r="H26" s="120" t="e" cm="1">
        <f t="array" aca="1" ref="H26" ca="1">_xlfn.LET(_xlpm.p,tblProcurement2026[[#This Row],[Project Name]], _xlpm.nxt,MIN( IF((#REF!=_xlpm.p)*(#REF!&gt;TODAY()),#REF!)), IF(_xlpm.nxt=0,"",_xlpm.nxt-TODAY()))</f>
        <v>#REF!</v>
      </c>
      <c r="J26" s="118"/>
      <c r="K26" s="121"/>
      <c r="M26" s="118"/>
      <c r="N26" s="121"/>
      <c r="Q26" s="118"/>
      <c r="R26" s="118"/>
    </row>
    <row r="27" spans="1:18">
      <c r="A27" t="str" cm="1">
        <f t="array" ref="A27">_xlfn.LET(_xlpm.src,TRIM(#REF!), _xlpm.u,_xlfn._xlws.SORT(_xlfn.UNIQUE(_xlfn._xlws.FILTER(_xlpm.src,_xlpm.src&lt;&gt;""))), IFERROR(INDEX(_xlpm.u,ROWS(A$2:A27)),""))</f>
        <v/>
      </c>
      <c r="B27" s="118" t="e">
        <f>_xlfn.LET(_xlpm.p,tblProcurement2026[[#This Row],[Project Name]], SUMIFS(#REF!,#REF!, _xlpm.p))</f>
        <v>#REF!</v>
      </c>
      <c r="C27" s="118" t="e">
        <f ca="1">_xlfn.LET(_xlpm.p,tblProcurement2026[[#This Row],[Project Name]], SUMIFS(#REF!,#REF!, _xlpm.p,#REF!, "&lt;="&amp;TODAY(),#REF!, "&lt;&gt;"))</f>
        <v>#REF!</v>
      </c>
      <c r="D27" s="118" t="e">
        <f ca="1">_xlfn.LET(_xlpm.p,tblProcurement2026[[#This Row],[Project Name]], SUMIFS(#REF!,#REF!, _xlpm.p,#REF!, "&lt;="&amp;TODAY(),#REF!, "="))</f>
        <v>#REF!</v>
      </c>
      <c r="E27" s="118" t="e">
        <f ca="1">_xlfn.LET(_xlpm.p,tblProcurement2026[[#This Row],[Project Name]], SUMIFS(#REF!,#REF!, _xlpm.p,#REF!, "&gt;"&amp;TODAY(),#REF!, "&lt;&gt;"))</f>
        <v>#REF!</v>
      </c>
      <c r="F27" s="118" t="e">
        <f ca="1">_xlfn.LET(_xlpm.p,tblProcurement2026[[#This Row],[Project Name]], SUMIFS(#REF!,#REF!, _xlpm.p,#REF!, "&gt;"&amp;TODAY(),#REF!, "="))</f>
        <v>#REF!</v>
      </c>
      <c r="G27" s="119" t="e">
        <f>IF(tblProcurement2026[[#This Row],[Committed (All Expenses)]]=0,"",tblProcurement2026[[#This Row],[Paid/Realised]]/tblProcurement2026[[#This Row],[Committed (All Expenses)]])</f>
        <v>#REF!</v>
      </c>
      <c r="H27" s="120" t="e" cm="1">
        <f t="array" aca="1" ref="H27" ca="1">_xlfn.LET(_xlpm.p,tblProcurement2026[[#This Row],[Project Name]], _xlpm.nxt,MIN( IF((#REF!=_xlpm.p)*(#REF!&gt;TODAY()),#REF!)), IF(_xlpm.nxt=0,"",_xlpm.nxt-TODAY()))</f>
        <v>#REF!</v>
      </c>
      <c r="J27" s="118"/>
      <c r="K27" s="121"/>
      <c r="M27" s="118"/>
      <c r="N27" s="121"/>
      <c r="Q27" s="118"/>
      <c r="R27" s="118"/>
    </row>
    <row r="28" spans="1:18">
      <c r="A28" t="str" cm="1">
        <f t="array" ref="A28">_xlfn.LET(_xlpm.src,TRIM(#REF!), _xlpm.u,_xlfn._xlws.SORT(_xlfn.UNIQUE(_xlfn._xlws.FILTER(_xlpm.src,_xlpm.src&lt;&gt;""))), IFERROR(INDEX(_xlpm.u,ROWS(A$2:A28)),""))</f>
        <v/>
      </c>
      <c r="B28" s="118" t="e">
        <f>_xlfn.LET(_xlpm.p,tblProcurement2026[[#This Row],[Project Name]], SUMIFS(#REF!,#REF!, _xlpm.p))</f>
        <v>#REF!</v>
      </c>
      <c r="C28" s="118" t="e">
        <f ca="1">_xlfn.LET(_xlpm.p,tblProcurement2026[[#This Row],[Project Name]], SUMIFS(#REF!,#REF!, _xlpm.p,#REF!, "&lt;="&amp;TODAY(),#REF!, "&lt;&gt;"))</f>
        <v>#REF!</v>
      </c>
      <c r="D28" s="118" t="e">
        <f ca="1">_xlfn.LET(_xlpm.p,tblProcurement2026[[#This Row],[Project Name]], SUMIFS(#REF!,#REF!, _xlpm.p,#REF!, "&lt;="&amp;TODAY(),#REF!, "="))</f>
        <v>#REF!</v>
      </c>
      <c r="E28" s="118" t="e">
        <f ca="1">_xlfn.LET(_xlpm.p,tblProcurement2026[[#This Row],[Project Name]], SUMIFS(#REF!,#REF!, _xlpm.p,#REF!, "&gt;"&amp;TODAY(),#REF!, "&lt;&gt;"))</f>
        <v>#REF!</v>
      </c>
      <c r="F28" s="118" t="e">
        <f ca="1">_xlfn.LET(_xlpm.p,tblProcurement2026[[#This Row],[Project Name]], SUMIFS(#REF!,#REF!, _xlpm.p,#REF!, "&gt;"&amp;TODAY(),#REF!, "="))</f>
        <v>#REF!</v>
      </c>
      <c r="G28" s="119" t="e">
        <f>IF(tblProcurement2026[[#This Row],[Committed (All Expenses)]]=0,"",tblProcurement2026[[#This Row],[Paid/Realised]]/tblProcurement2026[[#This Row],[Committed (All Expenses)]])</f>
        <v>#REF!</v>
      </c>
      <c r="H28" s="120" t="e" cm="1">
        <f t="array" aca="1" ref="H28" ca="1">_xlfn.LET(_xlpm.p,tblProcurement2026[[#This Row],[Project Name]], _xlpm.nxt,MIN( IF((#REF!=_xlpm.p)*(#REF!&gt;TODAY()),#REF!)), IF(_xlpm.nxt=0,"",_xlpm.nxt-TODAY()))</f>
        <v>#REF!</v>
      </c>
      <c r="J28" s="118"/>
      <c r="K28" s="121"/>
      <c r="M28" s="118"/>
      <c r="N28" s="121"/>
      <c r="Q28" s="118"/>
      <c r="R28" s="118"/>
    </row>
    <row r="29" spans="1:18">
      <c r="A29" t="str" cm="1">
        <f t="array" ref="A29">_xlfn.LET(_xlpm.src,TRIM(#REF!), _xlpm.u,_xlfn._xlws.SORT(_xlfn.UNIQUE(_xlfn._xlws.FILTER(_xlpm.src,_xlpm.src&lt;&gt;""))), IFERROR(INDEX(_xlpm.u,ROWS(A$2:A29)),""))</f>
        <v/>
      </c>
      <c r="B29" s="118" t="e">
        <f>_xlfn.LET(_xlpm.p,tblProcurement2026[[#This Row],[Project Name]], SUMIFS(#REF!,#REF!, _xlpm.p))</f>
        <v>#REF!</v>
      </c>
      <c r="C29" s="118" t="e">
        <f ca="1">_xlfn.LET(_xlpm.p,tblProcurement2026[[#This Row],[Project Name]], SUMIFS(#REF!,#REF!, _xlpm.p,#REF!, "&lt;="&amp;TODAY(),#REF!, "&lt;&gt;"))</f>
        <v>#REF!</v>
      </c>
      <c r="D29" s="118" t="e">
        <f ca="1">_xlfn.LET(_xlpm.p,tblProcurement2026[[#This Row],[Project Name]], SUMIFS(#REF!,#REF!, _xlpm.p,#REF!, "&lt;="&amp;TODAY(),#REF!, "="))</f>
        <v>#REF!</v>
      </c>
      <c r="E29" s="118" t="e">
        <f ca="1">_xlfn.LET(_xlpm.p,tblProcurement2026[[#This Row],[Project Name]], SUMIFS(#REF!,#REF!, _xlpm.p,#REF!, "&gt;"&amp;TODAY(),#REF!, "&lt;&gt;"))</f>
        <v>#REF!</v>
      </c>
      <c r="F29" s="118" t="e">
        <f ca="1">_xlfn.LET(_xlpm.p,tblProcurement2026[[#This Row],[Project Name]], SUMIFS(#REF!,#REF!, _xlpm.p,#REF!, "&gt;"&amp;TODAY(),#REF!, "="))</f>
        <v>#REF!</v>
      </c>
      <c r="G29" s="119" t="e">
        <f>IF(tblProcurement2026[[#This Row],[Committed (All Expenses)]]=0,"",tblProcurement2026[[#This Row],[Paid/Realised]]/tblProcurement2026[[#This Row],[Committed (All Expenses)]])</f>
        <v>#REF!</v>
      </c>
      <c r="H29" s="120" t="e" cm="1">
        <f t="array" aca="1" ref="H29" ca="1">_xlfn.LET(_xlpm.p,tblProcurement2026[[#This Row],[Project Name]], _xlpm.nxt,MIN( IF((#REF!=_xlpm.p)*(#REF!&gt;TODAY()),#REF!)), IF(_xlpm.nxt=0,"",_xlpm.nxt-TODAY()))</f>
        <v>#REF!</v>
      </c>
      <c r="J29" s="118"/>
      <c r="K29" s="121"/>
      <c r="M29" s="118"/>
      <c r="N29" s="121"/>
      <c r="Q29" s="118"/>
      <c r="R29" s="118"/>
    </row>
    <row r="30" spans="1:18">
      <c r="A30" t="str" cm="1">
        <f t="array" ref="A30">_xlfn.LET(_xlpm.src,TRIM(#REF!), _xlpm.u,_xlfn._xlws.SORT(_xlfn.UNIQUE(_xlfn._xlws.FILTER(_xlpm.src,_xlpm.src&lt;&gt;""))), IFERROR(INDEX(_xlpm.u,ROWS(A$2:A30)),""))</f>
        <v/>
      </c>
      <c r="B30" s="118" t="e">
        <f>_xlfn.LET(_xlpm.p,tblProcurement2026[[#This Row],[Project Name]], SUMIFS(#REF!,#REF!, _xlpm.p))</f>
        <v>#REF!</v>
      </c>
      <c r="C30" s="118" t="e">
        <f ca="1">_xlfn.LET(_xlpm.p,tblProcurement2026[[#This Row],[Project Name]], SUMIFS(#REF!,#REF!, _xlpm.p,#REF!, "&lt;="&amp;TODAY(),#REF!, "&lt;&gt;"))</f>
        <v>#REF!</v>
      </c>
      <c r="D30" s="118" t="e">
        <f ca="1">_xlfn.LET(_xlpm.p,tblProcurement2026[[#This Row],[Project Name]], SUMIFS(#REF!,#REF!, _xlpm.p,#REF!, "&lt;="&amp;TODAY(),#REF!, "="))</f>
        <v>#REF!</v>
      </c>
      <c r="E30" s="118" t="e">
        <f ca="1">_xlfn.LET(_xlpm.p,tblProcurement2026[[#This Row],[Project Name]], SUMIFS(#REF!,#REF!, _xlpm.p,#REF!, "&gt;"&amp;TODAY(),#REF!, "&lt;&gt;"))</f>
        <v>#REF!</v>
      </c>
      <c r="F30" s="118" t="e">
        <f ca="1">_xlfn.LET(_xlpm.p,tblProcurement2026[[#This Row],[Project Name]], SUMIFS(#REF!,#REF!, _xlpm.p,#REF!, "&gt;"&amp;TODAY(),#REF!, "="))</f>
        <v>#REF!</v>
      </c>
      <c r="G30" s="119" t="e">
        <f>IF(tblProcurement2026[[#This Row],[Committed (All Expenses)]]=0,"",tblProcurement2026[[#This Row],[Paid/Realised]]/tblProcurement2026[[#This Row],[Committed (All Expenses)]])</f>
        <v>#REF!</v>
      </c>
      <c r="H30" s="120" t="e" cm="1">
        <f t="array" aca="1" ref="H30" ca="1">_xlfn.LET(_xlpm.p,tblProcurement2026[[#This Row],[Project Name]], _xlpm.nxt,MIN( IF((#REF!=_xlpm.p)*(#REF!&gt;TODAY()),#REF!)), IF(_xlpm.nxt=0,"",_xlpm.nxt-TODAY()))</f>
        <v>#REF!</v>
      </c>
      <c r="J30" s="118"/>
      <c r="K30" s="121"/>
      <c r="M30" s="118"/>
      <c r="N30" s="121"/>
      <c r="Q30" s="118"/>
      <c r="R30" s="118"/>
    </row>
    <row r="31" spans="1:18">
      <c r="A31" t="str" cm="1">
        <f t="array" ref="A31">_xlfn.LET(_xlpm.src,TRIM(#REF!), _xlpm.u,_xlfn._xlws.SORT(_xlfn.UNIQUE(_xlfn._xlws.FILTER(_xlpm.src,_xlpm.src&lt;&gt;""))), IFERROR(INDEX(_xlpm.u,ROWS(A$2:A31)),""))</f>
        <v/>
      </c>
      <c r="B31" s="118" t="e">
        <f>_xlfn.LET(_xlpm.p,tblProcurement2026[[#This Row],[Project Name]], SUMIFS(#REF!,#REF!, _xlpm.p))</f>
        <v>#REF!</v>
      </c>
      <c r="C31" s="118" t="e">
        <f ca="1">_xlfn.LET(_xlpm.p,tblProcurement2026[[#This Row],[Project Name]], SUMIFS(#REF!,#REF!, _xlpm.p,#REF!, "&lt;="&amp;TODAY(),#REF!, "&lt;&gt;"))</f>
        <v>#REF!</v>
      </c>
      <c r="D31" s="118" t="e">
        <f ca="1">_xlfn.LET(_xlpm.p,tblProcurement2026[[#This Row],[Project Name]], SUMIFS(#REF!,#REF!, _xlpm.p,#REF!, "&lt;="&amp;TODAY(),#REF!, "="))</f>
        <v>#REF!</v>
      </c>
      <c r="E31" s="118" t="e">
        <f ca="1">_xlfn.LET(_xlpm.p,tblProcurement2026[[#This Row],[Project Name]], SUMIFS(#REF!,#REF!, _xlpm.p,#REF!, "&gt;"&amp;TODAY(),#REF!, "&lt;&gt;"))</f>
        <v>#REF!</v>
      </c>
      <c r="F31" s="118" t="e">
        <f ca="1">_xlfn.LET(_xlpm.p,tblProcurement2026[[#This Row],[Project Name]], SUMIFS(#REF!,#REF!, _xlpm.p,#REF!, "&gt;"&amp;TODAY(),#REF!, "="))</f>
        <v>#REF!</v>
      </c>
      <c r="G31" s="119" t="e">
        <f>IF(tblProcurement2026[[#This Row],[Committed (All Expenses)]]=0,"",tblProcurement2026[[#This Row],[Paid/Realised]]/tblProcurement2026[[#This Row],[Committed (All Expenses)]])</f>
        <v>#REF!</v>
      </c>
      <c r="H31" s="120" t="e" cm="1">
        <f t="array" aca="1" ref="H31" ca="1">_xlfn.LET(_xlpm.p,tblProcurement2026[[#This Row],[Project Name]], _xlpm.nxt,MIN( IF((#REF!=_xlpm.p)*(#REF!&gt;TODAY()),#REF!)), IF(_xlpm.nxt=0,"",_xlpm.nxt-TODAY()))</f>
        <v>#REF!</v>
      </c>
      <c r="J31" s="118"/>
      <c r="K31" s="121"/>
      <c r="M31" s="118"/>
      <c r="N31" s="121"/>
      <c r="Q31" s="118"/>
      <c r="R31" s="118"/>
    </row>
    <row r="32" spans="1:18">
      <c r="A32" t="str" cm="1">
        <f t="array" ref="A32">_xlfn.LET(_xlpm.src,TRIM(#REF!), _xlpm.u,_xlfn._xlws.SORT(_xlfn.UNIQUE(_xlfn._xlws.FILTER(_xlpm.src,_xlpm.src&lt;&gt;""))), IFERROR(INDEX(_xlpm.u,ROWS(A$2:A32)),""))</f>
        <v/>
      </c>
      <c r="B32" s="118" t="e">
        <f>_xlfn.LET(_xlpm.p,tblProcurement2026[[#This Row],[Project Name]], SUMIFS(#REF!,#REF!, _xlpm.p))</f>
        <v>#REF!</v>
      </c>
      <c r="C32" s="118" t="e">
        <f ca="1">_xlfn.LET(_xlpm.p,tblProcurement2026[[#This Row],[Project Name]], SUMIFS(#REF!,#REF!, _xlpm.p,#REF!, "&lt;="&amp;TODAY(),#REF!, "&lt;&gt;"))</f>
        <v>#REF!</v>
      </c>
      <c r="D32" s="118" t="e">
        <f ca="1">_xlfn.LET(_xlpm.p,tblProcurement2026[[#This Row],[Project Name]], SUMIFS(#REF!,#REF!, _xlpm.p,#REF!, "&lt;="&amp;TODAY(),#REF!, "="))</f>
        <v>#REF!</v>
      </c>
      <c r="E32" s="118" t="e">
        <f ca="1">_xlfn.LET(_xlpm.p,tblProcurement2026[[#This Row],[Project Name]], SUMIFS(#REF!,#REF!, _xlpm.p,#REF!, "&gt;"&amp;TODAY(),#REF!, "&lt;&gt;"))</f>
        <v>#REF!</v>
      </c>
      <c r="F32" s="118" t="e">
        <f ca="1">_xlfn.LET(_xlpm.p,tblProcurement2026[[#This Row],[Project Name]], SUMIFS(#REF!,#REF!, _xlpm.p,#REF!, "&gt;"&amp;TODAY(),#REF!, "="))</f>
        <v>#REF!</v>
      </c>
      <c r="G32" s="119" t="e">
        <f>IF(tblProcurement2026[[#This Row],[Committed (All Expenses)]]=0,"",tblProcurement2026[[#This Row],[Paid/Realised]]/tblProcurement2026[[#This Row],[Committed (All Expenses)]])</f>
        <v>#REF!</v>
      </c>
      <c r="H32" s="120" t="e" cm="1">
        <f t="array" aca="1" ref="H32" ca="1">_xlfn.LET(_xlpm.p,tblProcurement2026[[#This Row],[Project Name]], _xlpm.nxt,MIN( IF((#REF!=_xlpm.p)*(#REF!&gt;TODAY()),#REF!)), IF(_xlpm.nxt=0,"",_xlpm.nxt-TODAY()))</f>
        <v>#REF!</v>
      </c>
      <c r="J32" s="118"/>
      <c r="K32" s="121"/>
      <c r="M32" s="118"/>
      <c r="N32" s="121"/>
      <c r="Q32" s="118"/>
      <c r="R32" s="118"/>
    </row>
    <row r="33" spans="1:18">
      <c r="A33" t="str" cm="1">
        <f t="array" ref="A33">_xlfn.LET(_xlpm.src,TRIM(#REF!), _xlpm.u,_xlfn._xlws.SORT(_xlfn.UNIQUE(_xlfn._xlws.FILTER(_xlpm.src,_xlpm.src&lt;&gt;""))), IFERROR(INDEX(_xlpm.u,ROWS(A$2:A33)),""))</f>
        <v/>
      </c>
      <c r="B33" s="118" t="e">
        <f>_xlfn.LET(_xlpm.p,tblProcurement2026[[#This Row],[Project Name]], SUMIFS(#REF!,#REF!, _xlpm.p))</f>
        <v>#REF!</v>
      </c>
      <c r="C33" s="118" t="e">
        <f ca="1">_xlfn.LET(_xlpm.p,tblProcurement2026[[#This Row],[Project Name]], SUMIFS(#REF!,#REF!, _xlpm.p,#REF!, "&lt;="&amp;TODAY(),#REF!, "&lt;&gt;"))</f>
        <v>#REF!</v>
      </c>
      <c r="D33" s="118" t="e">
        <f ca="1">_xlfn.LET(_xlpm.p,tblProcurement2026[[#This Row],[Project Name]], SUMIFS(#REF!,#REF!, _xlpm.p,#REF!, "&lt;="&amp;TODAY(),#REF!, "="))</f>
        <v>#REF!</v>
      </c>
      <c r="E33" s="118" t="e">
        <f ca="1">_xlfn.LET(_xlpm.p,tblProcurement2026[[#This Row],[Project Name]], SUMIFS(#REF!,#REF!, _xlpm.p,#REF!, "&gt;"&amp;TODAY(),#REF!, "&lt;&gt;"))</f>
        <v>#REF!</v>
      </c>
      <c r="F33" s="118" t="e">
        <f ca="1">_xlfn.LET(_xlpm.p,tblProcurement2026[[#This Row],[Project Name]], SUMIFS(#REF!,#REF!, _xlpm.p,#REF!, "&gt;"&amp;TODAY(),#REF!, "="))</f>
        <v>#REF!</v>
      </c>
      <c r="G33" s="119" t="e">
        <f>IF(tblProcurement2026[[#This Row],[Committed (All Expenses)]]=0,"",tblProcurement2026[[#This Row],[Paid/Realised]]/tblProcurement2026[[#This Row],[Committed (All Expenses)]])</f>
        <v>#REF!</v>
      </c>
      <c r="H33" s="120" t="e" cm="1">
        <f t="array" aca="1" ref="H33" ca="1">_xlfn.LET(_xlpm.p,tblProcurement2026[[#This Row],[Project Name]], _xlpm.nxt,MIN( IF((#REF!=_xlpm.p)*(#REF!&gt;TODAY()),#REF!)), IF(_xlpm.nxt=0,"",_xlpm.nxt-TODAY()))</f>
        <v>#REF!</v>
      </c>
      <c r="J33" s="118"/>
      <c r="K33" s="121"/>
      <c r="M33" s="118"/>
      <c r="N33" s="121"/>
      <c r="Q33" s="118"/>
      <c r="R33" s="118"/>
    </row>
    <row r="34" spans="1:18">
      <c r="A34" t="str" cm="1">
        <f t="array" ref="A34">_xlfn.LET(_xlpm.src,TRIM(#REF!), _xlpm.u,_xlfn._xlws.SORT(_xlfn.UNIQUE(_xlfn._xlws.FILTER(_xlpm.src,_xlpm.src&lt;&gt;""))), IFERROR(INDEX(_xlpm.u,ROWS(A$2:A34)),""))</f>
        <v/>
      </c>
      <c r="B34" s="118" t="e">
        <f>_xlfn.LET(_xlpm.p,tblProcurement2026[[#This Row],[Project Name]], SUMIFS(#REF!,#REF!, _xlpm.p))</f>
        <v>#REF!</v>
      </c>
      <c r="C34" s="118" t="e">
        <f ca="1">_xlfn.LET(_xlpm.p,tblProcurement2026[[#This Row],[Project Name]], SUMIFS(#REF!,#REF!, _xlpm.p,#REF!, "&lt;="&amp;TODAY(),#REF!, "&lt;&gt;"))</f>
        <v>#REF!</v>
      </c>
      <c r="D34" s="118" t="e">
        <f ca="1">_xlfn.LET(_xlpm.p,tblProcurement2026[[#This Row],[Project Name]], SUMIFS(#REF!,#REF!, _xlpm.p,#REF!, "&lt;="&amp;TODAY(),#REF!, "="))</f>
        <v>#REF!</v>
      </c>
      <c r="E34" s="118" t="e">
        <f ca="1">_xlfn.LET(_xlpm.p,tblProcurement2026[[#This Row],[Project Name]], SUMIFS(#REF!,#REF!, _xlpm.p,#REF!, "&gt;"&amp;TODAY(),#REF!, "&lt;&gt;"))</f>
        <v>#REF!</v>
      </c>
      <c r="F34" s="118" t="e">
        <f ca="1">_xlfn.LET(_xlpm.p,tblProcurement2026[[#This Row],[Project Name]], SUMIFS(#REF!,#REF!, _xlpm.p,#REF!, "&gt;"&amp;TODAY(),#REF!, "="))</f>
        <v>#REF!</v>
      </c>
      <c r="G34" s="119" t="e">
        <f>IF(tblProcurement2026[[#This Row],[Committed (All Expenses)]]=0,"",tblProcurement2026[[#This Row],[Paid/Realised]]/tblProcurement2026[[#This Row],[Committed (All Expenses)]])</f>
        <v>#REF!</v>
      </c>
      <c r="H34" s="120" t="e" cm="1">
        <f t="array" aca="1" ref="H34" ca="1">_xlfn.LET(_xlpm.p,tblProcurement2026[[#This Row],[Project Name]], _xlpm.nxt,MIN( IF((#REF!=_xlpm.p)*(#REF!&gt;TODAY()),#REF!)), IF(_xlpm.nxt=0,"",_xlpm.nxt-TODAY()))</f>
        <v>#REF!</v>
      </c>
      <c r="J34" s="118"/>
      <c r="K34" s="121"/>
      <c r="M34" s="118"/>
      <c r="N34" s="121"/>
      <c r="Q34" s="118"/>
      <c r="R34" s="118"/>
    </row>
    <row r="35" spans="1:18">
      <c r="A35" t="str" cm="1">
        <f t="array" ref="A35">_xlfn.LET(_xlpm.src,TRIM(#REF!), _xlpm.u,_xlfn._xlws.SORT(_xlfn.UNIQUE(_xlfn._xlws.FILTER(_xlpm.src,_xlpm.src&lt;&gt;""))), IFERROR(INDEX(_xlpm.u,ROWS(A$2:A35)),""))</f>
        <v/>
      </c>
      <c r="B35" s="118" t="e">
        <f>_xlfn.LET(_xlpm.p,tblProcurement2026[[#This Row],[Project Name]], SUMIFS(#REF!,#REF!, _xlpm.p))</f>
        <v>#REF!</v>
      </c>
      <c r="C35" s="118" t="e">
        <f ca="1">_xlfn.LET(_xlpm.p,tblProcurement2026[[#This Row],[Project Name]], SUMIFS(#REF!,#REF!, _xlpm.p,#REF!, "&lt;="&amp;TODAY(),#REF!, "&lt;&gt;"))</f>
        <v>#REF!</v>
      </c>
      <c r="D35" s="118" t="e">
        <f ca="1">_xlfn.LET(_xlpm.p,tblProcurement2026[[#This Row],[Project Name]], SUMIFS(#REF!,#REF!, _xlpm.p,#REF!, "&lt;="&amp;TODAY(),#REF!, "="))</f>
        <v>#REF!</v>
      </c>
      <c r="E35" s="118" t="e">
        <f ca="1">_xlfn.LET(_xlpm.p,tblProcurement2026[[#This Row],[Project Name]], SUMIFS(#REF!,#REF!, _xlpm.p,#REF!, "&gt;"&amp;TODAY(),#REF!, "&lt;&gt;"))</f>
        <v>#REF!</v>
      </c>
      <c r="F35" s="118" t="e">
        <f ca="1">_xlfn.LET(_xlpm.p,tblProcurement2026[[#This Row],[Project Name]], SUMIFS(#REF!,#REF!, _xlpm.p,#REF!, "&gt;"&amp;TODAY(),#REF!, "="))</f>
        <v>#REF!</v>
      </c>
      <c r="G35" s="119" t="e">
        <f>IF(tblProcurement2026[[#This Row],[Committed (All Expenses)]]=0,"",tblProcurement2026[[#This Row],[Paid/Realised]]/tblProcurement2026[[#This Row],[Committed (All Expenses)]])</f>
        <v>#REF!</v>
      </c>
      <c r="H35" s="120" t="e" cm="1">
        <f t="array" aca="1" ref="H35" ca="1">_xlfn.LET(_xlpm.p,tblProcurement2026[[#This Row],[Project Name]], _xlpm.nxt,MIN( IF((#REF!=_xlpm.p)*(#REF!&gt;TODAY()),#REF!)), IF(_xlpm.nxt=0,"",_xlpm.nxt-TODAY()))</f>
        <v>#REF!</v>
      </c>
      <c r="J35" s="118"/>
      <c r="K35" s="121"/>
      <c r="M35" s="118"/>
      <c r="N35" s="121"/>
      <c r="Q35" s="118"/>
      <c r="R35" s="118"/>
    </row>
    <row r="36" spans="1:18">
      <c r="A36" t="str" cm="1">
        <f t="array" ref="A36">_xlfn.LET(_xlpm.src,TRIM(#REF!), _xlpm.u,_xlfn._xlws.SORT(_xlfn.UNIQUE(_xlfn._xlws.FILTER(_xlpm.src,_xlpm.src&lt;&gt;""))), IFERROR(INDEX(_xlpm.u,ROWS(A$2:A36)),""))</f>
        <v/>
      </c>
      <c r="B36" s="118" t="e">
        <f>_xlfn.LET(_xlpm.p,tblProcurement2026[[#This Row],[Project Name]], SUMIFS(#REF!,#REF!, _xlpm.p))</f>
        <v>#REF!</v>
      </c>
      <c r="C36" s="118" t="e">
        <f ca="1">_xlfn.LET(_xlpm.p,tblProcurement2026[[#This Row],[Project Name]], SUMIFS(#REF!,#REF!, _xlpm.p,#REF!, "&lt;="&amp;TODAY(),#REF!, "&lt;&gt;"))</f>
        <v>#REF!</v>
      </c>
      <c r="D36" s="118" t="e">
        <f ca="1">_xlfn.LET(_xlpm.p,tblProcurement2026[[#This Row],[Project Name]], SUMIFS(#REF!,#REF!, _xlpm.p,#REF!, "&lt;="&amp;TODAY(),#REF!, "="))</f>
        <v>#REF!</v>
      </c>
      <c r="E36" s="118" t="e">
        <f ca="1">_xlfn.LET(_xlpm.p,tblProcurement2026[[#This Row],[Project Name]], SUMIFS(#REF!,#REF!, _xlpm.p,#REF!, "&gt;"&amp;TODAY(),#REF!, "&lt;&gt;"))</f>
        <v>#REF!</v>
      </c>
      <c r="F36" s="118" t="e">
        <f ca="1">_xlfn.LET(_xlpm.p,tblProcurement2026[[#This Row],[Project Name]], SUMIFS(#REF!,#REF!, _xlpm.p,#REF!, "&gt;"&amp;TODAY(),#REF!, "="))</f>
        <v>#REF!</v>
      </c>
      <c r="G36" s="119" t="e">
        <f>IF(tblProcurement2026[[#This Row],[Committed (All Expenses)]]=0,"",tblProcurement2026[[#This Row],[Paid/Realised]]/tblProcurement2026[[#This Row],[Committed (All Expenses)]])</f>
        <v>#REF!</v>
      </c>
      <c r="H36" s="120" t="e" cm="1">
        <f t="array" aca="1" ref="H36" ca="1">_xlfn.LET(_xlpm.p,tblProcurement2026[[#This Row],[Project Name]], _xlpm.nxt,MIN( IF((#REF!=_xlpm.p)*(#REF!&gt;TODAY()),#REF!)), IF(_xlpm.nxt=0,"",_xlpm.nxt-TODAY()))</f>
        <v>#REF!</v>
      </c>
      <c r="J36" s="118"/>
      <c r="K36" s="121"/>
      <c r="M36" s="118"/>
      <c r="N36" s="121"/>
      <c r="Q36" s="118"/>
      <c r="R36" s="118"/>
    </row>
    <row r="37" spans="1:18">
      <c r="A37" t="str" cm="1">
        <f t="array" ref="A37">_xlfn.LET(_xlpm.src,TRIM(#REF!), _xlpm.u,_xlfn._xlws.SORT(_xlfn.UNIQUE(_xlfn._xlws.FILTER(_xlpm.src,_xlpm.src&lt;&gt;""))), IFERROR(INDEX(_xlpm.u,ROWS(A$2:A37)),""))</f>
        <v/>
      </c>
      <c r="B37" s="118" t="e">
        <f>_xlfn.LET(_xlpm.p,tblProcurement2026[[#This Row],[Project Name]], SUMIFS(#REF!,#REF!, _xlpm.p))</f>
        <v>#REF!</v>
      </c>
      <c r="C37" s="118" t="e">
        <f ca="1">_xlfn.LET(_xlpm.p,tblProcurement2026[[#This Row],[Project Name]], SUMIFS(#REF!,#REF!, _xlpm.p,#REF!, "&lt;="&amp;TODAY(),#REF!, "&lt;&gt;"))</f>
        <v>#REF!</v>
      </c>
      <c r="D37" s="118" t="e">
        <f ca="1">_xlfn.LET(_xlpm.p,tblProcurement2026[[#This Row],[Project Name]], SUMIFS(#REF!,#REF!, _xlpm.p,#REF!, "&lt;="&amp;TODAY(),#REF!, "="))</f>
        <v>#REF!</v>
      </c>
      <c r="E37" s="118" t="e">
        <f ca="1">_xlfn.LET(_xlpm.p,tblProcurement2026[[#This Row],[Project Name]], SUMIFS(#REF!,#REF!, _xlpm.p,#REF!, "&gt;"&amp;TODAY(),#REF!, "&lt;&gt;"))</f>
        <v>#REF!</v>
      </c>
      <c r="F37" s="118" t="e">
        <f ca="1">_xlfn.LET(_xlpm.p,tblProcurement2026[[#This Row],[Project Name]], SUMIFS(#REF!,#REF!, _xlpm.p,#REF!, "&gt;"&amp;TODAY(),#REF!, "="))</f>
        <v>#REF!</v>
      </c>
      <c r="G37" s="119" t="e">
        <f>IF(tblProcurement2026[[#This Row],[Committed (All Expenses)]]=0,"",tblProcurement2026[[#This Row],[Paid/Realised]]/tblProcurement2026[[#This Row],[Committed (All Expenses)]])</f>
        <v>#REF!</v>
      </c>
      <c r="H37" s="120" t="e" cm="1">
        <f t="array" aca="1" ref="H37" ca="1">_xlfn.LET(_xlpm.p,tblProcurement2026[[#This Row],[Project Name]], _xlpm.nxt,MIN( IF((#REF!=_xlpm.p)*(#REF!&gt;TODAY()),#REF!)), IF(_xlpm.nxt=0,"",_xlpm.nxt-TODAY()))</f>
        <v>#REF!</v>
      </c>
      <c r="J37" s="118"/>
      <c r="K37" s="121"/>
      <c r="M37" s="118"/>
      <c r="N37" s="121"/>
      <c r="Q37" s="118"/>
      <c r="R37" s="118"/>
    </row>
    <row r="38" spans="1:18">
      <c r="A38" t="str" cm="1">
        <f t="array" ref="A38">_xlfn.LET(_xlpm.src,TRIM(#REF!), _xlpm.u,_xlfn._xlws.SORT(_xlfn.UNIQUE(_xlfn._xlws.FILTER(_xlpm.src,_xlpm.src&lt;&gt;""))), IFERROR(INDEX(_xlpm.u,ROWS(A$2:A38)),""))</f>
        <v/>
      </c>
      <c r="B38" s="118" t="e">
        <f>_xlfn.LET(_xlpm.p,tblProcurement2026[[#This Row],[Project Name]], SUMIFS(#REF!,#REF!, _xlpm.p))</f>
        <v>#REF!</v>
      </c>
      <c r="C38" s="118" t="e">
        <f ca="1">_xlfn.LET(_xlpm.p,tblProcurement2026[[#This Row],[Project Name]], SUMIFS(#REF!,#REF!, _xlpm.p,#REF!, "&lt;="&amp;TODAY(),#REF!, "&lt;&gt;"))</f>
        <v>#REF!</v>
      </c>
      <c r="D38" s="118" t="e">
        <f ca="1">_xlfn.LET(_xlpm.p,tblProcurement2026[[#This Row],[Project Name]], SUMIFS(#REF!,#REF!, _xlpm.p,#REF!, "&lt;="&amp;TODAY(),#REF!, "="))</f>
        <v>#REF!</v>
      </c>
      <c r="E38" s="118" t="e">
        <f ca="1">_xlfn.LET(_xlpm.p,tblProcurement2026[[#This Row],[Project Name]], SUMIFS(#REF!,#REF!, _xlpm.p,#REF!, "&gt;"&amp;TODAY(),#REF!, "&lt;&gt;"))</f>
        <v>#REF!</v>
      </c>
      <c r="F38" s="118" t="e">
        <f ca="1">_xlfn.LET(_xlpm.p,tblProcurement2026[[#This Row],[Project Name]], SUMIFS(#REF!,#REF!, _xlpm.p,#REF!, "&gt;"&amp;TODAY(),#REF!, "="))</f>
        <v>#REF!</v>
      </c>
      <c r="G38" s="119" t="e">
        <f>IF(tblProcurement2026[[#This Row],[Committed (All Expenses)]]=0,"",tblProcurement2026[[#This Row],[Paid/Realised]]/tblProcurement2026[[#This Row],[Committed (All Expenses)]])</f>
        <v>#REF!</v>
      </c>
      <c r="H38" s="120" t="e" cm="1">
        <f t="array" aca="1" ref="H38" ca="1">_xlfn.LET(_xlpm.p,tblProcurement2026[[#This Row],[Project Name]], _xlpm.nxt,MIN( IF((#REF!=_xlpm.p)*(#REF!&gt;TODAY()),#REF!)), IF(_xlpm.nxt=0,"",_xlpm.nxt-TODAY()))</f>
        <v>#REF!</v>
      </c>
      <c r="J38" s="118"/>
      <c r="K38" s="121"/>
      <c r="M38" s="118"/>
      <c r="N38" s="121"/>
      <c r="Q38" s="118"/>
      <c r="R38" s="118"/>
    </row>
    <row r="39" spans="1:18">
      <c r="A39" t="str" cm="1">
        <f t="array" ref="A39">_xlfn.LET(_xlpm.src,TRIM(#REF!), _xlpm.u,_xlfn._xlws.SORT(_xlfn.UNIQUE(_xlfn._xlws.FILTER(_xlpm.src,_xlpm.src&lt;&gt;""))), IFERROR(INDEX(_xlpm.u,ROWS(A$2:A39)),""))</f>
        <v/>
      </c>
      <c r="B39" s="118" t="e">
        <f>_xlfn.LET(_xlpm.p,tblProcurement2026[[#This Row],[Project Name]], SUMIFS(#REF!,#REF!, _xlpm.p))</f>
        <v>#REF!</v>
      </c>
      <c r="C39" s="118" t="e">
        <f ca="1">_xlfn.LET(_xlpm.p,tblProcurement2026[[#This Row],[Project Name]], SUMIFS(#REF!,#REF!, _xlpm.p,#REF!, "&lt;="&amp;TODAY(),#REF!, "&lt;&gt;"))</f>
        <v>#REF!</v>
      </c>
      <c r="D39" s="118" t="e">
        <f ca="1">_xlfn.LET(_xlpm.p,tblProcurement2026[[#This Row],[Project Name]], SUMIFS(#REF!,#REF!, _xlpm.p,#REF!, "&lt;="&amp;TODAY(),#REF!, "="))</f>
        <v>#REF!</v>
      </c>
      <c r="E39" s="118" t="e">
        <f ca="1">_xlfn.LET(_xlpm.p,tblProcurement2026[[#This Row],[Project Name]], SUMIFS(#REF!,#REF!, _xlpm.p,#REF!, "&gt;"&amp;TODAY(),#REF!, "&lt;&gt;"))</f>
        <v>#REF!</v>
      </c>
      <c r="F39" s="118" t="e">
        <f ca="1">_xlfn.LET(_xlpm.p,tblProcurement2026[[#This Row],[Project Name]], SUMIFS(#REF!,#REF!, _xlpm.p,#REF!, "&gt;"&amp;TODAY(),#REF!, "="))</f>
        <v>#REF!</v>
      </c>
      <c r="G39" s="119" t="e">
        <f>IF(tblProcurement2026[[#This Row],[Committed (All Expenses)]]=0,"",tblProcurement2026[[#This Row],[Paid/Realised]]/tblProcurement2026[[#This Row],[Committed (All Expenses)]])</f>
        <v>#REF!</v>
      </c>
      <c r="H39" s="120" t="e" cm="1">
        <f t="array" aca="1" ref="H39" ca="1">_xlfn.LET(_xlpm.p,tblProcurement2026[[#This Row],[Project Name]], _xlpm.nxt,MIN( IF((#REF!=_xlpm.p)*(#REF!&gt;TODAY()),#REF!)), IF(_xlpm.nxt=0,"",_xlpm.nxt-TODAY()))</f>
        <v>#REF!</v>
      </c>
      <c r="J39" s="118"/>
      <c r="K39" s="121"/>
      <c r="M39" s="118"/>
      <c r="N39" s="121"/>
      <c r="Q39" s="118"/>
      <c r="R39" s="118"/>
    </row>
    <row r="40" spans="1:18">
      <c r="A40" t="str" cm="1">
        <f t="array" ref="A40">_xlfn.LET(_xlpm.src,TRIM(#REF!), _xlpm.u,_xlfn._xlws.SORT(_xlfn.UNIQUE(_xlfn._xlws.FILTER(_xlpm.src,_xlpm.src&lt;&gt;""))), IFERROR(INDEX(_xlpm.u,ROWS(A$2:A40)),""))</f>
        <v/>
      </c>
      <c r="B40" s="118" t="e">
        <f>_xlfn.LET(_xlpm.p,tblProcurement2026[[#This Row],[Project Name]], SUMIFS(#REF!,#REF!, _xlpm.p))</f>
        <v>#REF!</v>
      </c>
      <c r="C40" s="118" t="e">
        <f ca="1">_xlfn.LET(_xlpm.p,tblProcurement2026[[#This Row],[Project Name]], SUMIFS(#REF!,#REF!, _xlpm.p,#REF!, "&lt;="&amp;TODAY(),#REF!, "&lt;&gt;"))</f>
        <v>#REF!</v>
      </c>
      <c r="D40" s="118" t="e">
        <f ca="1">_xlfn.LET(_xlpm.p,tblProcurement2026[[#This Row],[Project Name]], SUMIFS(#REF!,#REF!, _xlpm.p,#REF!, "&lt;="&amp;TODAY(),#REF!, "="))</f>
        <v>#REF!</v>
      </c>
      <c r="E40" s="118" t="e">
        <f ca="1">_xlfn.LET(_xlpm.p,tblProcurement2026[[#This Row],[Project Name]], SUMIFS(#REF!,#REF!, _xlpm.p,#REF!, "&gt;"&amp;TODAY(),#REF!, "&lt;&gt;"))</f>
        <v>#REF!</v>
      </c>
      <c r="F40" s="118" t="e">
        <f ca="1">_xlfn.LET(_xlpm.p,tblProcurement2026[[#This Row],[Project Name]], SUMIFS(#REF!,#REF!, _xlpm.p,#REF!, "&gt;"&amp;TODAY(),#REF!, "="))</f>
        <v>#REF!</v>
      </c>
      <c r="G40" s="119" t="e">
        <f>IF(tblProcurement2026[[#This Row],[Committed (All Expenses)]]=0,"",tblProcurement2026[[#This Row],[Paid/Realised]]/tblProcurement2026[[#This Row],[Committed (All Expenses)]])</f>
        <v>#REF!</v>
      </c>
      <c r="H40" s="120" t="e" cm="1">
        <f t="array" aca="1" ref="H40" ca="1">_xlfn.LET(_xlpm.p,tblProcurement2026[[#This Row],[Project Name]], _xlpm.nxt,MIN( IF((#REF!=_xlpm.p)*(#REF!&gt;TODAY()),#REF!)), IF(_xlpm.nxt=0,"",_xlpm.nxt-TODAY()))</f>
        <v>#REF!</v>
      </c>
      <c r="J40" s="118"/>
      <c r="K40" s="121"/>
      <c r="M40" s="118"/>
      <c r="N40" s="121"/>
      <c r="Q40" s="118"/>
      <c r="R40" s="118"/>
    </row>
    <row r="41" spans="1:18">
      <c r="A41" t="str" cm="1">
        <f t="array" ref="A41">_xlfn.LET(_xlpm.src,TRIM(#REF!), _xlpm.u,_xlfn._xlws.SORT(_xlfn.UNIQUE(_xlfn._xlws.FILTER(_xlpm.src,_xlpm.src&lt;&gt;""))), IFERROR(INDEX(_xlpm.u,ROWS(A$2:A41)),""))</f>
        <v/>
      </c>
      <c r="B41" s="118" t="e">
        <f>_xlfn.LET(_xlpm.p,tblProcurement2026[[#This Row],[Project Name]], SUMIFS(#REF!,#REF!, _xlpm.p))</f>
        <v>#REF!</v>
      </c>
      <c r="C41" s="118" t="e">
        <f ca="1">_xlfn.LET(_xlpm.p,tblProcurement2026[[#This Row],[Project Name]], SUMIFS(#REF!,#REF!, _xlpm.p,#REF!, "&lt;="&amp;TODAY(),#REF!, "&lt;&gt;"))</f>
        <v>#REF!</v>
      </c>
      <c r="D41" s="118" t="e">
        <f ca="1">_xlfn.LET(_xlpm.p,tblProcurement2026[[#This Row],[Project Name]], SUMIFS(#REF!,#REF!, _xlpm.p,#REF!, "&lt;="&amp;TODAY(),#REF!, "="))</f>
        <v>#REF!</v>
      </c>
      <c r="E41" s="118" t="e">
        <f ca="1">_xlfn.LET(_xlpm.p,tblProcurement2026[[#This Row],[Project Name]], SUMIFS(#REF!,#REF!, _xlpm.p,#REF!, "&gt;"&amp;TODAY(),#REF!, "&lt;&gt;"))</f>
        <v>#REF!</v>
      </c>
      <c r="F41" s="118" t="e">
        <f ca="1">_xlfn.LET(_xlpm.p,tblProcurement2026[[#This Row],[Project Name]], SUMIFS(#REF!,#REF!, _xlpm.p,#REF!, "&gt;"&amp;TODAY(),#REF!, "="))</f>
        <v>#REF!</v>
      </c>
      <c r="G41" s="119" t="e">
        <f>IF(tblProcurement2026[[#This Row],[Committed (All Expenses)]]=0,"",tblProcurement2026[[#This Row],[Paid/Realised]]/tblProcurement2026[[#This Row],[Committed (All Expenses)]])</f>
        <v>#REF!</v>
      </c>
      <c r="H41" s="120" t="e" cm="1">
        <f t="array" aca="1" ref="H41" ca="1">_xlfn.LET(_xlpm.p,tblProcurement2026[[#This Row],[Project Name]], _xlpm.nxt,MIN( IF((#REF!=_xlpm.p)*(#REF!&gt;TODAY()),#REF!)), IF(_xlpm.nxt=0,"",_xlpm.nxt-TODAY()))</f>
        <v>#REF!</v>
      </c>
      <c r="J41" s="118"/>
      <c r="K41" s="121"/>
      <c r="M41" s="118"/>
      <c r="N41" s="121"/>
      <c r="Q41" s="118"/>
      <c r="R41" s="118"/>
    </row>
    <row r="42" spans="1:18">
      <c r="A42" t="str" cm="1">
        <f t="array" ref="A42">_xlfn.LET(_xlpm.src,TRIM(#REF!), _xlpm.u,_xlfn._xlws.SORT(_xlfn.UNIQUE(_xlfn._xlws.FILTER(_xlpm.src,_xlpm.src&lt;&gt;""))), IFERROR(INDEX(_xlpm.u,ROWS(A$2:A42)),""))</f>
        <v/>
      </c>
      <c r="B42" s="118" t="e">
        <f>_xlfn.LET(_xlpm.p,tblProcurement2026[[#This Row],[Project Name]], SUMIFS(#REF!,#REF!, _xlpm.p))</f>
        <v>#REF!</v>
      </c>
      <c r="C42" s="118" t="e">
        <f ca="1">_xlfn.LET(_xlpm.p,tblProcurement2026[[#This Row],[Project Name]], SUMIFS(#REF!,#REF!, _xlpm.p,#REF!, "&lt;="&amp;TODAY(),#REF!, "&lt;&gt;"))</f>
        <v>#REF!</v>
      </c>
      <c r="D42" s="118" t="e">
        <f ca="1">_xlfn.LET(_xlpm.p,tblProcurement2026[[#This Row],[Project Name]], SUMIFS(#REF!,#REF!, _xlpm.p,#REF!, "&lt;="&amp;TODAY(),#REF!, "="))</f>
        <v>#REF!</v>
      </c>
      <c r="E42" s="118" t="e">
        <f ca="1">_xlfn.LET(_xlpm.p,tblProcurement2026[[#This Row],[Project Name]], SUMIFS(#REF!,#REF!, _xlpm.p,#REF!, "&gt;"&amp;TODAY(),#REF!, "&lt;&gt;"))</f>
        <v>#REF!</v>
      </c>
      <c r="F42" s="118" t="e">
        <f ca="1">_xlfn.LET(_xlpm.p,tblProcurement2026[[#This Row],[Project Name]], SUMIFS(#REF!,#REF!, _xlpm.p,#REF!, "&gt;"&amp;TODAY(),#REF!, "="))</f>
        <v>#REF!</v>
      </c>
      <c r="G42" s="119" t="e">
        <f>IF(tblProcurement2026[[#This Row],[Committed (All Expenses)]]=0,"",tblProcurement2026[[#This Row],[Paid/Realised]]/tblProcurement2026[[#This Row],[Committed (All Expenses)]])</f>
        <v>#REF!</v>
      </c>
      <c r="H42" s="120" t="e" cm="1">
        <f t="array" aca="1" ref="H42" ca="1">_xlfn.LET(_xlpm.p,tblProcurement2026[[#This Row],[Project Name]], _xlpm.nxt,MIN( IF((#REF!=_xlpm.p)*(#REF!&gt;TODAY()),#REF!)), IF(_xlpm.nxt=0,"",_xlpm.nxt-TODAY()))</f>
        <v>#REF!</v>
      </c>
      <c r="J42" s="118"/>
      <c r="K42" s="121"/>
      <c r="M42" s="118"/>
      <c r="N42" s="121"/>
      <c r="Q42" s="118"/>
      <c r="R42" s="118"/>
    </row>
    <row r="43" spans="1:18">
      <c r="A43" t="str" cm="1">
        <f t="array" ref="A43">_xlfn.LET(_xlpm.src,TRIM(#REF!), _xlpm.u,_xlfn._xlws.SORT(_xlfn.UNIQUE(_xlfn._xlws.FILTER(_xlpm.src,_xlpm.src&lt;&gt;""))), IFERROR(INDEX(_xlpm.u,ROWS(A$2:A43)),""))</f>
        <v/>
      </c>
      <c r="B43" s="118" t="e">
        <f>_xlfn.LET(_xlpm.p,tblProcurement2026[[#This Row],[Project Name]], SUMIFS(#REF!,#REF!, _xlpm.p))</f>
        <v>#REF!</v>
      </c>
      <c r="C43" s="118" t="e">
        <f ca="1">_xlfn.LET(_xlpm.p,tblProcurement2026[[#This Row],[Project Name]], SUMIFS(#REF!,#REF!, _xlpm.p,#REF!, "&lt;="&amp;TODAY(),#REF!, "&lt;&gt;"))</f>
        <v>#REF!</v>
      </c>
      <c r="D43" s="118" t="e">
        <f ca="1">_xlfn.LET(_xlpm.p,tblProcurement2026[[#This Row],[Project Name]], SUMIFS(#REF!,#REF!, _xlpm.p,#REF!, "&lt;="&amp;TODAY(),#REF!, "="))</f>
        <v>#REF!</v>
      </c>
      <c r="E43" s="118" t="e">
        <f ca="1">_xlfn.LET(_xlpm.p,tblProcurement2026[[#This Row],[Project Name]], SUMIFS(#REF!,#REF!, _xlpm.p,#REF!, "&gt;"&amp;TODAY(),#REF!, "&lt;&gt;"))</f>
        <v>#REF!</v>
      </c>
      <c r="F43" s="118" t="e">
        <f ca="1">_xlfn.LET(_xlpm.p,tblProcurement2026[[#This Row],[Project Name]], SUMIFS(#REF!,#REF!, _xlpm.p,#REF!, "&gt;"&amp;TODAY(),#REF!, "="))</f>
        <v>#REF!</v>
      </c>
      <c r="G43" s="119" t="e">
        <f>IF(tblProcurement2026[[#This Row],[Committed (All Expenses)]]=0,"",tblProcurement2026[[#This Row],[Paid/Realised]]/tblProcurement2026[[#This Row],[Committed (All Expenses)]])</f>
        <v>#REF!</v>
      </c>
      <c r="H43" s="120" t="e" cm="1">
        <f t="array" aca="1" ref="H43" ca="1">_xlfn.LET(_xlpm.p,tblProcurement2026[[#This Row],[Project Name]], _xlpm.nxt,MIN( IF((#REF!=_xlpm.p)*(#REF!&gt;TODAY()),#REF!)), IF(_xlpm.nxt=0,"",_xlpm.nxt-TODAY()))</f>
        <v>#REF!</v>
      </c>
      <c r="J43" s="118"/>
      <c r="K43" s="121"/>
      <c r="M43" s="118"/>
      <c r="N43" s="121"/>
      <c r="Q43" s="118"/>
      <c r="R43" s="118"/>
    </row>
    <row r="44" spans="1:18">
      <c r="A44" t="str" cm="1">
        <f t="array" ref="A44">_xlfn.LET(_xlpm.src,TRIM(#REF!), _xlpm.u,_xlfn._xlws.SORT(_xlfn.UNIQUE(_xlfn._xlws.FILTER(_xlpm.src,_xlpm.src&lt;&gt;""))), IFERROR(INDEX(_xlpm.u,ROWS(A$2:A44)),""))</f>
        <v/>
      </c>
      <c r="B44" s="118" t="e">
        <f>_xlfn.LET(_xlpm.p,tblProcurement2026[[#This Row],[Project Name]], SUMIFS(#REF!,#REF!, _xlpm.p))</f>
        <v>#REF!</v>
      </c>
      <c r="C44" s="118" t="e">
        <f ca="1">_xlfn.LET(_xlpm.p,tblProcurement2026[[#This Row],[Project Name]], SUMIFS(#REF!,#REF!, _xlpm.p,#REF!, "&lt;="&amp;TODAY(),#REF!, "&lt;&gt;"))</f>
        <v>#REF!</v>
      </c>
      <c r="D44" s="118" t="e">
        <f ca="1">_xlfn.LET(_xlpm.p,tblProcurement2026[[#This Row],[Project Name]], SUMIFS(#REF!,#REF!, _xlpm.p,#REF!, "&lt;="&amp;TODAY(),#REF!, "="))</f>
        <v>#REF!</v>
      </c>
      <c r="E44" s="118" t="e">
        <f ca="1">_xlfn.LET(_xlpm.p,tblProcurement2026[[#This Row],[Project Name]], SUMIFS(#REF!,#REF!, _xlpm.p,#REF!, "&gt;"&amp;TODAY(),#REF!, "&lt;&gt;"))</f>
        <v>#REF!</v>
      </c>
      <c r="F44" s="118" t="e">
        <f ca="1">_xlfn.LET(_xlpm.p,tblProcurement2026[[#This Row],[Project Name]], SUMIFS(#REF!,#REF!, _xlpm.p,#REF!, "&gt;"&amp;TODAY(),#REF!, "="))</f>
        <v>#REF!</v>
      </c>
      <c r="G44" s="119" t="e">
        <f>IF(tblProcurement2026[[#This Row],[Committed (All Expenses)]]=0,"",tblProcurement2026[[#This Row],[Paid/Realised]]/tblProcurement2026[[#This Row],[Committed (All Expenses)]])</f>
        <v>#REF!</v>
      </c>
      <c r="H44" s="120" t="e" cm="1">
        <f t="array" aca="1" ref="H44" ca="1">_xlfn.LET(_xlpm.p,tblProcurement2026[[#This Row],[Project Name]], _xlpm.nxt,MIN( IF((#REF!=_xlpm.p)*(#REF!&gt;TODAY()),#REF!)), IF(_xlpm.nxt=0,"",_xlpm.nxt-TODAY()))</f>
        <v>#REF!</v>
      </c>
      <c r="J44" s="118"/>
      <c r="K44" s="121"/>
      <c r="M44" s="118"/>
      <c r="N44" s="121"/>
      <c r="Q44" s="118"/>
      <c r="R44" s="118"/>
    </row>
    <row r="45" spans="1:18">
      <c r="A45" t="str" cm="1">
        <f t="array" ref="A45">_xlfn.LET(_xlpm.src,TRIM(#REF!), _xlpm.u,_xlfn._xlws.SORT(_xlfn.UNIQUE(_xlfn._xlws.FILTER(_xlpm.src,_xlpm.src&lt;&gt;""))), IFERROR(INDEX(_xlpm.u,ROWS(A$2:A45)),""))</f>
        <v/>
      </c>
      <c r="B45" s="118" t="e">
        <f>_xlfn.LET(_xlpm.p,tblProcurement2026[[#This Row],[Project Name]], SUMIFS(#REF!,#REF!, _xlpm.p))</f>
        <v>#REF!</v>
      </c>
      <c r="C45" s="118" t="e">
        <f ca="1">_xlfn.LET(_xlpm.p,tblProcurement2026[[#This Row],[Project Name]], SUMIFS(#REF!,#REF!, _xlpm.p,#REF!, "&lt;="&amp;TODAY(),#REF!, "&lt;&gt;"))</f>
        <v>#REF!</v>
      </c>
      <c r="D45" s="118" t="e">
        <f ca="1">_xlfn.LET(_xlpm.p,tblProcurement2026[[#This Row],[Project Name]], SUMIFS(#REF!,#REF!, _xlpm.p,#REF!, "&lt;="&amp;TODAY(),#REF!, "="))</f>
        <v>#REF!</v>
      </c>
      <c r="E45" s="118" t="e">
        <f ca="1">_xlfn.LET(_xlpm.p,tblProcurement2026[[#This Row],[Project Name]], SUMIFS(#REF!,#REF!, _xlpm.p,#REF!, "&gt;"&amp;TODAY(),#REF!, "&lt;&gt;"))</f>
        <v>#REF!</v>
      </c>
      <c r="F45" s="118" t="e">
        <f ca="1">_xlfn.LET(_xlpm.p,tblProcurement2026[[#This Row],[Project Name]], SUMIFS(#REF!,#REF!, _xlpm.p,#REF!, "&gt;"&amp;TODAY(),#REF!, "="))</f>
        <v>#REF!</v>
      </c>
      <c r="G45" s="119" t="e">
        <f>IF(tblProcurement2026[[#This Row],[Committed (All Expenses)]]=0,"",tblProcurement2026[[#This Row],[Paid/Realised]]/tblProcurement2026[[#This Row],[Committed (All Expenses)]])</f>
        <v>#REF!</v>
      </c>
      <c r="H45" s="120" t="e" cm="1">
        <f t="array" aca="1" ref="H45" ca="1">_xlfn.LET(_xlpm.p,tblProcurement2026[[#This Row],[Project Name]], _xlpm.nxt,MIN( IF((#REF!=_xlpm.p)*(#REF!&gt;TODAY()),#REF!)), IF(_xlpm.nxt=0,"",_xlpm.nxt-TODAY()))</f>
        <v>#REF!</v>
      </c>
      <c r="J45" s="118"/>
      <c r="K45" s="121"/>
      <c r="M45" s="118"/>
      <c r="N45" s="121"/>
      <c r="Q45" s="118"/>
      <c r="R45" s="118"/>
    </row>
    <row r="46" spans="1:18">
      <c r="A46" t="str" cm="1">
        <f t="array" ref="A46">_xlfn.LET(_xlpm.src,TRIM(#REF!), _xlpm.u,_xlfn._xlws.SORT(_xlfn.UNIQUE(_xlfn._xlws.FILTER(_xlpm.src,_xlpm.src&lt;&gt;""))), IFERROR(INDEX(_xlpm.u,ROWS(A$2:A46)),""))</f>
        <v/>
      </c>
      <c r="B46" s="118" t="e">
        <f>_xlfn.LET(_xlpm.p,tblProcurement2026[[#This Row],[Project Name]], SUMIFS(#REF!,#REF!, _xlpm.p))</f>
        <v>#REF!</v>
      </c>
      <c r="C46" s="118" t="e">
        <f ca="1">_xlfn.LET(_xlpm.p,tblProcurement2026[[#This Row],[Project Name]], SUMIFS(#REF!,#REF!, _xlpm.p,#REF!, "&lt;="&amp;TODAY(),#REF!, "&lt;&gt;"))</f>
        <v>#REF!</v>
      </c>
      <c r="D46" s="118" t="e">
        <f ca="1">_xlfn.LET(_xlpm.p,tblProcurement2026[[#This Row],[Project Name]], SUMIFS(#REF!,#REF!, _xlpm.p,#REF!, "&lt;="&amp;TODAY(),#REF!, "="))</f>
        <v>#REF!</v>
      </c>
      <c r="E46" s="118" t="e">
        <f ca="1">_xlfn.LET(_xlpm.p,tblProcurement2026[[#This Row],[Project Name]], SUMIFS(#REF!,#REF!, _xlpm.p,#REF!, "&gt;"&amp;TODAY(),#REF!, "&lt;&gt;"))</f>
        <v>#REF!</v>
      </c>
      <c r="F46" s="118" t="e">
        <f ca="1">_xlfn.LET(_xlpm.p,tblProcurement2026[[#This Row],[Project Name]], SUMIFS(#REF!,#REF!, _xlpm.p,#REF!, "&gt;"&amp;TODAY(),#REF!, "="))</f>
        <v>#REF!</v>
      </c>
      <c r="G46" s="119" t="e">
        <f>IF(tblProcurement2026[[#This Row],[Committed (All Expenses)]]=0,"",tblProcurement2026[[#This Row],[Paid/Realised]]/tblProcurement2026[[#This Row],[Committed (All Expenses)]])</f>
        <v>#REF!</v>
      </c>
      <c r="H46" s="120" t="e" cm="1">
        <f t="array" aca="1" ref="H46" ca="1">_xlfn.LET(_xlpm.p,tblProcurement2026[[#This Row],[Project Name]], _xlpm.nxt,MIN( IF((#REF!=_xlpm.p)*(#REF!&gt;TODAY()),#REF!)), IF(_xlpm.nxt=0,"",_xlpm.nxt-TODAY()))</f>
        <v>#REF!</v>
      </c>
      <c r="J46" s="118"/>
      <c r="K46" s="121"/>
      <c r="M46" s="118"/>
      <c r="N46" s="121"/>
      <c r="Q46" s="118"/>
      <c r="R46" s="118"/>
    </row>
    <row r="47" spans="1:18">
      <c r="A47" t="str" cm="1">
        <f t="array" ref="A47">_xlfn.LET(_xlpm.src,TRIM(#REF!), _xlpm.u,_xlfn._xlws.SORT(_xlfn.UNIQUE(_xlfn._xlws.FILTER(_xlpm.src,_xlpm.src&lt;&gt;""))), IFERROR(INDEX(_xlpm.u,ROWS(A$2:A47)),""))</f>
        <v/>
      </c>
      <c r="B47" s="118" t="e">
        <f>_xlfn.LET(_xlpm.p,tblProcurement2026[[#This Row],[Project Name]], SUMIFS(#REF!,#REF!, _xlpm.p))</f>
        <v>#REF!</v>
      </c>
      <c r="C47" s="118" t="e">
        <f ca="1">_xlfn.LET(_xlpm.p,tblProcurement2026[[#This Row],[Project Name]], SUMIFS(#REF!,#REF!, _xlpm.p,#REF!, "&lt;="&amp;TODAY(),#REF!, "&lt;&gt;"))</f>
        <v>#REF!</v>
      </c>
      <c r="D47" s="118" t="e">
        <f ca="1">_xlfn.LET(_xlpm.p,tblProcurement2026[[#This Row],[Project Name]], SUMIFS(#REF!,#REF!, _xlpm.p,#REF!, "&lt;="&amp;TODAY(),#REF!, "="))</f>
        <v>#REF!</v>
      </c>
      <c r="E47" s="118" t="e">
        <f ca="1">_xlfn.LET(_xlpm.p,tblProcurement2026[[#This Row],[Project Name]], SUMIFS(#REF!,#REF!, _xlpm.p,#REF!, "&gt;"&amp;TODAY(),#REF!, "&lt;&gt;"))</f>
        <v>#REF!</v>
      </c>
      <c r="F47" s="118" t="e">
        <f ca="1">_xlfn.LET(_xlpm.p,tblProcurement2026[[#This Row],[Project Name]], SUMIFS(#REF!,#REF!, _xlpm.p,#REF!, "&gt;"&amp;TODAY(),#REF!, "="))</f>
        <v>#REF!</v>
      </c>
      <c r="G47" s="119" t="e">
        <f>IF(tblProcurement2026[[#This Row],[Committed (All Expenses)]]=0,"",tblProcurement2026[[#This Row],[Paid/Realised]]/tblProcurement2026[[#This Row],[Committed (All Expenses)]])</f>
        <v>#REF!</v>
      </c>
      <c r="H47" s="120" t="e" cm="1">
        <f t="array" aca="1" ref="H47" ca="1">_xlfn.LET(_xlpm.p,tblProcurement2026[[#This Row],[Project Name]], _xlpm.nxt,MIN( IF((#REF!=_xlpm.p)*(#REF!&gt;TODAY()),#REF!)), IF(_xlpm.nxt=0,"",_xlpm.nxt-TODAY()))</f>
        <v>#REF!</v>
      </c>
      <c r="J47" s="118"/>
      <c r="K47" s="121"/>
      <c r="M47" s="118"/>
      <c r="N47" s="121"/>
      <c r="Q47" s="118"/>
      <c r="R47" s="118"/>
    </row>
    <row r="48" spans="1:18">
      <c r="A48" t="str" cm="1">
        <f t="array" ref="A48">_xlfn.LET(_xlpm.src,TRIM(#REF!), _xlpm.u,_xlfn._xlws.SORT(_xlfn.UNIQUE(_xlfn._xlws.FILTER(_xlpm.src,_xlpm.src&lt;&gt;""))), IFERROR(INDEX(_xlpm.u,ROWS(A$2:A48)),""))</f>
        <v/>
      </c>
      <c r="B48" s="118" t="e">
        <f>_xlfn.LET(_xlpm.p,tblProcurement2026[[#This Row],[Project Name]], SUMIFS(#REF!,#REF!, _xlpm.p))</f>
        <v>#REF!</v>
      </c>
      <c r="C48" s="118" t="e">
        <f ca="1">_xlfn.LET(_xlpm.p,tblProcurement2026[[#This Row],[Project Name]], SUMIFS(#REF!,#REF!, _xlpm.p,#REF!, "&lt;="&amp;TODAY(),#REF!, "&lt;&gt;"))</f>
        <v>#REF!</v>
      </c>
      <c r="D48" s="118" t="e">
        <f ca="1">_xlfn.LET(_xlpm.p,tblProcurement2026[[#This Row],[Project Name]], SUMIFS(#REF!,#REF!, _xlpm.p,#REF!, "&lt;="&amp;TODAY(),#REF!, "="))</f>
        <v>#REF!</v>
      </c>
      <c r="E48" s="118" t="e">
        <f ca="1">_xlfn.LET(_xlpm.p,tblProcurement2026[[#This Row],[Project Name]], SUMIFS(#REF!,#REF!, _xlpm.p,#REF!, "&gt;"&amp;TODAY(),#REF!, "&lt;&gt;"))</f>
        <v>#REF!</v>
      </c>
      <c r="F48" s="118" t="e">
        <f ca="1">_xlfn.LET(_xlpm.p,tblProcurement2026[[#This Row],[Project Name]], SUMIFS(#REF!,#REF!, _xlpm.p,#REF!, "&gt;"&amp;TODAY(),#REF!, "="))</f>
        <v>#REF!</v>
      </c>
      <c r="G48" s="119" t="e">
        <f>IF(tblProcurement2026[[#This Row],[Committed (All Expenses)]]=0,"",tblProcurement2026[[#This Row],[Paid/Realised]]/tblProcurement2026[[#This Row],[Committed (All Expenses)]])</f>
        <v>#REF!</v>
      </c>
      <c r="H48" s="120" t="e" cm="1">
        <f t="array" aca="1" ref="H48" ca="1">_xlfn.LET(_xlpm.p,tblProcurement2026[[#This Row],[Project Name]], _xlpm.nxt,MIN( IF((#REF!=_xlpm.p)*(#REF!&gt;TODAY()),#REF!)), IF(_xlpm.nxt=0,"",_xlpm.nxt-TODAY()))</f>
        <v>#REF!</v>
      </c>
      <c r="J48" s="118"/>
      <c r="K48" s="121"/>
      <c r="M48" s="118"/>
      <c r="N48" s="121"/>
      <c r="Q48" s="118"/>
      <c r="R48" s="118"/>
    </row>
    <row r="49" spans="1:18">
      <c r="A49" t="str" cm="1">
        <f t="array" ref="A49">_xlfn.LET(_xlpm.src,TRIM(#REF!), _xlpm.u,_xlfn._xlws.SORT(_xlfn.UNIQUE(_xlfn._xlws.FILTER(_xlpm.src,_xlpm.src&lt;&gt;""))), IFERROR(INDEX(_xlpm.u,ROWS(A$2:A49)),""))</f>
        <v/>
      </c>
      <c r="B49" s="118" t="e">
        <f>_xlfn.LET(_xlpm.p,tblProcurement2026[[#This Row],[Project Name]], SUMIFS(#REF!,#REF!, _xlpm.p))</f>
        <v>#REF!</v>
      </c>
      <c r="C49" s="118" t="e">
        <f ca="1">_xlfn.LET(_xlpm.p,tblProcurement2026[[#This Row],[Project Name]], SUMIFS(#REF!,#REF!, _xlpm.p,#REF!, "&lt;="&amp;TODAY(),#REF!, "&lt;&gt;"))</f>
        <v>#REF!</v>
      </c>
      <c r="D49" s="118" t="e">
        <f ca="1">_xlfn.LET(_xlpm.p,tblProcurement2026[[#This Row],[Project Name]], SUMIFS(#REF!,#REF!, _xlpm.p,#REF!, "&lt;="&amp;TODAY(),#REF!, "="))</f>
        <v>#REF!</v>
      </c>
      <c r="E49" s="118" t="e">
        <f ca="1">_xlfn.LET(_xlpm.p,tblProcurement2026[[#This Row],[Project Name]], SUMIFS(#REF!,#REF!, _xlpm.p,#REF!, "&gt;"&amp;TODAY(),#REF!, "&lt;&gt;"))</f>
        <v>#REF!</v>
      </c>
      <c r="F49" s="118" t="e">
        <f ca="1">_xlfn.LET(_xlpm.p,tblProcurement2026[[#This Row],[Project Name]], SUMIFS(#REF!,#REF!, _xlpm.p,#REF!, "&gt;"&amp;TODAY(),#REF!, "="))</f>
        <v>#REF!</v>
      </c>
      <c r="G49" s="119" t="e">
        <f>IF(tblProcurement2026[[#This Row],[Committed (All Expenses)]]=0,"",tblProcurement2026[[#This Row],[Paid/Realised]]/tblProcurement2026[[#This Row],[Committed (All Expenses)]])</f>
        <v>#REF!</v>
      </c>
      <c r="H49" s="120" t="e" cm="1">
        <f t="array" aca="1" ref="H49" ca="1">_xlfn.LET(_xlpm.p,tblProcurement2026[[#This Row],[Project Name]], _xlpm.nxt,MIN( IF((#REF!=_xlpm.p)*(#REF!&gt;TODAY()),#REF!)), IF(_xlpm.nxt=0,"",_xlpm.nxt-TODAY()))</f>
        <v>#REF!</v>
      </c>
      <c r="J49" s="118"/>
      <c r="K49" s="121"/>
      <c r="M49" s="118"/>
      <c r="N49" s="121"/>
      <c r="Q49" s="118"/>
      <c r="R49" s="118"/>
    </row>
    <row r="50" spans="1:18">
      <c r="A50" t="str" cm="1">
        <f t="array" ref="A50">_xlfn.LET(_xlpm.src,TRIM(#REF!), _xlpm.u,_xlfn._xlws.SORT(_xlfn.UNIQUE(_xlfn._xlws.FILTER(_xlpm.src,_xlpm.src&lt;&gt;""))), IFERROR(INDEX(_xlpm.u,ROWS(A$2:A50)),""))</f>
        <v/>
      </c>
      <c r="B50" s="118" t="e">
        <f>_xlfn.LET(_xlpm.p,tblProcurement2026[[#This Row],[Project Name]], SUMIFS(#REF!,#REF!, _xlpm.p))</f>
        <v>#REF!</v>
      </c>
      <c r="C50" s="118" t="e">
        <f ca="1">_xlfn.LET(_xlpm.p,tblProcurement2026[[#This Row],[Project Name]], SUMIFS(#REF!,#REF!, _xlpm.p,#REF!, "&lt;="&amp;TODAY(),#REF!, "&lt;&gt;"))</f>
        <v>#REF!</v>
      </c>
      <c r="D50" s="118" t="e">
        <f ca="1">_xlfn.LET(_xlpm.p,tblProcurement2026[[#This Row],[Project Name]], SUMIFS(#REF!,#REF!, _xlpm.p,#REF!, "&lt;="&amp;TODAY(),#REF!, "="))</f>
        <v>#REF!</v>
      </c>
      <c r="E50" s="118" t="e">
        <f ca="1">_xlfn.LET(_xlpm.p,tblProcurement2026[[#This Row],[Project Name]], SUMIFS(#REF!,#REF!, _xlpm.p,#REF!, "&gt;"&amp;TODAY(),#REF!, "&lt;&gt;"))</f>
        <v>#REF!</v>
      </c>
      <c r="F50" s="118" t="e">
        <f ca="1">_xlfn.LET(_xlpm.p,tblProcurement2026[[#This Row],[Project Name]], SUMIFS(#REF!,#REF!, _xlpm.p,#REF!, "&gt;"&amp;TODAY(),#REF!, "="))</f>
        <v>#REF!</v>
      </c>
      <c r="G50" s="119" t="e">
        <f>IF(tblProcurement2026[[#This Row],[Committed (All Expenses)]]=0,"",tblProcurement2026[[#This Row],[Paid/Realised]]/tblProcurement2026[[#This Row],[Committed (All Expenses)]])</f>
        <v>#REF!</v>
      </c>
      <c r="H50" s="120" t="e" cm="1">
        <f t="array" aca="1" ref="H50" ca="1">_xlfn.LET(_xlpm.p,tblProcurement2026[[#This Row],[Project Name]], _xlpm.nxt,MIN( IF((#REF!=_xlpm.p)*(#REF!&gt;TODAY()),#REF!)), IF(_xlpm.nxt=0,"",_xlpm.nxt-TODAY()))</f>
        <v>#REF!</v>
      </c>
      <c r="J50" s="118"/>
      <c r="K50" s="121"/>
      <c r="M50" s="118"/>
      <c r="N50" s="121"/>
      <c r="Q50" s="118"/>
      <c r="R50" s="118"/>
    </row>
    <row r="51" spans="1:18">
      <c r="A51" t="str" cm="1">
        <f t="array" ref="A51">_xlfn.LET(_xlpm.src,TRIM(#REF!), _xlpm.u,_xlfn._xlws.SORT(_xlfn.UNIQUE(_xlfn._xlws.FILTER(_xlpm.src,_xlpm.src&lt;&gt;""))), IFERROR(INDEX(_xlpm.u,ROWS(A$2:A51)),""))</f>
        <v/>
      </c>
      <c r="B51" s="118" t="e">
        <f>_xlfn.LET(_xlpm.p,tblProcurement2026[[#This Row],[Project Name]], SUMIFS(#REF!,#REF!, _xlpm.p))</f>
        <v>#REF!</v>
      </c>
      <c r="C51" s="118" t="e">
        <f ca="1">_xlfn.LET(_xlpm.p,tblProcurement2026[[#This Row],[Project Name]], SUMIFS(#REF!,#REF!, _xlpm.p,#REF!, "&lt;="&amp;TODAY(),#REF!, "&lt;&gt;"))</f>
        <v>#REF!</v>
      </c>
      <c r="D51" s="118" t="e">
        <f ca="1">_xlfn.LET(_xlpm.p,tblProcurement2026[[#This Row],[Project Name]], SUMIFS(#REF!,#REF!, _xlpm.p,#REF!, "&lt;="&amp;TODAY(),#REF!, "="))</f>
        <v>#REF!</v>
      </c>
      <c r="E51" s="118" t="e">
        <f ca="1">_xlfn.LET(_xlpm.p,tblProcurement2026[[#This Row],[Project Name]], SUMIFS(#REF!,#REF!, _xlpm.p,#REF!, "&gt;"&amp;TODAY(),#REF!, "&lt;&gt;"))</f>
        <v>#REF!</v>
      </c>
      <c r="F51" s="118" t="e">
        <f ca="1">_xlfn.LET(_xlpm.p,tblProcurement2026[[#This Row],[Project Name]], SUMIFS(#REF!,#REF!, _xlpm.p,#REF!, "&gt;"&amp;TODAY(),#REF!, "="))</f>
        <v>#REF!</v>
      </c>
      <c r="G51" s="119" t="e">
        <f>IF(tblProcurement2026[[#This Row],[Committed (All Expenses)]]=0,"",tblProcurement2026[[#This Row],[Paid/Realised]]/tblProcurement2026[[#This Row],[Committed (All Expenses)]])</f>
        <v>#REF!</v>
      </c>
      <c r="H51" s="120" t="e" cm="1">
        <f t="array" aca="1" ref="H51" ca="1">_xlfn.LET(_xlpm.p,tblProcurement2026[[#This Row],[Project Name]], _xlpm.nxt,MIN( IF((#REF!=_xlpm.p)*(#REF!&gt;TODAY()),#REF!)), IF(_xlpm.nxt=0,"",_xlpm.nxt-TODAY()))</f>
        <v>#REF!</v>
      </c>
      <c r="J51" s="118"/>
      <c r="K51" s="121"/>
      <c r="M51" s="118"/>
      <c r="N51" s="121"/>
      <c r="Q51" s="118"/>
      <c r="R51" s="118"/>
    </row>
    <row r="52" spans="1:18">
      <c r="A52" t="str" cm="1">
        <f t="array" ref="A52">_xlfn.LET(_xlpm.src,TRIM(#REF!), _xlpm.u,_xlfn._xlws.SORT(_xlfn.UNIQUE(_xlfn._xlws.FILTER(_xlpm.src,_xlpm.src&lt;&gt;""))), IFERROR(INDEX(_xlpm.u,ROWS(A$2:A52)),""))</f>
        <v/>
      </c>
      <c r="B52" s="118" t="e">
        <f>_xlfn.LET(_xlpm.p,tblProcurement2026[[#This Row],[Project Name]], SUMIFS(#REF!,#REF!, _xlpm.p))</f>
        <v>#REF!</v>
      </c>
      <c r="C52" s="118" t="e">
        <f ca="1">_xlfn.LET(_xlpm.p,tblProcurement2026[[#This Row],[Project Name]], SUMIFS(#REF!,#REF!, _xlpm.p,#REF!, "&lt;="&amp;TODAY(),#REF!, "&lt;&gt;"))</f>
        <v>#REF!</v>
      </c>
      <c r="D52" s="118" t="e">
        <f ca="1">_xlfn.LET(_xlpm.p,tblProcurement2026[[#This Row],[Project Name]], SUMIFS(#REF!,#REF!, _xlpm.p,#REF!, "&lt;="&amp;TODAY(),#REF!, "="))</f>
        <v>#REF!</v>
      </c>
      <c r="E52" s="118" t="e">
        <f ca="1">_xlfn.LET(_xlpm.p,tblProcurement2026[[#This Row],[Project Name]], SUMIFS(#REF!,#REF!, _xlpm.p,#REF!, "&gt;"&amp;TODAY(),#REF!, "&lt;&gt;"))</f>
        <v>#REF!</v>
      </c>
      <c r="F52" s="118" t="e">
        <f ca="1">_xlfn.LET(_xlpm.p,tblProcurement2026[[#This Row],[Project Name]], SUMIFS(#REF!,#REF!, _xlpm.p,#REF!, "&gt;"&amp;TODAY(),#REF!, "="))</f>
        <v>#REF!</v>
      </c>
      <c r="G52" s="119" t="e">
        <f>IF(tblProcurement2026[[#This Row],[Committed (All Expenses)]]=0,"",tblProcurement2026[[#This Row],[Paid/Realised]]/tblProcurement2026[[#This Row],[Committed (All Expenses)]])</f>
        <v>#REF!</v>
      </c>
      <c r="H52" s="120" t="e" cm="1">
        <f t="array" aca="1" ref="H52" ca="1">_xlfn.LET(_xlpm.p,tblProcurement2026[[#This Row],[Project Name]], _xlpm.nxt,MIN( IF((#REF!=_xlpm.p)*(#REF!&gt;TODAY()),#REF!)), IF(_xlpm.nxt=0,"",_xlpm.nxt-TODAY()))</f>
        <v>#REF!</v>
      </c>
      <c r="J52" s="118"/>
      <c r="K52" s="121"/>
      <c r="M52" s="118"/>
      <c r="N52" s="121"/>
      <c r="Q52" s="118"/>
      <c r="R52" s="118"/>
    </row>
    <row r="53" spans="1:18">
      <c r="A53" t="str" cm="1">
        <f t="array" ref="A53">_xlfn.LET(_xlpm.src,TRIM(#REF!), _xlpm.u,_xlfn._xlws.SORT(_xlfn.UNIQUE(_xlfn._xlws.FILTER(_xlpm.src,_xlpm.src&lt;&gt;""))), IFERROR(INDEX(_xlpm.u,ROWS(A$2:A53)),""))</f>
        <v/>
      </c>
      <c r="B53" s="118" t="e">
        <f>_xlfn.LET(_xlpm.p,tblProcurement2026[[#This Row],[Project Name]], SUMIFS(#REF!,#REF!, _xlpm.p))</f>
        <v>#REF!</v>
      </c>
      <c r="C53" s="118" t="e">
        <f ca="1">_xlfn.LET(_xlpm.p,tblProcurement2026[[#This Row],[Project Name]], SUMIFS(#REF!,#REF!, _xlpm.p,#REF!, "&lt;="&amp;TODAY(),#REF!, "&lt;&gt;"))</f>
        <v>#REF!</v>
      </c>
      <c r="D53" s="118" t="e">
        <f ca="1">_xlfn.LET(_xlpm.p,tblProcurement2026[[#This Row],[Project Name]], SUMIFS(#REF!,#REF!, _xlpm.p,#REF!, "&lt;="&amp;TODAY(),#REF!, "="))</f>
        <v>#REF!</v>
      </c>
      <c r="E53" s="118" t="e">
        <f ca="1">_xlfn.LET(_xlpm.p,tblProcurement2026[[#This Row],[Project Name]], SUMIFS(#REF!,#REF!, _xlpm.p,#REF!, "&gt;"&amp;TODAY(),#REF!, "&lt;&gt;"))</f>
        <v>#REF!</v>
      </c>
      <c r="F53" s="118" t="e">
        <f ca="1">_xlfn.LET(_xlpm.p,tblProcurement2026[[#This Row],[Project Name]], SUMIFS(#REF!,#REF!, _xlpm.p,#REF!, "&gt;"&amp;TODAY(),#REF!, "="))</f>
        <v>#REF!</v>
      </c>
      <c r="G53" s="119" t="e">
        <f>IF(tblProcurement2026[[#This Row],[Committed (All Expenses)]]=0,"",tblProcurement2026[[#This Row],[Paid/Realised]]/tblProcurement2026[[#This Row],[Committed (All Expenses)]])</f>
        <v>#REF!</v>
      </c>
      <c r="H53" s="120" t="e" cm="1">
        <f t="array" aca="1" ref="H53" ca="1">_xlfn.LET(_xlpm.p,tblProcurement2026[[#This Row],[Project Name]], _xlpm.nxt,MIN( IF((#REF!=_xlpm.p)*(#REF!&gt;TODAY()),#REF!)), IF(_xlpm.nxt=0,"",_xlpm.nxt-TODAY()))</f>
        <v>#REF!</v>
      </c>
      <c r="J53" s="118"/>
      <c r="K53" s="121"/>
      <c r="M53" s="118"/>
      <c r="N53" s="121"/>
      <c r="Q53" s="118"/>
      <c r="R53" s="118"/>
    </row>
    <row r="54" spans="1:18">
      <c r="A54" t="str" cm="1">
        <f t="array" ref="A54">_xlfn.LET(_xlpm.src,TRIM(#REF!), _xlpm.u,_xlfn._xlws.SORT(_xlfn.UNIQUE(_xlfn._xlws.FILTER(_xlpm.src,_xlpm.src&lt;&gt;""))), IFERROR(INDEX(_xlpm.u,ROWS(A$2:A54)),""))</f>
        <v/>
      </c>
      <c r="B54" s="118" t="e">
        <f>_xlfn.LET(_xlpm.p,tblProcurement2026[[#This Row],[Project Name]], SUMIFS(#REF!,#REF!, _xlpm.p))</f>
        <v>#REF!</v>
      </c>
      <c r="C54" s="118" t="e">
        <f ca="1">_xlfn.LET(_xlpm.p,tblProcurement2026[[#This Row],[Project Name]], SUMIFS(#REF!,#REF!, _xlpm.p,#REF!, "&lt;="&amp;TODAY(),#REF!, "&lt;&gt;"))</f>
        <v>#REF!</v>
      </c>
      <c r="D54" s="118" t="e">
        <f ca="1">_xlfn.LET(_xlpm.p,tblProcurement2026[[#This Row],[Project Name]], SUMIFS(#REF!,#REF!, _xlpm.p,#REF!, "&lt;="&amp;TODAY(),#REF!, "="))</f>
        <v>#REF!</v>
      </c>
      <c r="E54" s="118" t="e">
        <f ca="1">_xlfn.LET(_xlpm.p,tblProcurement2026[[#This Row],[Project Name]], SUMIFS(#REF!,#REF!, _xlpm.p,#REF!, "&gt;"&amp;TODAY(),#REF!, "&lt;&gt;"))</f>
        <v>#REF!</v>
      </c>
      <c r="F54" s="118" t="e">
        <f ca="1">_xlfn.LET(_xlpm.p,tblProcurement2026[[#This Row],[Project Name]], SUMIFS(#REF!,#REF!, _xlpm.p,#REF!, "&gt;"&amp;TODAY(),#REF!, "="))</f>
        <v>#REF!</v>
      </c>
      <c r="G54" s="119" t="e">
        <f>IF(tblProcurement2026[[#This Row],[Committed (All Expenses)]]=0,"",tblProcurement2026[[#This Row],[Paid/Realised]]/tblProcurement2026[[#This Row],[Committed (All Expenses)]])</f>
        <v>#REF!</v>
      </c>
      <c r="H54" s="120" t="e" cm="1">
        <f t="array" aca="1" ref="H54" ca="1">_xlfn.LET(_xlpm.p,tblProcurement2026[[#This Row],[Project Name]], _xlpm.nxt,MIN( IF((#REF!=_xlpm.p)*(#REF!&gt;TODAY()),#REF!)), IF(_xlpm.nxt=0,"",_xlpm.nxt-TODAY()))</f>
        <v>#REF!</v>
      </c>
      <c r="J54" s="118"/>
      <c r="K54" s="121"/>
      <c r="M54" s="118"/>
      <c r="N54" s="121"/>
      <c r="Q54" s="118"/>
      <c r="R54" s="118"/>
    </row>
    <row r="55" spans="1:18">
      <c r="A55" t="str" cm="1">
        <f t="array" ref="A55">_xlfn.LET(_xlpm.src,TRIM(#REF!), _xlpm.u,_xlfn._xlws.SORT(_xlfn.UNIQUE(_xlfn._xlws.FILTER(_xlpm.src,_xlpm.src&lt;&gt;""))), IFERROR(INDEX(_xlpm.u,ROWS(A$2:A55)),""))</f>
        <v/>
      </c>
      <c r="B55" s="118" t="e">
        <f>_xlfn.LET(_xlpm.p,tblProcurement2026[[#This Row],[Project Name]], SUMIFS(#REF!,#REF!, _xlpm.p))</f>
        <v>#REF!</v>
      </c>
      <c r="C55" s="118" t="e">
        <f ca="1">_xlfn.LET(_xlpm.p,tblProcurement2026[[#This Row],[Project Name]], SUMIFS(#REF!,#REF!, _xlpm.p,#REF!, "&lt;="&amp;TODAY(),#REF!, "&lt;&gt;"))</f>
        <v>#REF!</v>
      </c>
      <c r="D55" s="118" t="e">
        <f ca="1">_xlfn.LET(_xlpm.p,tblProcurement2026[[#This Row],[Project Name]], SUMIFS(#REF!,#REF!, _xlpm.p,#REF!, "&lt;="&amp;TODAY(),#REF!, "="))</f>
        <v>#REF!</v>
      </c>
      <c r="E55" s="118" t="e">
        <f ca="1">_xlfn.LET(_xlpm.p,tblProcurement2026[[#This Row],[Project Name]], SUMIFS(#REF!,#REF!, _xlpm.p,#REF!, "&gt;"&amp;TODAY(),#REF!, "&lt;&gt;"))</f>
        <v>#REF!</v>
      </c>
      <c r="F55" s="118" t="e">
        <f ca="1">_xlfn.LET(_xlpm.p,tblProcurement2026[[#This Row],[Project Name]], SUMIFS(#REF!,#REF!, _xlpm.p,#REF!, "&gt;"&amp;TODAY(),#REF!, "="))</f>
        <v>#REF!</v>
      </c>
      <c r="G55" s="119" t="e">
        <f>IF(tblProcurement2026[[#This Row],[Committed (All Expenses)]]=0,"",tblProcurement2026[[#This Row],[Paid/Realised]]/tblProcurement2026[[#This Row],[Committed (All Expenses)]])</f>
        <v>#REF!</v>
      </c>
      <c r="H55" s="120" t="e" cm="1">
        <f t="array" aca="1" ref="H55" ca="1">_xlfn.LET(_xlpm.p,tblProcurement2026[[#This Row],[Project Name]], _xlpm.nxt,MIN( IF((#REF!=_xlpm.p)*(#REF!&gt;TODAY()),#REF!)), IF(_xlpm.nxt=0,"",_xlpm.nxt-TODAY()))</f>
        <v>#REF!</v>
      </c>
      <c r="J55" s="118"/>
      <c r="K55" s="121"/>
      <c r="M55" s="118"/>
      <c r="N55" s="121"/>
      <c r="Q55" s="118"/>
      <c r="R55" s="118"/>
    </row>
    <row r="56" spans="1:18">
      <c r="A56" t="str" cm="1">
        <f t="array" ref="A56">_xlfn.LET(_xlpm.src,TRIM(#REF!), _xlpm.u,_xlfn._xlws.SORT(_xlfn.UNIQUE(_xlfn._xlws.FILTER(_xlpm.src,_xlpm.src&lt;&gt;""))), IFERROR(INDEX(_xlpm.u,ROWS(A$2:A56)),""))</f>
        <v/>
      </c>
      <c r="B56" s="118"/>
      <c r="C56" s="118"/>
      <c r="D56" s="118"/>
      <c r="E56" s="118"/>
      <c r="F56" s="118"/>
      <c r="G56" s="119" t="str">
        <f>IF(tblProcurement2026[[#This Row],[Committed (All Expenses)]]=0,"",tblProcurement2026[[#This Row],[Paid/Realised]]/tblProcurement2026[[#This Row],[Committed (All Expenses)]])</f>
        <v/>
      </c>
      <c r="H56" s="120" t="e" cm="1">
        <f t="array" aca="1" ref="H56" ca="1">_xlfn.LET(_xlpm.p,tblProcurement2026[[#This Row],[Project Name]], _xlpm.nxt,MIN( IF((#REF!=_xlpm.p)*(#REF!&gt;TODAY()),#REF!)), IF(_xlpm.nxt=0,"",_xlpm.nxt-TODAY()))</f>
        <v>#REF!</v>
      </c>
      <c r="J56" s="118"/>
      <c r="K56" s="121"/>
      <c r="M56" s="118"/>
      <c r="N56" s="121"/>
      <c r="Q56" s="118"/>
      <c r="R56" s="118"/>
    </row>
    <row r="57" spans="1:18">
      <c r="A57" t="str" cm="1">
        <f t="array" ref="A57">_xlfn.LET(_xlpm.src,TRIM(#REF!), _xlpm.u,_xlfn._xlws.SORT(_xlfn.UNIQUE(_xlfn._xlws.FILTER(_xlpm.src,_xlpm.src&lt;&gt;""))), IFERROR(INDEX(_xlpm.u,ROWS(A$2:A57)),""))</f>
        <v/>
      </c>
      <c r="B57" s="118"/>
      <c r="C57" s="118"/>
      <c r="D57" s="118"/>
      <c r="E57" s="118"/>
      <c r="F57" s="118"/>
      <c r="G57" s="119" t="str">
        <f>IF(tblProcurement2026[[#This Row],[Committed (All Expenses)]]=0,"",tblProcurement2026[[#This Row],[Paid/Realised]]/tblProcurement2026[[#This Row],[Committed (All Expenses)]])</f>
        <v/>
      </c>
      <c r="H57" s="120" t="e" cm="1">
        <f t="array" aca="1" ref="H57" ca="1">_xlfn.LET(_xlpm.p,tblProcurement2026[[#This Row],[Project Name]], _xlpm.nxt,MIN( IF((#REF!=_xlpm.p)*(#REF!&gt;TODAY()),#REF!)), IF(_xlpm.nxt=0,"",_xlpm.nxt-TODAY()))</f>
        <v>#REF!</v>
      </c>
      <c r="J57" s="118"/>
      <c r="K57" s="121"/>
      <c r="M57" s="118"/>
      <c r="N57" s="121"/>
      <c r="Q57" s="118"/>
      <c r="R57" s="118"/>
    </row>
    <row r="58" spans="1:18">
      <c r="A58" t="str" cm="1">
        <f t="array" ref="A58">_xlfn.LET(_xlpm.src,TRIM(#REF!), _xlpm.u,_xlfn._xlws.SORT(_xlfn.UNIQUE(_xlfn._xlws.FILTER(_xlpm.src,_xlpm.src&lt;&gt;""))), IFERROR(INDEX(_xlpm.u,ROWS(A$2:A58)),""))</f>
        <v/>
      </c>
      <c r="B58" s="118"/>
      <c r="C58" s="118"/>
      <c r="D58" s="118"/>
      <c r="E58" s="118"/>
      <c r="F58" s="118"/>
      <c r="G58" s="119" t="str">
        <f>IF(tblProcurement2026[[#This Row],[Committed (All Expenses)]]=0,"",tblProcurement2026[[#This Row],[Paid/Realised]]/tblProcurement2026[[#This Row],[Committed (All Expenses)]])</f>
        <v/>
      </c>
      <c r="H58" s="120" t="e" cm="1">
        <f t="array" aca="1" ref="H58" ca="1">_xlfn.LET(_xlpm.p,tblProcurement2026[[#This Row],[Project Name]], _xlpm.nxt,MIN( IF((#REF!=_xlpm.p)*(#REF!&gt;TODAY()),#REF!)), IF(_xlpm.nxt=0,"",_xlpm.nxt-TODAY()))</f>
        <v>#REF!</v>
      </c>
      <c r="J58" s="118"/>
      <c r="K58" s="121"/>
      <c r="M58" s="118"/>
      <c r="N58" s="121"/>
      <c r="Q58" s="118"/>
      <c r="R58" s="118"/>
    </row>
    <row r="59" spans="1:18">
      <c r="A59" t="str" cm="1">
        <f t="array" ref="A59">_xlfn.LET(_xlpm.src,TRIM(#REF!), _xlpm.u,_xlfn._xlws.SORT(_xlfn.UNIQUE(_xlfn._xlws.FILTER(_xlpm.src,_xlpm.src&lt;&gt;""))), IFERROR(INDEX(_xlpm.u,ROWS(A$2:A59)),""))</f>
        <v/>
      </c>
      <c r="B59" s="118"/>
      <c r="C59" s="118"/>
      <c r="D59" s="118"/>
      <c r="E59" s="118"/>
      <c r="F59" s="118"/>
      <c r="G59" s="119" t="str">
        <f>IF(tblProcurement2026[[#This Row],[Committed (All Expenses)]]=0,"",tblProcurement2026[[#This Row],[Paid/Realised]]/tblProcurement2026[[#This Row],[Committed (All Expenses)]])</f>
        <v/>
      </c>
      <c r="H59" s="120" t="e" cm="1">
        <f t="array" aca="1" ref="H59" ca="1">_xlfn.LET(_xlpm.p,tblProcurement2026[[#This Row],[Project Name]], _xlpm.nxt,MIN( IF((#REF!=_xlpm.p)*(#REF!&gt;TODAY()),#REF!)), IF(_xlpm.nxt=0,"",_xlpm.nxt-TODAY()))</f>
        <v>#REF!</v>
      </c>
      <c r="J59" s="118"/>
      <c r="K59" s="121"/>
      <c r="M59" s="118"/>
      <c r="N59" s="121"/>
      <c r="Q59" s="118"/>
      <c r="R59" s="118"/>
    </row>
    <row r="60" spans="1:18">
      <c r="A60" t="str" cm="1">
        <f t="array" ref="A60">_xlfn.LET(_xlpm.src,TRIM(#REF!), _xlpm.u,_xlfn._xlws.SORT(_xlfn.UNIQUE(_xlfn._xlws.FILTER(_xlpm.src,_xlpm.src&lt;&gt;""))), IFERROR(INDEX(_xlpm.u,ROWS(A$2:A60)),""))</f>
        <v/>
      </c>
      <c r="B60" s="118"/>
      <c r="C60" s="118"/>
      <c r="D60" s="118"/>
      <c r="E60" s="118"/>
      <c r="F60" s="118"/>
      <c r="G60" s="119" t="str">
        <f>IF(tblProcurement2026[[#This Row],[Committed (All Expenses)]]=0,"",tblProcurement2026[[#This Row],[Paid/Realised]]/tblProcurement2026[[#This Row],[Committed (All Expenses)]])</f>
        <v/>
      </c>
      <c r="H60" s="120" t="e" cm="1">
        <f t="array" aca="1" ref="H60" ca="1">_xlfn.LET(_xlpm.p,tblProcurement2026[[#This Row],[Project Name]], _xlpm.nxt,MIN( IF((#REF!=_xlpm.p)*(#REF!&gt;TODAY()),#REF!)), IF(_xlpm.nxt=0,"",_xlpm.nxt-TODAY()))</f>
        <v>#REF!</v>
      </c>
      <c r="J60" s="118"/>
      <c r="K60" s="121"/>
      <c r="M60" s="118"/>
      <c r="N60" s="121"/>
      <c r="Q60" s="118"/>
      <c r="R60" s="118"/>
    </row>
    <row r="61" spans="1:18">
      <c r="A61" t="str" cm="1">
        <f t="array" ref="A61">_xlfn.LET(_xlpm.src,TRIM(#REF!), _xlpm.u,_xlfn._xlws.SORT(_xlfn.UNIQUE(_xlfn._xlws.FILTER(_xlpm.src,_xlpm.src&lt;&gt;""))), IFERROR(INDEX(_xlpm.u,ROWS(A$2:A61)),""))</f>
        <v/>
      </c>
      <c r="B61" s="118"/>
      <c r="C61" s="118"/>
      <c r="D61" s="118"/>
      <c r="E61" s="118"/>
      <c r="F61" s="118"/>
      <c r="G61" s="119" t="str">
        <f>IF(tblProcurement2026[[#This Row],[Committed (All Expenses)]]=0,"",tblProcurement2026[[#This Row],[Paid/Realised]]/tblProcurement2026[[#This Row],[Committed (All Expenses)]])</f>
        <v/>
      </c>
      <c r="H61" s="120" t="e" cm="1">
        <f t="array" aca="1" ref="H61" ca="1">_xlfn.LET(_xlpm.p,tblProcurement2026[[#This Row],[Project Name]], _xlpm.nxt,MIN( IF((#REF!=_xlpm.p)*(#REF!&gt;TODAY()),#REF!)), IF(_xlpm.nxt=0,"",_xlpm.nxt-TODAY()))</f>
        <v>#REF!</v>
      </c>
      <c r="J61" s="118"/>
      <c r="K61" s="121"/>
      <c r="M61" s="118"/>
      <c r="N61" s="121"/>
      <c r="Q61" s="118"/>
      <c r="R61" s="118"/>
    </row>
    <row r="62" spans="1:18">
      <c r="A62" t="str" cm="1">
        <f t="array" ref="A62">_xlfn.LET(_xlpm.src,TRIM(#REF!), _xlpm.u,_xlfn._xlws.SORT(_xlfn.UNIQUE(_xlfn._xlws.FILTER(_xlpm.src,_xlpm.src&lt;&gt;""))), IFERROR(INDEX(_xlpm.u,ROWS(A$2:A62)),""))</f>
        <v/>
      </c>
      <c r="B62" s="118"/>
      <c r="C62" s="118"/>
      <c r="D62" s="118"/>
      <c r="E62" s="118"/>
      <c r="F62" s="118"/>
      <c r="G62" s="119" t="str">
        <f>IF(tblProcurement2026[[#This Row],[Committed (All Expenses)]]=0,"",tblProcurement2026[[#This Row],[Paid/Realised]]/tblProcurement2026[[#This Row],[Committed (All Expenses)]])</f>
        <v/>
      </c>
      <c r="H62" s="120" t="e" cm="1">
        <f t="array" aca="1" ref="H62" ca="1">_xlfn.LET(_xlpm.p,tblProcurement2026[[#This Row],[Project Name]], _xlpm.nxt,MIN( IF((#REF!=_xlpm.p)*(#REF!&gt;TODAY()),#REF!)), IF(_xlpm.nxt=0,"",_xlpm.nxt-TODAY()))</f>
        <v>#REF!</v>
      </c>
      <c r="J62" s="118"/>
      <c r="K62" s="121"/>
      <c r="M62" s="118"/>
      <c r="N62" s="121"/>
      <c r="Q62" s="118"/>
      <c r="R62" s="118"/>
    </row>
    <row r="63" spans="1:18">
      <c r="A63" t="str" cm="1">
        <f t="array" ref="A63">_xlfn.LET(_xlpm.src,TRIM(#REF!), _xlpm.u,_xlfn._xlws.SORT(_xlfn.UNIQUE(_xlfn._xlws.FILTER(_xlpm.src,_xlpm.src&lt;&gt;""))), IFERROR(INDEX(_xlpm.u,ROWS(A$2:A63)),""))</f>
        <v/>
      </c>
      <c r="B63" s="118"/>
      <c r="C63" s="118"/>
      <c r="D63" s="118"/>
      <c r="E63" s="118"/>
      <c r="F63" s="118"/>
      <c r="G63" s="119" t="str">
        <f>IF(tblProcurement2026[[#This Row],[Committed (All Expenses)]]=0,"",tblProcurement2026[[#This Row],[Paid/Realised]]/tblProcurement2026[[#This Row],[Committed (All Expenses)]])</f>
        <v/>
      </c>
      <c r="H63" s="120" t="e" cm="1">
        <f t="array" aca="1" ref="H63" ca="1">_xlfn.LET(_xlpm.p,tblProcurement2026[[#This Row],[Project Name]], _xlpm.nxt,MIN( IF((#REF!=_xlpm.p)*(#REF!&gt;TODAY()),#REF!)), IF(_xlpm.nxt=0,"",_xlpm.nxt-TODAY()))</f>
        <v>#REF!</v>
      </c>
      <c r="J63" s="118"/>
      <c r="K63" s="121"/>
      <c r="M63" s="118"/>
      <c r="N63" s="121"/>
      <c r="Q63" s="118"/>
      <c r="R63" s="118"/>
    </row>
    <row r="64" spans="1:18">
      <c r="A64" t="str" cm="1">
        <f t="array" ref="A64">_xlfn.LET(_xlpm.src,TRIM(#REF!), _xlpm.u,_xlfn._xlws.SORT(_xlfn.UNIQUE(_xlfn._xlws.FILTER(_xlpm.src,_xlpm.src&lt;&gt;""))), IFERROR(INDEX(_xlpm.u,ROWS(A$2:A64)),""))</f>
        <v/>
      </c>
      <c r="B64" s="118"/>
      <c r="C64" s="118"/>
      <c r="D64" s="118"/>
      <c r="E64" s="118"/>
      <c r="F64" s="118"/>
      <c r="G64" s="119" t="str">
        <f>IF(tblProcurement2026[[#This Row],[Committed (All Expenses)]]=0,"",tblProcurement2026[[#This Row],[Paid/Realised]]/tblProcurement2026[[#This Row],[Committed (All Expenses)]])</f>
        <v/>
      </c>
      <c r="H64" s="120" t="e" cm="1">
        <f t="array" aca="1" ref="H64" ca="1">_xlfn.LET(_xlpm.p,tblProcurement2026[[#This Row],[Project Name]], _xlpm.nxt,MIN( IF((#REF!=_xlpm.p)*(#REF!&gt;TODAY()),#REF!)), IF(_xlpm.nxt=0,"",_xlpm.nxt-TODAY()))</f>
        <v>#REF!</v>
      </c>
      <c r="J64" s="118"/>
      <c r="K64" s="121"/>
      <c r="M64" s="118"/>
      <c r="N64" s="121"/>
      <c r="Q64" s="118"/>
      <c r="R64" s="118"/>
    </row>
    <row r="65" spans="1:18">
      <c r="A65" t="str" cm="1">
        <f t="array" ref="A65">_xlfn.LET(_xlpm.src,TRIM(#REF!), _xlpm.u,_xlfn._xlws.SORT(_xlfn.UNIQUE(_xlfn._xlws.FILTER(_xlpm.src,_xlpm.src&lt;&gt;""))), IFERROR(INDEX(_xlpm.u,ROWS(A$2:A65)),""))</f>
        <v/>
      </c>
      <c r="B65" s="118"/>
      <c r="C65" s="118"/>
      <c r="D65" s="118"/>
      <c r="E65" s="118"/>
      <c r="F65" s="118"/>
      <c r="G65" s="119" t="str">
        <f>IF(tblProcurement2026[[#This Row],[Committed (All Expenses)]]=0,"",tblProcurement2026[[#This Row],[Paid/Realised]]/tblProcurement2026[[#This Row],[Committed (All Expenses)]])</f>
        <v/>
      </c>
      <c r="H65" s="120" t="e" cm="1">
        <f t="array" aca="1" ref="H65" ca="1">_xlfn.LET(_xlpm.p,tblProcurement2026[[#This Row],[Project Name]], _xlpm.nxt,MIN( IF((#REF!=_xlpm.p)*(#REF!&gt;TODAY()),#REF!)), IF(_xlpm.nxt=0,"",_xlpm.nxt-TODAY()))</f>
        <v>#REF!</v>
      </c>
      <c r="J65" s="118"/>
      <c r="K65" s="121"/>
      <c r="M65" s="118"/>
      <c r="N65" s="121"/>
      <c r="Q65" s="118"/>
      <c r="R65" s="118"/>
    </row>
    <row r="66" spans="1:18">
      <c r="A66" t="str" cm="1">
        <f t="array" ref="A66">_xlfn.LET(_xlpm.src,TRIM(#REF!), _xlpm.u,_xlfn._xlws.SORT(_xlfn.UNIQUE(_xlfn._xlws.FILTER(_xlpm.src,_xlpm.src&lt;&gt;""))), IFERROR(INDEX(_xlpm.u,ROWS(A$2:A66)),""))</f>
        <v/>
      </c>
      <c r="B66" s="118"/>
      <c r="C66" s="118"/>
      <c r="D66" s="118"/>
      <c r="E66" s="118"/>
      <c r="F66" s="118"/>
      <c r="G66" s="119" t="str">
        <f>IF(tblProcurement2026[[#This Row],[Committed (All Expenses)]]=0,"",tblProcurement2026[[#This Row],[Paid/Realised]]/tblProcurement2026[[#This Row],[Committed (All Expenses)]])</f>
        <v/>
      </c>
      <c r="H66" s="120" t="e" cm="1">
        <f t="array" aca="1" ref="H66" ca="1">_xlfn.LET(_xlpm.p,tblProcurement2026[[#This Row],[Project Name]], _xlpm.nxt,MIN( IF((#REF!=_xlpm.p)*(#REF!&gt;TODAY()),#REF!)), IF(_xlpm.nxt=0,"",_xlpm.nxt-TODAY()))</f>
        <v>#REF!</v>
      </c>
      <c r="J66" s="118"/>
      <c r="K66" s="121"/>
      <c r="M66" s="118"/>
      <c r="N66" s="121"/>
      <c r="Q66" s="118"/>
      <c r="R66" s="118"/>
    </row>
    <row r="67" spans="1:18">
      <c r="A67" t="str" cm="1">
        <f t="array" ref="A67">_xlfn.LET(_xlpm.src,TRIM(#REF!), _xlpm.u,_xlfn._xlws.SORT(_xlfn.UNIQUE(_xlfn._xlws.FILTER(_xlpm.src,_xlpm.src&lt;&gt;""))), IFERROR(INDEX(_xlpm.u,ROWS(A$2:A67)),""))</f>
        <v/>
      </c>
      <c r="B67" s="118"/>
      <c r="C67" s="118"/>
      <c r="D67" s="118"/>
      <c r="E67" s="118"/>
      <c r="F67" s="118"/>
      <c r="G67" s="119" t="str">
        <f>IF(tblProcurement2026[[#This Row],[Committed (All Expenses)]]=0,"",tblProcurement2026[[#This Row],[Paid/Realised]]/tblProcurement2026[[#This Row],[Committed (All Expenses)]])</f>
        <v/>
      </c>
      <c r="H67" s="120" t="e" cm="1">
        <f t="array" aca="1" ref="H67" ca="1">_xlfn.LET(_xlpm.p,tblProcurement2026[[#This Row],[Project Name]], _xlpm.nxt,MIN( IF((#REF!=_xlpm.p)*(#REF!&gt;TODAY()),#REF!)), IF(_xlpm.nxt=0,"",_xlpm.nxt-TODAY()))</f>
        <v>#REF!</v>
      </c>
      <c r="J67" s="118"/>
      <c r="K67" s="121"/>
      <c r="M67" s="118"/>
      <c r="N67" s="121"/>
      <c r="Q67" s="118"/>
      <c r="R67" s="118"/>
    </row>
    <row r="68" spans="1:18">
      <c r="A68" t="str" cm="1">
        <f t="array" ref="A68">_xlfn.LET(_xlpm.src,TRIM(#REF!), _xlpm.u,_xlfn._xlws.SORT(_xlfn.UNIQUE(_xlfn._xlws.FILTER(_xlpm.src,_xlpm.src&lt;&gt;""))), IFERROR(INDEX(_xlpm.u,ROWS(A$2:A68)),""))</f>
        <v/>
      </c>
      <c r="B68" s="118"/>
      <c r="C68" s="118"/>
      <c r="D68" s="118"/>
      <c r="E68" s="118"/>
      <c r="F68" s="118"/>
      <c r="G68" s="119" t="str">
        <f>IF(tblProcurement2026[[#This Row],[Committed (All Expenses)]]=0,"",tblProcurement2026[[#This Row],[Paid/Realised]]/tblProcurement2026[[#This Row],[Committed (All Expenses)]])</f>
        <v/>
      </c>
      <c r="H68" s="120" t="e" cm="1">
        <f t="array" aca="1" ref="H68" ca="1">_xlfn.LET(_xlpm.p,tblProcurement2026[[#This Row],[Project Name]], _xlpm.nxt,MIN( IF((#REF!=_xlpm.p)*(#REF!&gt;TODAY()),#REF!)), IF(_xlpm.nxt=0,"",_xlpm.nxt-TODAY()))</f>
        <v>#REF!</v>
      </c>
      <c r="J68" s="118"/>
      <c r="K68" s="121"/>
      <c r="M68" s="118"/>
      <c r="N68" s="121"/>
      <c r="Q68" s="118"/>
      <c r="R68" s="118"/>
    </row>
    <row r="69" spans="1:18">
      <c r="A69" t="str" cm="1">
        <f t="array" ref="A69">_xlfn.LET(_xlpm.src,TRIM(#REF!), _xlpm.u,_xlfn._xlws.SORT(_xlfn.UNIQUE(_xlfn._xlws.FILTER(_xlpm.src,_xlpm.src&lt;&gt;""))), IFERROR(INDEX(_xlpm.u,ROWS(A$2:A69)),""))</f>
        <v/>
      </c>
      <c r="B69" s="118"/>
      <c r="C69" s="118"/>
      <c r="D69" s="118"/>
      <c r="E69" s="118"/>
      <c r="F69" s="118"/>
      <c r="G69" s="119" t="str">
        <f>IF(tblProcurement2026[[#This Row],[Committed (All Expenses)]]=0,"",tblProcurement2026[[#This Row],[Paid/Realised]]/tblProcurement2026[[#This Row],[Committed (All Expenses)]])</f>
        <v/>
      </c>
      <c r="H69" s="120" t="e" cm="1">
        <f t="array" aca="1" ref="H69" ca="1">_xlfn.LET(_xlpm.p,tblProcurement2026[[#This Row],[Project Name]], _xlpm.nxt,MIN( IF((#REF!=_xlpm.p)*(#REF!&gt;TODAY()),#REF!)), IF(_xlpm.nxt=0,"",_xlpm.nxt-TODAY()))</f>
        <v>#REF!</v>
      </c>
      <c r="J69" s="118"/>
      <c r="K69" s="121"/>
      <c r="M69" s="118"/>
      <c r="N69" s="121"/>
      <c r="Q69" s="118"/>
      <c r="R69" s="118"/>
    </row>
    <row r="70" spans="1:18">
      <c r="A70" t="str" cm="1">
        <f t="array" ref="A70">_xlfn.LET(_xlpm.src,TRIM(#REF!), _xlpm.u,_xlfn._xlws.SORT(_xlfn.UNIQUE(_xlfn._xlws.FILTER(_xlpm.src,_xlpm.src&lt;&gt;""))), IFERROR(INDEX(_xlpm.u,ROWS(A$2:A70)),""))</f>
        <v/>
      </c>
      <c r="B70" s="118"/>
      <c r="C70" s="118"/>
      <c r="D70" s="118"/>
      <c r="E70" s="118"/>
      <c r="F70" s="118"/>
      <c r="G70" s="119" t="str">
        <f>IF(tblProcurement2026[[#This Row],[Committed (All Expenses)]]=0,"",tblProcurement2026[[#This Row],[Paid/Realised]]/tblProcurement2026[[#This Row],[Committed (All Expenses)]])</f>
        <v/>
      </c>
      <c r="H70" s="120" t="e" cm="1">
        <f t="array" aca="1" ref="H70" ca="1">_xlfn.LET(_xlpm.p,tblProcurement2026[[#This Row],[Project Name]], _xlpm.nxt,MIN( IF((#REF!=_xlpm.p)*(#REF!&gt;TODAY()),#REF!)), IF(_xlpm.nxt=0,"",_xlpm.nxt-TODAY()))</f>
        <v>#REF!</v>
      </c>
      <c r="J70" s="118"/>
      <c r="K70" s="121"/>
      <c r="M70" s="118"/>
      <c r="N70" s="121"/>
      <c r="Q70" s="118"/>
      <c r="R70" s="118"/>
    </row>
    <row r="71" spans="1:18">
      <c r="A71" t="str" cm="1">
        <f t="array" ref="A71">_xlfn.LET(_xlpm.src,TRIM(#REF!), _xlpm.u,_xlfn._xlws.SORT(_xlfn.UNIQUE(_xlfn._xlws.FILTER(_xlpm.src,_xlpm.src&lt;&gt;""))), IFERROR(INDEX(_xlpm.u,ROWS(A$2:A71)),""))</f>
        <v/>
      </c>
      <c r="B71" s="118"/>
      <c r="C71" s="118"/>
      <c r="D71" s="118"/>
      <c r="E71" s="118"/>
      <c r="F71" s="118"/>
      <c r="G71" s="119" t="str">
        <f>IF(tblProcurement2026[[#This Row],[Committed (All Expenses)]]=0,"",tblProcurement2026[[#This Row],[Paid/Realised]]/tblProcurement2026[[#This Row],[Committed (All Expenses)]])</f>
        <v/>
      </c>
      <c r="H71" s="120" t="e" cm="1">
        <f t="array" aca="1" ref="H71" ca="1">_xlfn.LET(_xlpm.p,tblProcurement2026[[#This Row],[Project Name]], _xlpm.nxt,MIN( IF((#REF!=_xlpm.p)*(#REF!&gt;TODAY()),#REF!)), IF(_xlpm.nxt=0,"",_xlpm.nxt-TODAY()))</f>
        <v>#REF!</v>
      </c>
      <c r="J71" s="118"/>
      <c r="K71" s="121"/>
      <c r="M71" s="118"/>
      <c r="N71" s="121"/>
      <c r="Q71" s="118"/>
      <c r="R71" s="118"/>
    </row>
    <row r="72" spans="1:18">
      <c r="A72" t="str" cm="1">
        <f t="array" ref="A72">_xlfn.LET(_xlpm.src,TRIM(#REF!), _xlpm.u,_xlfn._xlws.SORT(_xlfn.UNIQUE(_xlfn._xlws.FILTER(_xlpm.src,_xlpm.src&lt;&gt;""))), IFERROR(INDEX(_xlpm.u,ROWS(A$2:A72)),""))</f>
        <v/>
      </c>
      <c r="B72" s="118"/>
      <c r="C72" s="118"/>
      <c r="D72" s="118"/>
      <c r="E72" s="118"/>
      <c r="F72" s="118"/>
      <c r="G72" s="119" t="str">
        <f>IF(tblProcurement2026[[#This Row],[Committed (All Expenses)]]=0,"",tblProcurement2026[[#This Row],[Paid/Realised]]/tblProcurement2026[[#This Row],[Committed (All Expenses)]])</f>
        <v/>
      </c>
      <c r="H72" s="120" t="e" cm="1">
        <f t="array" aca="1" ref="H72" ca="1">_xlfn.LET(_xlpm.p,tblProcurement2026[[#This Row],[Project Name]], _xlpm.nxt,MIN( IF((#REF!=_xlpm.p)*(#REF!&gt;TODAY()),#REF!)), IF(_xlpm.nxt=0,"",_xlpm.nxt-TODAY()))</f>
        <v>#REF!</v>
      </c>
      <c r="J72" s="118"/>
      <c r="K72" s="121"/>
      <c r="M72" s="118"/>
      <c r="N72" s="121"/>
      <c r="Q72" s="118"/>
      <c r="R72" s="118"/>
    </row>
    <row r="73" spans="1:18">
      <c r="A73" t="str" cm="1">
        <f t="array" ref="A73">_xlfn.LET(_xlpm.src,TRIM(#REF!), _xlpm.u,_xlfn._xlws.SORT(_xlfn.UNIQUE(_xlfn._xlws.FILTER(_xlpm.src,_xlpm.src&lt;&gt;""))), IFERROR(INDEX(_xlpm.u,ROWS(A$2:A73)),""))</f>
        <v/>
      </c>
      <c r="B73" s="118"/>
      <c r="C73" s="118"/>
      <c r="D73" s="118"/>
      <c r="E73" s="118"/>
      <c r="F73" s="118"/>
      <c r="G73" s="119" t="str">
        <f>IF(tblProcurement2026[[#This Row],[Committed (All Expenses)]]=0,"",tblProcurement2026[[#This Row],[Paid/Realised]]/tblProcurement2026[[#This Row],[Committed (All Expenses)]])</f>
        <v/>
      </c>
      <c r="H73" s="120" t="e" cm="1">
        <f t="array" aca="1" ref="H73" ca="1">_xlfn.LET(_xlpm.p,tblProcurement2026[[#This Row],[Project Name]], _xlpm.nxt,MIN( IF((#REF!=_xlpm.p)*(#REF!&gt;TODAY()),#REF!)), IF(_xlpm.nxt=0,"",_xlpm.nxt-TODAY()))</f>
        <v>#REF!</v>
      </c>
      <c r="J73" s="118"/>
      <c r="K73" s="121"/>
      <c r="M73" s="118"/>
      <c r="N73" s="121"/>
      <c r="Q73" s="118"/>
      <c r="R73" s="118"/>
    </row>
    <row r="74" spans="1:18">
      <c r="A74" t="str" cm="1">
        <f t="array" ref="A74">_xlfn.LET(_xlpm.src,TRIM(#REF!), _xlpm.u,_xlfn._xlws.SORT(_xlfn.UNIQUE(_xlfn._xlws.FILTER(_xlpm.src,_xlpm.src&lt;&gt;""))), IFERROR(INDEX(_xlpm.u,ROWS(A$2:A74)),""))</f>
        <v/>
      </c>
      <c r="B74" s="118"/>
      <c r="C74" s="118"/>
      <c r="D74" s="118"/>
      <c r="E74" s="118"/>
      <c r="F74" s="118"/>
      <c r="G74" s="119" t="str">
        <f>IF(tblProcurement2026[[#This Row],[Committed (All Expenses)]]=0,"",tblProcurement2026[[#This Row],[Paid/Realised]]/tblProcurement2026[[#This Row],[Committed (All Expenses)]])</f>
        <v/>
      </c>
      <c r="H74" s="120" t="e" cm="1">
        <f t="array" aca="1" ref="H74" ca="1">_xlfn.LET(_xlpm.p,tblProcurement2026[[#This Row],[Project Name]], _xlpm.nxt,MIN( IF((#REF!=_xlpm.p)*(#REF!&gt;TODAY()),#REF!)), IF(_xlpm.nxt=0,"",_xlpm.nxt-TODAY()))</f>
        <v>#REF!</v>
      </c>
      <c r="J74" s="118"/>
      <c r="K74" s="121"/>
      <c r="M74" s="118"/>
      <c r="N74" s="121"/>
      <c r="Q74" s="118"/>
      <c r="R74" s="118"/>
    </row>
    <row r="75" spans="1:18">
      <c r="A75" t="str" cm="1">
        <f t="array" ref="A75">_xlfn.LET(_xlpm.src,TRIM(#REF!), _xlpm.u,_xlfn._xlws.SORT(_xlfn.UNIQUE(_xlfn._xlws.FILTER(_xlpm.src,_xlpm.src&lt;&gt;""))), IFERROR(INDEX(_xlpm.u,ROWS(A$2:A75)),""))</f>
        <v/>
      </c>
      <c r="B75" s="118"/>
      <c r="C75" s="118"/>
      <c r="D75" s="118"/>
      <c r="E75" s="118"/>
      <c r="F75" s="118"/>
      <c r="G75" s="119" t="str">
        <f>IF(tblProcurement2026[[#This Row],[Committed (All Expenses)]]=0,"",tblProcurement2026[[#This Row],[Paid/Realised]]/tblProcurement2026[[#This Row],[Committed (All Expenses)]])</f>
        <v/>
      </c>
      <c r="H75" s="120" t="e" cm="1">
        <f t="array" aca="1" ref="H75" ca="1">_xlfn.LET(_xlpm.p,tblProcurement2026[[#This Row],[Project Name]], _xlpm.nxt,MIN( IF((#REF!=_xlpm.p)*(#REF!&gt;TODAY()),#REF!)), IF(_xlpm.nxt=0,"",_xlpm.nxt-TODAY()))</f>
        <v>#REF!</v>
      </c>
      <c r="J75" s="118"/>
      <c r="K75" s="121"/>
      <c r="M75" s="118"/>
      <c r="N75" s="121"/>
      <c r="Q75" s="118"/>
      <c r="R75" s="118"/>
    </row>
    <row r="76" spans="1:18">
      <c r="A76" t="str" cm="1">
        <f t="array" ref="A76">_xlfn.LET(_xlpm.src,TRIM(#REF!), _xlpm.u,_xlfn._xlws.SORT(_xlfn.UNIQUE(_xlfn._xlws.FILTER(_xlpm.src,_xlpm.src&lt;&gt;""))), IFERROR(INDEX(_xlpm.u,ROWS(A$2:A76)),""))</f>
        <v/>
      </c>
      <c r="B76" s="118"/>
      <c r="C76" s="118"/>
      <c r="D76" s="118"/>
      <c r="E76" s="118"/>
      <c r="F76" s="118"/>
      <c r="G76" s="119" t="str">
        <f>IF(tblProcurement2026[[#This Row],[Committed (All Expenses)]]=0,"",tblProcurement2026[[#This Row],[Paid/Realised]]/tblProcurement2026[[#This Row],[Committed (All Expenses)]])</f>
        <v/>
      </c>
      <c r="H76" s="120" t="e" cm="1">
        <f t="array" aca="1" ref="H76" ca="1">_xlfn.LET(_xlpm.p,tblProcurement2026[[#This Row],[Project Name]], _xlpm.nxt,MIN( IF((#REF!=_xlpm.p)*(#REF!&gt;TODAY()),#REF!)), IF(_xlpm.nxt=0,"",_xlpm.nxt-TODAY()))</f>
        <v>#REF!</v>
      </c>
      <c r="J76" s="118"/>
      <c r="K76" s="121"/>
      <c r="M76" s="118"/>
      <c r="N76" s="121"/>
      <c r="Q76" s="118"/>
      <c r="R76" s="118"/>
    </row>
    <row r="77" spans="1:18">
      <c r="A77" t="str" cm="1">
        <f t="array" ref="A77">_xlfn.LET(_xlpm.src,TRIM(#REF!), _xlpm.u,_xlfn._xlws.SORT(_xlfn.UNIQUE(_xlfn._xlws.FILTER(_xlpm.src,_xlpm.src&lt;&gt;""))), IFERROR(INDEX(_xlpm.u,ROWS(A$2:A77)),""))</f>
        <v/>
      </c>
      <c r="B77" s="118"/>
      <c r="C77" s="118"/>
      <c r="D77" s="118"/>
      <c r="E77" s="118"/>
      <c r="F77" s="118"/>
      <c r="G77" s="119" t="str">
        <f>IF(tblProcurement2026[[#This Row],[Committed (All Expenses)]]=0,"",tblProcurement2026[[#This Row],[Paid/Realised]]/tblProcurement2026[[#This Row],[Committed (All Expenses)]])</f>
        <v/>
      </c>
      <c r="H77" s="120" t="e" cm="1">
        <f t="array" aca="1" ref="H77" ca="1">_xlfn.LET(_xlpm.p,tblProcurement2026[[#This Row],[Project Name]], _xlpm.nxt,MIN( IF((#REF!=_xlpm.p)*(#REF!&gt;TODAY()),#REF!)), IF(_xlpm.nxt=0,"",_xlpm.nxt-TODAY()))</f>
        <v>#REF!</v>
      </c>
      <c r="J77" s="118"/>
      <c r="K77" s="121"/>
      <c r="M77" s="118"/>
      <c r="N77" s="121"/>
      <c r="Q77" s="118"/>
      <c r="R77" s="118"/>
    </row>
    <row r="78" spans="1:18">
      <c r="A78" t="str" cm="1">
        <f t="array" ref="A78">_xlfn.LET(_xlpm.src,TRIM(#REF!), _xlpm.u,_xlfn._xlws.SORT(_xlfn.UNIQUE(_xlfn._xlws.FILTER(_xlpm.src,_xlpm.src&lt;&gt;""))), IFERROR(INDEX(_xlpm.u,ROWS(A$2:A78)),""))</f>
        <v/>
      </c>
      <c r="B78" s="118"/>
      <c r="C78" s="118"/>
      <c r="D78" s="118"/>
      <c r="E78" s="118"/>
      <c r="F78" s="118"/>
      <c r="G78" s="119" t="str">
        <f>IF(tblProcurement2026[[#This Row],[Committed (All Expenses)]]=0,"",tblProcurement2026[[#This Row],[Paid/Realised]]/tblProcurement2026[[#This Row],[Committed (All Expenses)]])</f>
        <v/>
      </c>
      <c r="H78" s="120" t="e" cm="1">
        <f t="array" aca="1" ref="H78" ca="1">_xlfn.LET(_xlpm.p,tblProcurement2026[[#This Row],[Project Name]], _xlpm.nxt,MIN( IF((#REF!=_xlpm.p)*(#REF!&gt;TODAY()),#REF!)), IF(_xlpm.nxt=0,"",_xlpm.nxt-TODAY()))</f>
        <v>#REF!</v>
      </c>
      <c r="J78" s="118"/>
      <c r="K78" s="121"/>
      <c r="M78" s="118"/>
      <c r="N78" s="121"/>
      <c r="Q78" s="118"/>
      <c r="R78" s="118"/>
    </row>
    <row r="79" spans="1:18">
      <c r="A79" t="str" cm="1">
        <f t="array" ref="A79">_xlfn.LET(_xlpm.src,TRIM(#REF!), _xlpm.u,_xlfn._xlws.SORT(_xlfn.UNIQUE(_xlfn._xlws.FILTER(_xlpm.src,_xlpm.src&lt;&gt;""))), IFERROR(INDEX(_xlpm.u,ROWS(A$2:A79)),""))</f>
        <v/>
      </c>
      <c r="B79" s="118"/>
      <c r="C79" s="118"/>
      <c r="D79" s="118"/>
      <c r="E79" s="118"/>
      <c r="F79" s="118"/>
      <c r="G79" s="119" t="str">
        <f>IF(tblProcurement2026[[#This Row],[Committed (All Expenses)]]=0,"",tblProcurement2026[[#This Row],[Paid/Realised]]/tblProcurement2026[[#This Row],[Committed (All Expenses)]])</f>
        <v/>
      </c>
      <c r="H79" s="120" t="e" cm="1">
        <f t="array" aca="1" ref="H79" ca="1">_xlfn.LET(_xlpm.p,tblProcurement2026[[#This Row],[Project Name]], _xlpm.nxt,MIN( IF((#REF!=_xlpm.p)*(#REF!&gt;TODAY()),#REF!)), IF(_xlpm.nxt=0,"",_xlpm.nxt-TODAY()))</f>
        <v>#REF!</v>
      </c>
      <c r="J79" s="118"/>
      <c r="K79" s="121"/>
      <c r="M79" s="118"/>
      <c r="N79" s="121"/>
      <c r="Q79" s="118"/>
      <c r="R79" s="118"/>
    </row>
    <row r="80" spans="1:18">
      <c r="A80" t="str" cm="1">
        <f t="array" ref="A80">_xlfn.LET(_xlpm.src,TRIM(#REF!), _xlpm.u,_xlfn._xlws.SORT(_xlfn.UNIQUE(_xlfn._xlws.FILTER(_xlpm.src,_xlpm.src&lt;&gt;""))), IFERROR(INDEX(_xlpm.u,ROWS(A$2:A80)),""))</f>
        <v/>
      </c>
      <c r="B80" s="118"/>
      <c r="C80" s="118"/>
      <c r="D80" s="118"/>
      <c r="E80" s="118"/>
      <c r="F80" s="118"/>
      <c r="G80" s="119" t="str">
        <f>IF(tblProcurement2026[[#This Row],[Committed (All Expenses)]]=0,"",tblProcurement2026[[#This Row],[Paid/Realised]]/tblProcurement2026[[#This Row],[Committed (All Expenses)]])</f>
        <v/>
      </c>
      <c r="H80" s="120" t="e" cm="1">
        <f t="array" aca="1" ref="H80" ca="1">_xlfn.LET(_xlpm.p,tblProcurement2026[[#This Row],[Project Name]], _xlpm.nxt,MIN( IF((#REF!=_xlpm.p)*(#REF!&gt;TODAY()),#REF!)), IF(_xlpm.nxt=0,"",_xlpm.nxt-TODAY()))</f>
        <v>#REF!</v>
      </c>
      <c r="J80" s="118"/>
      <c r="K80" s="121"/>
      <c r="M80" s="118"/>
      <c r="N80" s="121"/>
      <c r="Q80" s="118"/>
      <c r="R80" s="118"/>
    </row>
    <row r="81" spans="1:18">
      <c r="A81" t="str" cm="1">
        <f t="array" ref="A81">_xlfn.LET(_xlpm.src,TRIM(#REF!), _xlpm.u,_xlfn._xlws.SORT(_xlfn.UNIQUE(_xlfn._xlws.FILTER(_xlpm.src,_xlpm.src&lt;&gt;""))), IFERROR(INDEX(_xlpm.u,ROWS(A$2:A81)),""))</f>
        <v/>
      </c>
      <c r="B81" s="118"/>
      <c r="C81" s="118"/>
      <c r="D81" s="118"/>
      <c r="E81" s="118"/>
      <c r="F81" s="118"/>
      <c r="G81" s="119" t="str">
        <f>IF(tblProcurement2026[[#This Row],[Committed (All Expenses)]]=0,"",tblProcurement2026[[#This Row],[Paid/Realised]]/tblProcurement2026[[#This Row],[Committed (All Expenses)]])</f>
        <v/>
      </c>
      <c r="H81" s="120" t="e" cm="1">
        <f t="array" aca="1" ref="H81" ca="1">_xlfn.LET(_xlpm.p,tblProcurement2026[[#This Row],[Project Name]], _xlpm.nxt,MIN( IF((#REF!=_xlpm.p)*(#REF!&gt;TODAY()),#REF!)), IF(_xlpm.nxt=0,"",_xlpm.nxt-TODAY()))</f>
        <v>#REF!</v>
      </c>
      <c r="J81" s="118"/>
      <c r="K81" s="121"/>
      <c r="M81" s="118"/>
      <c r="N81" s="121"/>
      <c r="Q81" s="118"/>
      <c r="R81" s="118"/>
    </row>
    <row r="82" spans="1:18">
      <c r="A82" t="str" cm="1">
        <f t="array" ref="A82">_xlfn.LET(_xlpm.src,TRIM(#REF!), _xlpm.u,_xlfn._xlws.SORT(_xlfn.UNIQUE(_xlfn._xlws.FILTER(_xlpm.src,_xlpm.src&lt;&gt;""))), IFERROR(INDEX(_xlpm.u,ROWS(A$2:A82)),""))</f>
        <v/>
      </c>
      <c r="B82" s="118"/>
      <c r="C82" s="118"/>
      <c r="D82" s="118"/>
      <c r="E82" s="118"/>
      <c r="F82" s="118"/>
      <c r="G82" s="119" t="str">
        <f>IF(tblProcurement2026[[#This Row],[Committed (All Expenses)]]=0,"",tblProcurement2026[[#This Row],[Paid/Realised]]/tblProcurement2026[[#This Row],[Committed (All Expenses)]])</f>
        <v/>
      </c>
      <c r="H82" s="120" t="e" cm="1">
        <f t="array" aca="1" ref="H82" ca="1">_xlfn.LET(_xlpm.p,tblProcurement2026[[#This Row],[Project Name]], _xlpm.nxt,MIN( IF((#REF!=_xlpm.p)*(#REF!&gt;TODAY()),#REF!)), IF(_xlpm.nxt=0,"",_xlpm.nxt-TODAY()))</f>
        <v>#REF!</v>
      </c>
      <c r="J82" s="118"/>
      <c r="K82" s="121"/>
      <c r="M82" s="118"/>
      <c r="N82" s="121"/>
      <c r="Q82" s="118"/>
      <c r="R82" s="118"/>
    </row>
    <row r="83" spans="1:18">
      <c r="A83" t="str" cm="1">
        <f t="array" ref="A83">_xlfn.LET(_xlpm.src,TRIM(#REF!), _xlpm.u,_xlfn._xlws.SORT(_xlfn.UNIQUE(_xlfn._xlws.FILTER(_xlpm.src,_xlpm.src&lt;&gt;""))), IFERROR(INDEX(_xlpm.u,ROWS(A$2:A83)),""))</f>
        <v/>
      </c>
      <c r="B83" s="118"/>
      <c r="C83" s="118"/>
      <c r="D83" s="118"/>
      <c r="E83" s="118"/>
      <c r="F83" s="118"/>
      <c r="G83" s="119" t="str">
        <f>IF(tblProcurement2026[[#This Row],[Committed (All Expenses)]]=0,"",tblProcurement2026[[#This Row],[Paid/Realised]]/tblProcurement2026[[#This Row],[Committed (All Expenses)]])</f>
        <v/>
      </c>
      <c r="H83" s="120" t="e" cm="1">
        <f t="array" aca="1" ref="H83" ca="1">_xlfn.LET(_xlpm.p,tblProcurement2026[[#This Row],[Project Name]], _xlpm.nxt,MIN( IF((#REF!=_xlpm.p)*(#REF!&gt;TODAY()),#REF!)), IF(_xlpm.nxt=0,"",_xlpm.nxt-TODAY()))</f>
        <v>#REF!</v>
      </c>
      <c r="J83" s="118"/>
      <c r="K83" s="121"/>
      <c r="M83" s="118"/>
      <c r="N83" s="121"/>
      <c r="Q83" s="118"/>
      <c r="R83" s="118"/>
    </row>
    <row r="84" spans="1:18">
      <c r="A84" t="str" cm="1">
        <f t="array" ref="A84">_xlfn.LET(_xlpm.src,TRIM(#REF!), _xlpm.u,_xlfn._xlws.SORT(_xlfn.UNIQUE(_xlfn._xlws.FILTER(_xlpm.src,_xlpm.src&lt;&gt;""))), IFERROR(INDEX(_xlpm.u,ROWS(A$2:A84)),""))</f>
        <v/>
      </c>
      <c r="B84" s="118"/>
      <c r="C84" s="118"/>
      <c r="D84" s="118"/>
      <c r="E84" s="118"/>
      <c r="F84" s="118"/>
      <c r="G84" s="119" t="str">
        <f>IF(tblProcurement2026[[#This Row],[Committed (All Expenses)]]=0,"",tblProcurement2026[[#This Row],[Paid/Realised]]/tblProcurement2026[[#This Row],[Committed (All Expenses)]])</f>
        <v/>
      </c>
      <c r="H84" s="120" t="e" cm="1">
        <f t="array" aca="1" ref="H84" ca="1">_xlfn.LET(_xlpm.p,tblProcurement2026[[#This Row],[Project Name]], _xlpm.nxt,MIN( IF((#REF!=_xlpm.p)*(#REF!&gt;TODAY()),#REF!)), IF(_xlpm.nxt=0,"",_xlpm.nxt-TODAY()))</f>
        <v>#REF!</v>
      </c>
      <c r="J84" s="118"/>
      <c r="K84" s="121"/>
      <c r="M84" s="118"/>
      <c r="N84" s="121"/>
      <c r="Q84" s="118"/>
      <c r="R84" s="118"/>
    </row>
    <row r="85" spans="1:18">
      <c r="A85" t="str" cm="1">
        <f t="array" ref="A85">_xlfn.LET(_xlpm.src,TRIM(#REF!), _xlpm.u,_xlfn._xlws.SORT(_xlfn.UNIQUE(_xlfn._xlws.FILTER(_xlpm.src,_xlpm.src&lt;&gt;""))), IFERROR(INDEX(_xlpm.u,ROWS(A$2:A85)),""))</f>
        <v/>
      </c>
      <c r="B85" s="118"/>
      <c r="C85" s="118"/>
      <c r="D85" s="118"/>
      <c r="E85" s="118"/>
      <c r="F85" s="118"/>
      <c r="G85" s="119" t="str">
        <f>IF(tblProcurement2026[[#This Row],[Committed (All Expenses)]]=0,"",tblProcurement2026[[#This Row],[Paid/Realised]]/tblProcurement2026[[#This Row],[Committed (All Expenses)]])</f>
        <v/>
      </c>
      <c r="H85" s="120" t="e" cm="1">
        <f t="array" aca="1" ref="H85" ca="1">_xlfn.LET(_xlpm.p,tblProcurement2026[[#This Row],[Project Name]], _xlpm.nxt,MIN( IF((#REF!=_xlpm.p)*(#REF!&gt;TODAY()),#REF!)), IF(_xlpm.nxt=0,"",_xlpm.nxt-TODAY()))</f>
        <v>#REF!</v>
      </c>
      <c r="J85" s="118"/>
      <c r="K85" s="121"/>
      <c r="M85" s="118"/>
      <c r="N85" s="121"/>
      <c r="Q85" s="118"/>
      <c r="R85" s="118"/>
    </row>
    <row r="86" spans="1:18">
      <c r="A86" t="str" cm="1">
        <f t="array" ref="A86">_xlfn.LET(_xlpm.src,TRIM(#REF!), _xlpm.u,_xlfn._xlws.SORT(_xlfn.UNIQUE(_xlfn._xlws.FILTER(_xlpm.src,_xlpm.src&lt;&gt;""))), IFERROR(INDEX(_xlpm.u,ROWS(A$2:A86)),""))</f>
        <v/>
      </c>
      <c r="B86" s="118"/>
      <c r="C86" s="118"/>
      <c r="D86" s="118"/>
      <c r="E86" s="118"/>
      <c r="F86" s="118"/>
      <c r="G86" s="119" t="str">
        <f>IF(tblProcurement2026[[#This Row],[Committed (All Expenses)]]=0,"",tblProcurement2026[[#This Row],[Paid/Realised]]/tblProcurement2026[[#This Row],[Committed (All Expenses)]])</f>
        <v/>
      </c>
      <c r="H86" s="120" t="e" cm="1">
        <f t="array" aca="1" ref="H86" ca="1">_xlfn.LET(_xlpm.p,tblProcurement2026[[#This Row],[Project Name]], _xlpm.nxt,MIN( IF((#REF!=_xlpm.p)*(#REF!&gt;TODAY()),#REF!)), IF(_xlpm.nxt=0,"",_xlpm.nxt-TODAY()))</f>
        <v>#REF!</v>
      </c>
      <c r="J86" s="118"/>
      <c r="K86" s="121"/>
      <c r="M86" s="118"/>
      <c r="N86" s="121"/>
      <c r="Q86" s="118"/>
      <c r="R86" s="118"/>
    </row>
    <row r="87" spans="1:18">
      <c r="A87" t="str" cm="1">
        <f t="array" ref="A87">_xlfn.LET(_xlpm.src,TRIM(#REF!), _xlpm.u,_xlfn._xlws.SORT(_xlfn.UNIQUE(_xlfn._xlws.FILTER(_xlpm.src,_xlpm.src&lt;&gt;""))), IFERROR(INDEX(_xlpm.u,ROWS(A$2:A87)),""))</f>
        <v/>
      </c>
      <c r="B87" s="118"/>
      <c r="C87" s="118"/>
      <c r="D87" s="118"/>
      <c r="E87" s="118"/>
      <c r="F87" s="118"/>
      <c r="G87" s="119" t="str">
        <f>IF(tblProcurement2026[[#This Row],[Committed (All Expenses)]]=0,"",tblProcurement2026[[#This Row],[Paid/Realised]]/tblProcurement2026[[#This Row],[Committed (All Expenses)]])</f>
        <v/>
      </c>
      <c r="H87" s="120" t="e" cm="1">
        <f t="array" aca="1" ref="H87" ca="1">_xlfn.LET(_xlpm.p,tblProcurement2026[[#This Row],[Project Name]], _xlpm.nxt,MIN( IF((#REF!=_xlpm.p)*(#REF!&gt;TODAY()),#REF!)), IF(_xlpm.nxt=0,"",_xlpm.nxt-TODAY()))</f>
        <v>#REF!</v>
      </c>
      <c r="J87" s="118"/>
      <c r="K87" s="121"/>
      <c r="M87" s="118"/>
      <c r="N87" s="121"/>
      <c r="Q87" s="118"/>
      <c r="R87" s="118"/>
    </row>
    <row r="88" spans="1:18">
      <c r="A88" t="str" cm="1">
        <f t="array" ref="A88">_xlfn.LET(_xlpm.src,TRIM(#REF!), _xlpm.u,_xlfn._xlws.SORT(_xlfn.UNIQUE(_xlfn._xlws.FILTER(_xlpm.src,_xlpm.src&lt;&gt;""))), IFERROR(INDEX(_xlpm.u,ROWS(A$2:A88)),""))</f>
        <v/>
      </c>
      <c r="B88" s="118"/>
      <c r="C88" s="118"/>
      <c r="D88" s="118"/>
      <c r="E88" s="118"/>
      <c r="F88" s="118"/>
      <c r="G88" s="119" t="str">
        <f>IF(tblProcurement2026[[#This Row],[Committed (All Expenses)]]=0,"",tblProcurement2026[[#This Row],[Paid/Realised]]/tblProcurement2026[[#This Row],[Committed (All Expenses)]])</f>
        <v/>
      </c>
      <c r="H88" s="120" t="e" cm="1">
        <f t="array" aca="1" ref="H88" ca="1">_xlfn.LET(_xlpm.p,tblProcurement2026[[#This Row],[Project Name]], _xlpm.nxt,MIN( IF((#REF!=_xlpm.p)*(#REF!&gt;TODAY()),#REF!)), IF(_xlpm.nxt=0,"",_xlpm.nxt-TODAY()))</f>
        <v>#REF!</v>
      </c>
      <c r="J88" s="118"/>
      <c r="K88" s="121"/>
      <c r="M88" s="118"/>
      <c r="N88" s="121"/>
      <c r="Q88" s="118"/>
      <c r="R88" s="118"/>
    </row>
    <row r="89" spans="1:18">
      <c r="A89" t="str" cm="1">
        <f t="array" ref="A89">_xlfn.LET(_xlpm.src,TRIM(#REF!), _xlpm.u,_xlfn._xlws.SORT(_xlfn.UNIQUE(_xlfn._xlws.FILTER(_xlpm.src,_xlpm.src&lt;&gt;""))), IFERROR(INDEX(_xlpm.u,ROWS(A$2:A89)),""))</f>
        <v/>
      </c>
      <c r="B89" s="118"/>
      <c r="C89" s="118"/>
      <c r="D89" s="118"/>
      <c r="E89" s="118"/>
      <c r="F89" s="118"/>
      <c r="G89" s="119" t="str">
        <f>IF(tblProcurement2026[[#This Row],[Committed (All Expenses)]]=0,"",tblProcurement2026[[#This Row],[Paid/Realised]]/tblProcurement2026[[#This Row],[Committed (All Expenses)]])</f>
        <v/>
      </c>
      <c r="H89" s="120" t="e" cm="1">
        <f t="array" aca="1" ref="H89" ca="1">_xlfn.LET(_xlpm.p,tblProcurement2026[[#This Row],[Project Name]], _xlpm.nxt,MIN( IF((#REF!=_xlpm.p)*(#REF!&gt;TODAY()),#REF!)), IF(_xlpm.nxt=0,"",_xlpm.nxt-TODAY()))</f>
        <v>#REF!</v>
      </c>
      <c r="J89" s="118"/>
      <c r="K89" s="121"/>
      <c r="M89" s="118"/>
      <c r="N89" s="121"/>
      <c r="Q89" s="118"/>
      <c r="R89" s="118"/>
    </row>
    <row r="90" spans="1:18">
      <c r="A90" t="str" cm="1">
        <f t="array" ref="A90">_xlfn.LET(_xlpm.src,TRIM(#REF!), _xlpm.u,_xlfn._xlws.SORT(_xlfn.UNIQUE(_xlfn._xlws.FILTER(_xlpm.src,_xlpm.src&lt;&gt;""))), IFERROR(INDEX(_xlpm.u,ROWS(A$2:A90)),""))</f>
        <v/>
      </c>
      <c r="B90" s="118"/>
      <c r="C90" s="118"/>
      <c r="D90" s="118"/>
      <c r="E90" s="118"/>
      <c r="F90" s="118"/>
      <c r="G90" s="119" t="str">
        <f>IF(tblProcurement2026[[#This Row],[Committed (All Expenses)]]=0,"",tblProcurement2026[[#This Row],[Paid/Realised]]/tblProcurement2026[[#This Row],[Committed (All Expenses)]])</f>
        <v/>
      </c>
      <c r="H90" s="120" t="e" cm="1">
        <f t="array" aca="1" ref="H90" ca="1">_xlfn.LET(_xlpm.p,tblProcurement2026[[#This Row],[Project Name]], _xlpm.nxt,MIN( IF((#REF!=_xlpm.p)*(#REF!&gt;TODAY()),#REF!)), IF(_xlpm.nxt=0,"",_xlpm.nxt-TODAY()))</f>
        <v>#REF!</v>
      </c>
      <c r="J90" s="118"/>
      <c r="K90" s="121"/>
      <c r="M90" s="118"/>
      <c r="N90" s="121"/>
      <c r="Q90" s="118"/>
      <c r="R90" s="118"/>
    </row>
    <row r="91" spans="1:18">
      <c r="A91" t="str" cm="1">
        <f t="array" ref="A91">_xlfn.LET(_xlpm.src,TRIM(#REF!), _xlpm.u,_xlfn._xlws.SORT(_xlfn.UNIQUE(_xlfn._xlws.FILTER(_xlpm.src,_xlpm.src&lt;&gt;""))), IFERROR(INDEX(_xlpm.u,ROWS(A$2:A91)),""))</f>
        <v/>
      </c>
      <c r="B91" s="118"/>
      <c r="C91" s="118"/>
      <c r="D91" s="118"/>
      <c r="E91" s="118"/>
      <c r="F91" s="118"/>
      <c r="G91" s="119" t="str">
        <f>IF(tblProcurement2026[[#This Row],[Committed (All Expenses)]]=0,"",tblProcurement2026[[#This Row],[Paid/Realised]]/tblProcurement2026[[#This Row],[Committed (All Expenses)]])</f>
        <v/>
      </c>
      <c r="H91" s="120" t="e" cm="1">
        <f t="array" aca="1" ref="H91" ca="1">_xlfn.LET(_xlpm.p,tblProcurement2026[[#This Row],[Project Name]], _xlpm.nxt,MIN( IF((#REF!=_xlpm.p)*(#REF!&gt;TODAY()),#REF!)), IF(_xlpm.nxt=0,"",_xlpm.nxt-TODAY()))</f>
        <v>#REF!</v>
      </c>
      <c r="J91" s="118"/>
      <c r="K91" s="121"/>
      <c r="M91" s="118"/>
      <c r="N91" s="121"/>
      <c r="Q91" s="118"/>
      <c r="R91" s="118"/>
    </row>
    <row r="92" spans="1:18">
      <c r="A92" t="str" cm="1">
        <f t="array" ref="A92">_xlfn.LET(_xlpm.src,TRIM(#REF!), _xlpm.u,_xlfn._xlws.SORT(_xlfn.UNIQUE(_xlfn._xlws.FILTER(_xlpm.src,_xlpm.src&lt;&gt;""))), IFERROR(INDEX(_xlpm.u,ROWS(A$2:A92)),""))</f>
        <v/>
      </c>
      <c r="B92" s="118"/>
      <c r="C92" s="118"/>
      <c r="D92" s="118"/>
      <c r="E92" s="118"/>
      <c r="F92" s="118"/>
      <c r="G92" s="119" t="str">
        <f>IF(tblProcurement2026[[#This Row],[Committed (All Expenses)]]=0,"",tblProcurement2026[[#This Row],[Paid/Realised]]/tblProcurement2026[[#This Row],[Committed (All Expenses)]])</f>
        <v/>
      </c>
      <c r="H92" s="120" t="e" cm="1">
        <f t="array" aca="1" ref="H92" ca="1">_xlfn.LET(_xlpm.p,tblProcurement2026[[#This Row],[Project Name]], _xlpm.nxt,MIN( IF((#REF!=_xlpm.p)*(#REF!&gt;TODAY()),#REF!)), IF(_xlpm.nxt=0,"",_xlpm.nxt-TODAY()))</f>
        <v>#REF!</v>
      </c>
      <c r="J92" s="118"/>
      <c r="K92" s="121"/>
      <c r="M92" s="118"/>
      <c r="N92" s="121"/>
      <c r="Q92" s="118"/>
      <c r="R92" s="118"/>
    </row>
    <row r="93" spans="1:18">
      <c r="A93" t="str" cm="1">
        <f t="array" ref="A93">_xlfn.LET(_xlpm.src,TRIM(#REF!), _xlpm.u,_xlfn._xlws.SORT(_xlfn.UNIQUE(_xlfn._xlws.FILTER(_xlpm.src,_xlpm.src&lt;&gt;""))), IFERROR(INDEX(_xlpm.u,ROWS(A$2:A93)),""))</f>
        <v/>
      </c>
      <c r="B93" s="118"/>
      <c r="C93" s="118"/>
      <c r="D93" s="118"/>
      <c r="E93" s="118"/>
      <c r="F93" s="118"/>
      <c r="G93" s="119" t="str">
        <f>IF(tblProcurement2026[[#This Row],[Committed (All Expenses)]]=0,"",tblProcurement2026[[#This Row],[Paid/Realised]]/tblProcurement2026[[#This Row],[Committed (All Expenses)]])</f>
        <v/>
      </c>
      <c r="H93" s="120" t="e" cm="1">
        <f t="array" aca="1" ref="H93" ca="1">_xlfn.LET(_xlpm.p,tblProcurement2026[[#This Row],[Project Name]], _xlpm.nxt,MIN( IF((#REF!=_xlpm.p)*(#REF!&gt;TODAY()),#REF!)), IF(_xlpm.nxt=0,"",_xlpm.nxt-TODAY()))</f>
        <v>#REF!</v>
      </c>
      <c r="J93" s="118"/>
      <c r="K93" s="121"/>
      <c r="M93" s="118"/>
      <c r="N93" s="121"/>
      <c r="Q93" s="118"/>
      <c r="R93" s="118"/>
    </row>
    <row r="94" spans="1:18">
      <c r="A94" t="str" cm="1">
        <f t="array" ref="A94">_xlfn.LET(_xlpm.src,TRIM(#REF!), _xlpm.u,_xlfn._xlws.SORT(_xlfn.UNIQUE(_xlfn._xlws.FILTER(_xlpm.src,_xlpm.src&lt;&gt;""))), IFERROR(INDEX(_xlpm.u,ROWS(A$2:A94)),""))</f>
        <v/>
      </c>
      <c r="B94" s="118"/>
      <c r="C94" s="118"/>
      <c r="D94" s="118"/>
      <c r="E94" s="118"/>
      <c r="F94" s="118"/>
      <c r="G94" s="119" t="str">
        <f>IF(tblProcurement2026[[#This Row],[Committed (All Expenses)]]=0,"",tblProcurement2026[[#This Row],[Paid/Realised]]/tblProcurement2026[[#This Row],[Committed (All Expenses)]])</f>
        <v/>
      </c>
      <c r="H94" s="120" t="e" cm="1">
        <f t="array" aca="1" ref="H94" ca="1">_xlfn.LET(_xlpm.p,tblProcurement2026[[#This Row],[Project Name]], _xlpm.nxt,MIN( IF((#REF!=_xlpm.p)*(#REF!&gt;TODAY()),#REF!)), IF(_xlpm.nxt=0,"",_xlpm.nxt-TODAY()))</f>
        <v>#REF!</v>
      </c>
      <c r="J94" s="118"/>
      <c r="K94" s="121"/>
      <c r="M94" s="118"/>
      <c r="N94" s="121"/>
      <c r="Q94" s="118"/>
      <c r="R94" s="118"/>
    </row>
    <row r="95" spans="1:18">
      <c r="A95" t="str" cm="1">
        <f t="array" ref="A95">_xlfn.LET(_xlpm.src,TRIM(#REF!), _xlpm.u,_xlfn._xlws.SORT(_xlfn.UNIQUE(_xlfn._xlws.FILTER(_xlpm.src,_xlpm.src&lt;&gt;""))), IFERROR(INDEX(_xlpm.u,ROWS(A$2:A95)),""))</f>
        <v/>
      </c>
      <c r="B95" s="118"/>
      <c r="C95" s="118"/>
      <c r="D95" s="118"/>
      <c r="E95" s="118"/>
      <c r="F95" s="118"/>
      <c r="G95" s="119" t="str">
        <f>IF(tblProcurement2026[[#This Row],[Committed (All Expenses)]]=0,"",tblProcurement2026[[#This Row],[Paid/Realised]]/tblProcurement2026[[#This Row],[Committed (All Expenses)]])</f>
        <v/>
      </c>
      <c r="H95" s="120" t="e" cm="1">
        <f t="array" aca="1" ref="H95" ca="1">_xlfn.LET(_xlpm.p,tblProcurement2026[[#This Row],[Project Name]], _xlpm.nxt,MIN( IF((#REF!=_xlpm.p)*(#REF!&gt;TODAY()),#REF!)), IF(_xlpm.nxt=0,"",_xlpm.nxt-TODAY()))</f>
        <v>#REF!</v>
      </c>
      <c r="J95" s="118"/>
      <c r="K95" s="121"/>
      <c r="M95" s="118"/>
      <c r="N95" s="121"/>
      <c r="Q95" s="118"/>
      <c r="R95" s="118"/>
    </row>
    <row r="96" spans="1:18">
      <c r="A96" t="str" cm="1">
        <f t="array" ref="A96">_xlfn.LET(_xlpm.src,TRIM(#REF!), _xlpm.u,_xlfn._xlws.SORT(_xlfn.UNIQUE(_xlfn._xlws.FILTER(_xlpm.src,_xlpm.src&lt;&gt;""))), IFERROR(INDEX(_xlpm.u,ROWS(A$2:A96)),""))</f>
        <v/>
      </c>
      <c r="B96" s="118"/>
      <c r="C96" s="118"/>
      <c r="D96" s="118"/>
      <c r="E96" s="118"/>
      <c r="F96" s="118"/>
      <c r="G96" s="119" t="str">
        <f>IF(tblProcurement2026[[#This Row],[Committed (All Expenses)]]=0,"",tblProcurement2026[[#This Row],[Paid/Realised]]/tblProcurement2026[[#This Row],[Committed (All Expenses)]])</f>
        <v/>
      </c>
      <c r="H96" s="120" t="e" cm="1">
        <f t="array" aca="1" ref="H96" ca="1">_xlfn.LET(_xlpm.p,tblProcurement2026[[#This Row],[Project Name]], _xlpm.nxt,MIN( IF((#REF!=_xlpm.p)*(#REF!&gt;TODAY()),#REF!)), IF(_xlpm.nxt=0,"",_xlpm.nxt-TODAY()))</f>
        <v>#REF!</v>
      </c>
      <c r="J96" s="118"/>
      <c r="K96" s="121"/>
      <c r="M96" s="118"/>
      <c r="N96" s="121"/>
      <c r="Q96" s="118"/>
      <c r="R96" s="118"/>
    </row>
    <row r="97" spans="1:18">
      <c r="A97" t="str" cm="1">
        <f t="array" ref="A97">_xlfn.LET(_xlpm.src,TRIM(#REF!), _xlpm.u,_xlfn._xlws.SORT(_xlfn.UNIQUE(_xlfn._xlws.FILTER(_xlpm.src,_xlpm.src&lt;&gt;""))), IFERROR(INDEX(_xlpm.u,ROWS(A$2:A97)),""))</f>
        <v/>
      </c>
      <c r="B97" s="118"/>
      <c r="C97" s="118"/>
      <c r="D97" s="118"/>
      <c r="E97" s="118"/>
      <c r="F97" s="118"/>
      <c r="G97" s="119" t="str">
        <f>IF(tblProcurement2026[[#This Row],[Committed (All Expenses)]]=0,"",tblProcurement2026[[#This Row],[Paid/Realised]]/tblProcurement2026[[#This Row],[Committed (All Expenses)]])</f>
        <v/>
      </c>
      <c r="H97" s="120" t="e" cm="1">
        <f t="array" aca="1" ref="H97" ca="1">_xlfn.LET(_xlpm.p,tblProcurement2026[[#This Row],[Project Name]], _xlpm.nxt,MIN( IF((#REF!=_xlpm.p)*(#REF!&gt;TODAY()),#REF!)), IF(_xlpm.nxt=0,"",_xlpm.nxt-TODAY()))</f>
        <v>#REF!</v>
      </c>
      <c r="J97" s="118"/>
      <c r="K97" s="121"/>
      <c r="M97" s="118"/>
      <c r="N97" s="121"/>
      <c r="Q97" s="118"/>
      <c r="R97" s="118"/>
    </row>
    <row r="98" spans="1:18">
      <c r="A98" t="str" cm="1">
        <f t="array" ref="A98">_xlfn.LET(_xlpm.src,TRIM(#REF!), _xlpm.u,_xlfn._xlws.SORT(_xlfn.UNIQUE(_xlfn._xlws.FILTER(_xlpm.src,_xlpm.src&lt;&gt;""))), IFERROR(INDEX(_xlpm.u,ROWS(A$2:A98)),""))</f>
        <v/>
      </c>
      <c r="B98" s="118"/>
      <c r="C98" s="118"/>
      <c r="D98" s="118"/>
      <c r="E98" s="118"/>
      <c r="F98" s="118"/>
      <c r="G98" s="119" t="str">
        <f>IF(tblProcurement2026[[#This Row],[Committed (All Expenses)]]=0,"",tblProcurement2026[[#This Row],[Paid/Realised]]/tblProcurement2026[[#This Row],[Committed (All Expenses)]])</f>
        <v/>
      </c>
      <c r="H98" s="120" t="e" cm="1">
        <f t="array" aca="1" ref="H98" ca="1">_xlfn.LET(_xlpm.p,tblProcurement2026[[#This Row],[Project Name]], _xlpm.nxt,MIN( IF((#REF!=_xlpm.p)*(#REF!&gt;TODAY()),#REF!)), IF(_xlpm.nxt=0,"",_xlpm.nxt-TODAY()))</f>
        <v>#REF!</v>
      </c>
      <c r="J98" s="118"/>
      <c r="K98" s="121"/>
      <c r="M98" s="118"/>
      <c r="N98" s="121"/>
      <c r="Q98" s="118"/>
      <c r="R98" s="118"/>
    </row>
    <row r="99" spans="1:18">
      <c r="A99" t="str" cm="1">
        <f t="array" ref="A99">_xlfn.LET(_xlpm.src,TRIM(#REF!), _xlpm.u,_xlfn._xlws.SORT(_xlfn.UNIQUE(_xlfn._xlws.FILTER(_xlpm.src,_xlpm.src&lt;&gt;""))), IFERROR(INDEX(_xlpm.u,ROWS(A$2:A99)),""))</f>
        <v/>
      </c>
      <c r="B99" s="118"/>
      <c r="C99" s="118"/>
      <c r="D99" s="118"/>
      <c r="E99" s="118"/>
      <c r="F99" s="118"/>
      <c r="G99" s="119" t="str">
        <f>IF(tblProcurement2026[[#This Row],[Committed (All Expenses)]]=0,"",tblProcurement2026[[#This Row],[Paid/Realised]]/tblProcurement2026[[#This Row],[Committed (All Expenses)]])</f>
        <v/>
      </c>
      <c r="H99" s="120" t="e" cm="1">
        <f t="array" aca="1" ref="H99" ca="1">_xlfn.LET(_xlpm.p,tblProcurement2026[[#This Row],[Project Name]], _xlpm.nxt,MIN( IF((#REF!=_xlpm.p)*(#REF!&gt;TODAY()),#REF!)), IF(_xlpm.nxt=0,"",_xlpm.nxt-TODAY()))</f>
        <v>#REF!</v>
      </c>
      <c r="J99" s="118"/>
      <c r="K99" s="121"/>
      <c r="M99" s="118"/>
      <c r="N99" s="121"/>
      <c r="Q99" s="118"/>
      <c r="R99" s="118"/>
    </row>
    <row r="100" spans="1:18">
      <c r="A100" t="str" cm="1">
        <f t="array" ref="A100">_xlfn.LET(_xlpm.src,TRIM(#REF!), _xlpm.u,_xlfn._xlws.SORT(_xlfn.UNIQUE(_xlfn._xlws.FILTER(_xlpm.src,_xlpm.src&lt;&gt;""))), IFERROR(INDEX(_xlpm.u,ROWS(A$2:A100)),""))</f>
        <v/>
      </c>
      <c r="B100" s="118"/>
      <c r="C100" s="118"/>
      <c r="D100" s="118"/>
      <c r="E100" s="118"/>
      <c r="F100" s="118"/>
      <c r="G100" s="119" t="str">
        <f>IF(tblProcurement2026[[#This Row],[Committed (All Expenses)]]=0,"",tblProcurement2026[[#This Row],[Paid/Realised]]/tblProcurement2026[[#This Row],[Committed (All Expenses)]])</f>
        <v/>
      </c>
      <c r="H100" s="120" t="e" cm="1">
        <f t="array" aca="1" ref="H100" ca="1">_xlfn.LET(_xlpm.p,tblProcurement2026[[#This Row],[Project Name]], _xlpm.nxt,MIN( IF((#REF!=_xlpm.p)*(#REF!&gt;TODAY()),#REF!)), IF(_xlpm.nxt=0,"",_xlpm.nxt-TODAY()))</f>
        <v>#REF!</v>
      </c>
      <c r="J100" s="118"/>
      <c r="K100" s="121"/>
      <c r="M100" s="118"/>
      <c r="N100" s="121"/>
      <c r="Q100" s="118"/>
      <c r="R100" s="118"/>
    </row>
    <row r="101" spans="1:18">
      <c r="A101" t="str" cm="1">
        <f t="array" ref="A101">_xlfn.LET(_xlpm.src,TRIM(#REF!), _xlpm.u,_xlfn._xlws.SORT(_xlfn.UNIQUE(_xlfn._xlws.FILTER(_xlpm.src,_xlpm.src&lt;&gt;""))), IFERROR(INDEX(_xlpm.u,ROWS(A$2:A101)),""))</f>
        <v/>
      </c>
      <c r="B101" s="118"/>
      <c r="C101" s="118"/>
      <c r="D101" s="118"/>
      <c r="E101" s="118"/>
      <c r="F101" s="118"/>
      <c r="G101" s="119" t="str">
        <f>IF(tblProcurement2026[[#This Row],[Committed (All Expenses)]]=0,"",tblProcurement2026[[#This Row],[Paid/Realised]]/tblProcurement2026[[#This Row],[Committed (All Expenses)]])</f>
        <v/>
      </c>
      <c r="H101" s="120" t="e" cm="1">
        <f t="array" aca="1" ref="H101" ca="1">_xlfn.LET(_xlpm.p,tblProcurement2026[[#This Row],[Project Name]], _xlpm.nxt,MIN( IF((#REF!=_xlpm.p)*(#REF!&gt;TODAY()),#REF!)), IF(_xlpm.nxt=0,"",_xlpm.nxt-TODAY()))</f>
        <v>#REF!</v>
      </c>
      <c r="J101" s="118"/>
      <c r="K101" s="121"/>
      <c r="M101" s="118"/>
      <c r="N101" s="121"/>
      <c r="Q101" s="118"/>
      <c r="R101" s="118"/>
    </row>
    <row r="102" spans="1:18">
      <c r="A102" t="str" cm="1">
        <f t="array" ref="A102">_xlfn.LET(_xlpm.src,TRIM(#REF!), _xlpm.u,_xlfn._xlws.SORT(_xlfn.UNIQUE(_xlfn._xlws.FILTER(_xlpm.src,_xlpm.src&lt;&gt;""))), IFERROR(INDEX(_xlpm.u,ROWS(A$2:A102)),""))</f>
        <v/>
      </c>
      <c r="B102" s="118"/>
      <c r="C102" s="118"/>
      <c r="D102" s="118"/>
      <c r="E102" s="118"/>
      <c r="F102" s="118"/>
      <c r="G102" s="119" t="str">
        <f>IF(tblProcurement2026[[#This Row],[Committed (All Expenses)]]=0,"",tblProcurement2026[[#This Row],[Paid/Realised]]/tblProcurement2026[[#This Row],[Committed (All Expenses)]])</f>
        <v/>
      </c>
      <c r="H102" s="120" t="e" cm="1">
        <f t="array" aca="1" ref="H102" ca="1">_xlfn.LET(_xlpm.p,tblProcurement2026[[#This Row],[Project Name]], _xlpm.nxt,MIN( IF((#REF!=_xlpm.p)*(#REF!&gt;TODAY()),#REF!)), IF(_xlpm.nxt=0,"",_xlpm.nxt-TODAY()))</f>
        <v>#REF!</v>
      </c>
      <c r="J102" s="118"/>
      <c r="K102" s="121"/>
      <c r="M102" s="118"/>
      <c r="N102" s="121"/>
      <c r="Q102" s="118"/>
      <c r="R102" s="118"/>
    </row>
    <row r="103" spans="1:18">
      <c r="A103" t="str" cm="1">
        <f t="array" ref="A103">_xlfn.LET(_xlpm.src,TRIM(#REF!), _xlpm.u,_xlfn._xlws.SORT(_xlfn.UNIQUE(_xlfn._xlws.FILTER(_xlpm.src,_xlpm.src&lt;&gt;""))), IFERROR(INDEX(_xlpm.u,ROWS(A$2:A103)),""))</f>
        <v/>
      </c>
      <c r="B103" s="118"/>
      <c r="C103" s="118"/>
      <c r="D103" s="118"/>
      <c r="E103" s="118"/>
      <c r="F103" s="118"/>
      <c r="G103" s="119" t="str">
        <f>IF(tblProcurement2026[[#This Row],[Committed (All Expenses)]]=0,"",tblProcurement2026[[#This Row],[Paid/Realised]]/tblProcurement2026[[#This Row],[Committed (All Expenses)]])</f>
        <v/>
      </c>
      <c r="H103" s="120" t="e" cm="1">
        <f t="array" aca="1" ref="H103" ca="1">_xlfn.LET(_xlpm.p,tblProcurement2026[[#This Row],[Project Name]], _xlpm.nxt,MIN( IF((#REF!=_xlpm.p)*(#REF!&gt;TODAY()),#REF!)), IF(_xlpm.nxt=0,"",_xlpm.nxt-TODAY()))</f>
        <v>#REF!</v>
      </c>
      <c r="J103" s="118"/>
      <c r="K103" s="121"/>
      <c r="M103" s="118"/>
      <c r="N103" s="121"/>
      <c r="Q103" s="118"/>
      <c r="R103" s="118"/>
    </row>
    <row r="104" spans="1:18">
      <c r="A104" t="str" cm="1">
        <f t="array" ref="A104">_xlfn.LET(_xlpm.src,TRIM(#REF!), _xlpm.u,_xlfn._xlws.SORT(_xlfn.UNIQUE(_xlfn._xlws.FILTER(_xlpm.src,_xlpm.src&lt;&gt;""))), IFERROR(INDEX(_xlpm.u,ROWS(A$2:A104)),""))</f>
        <v/>
      </c>
      <c r="B104" s="118"/>
      <c r="C104" s="118"/>
      <c r="D104" s="118"/>
      <c r="E104" s="118"/>
      <c r="F104" s="118"/>
      <c r="G104" s="119" t="str">
        <f>IF(tblProcurement2026[[#This Row],[Committed (All Expenses)]]=0,"",tblProcurement2026[[#This Row],[Paid/Realised]]/tblProcurement2026[[#This Row],[Committed (All Expenses)]])</f>
        <v/>
      </c>
      <c r="H104" s="120" t="e" cm="1">
        <f t="array" aca="1" ref="H104" ca="1">_xlfn.LET(_xlpm.p,tblProcurement2026[[#This Row],[Project Name]], _xlpm.nxt,MIN( IF((#REF!=_xlpm.p)*(#REF!&gt;TODAY()),#REF!)), IF(_xlpm.nxt=0,"",_xlpm.nxt-TODAY()))</f>
        <v>#REF!</v>
      </c>
      <c r="J104" s="118"/>
      <c r="K104" s="121"/>
      <c r="M104" s="118"/>
      <c r="N104" s="121"/>
      <c r="Q104" s="118"/>
      <c r="R104" s="118"/>
    </row>
    <row r="105" spans="1:18">
      <c r="A105" t="str" cm="1">
        <f t="array" ref="A105">_xlfn.LET(_xlpm.src,TRIM(#REF!), _xlpm.u,_xlfn._xlws.SORT(_xlfn.UNIQUE(_xlfn._xlws.FILTER(_xlpm.src,_xlpm.src&lt;&gt;""))), IFERROR(INDEX(_xlpm.u,ROWS(A$2:A105)),""))</f>
        <v/>
      </c>
      <c r="B105" s="118"/>
      <c r="C105" s="118"/>
      <c r="D105" s="118"/>
      <c r="E105" s="118"/>
      <c r="F105" s="118"/>
      <c r="G105" s="119" t="str">
        <f>IF(tblProcurement2026[[#This Row],[Committed (All Expenses)]]=0,"",tblProcurement2026[[#This Row],[Paid/Realised]]/tblProcurement2026[[#This Row],[Committed (All Expenses)]])</f>
        <v/>
      </c>
      <c r="H105" s="120" t="e" cm="1">
        <f t="array" aca="1" ref="H105" ca="1">_xlfn.LET(_xlpm.p,tblProcurement2026[[#This Row],[Project Name]], _xlpm.nxt,MIN( IF((#REF!=_xlpm.p)*(#REF!&gt;TODAY()),#REF!)), IF(_xlpm.nxt=0,"",_xlpm.nxt-TODAY()))</f>
        <v>#REF!</v>
      </c>
      <c r="J105" s="118"/>
      <c r="K105" s="121"/>
      <c r="M105" s="118"/>
      <c r="N105" s="121"/>
      <c r="Q105" s="118"/>
      <c r="R105" s="118"/>
    </row>
    <row r="106" spans="1:18">
      <c r="A106" t="str" cm="1">
        <f t="array" ref="A106">_xlfn.LET(_xlpm.src,TRIM(#REF!), _xlpm.u,_xlfn._xlws.SORT(_xlfn.UNIQUE(_xlfn._xlws.FILTER(_xlpm.src,_xlpm.src&lt;&gt;""))), IFERROR(INDEX(_xlpm.u,ROWS(A$2:A106)),""))</f>
        <v/>
      </c>
      <c r="B106" s="118"/>
      <c r="C106" s="118"/>
      <c r="D106" s="118"/>
      <c r="E106" s="118"/>
      <c r="F106" s="118"/>
      <c r="G106" s="119" t="str">
        <f>IF(tblProcurement2026[[#This Row],[Committed (All Expenses)]]=0,"",tblProcurement2026[[#This Row],[Paid/Realised]]/tblProcurement2026[[#This Row],[Committed (All Expenses)]])</f>
        <v/>
      </c>
      <c r="H106" s="120" t="e" cm="1">
        <f t="array" aca="1" ref="H106" ca="1">_xlfn.LET(_xlpm.p,tblProcurement2026[[#This Row],[Project Name]], _xlpm.nxt,MIN( IF((#REF!=_xlpm.p)*(#REF!&gt;TODAY()),#REF!)), IF(_xlpm.nxt=0,"",_xlpm.nxt-TODAY()))</f>
        <v>#REF!</v>
      </c>
      <c r="J106" s="118"/>
      <c r="K106" s="121"/>
      <c r="M106" s="118"/>
      <c r="N106" s="121"/>
      <c r="Q106" s="118"/>
      <c r="R106" s="118"/>
    </row>
    <row r="107" spans="1:18">
      <c r="A107" t="str" cm="1">
        <f t="array" ref="A107">_xlfn.LET(_xlpm.src,TRIM(#REF!), _xlpm.u,_xlfn._xlws.SORT(_xlfn.UNIQUE(_xlfn._xlws.FILTER(_xlpm.src,_xlpm.src&lt;&gt;""))), IFERROR(INDEX(_xlpm.u,ROWS(A$2:A107)),""))</f>
        <v/>
      </c>
      <c r="B107" s="118"/>
      <c r="C107" s="118"/>
      <c r="D107" s="118"/>
      <c r="E107" s="118"/>
      <c r="F107" s="118"/>
      <c r="G107" s="119" t="str">
        <f>IF(tblProcurement2026[[#This Row],[Committed (All Expenses)]]=0,"",tblProcurement2026[[#This Row],[Paid/Realised]]/tblProcurement2026[[#This Row],[Committed (All Expenses)]])</f>
        <v/>
      </c>
      <c r="H107" s="120" t="e" cm="1">
        <f t="array" aca="1" ref="H107" ca="1">_xlfn.LET(_xlpm.p,tblProcurement2026[[#This Row],[Project Name]], _xlpm.nxt,MIN( IF((#REF!=_xlpm.p)*(#REF!&gt;TODAY()),#REF!)), IF(_xlpm.nxt=0,"",_xlpm.nxt-TODAY()))</f>
        <v>#REF!</v>
      </c>
      <c r="J107" s="118"/>
      <c r="K107" s="121"/>
      <c r="M107" s="118"/>
      <c r="N107" s="121"/>
      <c r="Q107" s="118"/>
      <c r="R107" s="118"/>
    </row>
    <row r="108" spans="1:18">
      <c r="A108" t="str" cm="1">
        <f t="array" ref="A108">_xlfn.LET(_xlpm.src,TRIM(#REF!), _xlpm.u,_xlfn._xlws.SORT(_xlfn.UNIQUE(_xlfn._xlws.FILTER(_xlpm.src,_xlpm.src&lt;&gt;""))), IFERROR(INDEX(_xlpm.u,ROWS(A$2:A108)),""))</f>
        <v/>
      </c>
      <c r="B108" s="118"/>
      <c r="C108" s="118"/>
      <c r="D108" s="118"/>
      <c r="E108" s="118"/>
      <c r="F108" s="118"/>
      <c r="G108" s="119" t="str">
        <f>IF(tblProcurement2026[[#This Row],[Committed (All Expenses)]]=0,"",tblProcurement2026[[#This Row],[Paid/Realised]]/tblProcurement2026[[#This Row],[Committed (All Expenses)]])</f>
        <v/>
      </c>
      <c r="H108" s="120" t="e" cm="1">
        <f t="array" aca="1" ref="H108" ca="1">_xlfn.LET(_xlpm.p,tblProcurement2026[[#This Row],[Project Name]], _xlpm.nxt,MIN( IF((#REF!=_xlpm.p)*(#REF!&gt;TODAY()),#REF!)), IF(_xlpm.nxt=0,"",_xlpm.nxt-TODAY()))</f>
        <v>#REF!</v>
      </c>
      <c r="J108" s="118"/>
      <c r="K108" s="121"/>
      <c r="M108" s="118"/>
      <c r="N108" s="121"/>
      <c r="Q108" s="118"/>
      <c r="R108" s="118"/>
    </row>
    <row r="109" spans="1:18">
      <c r="A109" t="str" cm="1">
        <f t="array" ref="A109">_xlfn.LET(_xlpm.src,TRIM(#REF!), _xlpm.u,_xlfn._xlws.SORT(_xlfn.UNIQUE(_xlfn._xlws.FILTER(_xlpm.src,_xlpm.src&lt;&gt;""))), IFERROR(INDEX(_xlpm.u,ROWS(A$2:A109)),""))</f>
        <v/>
      </c>
      <c r="B109" s="118"/>
      <c r="C109" s="118"/>
      <c r="D109" s="118"/>
      <c r="E109" s="118"/>
      <c r="F109" s="118"/>
      <c r="G109" s="119" t="str">
        <f>IF(tblProcurement2026[[#This Row],[Committed (All Expenses)]]=0,"",tblProcurement2026[[#This Row],[Paid/Realised]]/tblProcurement2026[[#This Row],[Committed (All Expenses)]])</f>
        <v/>
      </c>
      <c r="H109" s="120" t="e" cm="1">
        <f t="array" aca="1" ref="H109" ca="1">_xlfn.LET(_xlpm.p,tblProcurement2026[[#This Row],[Project Name]], _xlpm.nxt,MIN( IF((#REF!=_xlpm.p)*(#REF!&gt;TODAY()),#REF!)), IF(_xlpm.nxt=0,"",_xlpm.nxt-TODAY()))</f>
        <v>#REF!</v>
      </c>
      <c r="J109" s="118"/>
      <c r="K109" s="121"/>
      <c r="M109" s="118"/>
      <c r="N109" s="121"/>
      <c r="Q109" s="118"/>
      <c r="R109" s="118"/>
    </row>
    <row r="110" spans="1:18">
      <c r="A110" t="str" cm="1">
        <f t="array" ref="A110">_xlfn.LET(_xlpm.src,TRIM(#REF!), _xlpm.u,_xlfn._xlws.SORT(_xlfn.UNIQUE(_xlfn._xlws.FILTER(_xlpm.src,_xlpm.src&lt;&gt;""))), IFERROR(INDEX(_xlpm.u,ROWS(A$2:A110)),""))</f>
        <v/>
      </c>
      <c r="B110" s="118"/>
      <c r="C110" s="118"/>
      <c r="D110" s="118"/>
      <c r="E110" s="118"/>
      <c r="F110" s="118"/>
      <c r="G110" s="119" t="str">
        <f>IF(tblProcurement2026[[#This Row],[Committed (All Expenses)]]=0,"",tblProcurement2026[[#This Row],[Paid/Realised]]/tblProcurement2026[[#This Row],[Committed (All Expenses)]])</f>
        <v/>
      </c>
      <c r="H110" s="120" t="e" cm="1">
        <f t="array" aca="1" ref="H110" ca="1">_xlfn.LET(_xlpm.p,tblProcurement2026[[#This Row],[Project Name]], _xlpm.nxt,MIN( IF((#REF!=_xlpm.p)*(#REF!&gt;TODAY()),#REF!)), IF(_xlpm.nxt=0,"",_xlpm.nxt-TODAY()))</f>
        <v>#REF!</v>
      </c>
      <c r="J110" s="118"/>
      <c r="K110" s="121"/>
      <c r="M110" s="118"/>
      <c r="N110" s="121"/>
      <c r="Q110" s="118"/>
      <c r="R110" s="118"/>
    </row>
    <row r="111" spans="1:18">
      <c r="A111" t="str" cm="1">
        <f t="array" ref="A111">_xlfn.LET(_xlpm.src,TRIM(#REF!), _xlpm.u,_xlfn._xlws.SORT(_xlfn.UNIQUE(_xlfn._xlws.FILTER(_xlpm.src,_xlpm.src&lt;&gt;""))), IFERROR(INDEX(_xlpm.u,ROWS(A$2:A111)),""))</f>
        <v/>
      </c>
      <c r="B111" s="118"/>
      <c r="C111" s="118"/>
      <c r="D111" s="118"/>
      <c r="E111" s="118"/>
      <c r="F111" s="118"/>
      <c r="G111" s="119" t="str">
        <f>IF(tblProcurement2026[[#This Row],[Committed (All Expenses)]]=0,"",tblProcurement2026[[#This Row],[Paid/Realised]]/tblProcurement2026[[#This Row],[Committed (All Expenses)]])</f>
        <v/>
      </c>
      <c r="H111" s="120" t="e" cm="1">
        <f t="array" aca="1" ref="H111" ca="1">_xlfn.LET(_xlpm.p,tblProcurement2026[[#This Row],[Project Name]], _xlpm.nxt,MIN( IF((#REF!=_xlpm.p)*(#REF!&gt;TODAY()),#REF!)), IF(_xlpm.nxt=0,"",_xlpm.nxt-TODAY()))</f>
        <v>#REF!</v>
      </c>
      <c r="J111" s="118"/>
      <c r="K111" s="121"/>
      <c r="M111" s="118"/>
      <c r="N111" s="121"/>
      <c r="Q111" s="118"/>
      <c r="R111" s="118"/>
    </row>
    <row r="112" spans="1:18">
      <c r="A112" t="str" cm="1">
        <f t="array" ref="A112">_xlfn.LET(_xlpm.src,TRIM(#REF!), _xlpm.u,_xlfn._xlws.SORT(_xlfn.UNIQUE(_xlfn._xlws.FILTER(_xlpm.src,_xlpm.src&lt;&gt;""))), IFERROR(INDEX(_xlpm.u,ROWS(A$2:A112)),""))</f>
        <v/>
      </c>
      <c r="B112" s="118"/>
      <c r="C112" s="118"/>
      <c r="D112" s="118"/>
      <c r="E112" s="118"/>
      <c r="F112" s="118"/>
      <c r="G112" s="119" t="str">
        <f>IF(tblProcurement2026[[#This Row],[Committed (All Expenses)]]=0,"",tblProcurement2026[[#This Row],[Paid/Realised]]/tblProcurement2026[[#This Row],[Committed (All Expenses)]])</f>
        <v/>
      </c>
      <c r="H112" s="120" t="e" cm="1">
        <f t="array" aca="1" ref="H112" ca="1">_xlfn.LET(_xlpm.p,tblProcurement2026[[#This Row],[Project Name]], _xlpm.nxt,MIN( IF((#REF!=_xlpm.p)*(#REF!&gt;TODAY()),#REF!)), IF(_xlpm.nxt=0,"",_xlpm.nxt-TODAY()))</f>
        <v>#REF!</v>
      </c>
      <c r="J112" s="118"/>
      <c r="K112" s="121"/>
      <c r="M112" s="118"/>
      <c r="N112" s="121"/>
      <c r="Q112" s="118"/>
      <c r="R112" s="118"/>
    </row>
    <row r="113" spans="1:18">
      <c r="A113" t="str" cm="1">
        <f t="array" ref="A113">_xlfn.LET(_xlpm.src,TRIM(#REF!), _xlpm.u,_xlfn._xlws.SORT(_xlfn.UNIQUE(_xlfn._xlws.FILTER(_xlpm.src,_xlpm.src&lt;&gt;""))), IFERROR(INDEX(_xlpm.u,ROWS(A$2:A113)),""))</f>
        <v/>
      </c>
      <c r="B113" s="118"/>
      <c r="C113" s="118"/>
      <c r="D113" s="118"/>
      <c r="E113" s="118"/>
      <c r="F113" s="118"/>
      <c r="G113" s="119" t="str">
        <f>IF(tblProcurement2026[[#This Row],[Committed (All Expenses)]]=0,"",tblProcurement2026[[#This Row],[Paid/Realised]]/tblProcurement2026[[#This Row],[Committed (All Expenses)]])</f>
        <v/>
      </c>
      <c r="H113" s="120" t="e" cm="1">
        <f t="array" aca="1" ref="H113" ca="1">_xlfn.LET(_xlpm.p,tblProcurement2026[[#This Row],[Project Name]], _xlpm.nxt,MIN( IF((#REF!=_xlpm.p)*(#REF!&gt;TODAY()),#REF!)), IF(_xlpm.nxt=0,"",_xlpm.nxt-TODAY()))</f>
        <v>#REF!</v>
      </c>
      <c r="J113" s="118"/>
      <c r="K113" s="121"/>
      <c r="M113" s="118"/>
      <c r="N113" s="121"/>
      <c r="Q113" s="118"/>
      <c r="R113" s="118"/>
    </row>
    <row r="114" spans="1:18">
      <c r="A114" t="str" cm="1">
        <f t="array" ref="A114">_xlfn.LET(_xlpm.src,TRIM(#REF!), _xlpm.u,_xlfn._xlws.SORT(_xlfn.UNIQUE(_xlfn._xlws.FILTER(_xlpm.src,_xlpm.src&lt;&gt;""))), IFERROR(INDEX(_xlpm.u,ROWS(A$2:A114)),""))</f>
        <v/>
      </c>
      <c r="B114" s="118"/>
      <c r="C114" s="118"/>
      <c r="D114" s="118"/>
      <c r="E114" s="118"/>
      <c r="F114" s="118"/>
      <c r="G114" s="119" t="str">
        <f>IF(tblProcurement2026[[#This Row],[Committed (All Expenses)]]=0,"",tblProcurement2026[[#This Row],[Paid/Realised]]/tblProcurement2026[[#This Row],[Committed (All Expenses)]])</f>
        <v/>
      </c>
      <c r="H114" s="120" t="e" cm="1">
        <f t="array" aca="1" ref="H114" ca="1">_xlfn.LET(_xlpm.p,tblProcurement2026[[#This Row],[Project Name]], _xlpm.nxt,MIN( IF((#REF!=_xlpm.p)*(#REF!&gt;TODAY()),#REF!)), IF(_xlpm.nxt=0,"",_xlpm.nxt-TODAY()))</f>
        <v>#REF!</v>
      </c>
      <c r="J114" s="118"/>
      <c r="K114" s="121"/>
      <c r="M114" s="118"/>
      <c r="N114" s="121"/>
      <c r="Q114" s="118"/>
      <c r="R114" s="118"/>
    </row>
    <row r="115" spans="1:18">
      <c r="A115" t="str" cm="1">
        <f t="array" ref="A115">_xlfn.LET(_xlpm.src,TRIM(#REF!), _xlpm.u,_xlfn._xlws.SORT(_xlfn.UNIQUE(_xlfn._xlws.FILTER(_xlpm.src,_xlpm.src&lt;&gt;""))), IFERROR(INDEX(_xlpm.u,ROWS(A$2:A115)),""))</f>
        <v/>
      </c>
      <c r="B115" s="118"/>
      <c r="C115" s="118"/>
      <c r="D115" s="118"/>
      <c r="E115" s="118"/>
      <c r="F115" s="118"/>
      <c r="G115" s="119" t="str">
        <f>IF(tblProcurement2026[[#This Row],[Committed (All Expenses)]]=0,"",tblProcurement2026[[#This Row],[Paid/Realised]]/tblProcurement2026[[#This Row],[Committed (All Expenses)]])</f>
        <v/>
      </c>
      <c r="H115" s="120" t="e" cm="1">
        <f t="array" aca="1" ref="H115" ca="1">_xlfn.LET(_xlpm.p,tblProcurement2026[[#This Row],[Project Name]], _xlpm.nxt,MIN( IF((#REF!=_xlpm.p)*(#REF!&gt;TODAY()),#REF!)), IF(_xlpm.nxt=0,"",_xlpm.nxt-TODAY()))</f>
        <v>#REF!</v>
      </c>
      <c r="J115" s="118"/>
      <c r="K115" s="121"/>
      <c r="M115" s="118"/>
      <c r="N115" s="121"/>
      <c r="Q115" s="118"/>
      <c r="R115" s="118"/>
    </row>
    <row r="116" spans="1:18">
      <c r="A116" t="str" cm="1">
        <f t="array" ref="A116">_xlfn.LET(_xlpm.src,TRIM(#REF!), _xlpm.u,_xlfn._xlws.SORT(_xlfn.UNIQUE(_xlfn._xlws.FILTER(_xlpm.src,_xlpm.src&lt;&gt;""))), IFERROR(INDEX(_xlpm.u,ROWS(A$2:A116)),""))</f>
        <v/>
      </c>
      <c r="B116" s="118"/>
      <c r="C116" s="118"/>
      <c r="D116" s="118"/>
      <c r="E116" s="118"/>
      <c r="F116" s="118"/>
      <c r="G116" s="119" t="str">
        <f>IF(tblProcurement2026[[#This Row],[Committed (All Expenses)]]=0,"",tblProcurement2026[[#This Row],[Paid/Realised]]/tblProcurement2026[[#This Row],[Committed (All Expenses)]])</f>
        <v/>
      </c>
      <c r="H116" s="120" t="e" cm="1">
        <f t="array" aca="1" ref="H116" ca="1">_xlfn.LET(_xlpm.p,tblProcurement2026[[#This Row],[Project Name]], _xlpm.nxt,MIN( IF((#REF!=_xlpm.p)*(#REF!&gt;TODAY()),#REF!)), IF(_xlpm.nxt=0,"",_xlpm.nxt-TODAY()))</f>
        <v>#REF!</v>
      </c>
      <c r="J116" s="118"/>
      <c r="K116" s="121"/>
      <c r="M116" s="118"/>
      <c r="N116" s="121"/>
      <c r="Q116" s="118"/>
      <c r="R116" s="118"/>
    </row>
    <row r="117" spans="1:18">
      <c r="A117" t="str" cm="1">
        <f t="array" ref="A117">_xlfn.LET(_xlpm.src,TRIM(#REF!), _xlpm.u,_xlfn._xlws.SORT(_xlfn.UNIQUE(_xlfn._xlws.FILTER(_xlpm.src,_xlpm.src&lt;&gt;""))), IFERROR(INDEX(_xlpm.u,ROWS(A$2:A117)),""))</f>
        <v/>
      </c>
      <c r="B117" s="118"/>
      <c r="C117" s="118"/>
      <c r="D117" s="118"/>
      <c r="E117" s="118"/>
      <c r="F117" s="118"/>
      <c r="G117" s="119" t="str">
        <f>IF(tblProcurement2026[[#This Row],[Committed (All Expenses)]]=0,"",tblProcurement2026[[#This Row],[Paid/Realised]]/tblProcurement2026[[#This Row],[Committed (All Expenses)]])</f>
        <v/>
      </c>
      <c r="H117" s="120" t="e" cm="1">
        <f t="array" aca="1" ref="H117" ca="1">_xlfn.LET(_xlpm.p,tblProcurement2026[[#This Row],[Project Name]], _xlpm.nxt,MIN( IF((#REF!=_xlpm.p)*(#REF!&gt;TODAY()),#REF!)), IF(_xlpm.nxt=0,"",_xlpm.nxt-TODAY()))</f>
        <v>#REF!</v>
      </c>
      <c r="J117" s="118"/>
      <c r="K117" s="121"/>
      <c r="M117" s="118"/>
      <c r="N117" s="121"/>
      <c r="Q117" s="118"/>
      <c r="R117" s="118"/>
    </row>
    <row r="118" spans="1:18">
      <c r="A118" t="str" cm="1">
        <f t="array" ref="A118">_xlfn.LET(_xlpm.src,TRIM(#REF!), _xlpm.u,_xlfn._xlws.SORT(_xlfn.UNIQUE(_xlfn._xlws.FILTER(_xlpm.src,_xlpm.src&lt;&gt;""))), IFERROR(INDEX(_xlpm.u,ROWS(A$2:A118)),""))</f>
        <v/>
      </c>
      <c r="B118" s="118"/>
      <c r="C118" s="118"/>
      <c r="D118" s="118"/>
      <c r="E118" s="118"/>
      <c r="F118" s="118"/>
      <c r="G118" s="119" t="str">
        <f>IF(tblProcurement2026[[#This Row],[Committed (All Expenses)]]=0,"",tblProcurement2026[[#This Row],[Paid/Realised]]/tblProcurement2026[[#This Row],[Committed (All Expenses)]])</f>
        <v/>
      </c>
      <c r="H118" s="120" t="e" cm="1">
        <f t="array" aca="1" ref="H118" ca="1">_xlfn.LET(_xlpm.p,tblProcurement2026[[#This Row],[Project Name]], _xlpm.nxt,MIN( IF((#REF!=_xlpm.p)*(#REF!&gt;TODAY()),#REF!)), IF(_xlpm.nxt=0,"",_xlpm.nxt-TODAY()))</f>
        <v>#REF!</v>
      </c>
      <c r="J118" s="118"/>
      <c r="K118" s="121"/>
      <c r="M118" s="118"/>
      <c r="N118" s="121"/>
      <c r="Q118" s="118"/>
      <c r="R118" s="118"/>
    </row>
    <row r="119" spans="1:18">
      <c r="A119" t="str" cm="1">
        <f t="array" ref="A119">_xlfn.LET(_xlpm.src,TRIM(#REF!), _xlpm.u,_xlfn._xlws.SORT(_xlfn.UNIQUE(_xlfn._xlws.FILTER(_xlpm.src,_xlpm.src&lt;&gt;""))), IFERROR(INDEX(_xlpm.u,ROWS(A$2:A119)),""))</f>
        <v/>
      </c>
      <c r="B119" s="118"/>
      <c r="C119" s="118"/>
      <c r="D119" s="118"/>
      <c r="E119" s="118"/>
      <c r="F119" s="118"/>
      <c r="G119" s="119" t="str">
        <f>IF(tblProcurement2026[[#This Row],[Committed (All Expenses)]]=0,"",tblProcurement2026[[#This Row],[Paid/Realised]]/tblProcurement2026[[#This Row],[Committed (All Expenses)]])</f>
        <v/>
      </c>
      <c r="H119" s="120" t="e" cm="1">
        <f t="array" aca="1" ref="H119" ca="1">_xlfn.LET(_xlpm.p,tblProcurement2026[[#This Row],[Project Name]], _xlpm.nxt,MIN( IF((#REF!=_xlpm.p)*(#REF!&gt;TODAY()),#REF!)), IF(_xlpm.nxt=0,"",_xlpm.nxt-TODAY()))</f>
        <v>#REF!</v>
      </c>
      <c r="J119" s="118"/>
      <c r="K119" s="121"/>
      <c r="M119" s="118"/>
      <c r="N119" s="121"/>
      <c r="Q119" s="118"/>
      <c r="R119" s="118"/>
    </row>
    <row r="120" spans="1:18">
      <c r="A120" t="str" cm="1">
        <f t="array" ref="A120">_xlfn.LET(_xlpm.src,TRIM(#REF!), _xlpm.u,_xlfn._xlws.SORT(_xlfn.UNIQUE(_xlfn._xlws.FILTER(_xlpm.src,_xlpm.src&lt;&gt;""))), IFERROR(INDEX(_xlpm.u,ROWS(A$2:A120)),""))</f>
        <v/>
      </c>
      <c r="B120" s="118"/>
      <c r="C120" s="118"/>
      <c r="D120" s="118"/>
      <c r="E120" s="118"/>
      <c r="F120" s="118"/>
      <c r="G120" s="119" t="str">
        <f>IF(tblProcurement2026[[#This Row],[Committed (All Expenses)]]=0,"",tblProcurement2026[[#This Row],[Paid/Realised]]/tblProcurement2026[[#This Row],[Committed (All Expenses)]])</f>
        <v/>
      </c>
      <c r="H120" s="120" t="e" cm="1">
        <f t="array" aca="1" ref="H120" ca="1">_xlfn.LET(_xlpm.p,tblProcurement2026[[#This Row],[Project Name]], _xlpm.nxt,MIN( IF((#REF!=_xlpm.p)*(#REF!&gt;TODAY()),#REF!)), IF(_xlpm.nxt=0,"",_xlpm.nxt-TODAY()))</f>
        <v>#REF!</v>
      </c>
      <c r="J120" s="118"/>
      <c r="K120" s="121"/>
      <c r="M120" s="118"/>
      <c r="N120" s="121"/>
      <c r="Q120" s="118"/>
      <c r="R120" s="118"/>
    </row>
    <row r="121" spans="1:18">
      <c r="A121" t="str" cm="1">
        <f t="array" ref="A121">_xlfn.LET(_xlpm.src,TRIM(#REF!), _xlpm.u,_xlfn._xlws.SORT(_xlfn.UNIQUE(_xlfn._xlws.FILTER(_xlpm.src,_xlpm.src&lt;&gt;""))), IFERROR(INDEX(_xlpm.u,ROWS(A$2:A121)),""))</f>
        <v/>
      </c>
      <c r="B121" s="118"/>
      <c r="C121" s="118"/>
      <c r="D121" s="118"/>
      <c r="E121" s="118"/>
      <c r="F121" s="118"/>
      <c r="G121" s="119" t="str">
        <f>IF(tblProcurement2026[[#This Row],[Committed (All Expenses)]]=0,"",tblProcurement2026[[#This Row],[Paid/Realised]]/tblProcurement2026[[#This Row],[Committed (All Expenses)]])</f>
        <v/>
      </c>
      <c r="H121" s="120" t="e" cm="1">
        <f t="array" aca="1" ref="H121" ca="1">_xlfn.LET(_xlpm.p,tblProcurement2026[[#This Row],[Project Name]], _xlpm.nxt,MIN( IF((#REF!=_xlpm.p)*(#REF!&gt;TODAY()),#REF!)), IF(_xlpm.nxt=0,"",_xlpm.nxt-TODAY()))</f>
        <v>#REF!</v>
      </c>
      <c r="J121" s="118"/>
      <c r="K121" s="121"/>
      <c r="M121" s="118"/>
      <c r="N121" s="121"/>
      <c r="Q121" s="118"/>
      <c r="R121" s="118"/>
    </row>
    <row r="122" spans="1:18">
      <c r="A122" t="str" cm="1">
        <f t="array" ref="A122">_xlfn.LET(_xlpm.src,TRIM(#REF!), _xlpm.u,_xlfn._xlws.SORT(_xlfn.UNIQUE(_xlfn._xlws.FILTER(_xlpm.src,_xlpm.src&lt;&gt;""))), IFERROR(INDEX(_xlpm.u,ROWS(A$2:A122)),""))</f>
        <v/>
      </c>
      <c r="B122" s="118"/>
      <c r="C122" s="118"/>
      <c r="D122" s="118"/>
      <c r="E122" s="118"/>
      <c r="F122" s="118"/>
      <c r="G122" s="119" t="str">
        <f>IF(tblProcurement2026[[#This Row],[Committed (All Expenses)]]=0,"",tblProcurement2026[[#This Row],[Paid/Realised]]/tblProcurement2026[[#This Row],[Committed (All Expenses)]])</f>
        <v/>
      </c>
      <c r="H122" s="120" t="e" cm="1">
        <f t="array" aca="1" ref="H122" ca="1">_xlfn.LET(_xlpm.p,tblProcurement2026[[#This Row],[Project Name]], _xlpm.nxt,MIN( IF((#REF!=_xlpm.p)*(#REF!&gt;TODAY()),#REF!)), IF(_xlpm.nxt=0,"",_xlpm.nxt-TODAY()))</f>
        <v>#REF!</v>
      </c>
      <c r="J122" s="118"/>
      <c r="K122" s="121"/>
      <c r="M122" s="118"/>
      <c r="N122" s="121"/>
      <c r="Q122" s="118"/>
      <c r="R122" s="118"/>
    </row>
    <row r="123" spans="1:18">
      <c r="A123" t="str" cm="1">
        <f t="array" ref="A123">_xlfn.LET(_xlpm.src,TRIM(#REF!), _xlpm.u,_xlfn._xlws.SORT(_xlfn.UNIQUE(_xlfn._xlws.FILTER(_xlpm.src,_xlpm.src&lt;&gt;""))), IFERROR(INDEX(_xlpm.u,ROWS(A$2:A123)),""))</f>
        <v/>
      </c>
      <c r="B123" s="118"/>
      <c r="C123" s="118"/>
      <c r="D123" s="118"/>
      <c r="E123" s="118"/>
      <c r="F123" s="118"/>
      <c r="G123" s="119" t="str">
        <f>IF(tblProcurement2026[[#This Row],[Committed (All Expenses)]]=0,"",tblProcurement2026[[#This Row],[Paid/Realised]]/tblProcurement2026[[#This Row],[Committed (All Expenses)]])</f>
        <v/>
      </c>
      <c r="H123" s="120" t="e" cm="1">
        <f t="array" aca="1" ref="H123" ca="1">_xlfn.LET(_xlpm.p,tblProcurement2026[[#This Row],[Project Name]], _xlpm.nxt,MIN( IF((#REF!=_xlpm.p)*(#REF!&gt;TODAY()),#REF!)), IF(_xlpm.nxt=0,"",_xlpm.nxt-TODAY()))</f>
        <v>#REF!</v>
      </c>
      <c r="J123" s="118"/>
      <c r="K123" s="121"/>
      <c r="M123" s="118"/>
      <c r="N123" s="121"/>
      <c r="Q123" s="118"/>
      <c r="R123" s="118"/>
    </row>
    <row r="124" spans="1:18">
      <c r="A124" t="str" cm="1">
        <f t="array" ref="A124">_xlfn.LET(_xlpm.src,TRIM(#REF!), _xlpm.u,_xlfn._xlws.SORT(_xlfn.UNIQUE(_xlfn._xlws.FILTER(_xlpm.src,_xlpm.src&lt;&gt;""))), IFERROR(INDEX(_xlpm.u,ROWS(A$2:A124)),""))</f>
        <v/>
      </c>
      <c r="B124" s="118"/>
      <c r="C124" s="118"/>
      <c r="D124" s="118"/>
      <c r="E124" s="118"/>
      <c r="F124" s="118"/>
      <c r="G124" s="119" t="str">
        <f>IF(tblProcurement2026[[#This Row],[Committed (All Expenses)]]=0,"",tblProcurement2026[[#This Row],[Paid/Realised]]/tblProcurement2026[[#This Row],[Committed (All Expenses)]])</f>
        <v/>
      </c>
      <c r="H124" s="120" t="e" cm="1">
        <f t="array" aca="1" ref="H124" ca="1">_xlfn.LET(_xlpm.p,tblProcurement2026[[#This Row],[Project Name]], _xlpm.nxt,MIN( IF((#REF!=_xlpm.p)*(#REF!&gt;TODAY()),#REF!)), IF(_xlpm.nxt=0,"",_xlpm.nxt-TODAY()))</f>
        <v>#REF!</v>
      </c>
      <c r="J124" s="118"/>
      <c r="K124" s="121"/>
      <c r="M124" s="118"/>
      <c r="N124" s="121"/>
      <c r="Q124" s="118"/>
      <c r="R124" s="118"/>
    </row>
    <row r="125" spans="1:18">
      <c r="A125" t="str" cm="1">
        <f t="array" ref="A125">_xlfn.LET(_xlpm.src,TRIM(#REF!), _xlpm.u,_xlfn._xlws.SORT(_xlfn.UNIQUE(_xlfn._xlws.FILTER(_xlpm.src,_xlpm.src&lt;&gt;""))), IFERROR(INDEX(_xlpm.u,ROWS(A$2:A125)),""))</f>
        <v/>
      </c>
      <c r="B125" s="118"/>
      <c r="C125" s="118"/>
      <c r="D125" s="118"/>
      <c r="E125" s="118"/>
      <c r="F125" s="118"/>
      <c r="G125" s="119" t="str">
        <f>IF(tblProcurement2026[[#This Row],[Committed (All Expenses)]]=0,"",tblProcurement2026[[#This Row],[Paid/Realised]]/tblProcurement2026[[#This Row],[Committed (All Expenses)]])</f>
        <v/>
      </c>
      <c r="H125" s="120" t="e" cm="1">
        <f t="array" aca="1" ref="H125" ca="1">_xlfn.LET(_xlpm.p,tblProcurement2026[[#This Row],[Project Name]], _xlpm.nxt,MIN( IF((#REF!=_xlpm.p)*(#REF!&gt;TODAY()),#REF!)), IF(_xlpm.nxt=0,"",_xlpm.nxt-TODAY()))</f>
        <v>#REF!</v>
      </c>
      <c r="J125" s="118"/>
      <c r="K125" s="121"/>
      <c r="M125" s="118"/>
      <c r="N125" s="121"/>
      <c r="Q125" s="118"/>
      <c r="R125" s="118"/>
    </row>
    <row r="126" spans="1:18">
      <c r="A126" t="str" cm="1">
        <f t="array" ref="A126">_xlfn.LET(_xlpm.src,TRIM(#REF!), _xlpm.u,_xlfn._xlws.SORT(_xlfn.UNIQUE(_xlfn._xlws.FILTER(_xlpm.src,_xlpm.src&lt;&gt;""))), IFERROR(INDEX(_xlpm.u,ROWS(A$2:A126)),""))</f>
        <v/>
      </c>
      <c r="B126" s="118"/>
      <c r="C126" s="118"/>
      <c r="D126" s="118"/>
      <c r="E126" s="118"/>
      <c r="F126" s="118"/>
      <c r="G126" s="119" t="str">
        <f>IF(tblProcurement2026[[#This Row],[Committed (All Expenses)]]=0,"",tblProcurement2026[[#This Row],[Paid/Realised]]/tblProcurement2026[[#This Row],[Committed (All Expenses)]])</f>
        <v/>
      </c>
      <c r="H126" s="120" t="e" cm="1">
        <f t="array" aca="1" ref="H126" ca="1">_xlfn.LET(_xlpm.p,tblProcurement2026[[#This Row],[Project Name]], _xlpm.nxt,MIN( IF((#REF!=_xlpm.p)*(#REF!&gt;TODAY()),#REF!)), IF(_xlpm.nxt=0,"",_xlpm.nxt-TODAY()))</f>
        <v>#REF!</v>
      </c>
      <c r="J126" s="118"/>
      <c r="K126" s="121"/>
      <c r="M126" s="118"/>
      <c r="N126" s="121"/>
      <c r="Q126" s="118"/>
      <c r="R126" s="118"/>
    </row>
    <row r="127" spans="1:18">
      <c r="A127" t="str" cm="1">
        <f t="array" ref="A127">_xlfn.LET(_xlpm.src,TRIM(#REF!), _xlpm.u,_xlfn._xlws.SORT(_xlfn.UNIQUE(_xlfn._xlws.FILTER(_xlpm.src,_xlpm.src&lt;&gt;""))), IFERROR(INDEX(_xlpm.u,ROWS(A$2:A127)),""))</f>
        <v/>
      </c>
      <c r="B127" s="118"/>
      <c r="C127" s="118"/>
      <c r="D127" s="118"/>
      <c r="E127" s="118"/>
      <c r="F127" s="118"/>
      <c r="G127" s="119" t="str">
        <f>IF(tblProcurement2026[[#This Row],[Committed (All Expenses)]]=0,"",tblProcurement2026[[#This Row],[Paid/Realised]]/tblProcurement2026[[#This Row],[Committed (All Expenses)]])</f>
        <v/>
      </c>
      <c r="H127" s="120" t="e" cm="1">
        <f t="array" aca="1" ref="H127" ca="1">_xlfn.LET(_xlpm.p,tblProcurement2026[[#This Row],[Project Name]], _xlpm.nxt,MIN( IF((#REF!=_xlpm.p)*(#REF!&gt;TODAY()),#REF!)), IF(_xlpm.nxt=0,"",_xlpm.nxt-TODAY()))</f>
        <v>#REF!</v>
      </c>
      <c r="J127" s="118"/>
      <c r="K127" s="121"/>
      <c r="M127" s="118"/>
      <c r="N127" s="121"/>
      <c r="Q127" s="118"/>
      <c r="R127" s="118"/>
    </row>
    <row r="128" spans="1:18">
      <c r="A128" t="str" cm="1">
        <f t="array" ref="A128">_xlfn.LET(_xlpm.src,TRIM(#REF!), _xlpm.u,_xlfn._xlws.SORT(_xlfn.UNIQUE(_xlfn._xlws.FILTER(_xlpm.src,_xlpm.src&lt;&gt;""))), IFERROR(INDEX(_xlpm.u,ROWS(A$2:A128)),""))</f>
        <v/>
      </c>
      <c r="B128" s="118"/>
      <c r="C128" s="118"/>
      <c r="D128" s="118"/>
      <c r="E128" s="118"/>
      <c r="F128" s="118"/>
      <c r="G128" s="119" t="str">
        <f>IF(tblProcurement2026[[#This Row],[Committed (All Expenses)]]=0,"",tblProcurement2026[[#This Row],[Paid/Realised]]/tblProcurement2026[[#This Row],[Committed (All Expenses)]])</f>
        <v/>
      </c>
      <c r="H128" s="120" t="e" cm="1">
        <f t="array" aca="1" ref="H128" ca="1">_xlfn.LET(_xlpm.p,tblProcurement2026[[#This Row],[Project Name]], _xlpm.nxt,MIN( IF((#REF!=_xlpm.p)*(#REF!&gt;TODAY()),#REF!)), IF(_xlpm.nxt=0,"",_xlpm.nxt-TODAY()))</f>
        <v>#REF!</v>
      </c>
      <c r="J128" s="118"/>
      <c r="K128" s="121"/>
      <c r="M128" s="118"/>
      <c r="N128" s="121"/>
      <c r="Q128" s="118"/>
      <c r="R128" s="118"/>
    </row>
    <row r="129" spans="1:18">
      <c r="A129" t="str" cm="1">
        <f t="array" ref="A129">_xlfn.LET(_xlpm.src,TRIM(#REF!), _xlpm.u,_xlfn._xlws.SORT(_xlfn.UNIQUE(_xlfn._xlws.FILTER(_xlpm.src,_xlpm.src&lt;&gt;""))), IFERROR(INDEX(_xlpm.u,ROWS(A$2:A129)),""))</f>
        <v/>
      </c>
      <c r="B129" s="118"/>
      <c r="C129" s="118"/>
      <c r="D129" s="118"/>
      <c r="E129" s="118"/>
      <c r="F129" s="118"/>
      <c r="G129" s="119" t="str">
        <f>IF(tblProcurement2026[[#This Row],[Committed (All Expenses)]]=0,"",tblProcurement2026[[#This Row],[Paid/Realised]]/tblProcurement2026[[#This Row],[Committed (All Expenses)]])</f>
        <v/>
      </c>
      <c r="H129" s="120" t="e" cm="1">
        <f t="array" aca="1" ref="H129" ca="1">_xlfn.LET(_xlpm.p,tblProcurement2026[[#This Row],[Project Name]], _xlpm.nxt,MIN( IF((#REF!=_xlpm.p)*(#REF!&gt;TODAY()),#REF!)), IF(_xlpm.nxt=0,"",_xlpm.nxt-TODAY()))</f>
        <v>#REF!</v>
      </c>
      <c r="J129" s="118"/>
      <c r="K129" s="121"/>
      <c r="M129" s="118"/>
      <c r="N129" s="121"/>
      <c r="Q129" s="118"/>
      <c r="R129" s="118"/>
    </row>
    <row r="130" spans="1:18">
      <c r="A130" t="str" cm="1">
        <f t="array" ref="A130">_xlfn.LET(_xlpm.src,TRIM(#REF!), _xlpm.u,_xlfn._xlws.SORT(_xlfn.UNIQUE(_xlfn._xlws.FILTER(_xlpm.src,_xlpm.src&lt;&gt;""))), IFERROR(INDEX(_xlpm.u,ROWS(A$2:A130)),""))</f>
        <v/>
      </c>
      <c r="B130" s="118"/>
      <c r="C130" s="118"/>
      <c r="D130" s="118"/>
      <c r="E130" s="118"/>
      <c r="F130" s="118"/>
      <c r="G130" s="119" t="str">
        <f>IF(tblProcurement2026[[#This Row],[Committed (All Expenses)]]=0,"",tblProcurement2026[[#This Row],[Paid/Realised]]/tblProcurement2026[[#This Row],[Committed (All Expenses)]])</f>
        <v/>
      </c>
      <c r="H130" s="120" t="e" cm="1">
        <f t="array" aca="1" ref="H130" ca="1">_xlfn.LET(_xlpm.p,tblProcurement2026[[#This Row],[Project Name]], _xlpm.nxt,MIN( IF((#REF!=_xlpm.p)*(#REF!&gt;TODAY()),#REF!)), IF(_xlpm.nxt=0,"",_xlpm.nxt-TODAY()))</f>
        <v>#REF!</v>
      </c>
      <c r="J130" s="118"/>
      <c r="K130" s="121"/>
      <c r="M130" s="118"/>
      <c r="N130" s="121"/>
      <c r="Q130" s="118"/>
      <c r="R130" s="118"/>
    </row>
    <row r="131" spans="1:18">
      <c r="A131" t="str" cm="1">
        <f t="array" ref="A131">_xlfn.LET(_xlpm.src,TRIM(#REF!), _xlpm.u,_xlfn._xlws.SORT(_xlfn.UNIQUE(_xlfn._xlws.FILTER(_xlpm.src,_xlpm.src&lt;&gt;""))), IFERROR(INDEX(_xlpm.u,ROWS(A$2:A131)),""))</f>
        <v/>
      </c>
      <c r="B131" s="118"/>
      <c r="C131" s="118"/>
      <c r="D131" s="118"/>
      <c r="E131" s="118"/>
      <c r="F131" s="118"/>
      <c r="G131" s="119" t="str">
        <f>IF(tblProcurement2026[[#This Row],[Committed (All Expenses)]]=0,"",tblProcurement2026[[#This Row],[Paid/Realised]]/tblProcurement2026[[#This Row],[Committed (All Expenses)]])</f>
        <v/>
      </c>
      <c r="H131" s="120" t="e" cm="1">
        <f t="array" aca="1" ref="H131" ca="1">_xlfn.LET(_xlpm.p,tblProcurement2026[[#This Row],[Project Name]], _xlpm.nxt,MIN( IF((#REF!=_xlpm.p)*(#REF!&gt;TODAY()),#REF!)), IF(_xlpm.nxt=0,"",_xlpm.nxt-TODAY()))</f>
        <v>#REF!</v>
      </c>
      <c r="J131" s="118"/>
      <c r="K131" s="121"/>
      <c r="M131" s="118"/>
      <c r="N131" s="121"/>
      <c r="Q131" s="118"/>
      <c r="R131" s="118"/>
    </row>
    <row r="132" spans="1:18">
      <c r="A132" t="str" cm="1">
        <f t="array" ref="A132">_xlfn.LET(_xlpm.src,TRIM(#REF!), _xlpm.u,_xlfn._xlws.SORT(_xlfn.UNIQUE(_xlfn._xlws.FILTER(_xlpm.src,_xlpm.src&lt;&gt;""))), IFERROR(INDEX(_xlpm.u,ROWS(A$2:A132)),""))</f>
        <v/>
      </c>
      <c r="B132" s="118"/>
      <c r="C132" s="118"/>
      <c r="D132" s="118"/>
      <c r="E132" s="118"/>
      <c r="F132" s="118"/>
      <c r="G132" s="119" t="str">
        <f>IF(tblProcurement2026[[#This Row],[Committed (All Expenses)]]=0,"",tblProcurement2026[[#This Row],[Paid/Realised]]/tblProcurement2026[[#This Row],[Committed (All Expenses)]])</f>
        <v/>
      </c>
      <c r="H132" s="120" t="e" cm="1">
        <f t="array" aca="1" ref="H132" ca="1">_xlfn.LET(_xlpm.p,tblProcurement2026[[#This Row],[Project Name]], _xlpm.nxt,MIN( IF((#REF!=_xlpm.p)*(#REF!&gt;TODAY()),#REF!)), IF(_xlpm.nxt=0,"",_xlpm.nxt-TODAY()))</f>
        <v>#REF!</v>
      </c>
      <c r="J132" s="118"/>
      <c r="K132" s="121"/>
      <c r="M132" s="118"/>
      <c r="N132" s="121"/>
      <c r="Q132" s="118"/>
      <c r="R132" s="118"/>
    </row>
    <row r="133" spans="1:18">
      <c r="A133" t="str" cm="1">
        <f t="array" ref="A133">_xlfn.LET(_xlpm.src,TRIM(#REF!), _xlpm.u,_xlfn._xlws.SORT(_xlfn.UNIQUE(_xlfn._xlws.FILTER(_xlpm.src,_xlpm.src&lt;&gt;""))), IFERROR(INDEX(_xlpm.u,ROWS(A$2:A133)),""))</f>
        <v/>
      </c>
      <c r="B133" s="118"/>
      <c r="C133" s="118"/>
      <c r="D133" s="118"/>
      <c r="E133" s="118"/>
      <c r="F133" s="118"/>
      <c r="G133" s="119" t="str">
        <f>IF(tblProcurement2026[[#This Row],[Committed (All Expenses)]]=0,"",tblProcurement2026[[#This Row],[Paid/Realised]]/tblProcurement2026[[#This Row],[Committed (All Expenses)]])</f>
        <v/>
      </c>
      <c r="H133" s="120" t="e" cm="1">
        <f t="array" aca="1" ref="H133" ca="1">_xlfn.LET(_xlpm.p,tblProcurement2026[[#This Row],[Project Name]], _xlpm.nxt,MIN( IF((#REF!=_xlpm.p)*(#REF!&gt;TODAY()),#REF!)), IF(_xlpm.nxt=0,"",_xlpm.nxt-TODAY()))</f>
        <v>#REF!</v>
      </c>
      <c r="J133" s="118"/>
      <c r="K133" s="121"/>
      <c r="M133" s="118"/>
      <c r="N133" s="121"/>
      <c r="Q133" s="118"/>
      <c r="R133" s="118"/>
    </row>
    <row r="134" spans="1:18">
      <c r="A134" t="str" cm="1">
        <f t="array" ref="A134">_xlfn.LET(_xlpm.src,TRIM(#REF!), _xlpm.u,_xlfn._xlws.SORT(_xlfn.UNIQUE(_xlfn._xlws.FILTER(_xlpm.src,_xlpm.src&lt;&gt;""))), IFERROR(INDEX(_xlpm.u,ROWS(A$2:A134)),""))</f>
        <v/>
      </c>
      <c r="B134" s="118"/>
      <c r="C134" s="118"/>
      <c r="D134" s="118"/>
      <c r="E134" s="118"/>
      <c r="F134" s="118"/>
      <c r="G134" s="119" t="str">
        <f>IF(tblProcurement2026[[#This Row],[Committed (All Expenses)]]=0,"",tblProcurement2026[[#This Row],[Paid/Realised]]/tblProcurement2026[[#This Row],[Committed (All Expenses)]])</f>
        <v/>
      </c>
      <c r="H134" s="120" t="e" cm="1">
        <f t="array" aca="1" ref="H134" ca="1">_xlfn.LET(_xlpm.p,tblProcurement2026[[#This Row],[Project Name]], _xlpm.nxt,MIN( IF((#REF!=_xlpm.p)*(#REF!&gt;TODAY()),#REF!)), IF(_xlpm.nxt=0,"",_xlpm.nxt-TODAY()))</f>
        <v>#REF!</v>
      </c>
      <c r="J134" s="118"/>
      <c r="K134" s="121"/>
      <c r="M134" s="118"/>
      <c r="N134" s="121"/>
      <c r="Q134" s="118"/>
      <c r="R134" s="118"/>
    </row>
    <row r="135" spans="1:18">
      <c r="A135" t="str" cm="1">
        <f t="array" ref="A135">_xlfn.LET(_xlpm.src,TRIM(#REF!), _xlpm.u,_xlfn._xlws.SORT(_xlfn.UNIQUE(_xlfn._xlws.FILTER(_xlpm.src,_xlpm.src&lt;&gt;""))), IFERROR(INDEX(_xlpm.u,ROWS(A$2:A135)),""))</f>
        <v/>
      </c>
      <c r="B135" s="118"/>
      <c r="C135" s="118"/>
      <c r="D135" s="118"/>
      <c r="E135" s="118"/>
      <c r="F135" s="118"/>
      <c r="G135" s="119" t="str">
        <f>IF(tblProcurement2026[[#This Row],[Committed (All Expenses)]]=0,"",tblProcurement2026[[#This Row],[Paid/Realised]]/tblProcurement2026[[#This Row],[Committed (All Expenses)]])</f>
        <v/>
      </c>
      <c r="H135" s="120" t="e" cm="1">
        <f t="array" aca="1" ref="H135" ca="1">_xlfn.LET(_xlpm.p,tblProcurement2026[[#This Row],[Project Name]], _xlpm.nxt,MIN( IF((#REF!=_xlpm.p)*(#REF!&gt;TODAY()),#REF!)), IF(_xlpm.nxt=0,"",_xlpm.nxt-TODAY()))</f>
        <v>#REF!</v>
      </c>
      <c r="J135" s="118"/>
      <c r="K135" s="121"/>
      <c r="M135" s="118"/>
      <c r="N135" s="121"/>
      <c r="Q135" s="118"/>
      <c r="R135" s="118"/>
    </row>
    <row r="136" spans="1:18">
      <c r="A136" t="str" cm="1">
        <f t="array" ref="A136">_xlfn.LET(_xlpm.src,TRIM(#REF!), _xlpm.u,_xlfn._xlws.SORT(_xlfn.UNIQUE(_xlfn._xlws.FILTER(_xlpm.src,_xlpm.src&lt;&gt;""))), IFERROR(INDEX(_xlpm.u,ROWS(A$2:A136)),""))</f>
        <v/>
      </c>
      <c r="B136" s="118"/>
      <c r="C136" s="118"/>
      <c r="D136" s="118"/>
      <c r="E136" s="118"/>
      <c r="F136" s="118"/>
      <c r="G136" s="119" t="str">
        <f>IF(tblProcurement2026[[#This Row],[Committed (All Expenses)]]=0,"",tblProcurement2026[[#This Row],[Paid/Realised]]/tblProcurement2026[[#This Row],[Committed (All Expenses)]])</f>
        <v/>
      </c>
      <c r="H136" s="120" t="e" cm="1">
        <f t="array" aca="1" ref="H136" ca="1">_xlfn.LET(_xlpm.p,tblProcurement2026[[#This Row],[Project Name]], _xlpm.nxt,MIN( IF((#REF!=_xlpm.p)*(#REF!&gt;TODAY()),#REF!)), IF(_xlpm.nxt=0,"",_xlpm.nxt-TODAY()))</f>
        <v>#REF!</v>
      </c>
      <c r="J136" s="118"/>
      <c r="K136" s="121"/>
      <c r="M136" s="118"/>
      <c r="N136" s="121"/>
      <c r="Q136" s="118"/>
      <c r="R136" s="118"/>
    </row>
    <row r="137" spans="1:18">
      <c r="A137" t="str" cm="1">
        <f t="array" ref="A137">_xlfn.LET(_xlpm.src,TRIM(#REF!), _xlpm.u,_xlfn._xlws.SORT(_xlfn.UNIQUE(_xlfn._xlws.FILTER(_xlpm.src,_xlpm.src&lt;&gt;""))), IFERROR(INDEX(_xlpm.u,ROWS(A$2:A137)),""))</f>
        <v/>
      </c>
      <c r="B137" s="118"/>
      <c r="C137" s="118"/>
      <c r="D137" s="118"/>
      <c r="E137" s="118"/>
      <c r="F137" s="118"/>
      <c r="G137" s="119" t="str">
        <f>IF(tblProcurement2026[[#This Row],[Committed (All Expenses)]]=0,"",tblProcurement2026[[#This Row],[Paid/Realised]]/tblProcurement2026[[#This Row],[Committed (All Expenses)]])</f>
        <v/>
      </c>
      <c r="H137" s="120" t="e" cm="1">
        <f t="array" aca="1" ref="H137" ca="1">_xlfn.LET(_xlpm.p,tblProcurement2026[[#This Row],[Project Name]], _xlpm.nxt,MIN( IF((#REF!=_xlpm.p)*(#REF!&gt;TODAY()),#REF!)), IF(_xlpm.nxt=0,"",_xlpm.nxt-TODAY()))</f>
        <v>#REF!</v>
      </c>
      <c r="J137" s="118"/>
      <c r="K137" s="121"/>
      <c r="M137" s="118"/>
      <c r="N137" s="121"/>
      <c r="Q137" s="118"/>
      <c r="R137" s="118"/>
    </row>
    <row r="138" spans="1:18">
      <c r="A138" t="str" cm="1">
        <f t="array" ref="A138">_xlfn.LET(_xlpm.src,TRIM(#REF!), _xlpm.u,_xlfn._xlws.SORT(_xlfn.UNIQUE(_xlfn._xlws.FILTER(_xlpm.src,_xlpm.src&lt;&gt;""))), IFERROR(INDEX(_xlpm.u,ROWS(A$2:A138)),""))</f>
        <v/>
      </c>
      <c r="B138" s="118"/>
      <c r="C138" s="118"/>
      <c r="D138" s="118"/>
      <c r="E138" s="118"/>
      <c r="F138" s="118"/>
      <c r="G138" s="119" t="str">
        <f>IF(tblProcurement2026[[#This Row],[Committed (All Expenses)]]=0,"",tblProcurement2026[[#This Row],[Paid/Realised]]/tblProcurement2026[[#This Row],[Committed (All Expenses)]])</f>
        <v/>
      </c>
      <c r="H138" s="120" t="e" cm="1">
        <f t="array" aca="1" ref="H138" ca="1">_xlfn.LET(_xlpm.p,tblProcurement2026[[#This Row],[Project Name]], _xlpm.nxt,MIN( IF((#REF!=_xlpm.p)*(#REF!&gt;TODAY()),#REF!)), IF(_xlpm.nxt=0,"",_xlpm.nxt-TODAY()))</f>
        <v>#REF!</v>
      </c>
      <c r="J138" s="118"/>
      <c r="K138" s="121"/>
      <c r="M138" s="118"/>
      <c r="N138" s="121"/>
      <c r="Q138" s="118"/>
      <c r="R138" s="118"/>
    </row>
    <row r="139" spans="1:18">
      <c r="A139" t="str" cm="1">
        <f t="array" ref="A139">_xlfn.LET(_xlpm.src,TRIM(#REF!), _xlpm.u,_xlfn._xlws.SORT(_xlfn.UNIQUE(_xlfn._xlws.FILTER(_xlpm.src,_xlpm.src&lt;&gt;""))), IFERROR(INDEX(_xlpm.u,ROWS(A$2:A139)),""))</f>
        <v/>
      </c>
      <c r="B139" s="118"/>
      <c r="C139" s="118"/>
      <c r="D139" s="118"/>
      <c r="E139" s="118"/>
      <c r="F139" s="118"/>
      <c r="G139" s="119" t="str">
        <f>IF(tblProcurement2026[[#This Row],[Committed (All Expenses)]]=0,"",tblProcurement2026[[#This Row],[Paid/Realised]]/tblProcurement2026[[#This Row],[Committed (All Expenses)]])</f>
        <v/>
      </c>
      <c r="H139" s="120" t="e" cm="1">
        <f t="array" aca="1" ref="H139" ca="1">_xlfn.LET(_xlpm.p,tblProcurement2026[[#This Row],[Project Name]], _xlpm.nxt,MIN( IF((#REF!=_xlpm.p)*(#REF!&gt;TODAY()),#REF!)), IF(_xlpm.nxt=0,"",_xlpm.nxt-TODAY()))</f>
        <v>#REF!</v>
      </c>
      <c r="J139" s="118"/>
      <c r="K139" s="121"/>
      <c r="M139" s="118"/>
      <c r="N139" s="121"/>
      <c r="Q139" s="118"/>
      <c r="R139" s="118"/>
    </row>
    <row r="140" spans="1:18">
      <c r="A140" t="str" cm="1">
        <f t="array" ref="A140">_xlfn.LET(_xlpm.src,TRIM(#REF!), _xlpm.u,_xlfn._xlws.SORT(_xlfn.UNIQUE(_xlfn._xlws.FILTER(_xlpm.src,_xlpm.src&lt;&gt;""))), IFERROR(INDEX(_xlpm.u,ROWS(A$2:A140)),""))</f>
        <v/>
      </c>
      <c r="B140" s="118"/>
      <c r="C140" s="118"/>
      <c r="D140" s="118"/>
      <c r="E140" s="118"/>
      <c r="F140" s="118"/>
      <c r="G140" s="119" t="str">
        <f>IF(tblProcurement2026[[#This Row],[Committed (All Expenses)]]=0,"",tblProcurement2026[[#This Row],[Paid/Realised]]/tblProcurement2026[[#This Row],[Committed (All Expenses)]])</f>
        <v/>
      </c>
      <c r="H140" s="120" t="e" cm="1">
        <f t="array" aca="1" ref="H140" ca="1">_xlfn.LET(_xlpm.p,tblProcurement2026[[#This Row],[Project Name]], _xlpm.nxt,MIN( IF((#REF!=_xlpm.p)*(#REF!&gt;TODAY()),#REF!)), IF(_xlpm.nxt=0,"",_xlpm.nxt-TODAY()))</f>
        <v>#REF!</v>
      </c>
      <c r="J140" s="118"/>
      <c r="K140" s="121"/>
      <c r="M140" s="118"/>
      <c r="N140" s="121"/>
      <c r="Q140" s="118"/>
      <c r="R140" s="118"/>
    </row>
    <row r="141" spans="1:18">
      <c r="A141" t="str" cm="1">
        <f t="array" ref="A141">_xlfn.LET(_xlpm.src,TRIM(#REF!), _xlpm.u,_xlfn._xlws.SORT(_xlfn.UNIQUE(_xlfn._xlws.FILTER(_xlpm.src,_xlpm.src&lt;&gt;""))), IFERROR(INDEX(_xlpm.u,ROWS(A$2:A141)),""))</f>
        <v/>
      </c>
      <c r="B141" s="118"/>
      <c r="C141" s="118"/>
      <c r="D141" s="118"/>
      <c r="E141" s="118"/>
      <c r="F141" s="118"/>
      <c r="G141" s="119" t="str">
        <f>IF(tblProcurement2026[[#This Row],[Committed (All Expenses)]]=0,"",tblProcurement2026[[#This Row],[Paid/Realised]]/tblProcurement2026[[#This Row],[Committed (All Expenses)]])</f>
        <v/>
      </c>
      <c r="H141" s="120" t="e" cm="1">
        <f t="array" aca="1" ref="H141" ca="1">_xlfn.LET(_xlpm.p,tblProcurement2026[[#This Row],[Project Name]], _xlpm.nxt,MIN( IF((#REF!=_xlpm.p)*(#REF!&gt;TODAY()),#REF!)), IF(_xlpm.nxt=0,"",_xlpm.nxt-TODAY()))</f>
        <v>#REF!</v>
      </c>
      <c r="J141" s="118"/>
      <c r="K141" s="121"/>
      <c r="M141" s="118"/>
      <c r="N141" s="121"/>
      <c r="Q141" s="118"/>
      <c r="R141" s="118"/>
    </row>
    <row r="142" spans="1:18">
      <c r="A142" t="str" cm="1">
        <f t="array" ref="A142">_xlfn.LET(_xlpm.src,TRIM(#REF!), _xlpm.u,_xlfn._xlws.SORT(_xlfn.UNIQUE(_xlfn._xlws.FILTER(_xlpm.src,_xlpm.src&lt;&gt;""))), IFERROR(INDEX(_xlpm.u,ROWS(A$2:A142)),""))</f>
        <v/>
      </c>
      <c r="B142" s="118"/>
      <c r="C142" s="118"/>
      <c r="D142" s="118"/>
      <c r="E142" s="118"/>
      <c r="F142" s="118"/>
      <c r="G142" s="119" t="str">
        <f>IF(tblProcurement2026[[#This Row],[Committed (All Expenses)]]=0,"",tblProcurement2026[[#This Row],[Paid/Realised]]/tblProcurement2026[[#This Row],[Committed (All Expenses)]])</f>
        <v/>
      </c>
      <c r="H142" s="120" t="e" cm="1">
        <f t="array" aca="1" ref="H142" ca="1">_xlfn.LET(_xlpm.p,tblProcurement2026[[#This Row],[Project Name]], _xlpm.nxt,MIN( IF((#REF!=_xlpm.p)*(#REF!&gt;TODAY()),#REF!)), IF(_xlpm.nxt=0,"",_xlpm.nxt-TODAY()))</f>
        <v>#REF!</v>
      </c>
      <c r="J142" s="118"/>
      <c r="K142" s="121"/>
      <c r="M142" s="118"/>
      <c r="N142" s="121"/>
      <c r="Q142" s="118"/>
      <c r="R142" s="118"/>
    </row>
    <row r="143" spans="1:18">
      <c r="A143" t="str" cm="1">
        <f t="array" ref="A143">_xlfn.LET(_xlpm.src,TRIM(#REF!), _xlpm.u,_xlfn._xlws.SORT(_xlfn.UNIQUE(_xlfn._xlws.FILTER(_xlpm.src,_xlpm.src&lt;&gt;""))), IFERROR(INDEX(_xlpm.u,ROWS(A$2:A143)),""))</f>
        <v/>
      </c>
      <c r="B143" s="118"/>
      <c r="C143" s="118"/>
      <c r="D143" s="118"/>
      <c r="E143" s="118"/>
      <c r="F143" s="118"/>
      <c r="G143" s="119" t="str">
        <f>IF(tblProcurement2026[[#This Row],[Committed (All Expenses)]]=0,"",tblProcurement2026[[#This Row],[Paid/Realised]]/tblProcurement2026[[#This Row],[Committed (All Expenses)]])</f>
        <v/>
      </c>
      <c r="H143" s="120" t="e" cm="1">
        <f t="array" aca="1" ref="H143" ca="1">_xlfn.LET(_xlpm.p,tblProcurement2026[[#This Row],[Project Name]], _xlpm.nxt,MIN( IF((#REF!=_xlpm.p)*(#REF!&gt;TODAY()),#REF!)), IF(_xlpm.nxt=0,"",_xlpm.nxt-TODAY()))</f>
        <v>#REF!</v>
      </c>
      <c r="J143" s="118"/>
      <c r="K143" s="121"/>
      <c r="M143" s="118"/>
      <c r="N143" s="121"/>
      <c r="Q143" s="118"/>
      <c r="R143" s="118"/>
    </row>
    <row r="144" spans="1:18">
      <c r="A144" t="str" cm="1">
        <f t="array" ref="A144">_xlfn.LET(_xlpm.src,TRIM(#REF!), _xlpm.u,_xlfn._xlws.SORT(_xlfn.UNIQUE(_xlfn._xlws.FILTER(_xlpm.src,_xlpm.src&lt;&gt;""))), IFERROR(INDEX(_xlpm.u,ROWS(A$2:A144)),""))</f>
        <v/>
      </c>
      <c r="B144" s="118"/>
      <c r="C144" s="118"/>
      <c r="D144" s="118"/>
      <c r="E144" s="118"/>
      <c r="F144" s="118"/>
      <c r="G144" s="119" t="str">
        <f>IF(tblProcurement2026[[#This Row],[Committed (All Expenses)]]=0,"",tblProcurement2026[[#This Row],[Paid/Realised]]/tblProcurement2026[[#This Row],[Committed (All Expenses)]])</f>
        <v/>
      </c>
      <c r="H144" s="120" t="e" cm="1">
        <f t="array" aca="1" ref="H144" ca="1">_xlfn.LET(_xlpm.p,tblProcurement2026[[#This Row],[Project Name]], _xlpm.nxt,MIN( IF((#REF!=_xlpm.p)*(#REF!&gt;TODAY()),#REF!)), IF(_xlpm.nxt=0,"",_xlpm.nxt-TODAY()))</f>
        <v>#REF!</v>
      </c>
      <c r="J144" s="118"/>
      <c r="K144" s="121"/>
      <c r="M144" s="118"/>
      <c r="N144" s="121"/>
      <c r="Q144" s="118"/>
      <c r="R144" s="118"/>
    </row>
    <row r="145" spans="1:18">
      <c r="A145" t="str" cm="1">
        <f t="array" ref="A145">_xlfn.LET(_xlpm.src,TRIM(#REF!), _xlpm.u,_xlfn._xlws.SORT(_xlfn.UNIQUE(_xlfn._xlws.FILTER(_xlpm.src,_xlpm.src&lt;&gt;""))), IFERROR(INDEX(_xlpm.u,ROWS(A$2:A145)),""))</f>
        <v/>
      </c>
      <c r="B145" s="118"/>
      <c r="C145" s="118"/>
      <c r="D145" s="118"/>
      <c r="E145" s="118"/>
      <c r="F145" s="118"/>
      <c r="G145" s="119" t="str">
        <f>IF(tblProcurement2026[[#This Row],[Committed (All Expenses)]]=0,"",tblProcurement2026[[#This Row],[Paid/Realised]]/tblProcurement2026[[#This Row],[Committed (All Expenses)]])</f>
        <v/>
      </c>
      <c r="H145" s="120" t="e" cm="1">
        <f t="array" aca="1" ref="H145" ca="1">_xlfn.LET(_xlpm.p,tblProcurement2026[[#This Row],[Project Name]], _xlpm.nxt,MIN( IF((#REF!=_xlpm.p)*(#REF!&gt;TODAY()),#REF!)), IF(_xlpm.nxt=0,"",_xlpm.nxt-TODAY()))</f>
        <v>#REF!</v>
      </c>
      <c r="J145" s="118"/>
      <c r="K145" s="121"/>
      <c r="M145" s="118"/>
      <c r="N145" s="121"/>
      <c r="Q145" s="118"/>
      <c r="R145" s="118"/>
    </row>
    <row r="146" spans="1:18">
      <c r="A146" t="str" cm="1">
        <f t="array" ref="A146">_xlfn.LET(_xlpm.src,TRIM(#REF!), _xlpm.u,_xlfn._xlws.SORT(_xlfn.UNIQUE(_xlfn._xlws.FILTER(_xlpm.src,_xlpm.src&lt;&gt;""))), IFERROR(INDEX(_xlpm.u,ROWS(A$2:A146)),""))</f>
        <v/>
      </c>
      <c r="B146" s="118"/>
      <c r="C146" s="118"/>
      <c r="D146" s="118"/>
      <c r="E146" s="118"/>
      <c r="F146" s="118"/>
      <c r="G146" s="119" t="str">
        <f>IF(tblProcurement2026[[#This Row],[Committed (All Expenses)]]=0,"",tblProcurement2026[[#This Row],[Paid/Realised]]/tblProcurement2026[[#This Row],[Committed (All Expenses)]])</f>
        <v/>
      </c>
      <c r="H146" s="120" t="e" cm="1">
        <f t="array" aca="1" ref="H146" ca="1">_xlfn.LET(_xlpm.p,tblProcurement2026[[#This Row],[Project Name]], _xlpm.nxt,MIN( IF((#REF!=_xlpm.p)*(#REF!&gt;TODAY()),#REF!)), IF(_xlpm.nxt=0,"",_xlpm.nxt-TODAY()))</f>
        <v>#REF!</v>
      </c>
      <c r="J146" s="118"/>
      <c r="K146" s="121"/>
      <c r="M146" s="118"/>
      <c r="N146" s="121"/>
      <c r="Q146" s="118"/>
      <c r="R146" s="118"/>
    </row>
    <row r="147" spans="1:18">
      <c r="A147" t="str" cm="1">
        <f t="array" ref="A147">_xlfn.LET(_xlpm.src,TRIM(#REF!), _xlpm.u,_xlfn._xlws.SORT(_xlfn.UNIQUE(_xlfn._xlws.FILTER(_xlpm.src,_xlpm.src&lt;&gt;""))), IFERROR(INDEX(_xlpm.u,ROWS(A$2:A147)),""))</f>
        <v/>
      </c>
      <c r="B147" s="118"/>
      <c r="C147" s="118"/>
      <c r="D147" s="118"/>
      <c r="E147" s="118"/>
      <c r="F147" s="118"/>
      <c r="G147" s="119" t="str">
        <f>IF(tblProcurement2026[[#This Row],[Committed (All Expenses)]]=0,"",tblProcurement2026[[#This Row],[Paid/Realised]]/tblProcurement2026[[#This Row],[Committed (All Expenses)]])</f>
        <v/>
      </c>
      <c r="H147" s="120" t="e" cm="1">
        <f t="array" aca="1" ref="H147" ca="1">_xlfn.LET(_xlpm.p,tblProcurement2026[[#This Row],[Project Name]], _xlpm.nxt,MIN( IF((#REF!=_xlpm.p)*(#REF!&gt;TODAY()),#REF!)), IF(_xlpm.nxt=0,"",_xlpm.nxt-TODAY()))</f>
        <v>#REF!</v>
      </c>
      <c r="J147" s="118"/>
      <c r="K147" s="121"/>
      <c r="M147" s="118"/>
      <c r="N147" s="121"/>
      <c r="Q147" s="118"/>
      <c r="R147" s="118"/>
    </row>
    <row r="148" spans="1:18">
      <c r="A148" t="str" cm="1">
        <f t="array" ref="A148">_xlfn.LET(_xlpm.src,TRIM(#REF!), _xlpm.u,_xlfn._xlws.SORT(_xlfn.UNIQUE(_xlfn._xlws.FILTER(_xlpm.src,_xlpm.src&lt;&gt;""))), IFERROR(INDEX(_xlpm.u,ROWS(A$2:A148)),""))</f>
        <v/>
      </c>
      <c r="B148" s="118"/>
      <c r="C148" s="118"/>
      <c r="D148" s="118"/>
      <c r="E148" s="118"/>
      <c r="F148" s="118"/>
      <c r="G148" s="119" t="str">
        <f>IF(tblProcurement2026[[#This Row],[Committed (All Expenses)]]=0,"",tblProcurement2026[[#This Row],[Paid/Realised]]/tblProcurement2026[[#This Row],[Committed (All Expenses)]])</f>
        <v/>
      </c>
      <c r="H148" s="120" t="e" cm="1">
        <f t="array" aca="1" ref="H148" ca="1">_xlfn.LET(_xlpm.p,tblProcurement2026[[#This Row],[Project Name]], _xlpm.nxt,MIN( IF((#REF!=_xlpm.p)*(#REF!&gt;TODAY()),#REF!)), IF(_xlpm.nxt=0,"",_xlpm.nxt-TODAY()))</f>
        <v>#REF!</v>
      </c>
      <c r="J148" s="118"/>
      <c r="K148" s="121"/>
      <c r="M148" s="118"/>
      <c r="N148" s="121"/>
      <c r="Q148" s="118"/>
      <c r="R148" s="118"/>
    </row>
    <row r="149" spans="1:18">
      <c r="A149" t="str" cm="1">
        <f t="array" ref="A149">_xlfn.LET(_xlpm.src,TRIM(#REF!), _xlpm.u,_xlfn._xlws.SORT(_xlfn.UNIQUE(_xlfn._xlws.FILTER(_xlpm.src,_xlpm.src&lt;&gt;""))), IFERROR(INDEX(_xlpm.u,ROWS(A$2:A149)),""))</f>
        <v/>
      </c>
      <c r="B149" s="118"/>
      <c r="C149" s="118"/>
      <c r="D149" s="118"/>
      <c r="E149" s="118"/>
      <c r="F149" s="118"/>
      <c r="G149" s="119" t="str">
        <f>IF(tblProcurement2026[[#This Row],[Committed (All Expenses)]]=0,"",tblProcurement2026[[#This Row],[Paid/Realised]]/tblProcurement2026[[#This Row],[Committed (All Expenses)]])</f>
        <v/>
      </c>
      <c r="H149" s="120" t="e" cm="1">
        <f t="array" aca="1" ref="H149" ca="1">_xlfn.LET(_xlpm.p,tblProcurement2026[[#This Row],[Project Name]], _xlpm.nxt,MIN( IF((#REF!=_xlpm.p)*(#REF!&gt;TODAY()),#REF!)), IF(_xlpm.nxt=0,"",_xlpm.nxt-TODAY()))</f>
        <v>#REF!</v>
      </c>
      <c r="J149" s="118"/>
      <c r="K149" s="121"/>
      <c r="M149" s="118"/>
      <c r="N149" s="121"/>
      <c r="Q149" s="118"/>
      <c r="R149" s="118"/>
    </row>
    <row r="150" spans="1:18">
      <c r="A150" t="str" cm="1">
        <f t="array" ref="A150">_xlfn.LET(_xlpm.src,TRIM(#REF!), _xlpm.u,_xlfn._xlws.SORT(_xlfn.UNIQUE(_xlfn._xlws.FILTER(_xlpm.src,_xlpm.src&lt;&gt;""))), IFERROR(INDEX(_xlpm.u,ROWS(A$2:A150)),""))</f>
        <v/>
      </c>
      <c r="B150" s="118"/>
      <c r="C150" s="118"/>
      <c r="D150" s="118"/>
      <c r="E150" s="118"/>
      <c r="F150" s="118"/>
      <c r="G150" s="119" t="str">
        <f>IF(tblProcurement2026[[#This Row],[Committed (All Expenses)]]=0,"",tblProcurement2026[[#This Row],[Paid/Realised]]/tblProcurement2026[[#This Row],[Committed (All Expenses)]])</f>
        <v/>
      </c>
      <c r="H150" s="120" t="e" cm="1">
        <f t="array" aca="1" ref="H150" ca="1">_xlfn.LET(_xlpm.p,tblProcurement2026[[#This Row],[Project Name]], _xlpm.nxt,MIN( IF((#REF!=_xlpm.p)*(#REF!&gt;TODAY()),#REF!)), IF(_xlpm.nxt=0,"",_xlpm.nxt-TODAY()))</f>
        <v>#REF!</v>
      </c>
      <c r="J150" s="118"/>
      <c r="K150" s="121"/>
      <c r="M150" s="118"/>
      <c r="N150" s="121"/>
      <c r="Q150" s="118"/>
      <c r="R150" s="118"/>
    </row>
    <row r="151" spans="1:18">
      <c r="A151" t="str" cm="1">
        <f t="array" ref="A151">_xlfn.LET(_xlpm.src,TRIM(#REF!), _xlpm.u,_xlfn._xlws.SORT(_xlfn.UNIQUE(_xlfn._xlws.FILTER(_xlpm.src,_xlpm.src&lt;&gt;""))), IFERROR(INDEX(_xlpm.u,ROWS(A$2:A151)),""))</f>
        <v/>
      </c>
      <c r="B151" s="118"/>
      <c r="C151" s="118"/>
      <c r="D151" s="118"/>
      <c r="E151" s="118"/>
      <c r="F151" s="118"/>
      <c r="G151" s="119" t="str">
        <f>IF(tblProcurement2026[[#This Row],[Committed (All Expenses)]]=0,"",tblProcurement2026[[#This Row],[Paid/Realised]]/tblProcurement2026[[#This Row],[Committed (All Expenses)]])</f>
        <v/>
      </c>
      <c r="H151" s="120" t="e" cm="1">
        <f t="array" aca="1" ref="H151" ca="1">_xlfn.LET(_xlpm.p,tblProcurement2026[[#This Row],[Project Name]], _xlpm.nxt,MIN( IF((#REF!=_xlpm.p)*(#REF!&gt;TODAY()),#REF!)), IF(_xlpm.nxt=0,"",_xlpm.nxt-TODAY()))</f>
        <v>#REF!</v>
      </c>
      <c r="J151" s="118"/>
      <c r="K151" s="121"/>
      <c r="M151" s="118"/>
      <c r="N151" s="121"/>
      <c r="Q151" s="118"/>
      <c r="R151" s="118"/>
    </row>
    <row r="152" spans="1:18">
      <c r="A152" t="str" cm="1">
        <f t="array" ref="A152">_xlfn.LET(_xlpm.src,TRIM(#REF!), _xlpm.u,_xlfn._xlws.SORT(_xlfn.UNIQUE(_xlfn._xlws.FILTER(_xlpm.src,_xlpm.src&lt;&gt;""))), IFERROR(INDEX(_xlpm.u,ROWS(A$2:A152)),""))</f>
        <v/>
      </c>
      <c r="B152" s="118"/>
      <c r="C152" s="118"/>
      <c r="D152" s="118"/>
      <c r="E152" s="118"/>
      <c r="F152" s="118"/>
      <c r="G152" s="119" t="str">
        <f>IF(tblProcurement2026[[#This Row],[Committed (All Expenses)]]=0,"",tblProcurement2026[[#This Row],[Paid/Realised]]/tblProcurement2026[[#This Row],[Committed (All Expenses)]])</f>
        <v/>
      </c>
      <c r="H152" s="120" t="e" cm="1">
        <f t="array" aca="1" ref="H152" ca="1">_xlfn.LET(_xlpm.p,tblProcurement2026[[#This Row],[Project Name]], _xlpm.nxt,MIN( IF((#REF!=_xlpm.p)*(#REF!&gt;TODAY()),#REF!)), IF(_xlpm.nxt=0,"",_xlpm.nxt-TODAY()))</f>
        <v>#REF!</v>
      </c>
      <c r="J152" s="118"/>
      <c r="K152" s="121"/>
      <c r="M152" s="118"/>
      <c r="N152" s="121"/>
      <c r="Q152" s="118"/>
      <c r="R152" s="118"/>
    </row>
    <row r="153" spans="1:18">
      <c r="A153" t="str" cm="1">
        <f t="array" ref="A153">_xlfn.LET(_xlpm.src,TRIM(#REF!), _xlpm.u,_xlfn._xlws.SORT(_xlfn.UNIQUE(_xlfn._xlws.FILTER(_xlpm.src,_xlpm.src&lt;&gt;""))), IFERROR(INDEX(_xlpm.u,ROWS(A$2:A153)),""))</f>
        <v/>
      </c>
      <c r="B153" s="118"/>
      <c r="C153" s="118"/>
      <c r="D153" s="118"/>
      <c r="E153" s="118"/>
      <c r="F153" s="118"/>
      <c r="G153" s="119" t="str">
        <f>IF(tblProcurement2026[[#This Row],[Committed (All Expenses)]]=0,"",tblProcurement2026[[#This Row],[Paid/Realised]]/tblProcurement2026[[#This Row],[Committed (All Expenses)]])</f>
        <v/>
      </c>
      <c r="H153" s="120" t="e" cm="1">
        <f t="array" aca="1" ref="H153" ca="1">_xlfn.LET(_xlpm.p,tblProcurement2026[[#This Row],[Project Name]], _xlpm.nxt,MIN( IF((#REF!=_xlpm.p)*(#REF!&gt;TODAY()),#REF!)), IF(_xlpm.nxt=0,"",_xlpm.nxt-TODAY()))</f>
        <v>#REF!</v>
      </c>
      <c r="J153" s="118"/>
      <c r="K153" s="121"/>
      <c r="M153" s="118"/>
      <c r="N153" s="121"/>
      <c r="Q153" s="118"/>
      <c r="R153" s="118"/>
    </row>
    <row r="154" spans="1:18">
      <c r="A154" t="str" cm="1">
        <f t="array" ref="A154">_xlfn.LET(_xlpm.src,TRIM(#REF!), _xlpm.u,_xlfn._xlws.SORT(_xlfn.UNIQUE(_xlfn._xlws.FILTER(_xlpm.src,_xlpm.src&lt;&gt;""))), IFERROR(INDEX(_xlpm.u,ROWS(A$2:A154)),""))</f>
        <v/>
      </c>
      <c r="B154" s="118"/>
      <c r="C154" s="118"/>
      <c r="D154" s="118"/>
      <c r="E154" s="118"/>
      <c r="F154" s="118"/>
      <c r="G154" s="119" t="str">
        <f>IF(tblProcurement2026[[#This Row],[Committed (All Expenses)]]=0,"",tblProcurement2026[[#This Row],[Paid/Realised]]/tblProcurement2026[[#This Row],[Committed (All Expenses)]])</f>
        <v/>
      </c>
      <c r="H154" s="120" t="e" cm="1">
        <f t="array" aca="1" ref="H154" ca="1">_xlfn.LET(_xlpm.p,tblProcurement2026[[#This Row],[Project Name]], _xlpm.nxt,MIN( IF((#REF!=_xlpm.p)*(#REF!&gt;TODAY()),#REF!)), IF(_xlpm.nxt=0,"",_xlpm.nxt-TODAY()))</f>
        <v>#REF!</v>
      </c>
      <c r="J154" s="118"/>
      <c r="K154" s="121"/>
      <c r="M154" s="118"/>
      <c r="N154" s="121"/>
      <c r="Q154" s="118"/>
      <c r="R154" s="118"/>
    </row>
    <row r="155" spans="1:18">
      <c r="A155" t="str" cm="1">
        <f t="array" ref="A155">_xlfn.LET(_xlpm.src,TRIM(#REF!), _xlpm.u,_xlfn._xlws.SORT(_xlfn.UNIQUE(_xlfn._xlws.FILTER(_xlpm.src,_xlpm.src&lt;&gt;""))), IFERROR(INDEX(_xlpm.u,ROWS(A$2:A155)),""))</f>
        <v/>
      </c>
      <c r="B155" s="118"/>
      <c r="C155" s="118"/>
      <c r="D155" s="118"/>
      <c r="E155" s="118"/>
      <c r="F155" s="118"/>
      <c r="G155" s="119" t="str">
        <f>IF(tblProcurement2026[[#This Row],[Committed (All Expenses)]]=0,"",tblProcurement2026[[#This Row],[Paid/Realised]]/tblProcurement2026[[#This Row],[Committed (All Expenses)]])</f>
        <v/>
      </c>
      <c r="H155" s="120" t="e" cm="1">
        <f t="array" aca="1" ref="H155" ca="1">_xlfn.LET(_xlpm.p,tblProcurement2026[[#This Row],[Project Name]], _xlpm.nxt,MIN( IF((#REF!=_xlpm.p)*(#REF!&gt;TODAY()),#REF!)), IF(_xlpm.nxt=0,"",_xlpm.nxt-TODAY()))</f>
        <v>#REF!</v>
      </c>
      <c r="J155" s="118"/>
      <c r="K155" s="121"/>
      <c r="M155" s="118"/>
      <c r="N155" s="121"/>
      <c r="Q155" s="118"/>
      <c r="R155" s="118"/>
    </row>
    <row r="156" spans="1:18">
      <c r="A156" t="str" cm="1">
        <f t="array" ref="A156">_xlfn.LET(_xlpm.src,TRIM(#REF!), _xlpm.u,_xlfn._xlws.SORT(_xlfn.UNIQUE(_xlfn._xlws.FILTER(_xlpm.src,_xlpm.src&lt;&gt;""))), IFERROR(INDEX(_xlpm.u,ROWS(A$2:A156)),""))</f>
        <v/>
      </c>
      <c r="B156" s="118"/>
      <c r="C156" s="118"/>
      <c r="D156" s="118"/>
      <c r="E156" s="118"/>
      <c r="F156" s="118"/>
      <c r="G156" s="119" t="str">
        <f>IF(tblProcurement2026[[#This Row],[Committed (All Expenses)]]=0,"",tblProcurement2026[[#This Row],[Paid/Realised]]/tblProcurement2026[[#This Row],[Committed (All Expenses)]])</f>
        <v/>
      </c>
      <c r="H156" s="120" t="e" cm="1">
        <f t="array" aca="1" ref="H156" ca="1">_xlfn.LET(_xlpm.p,tblProcurement2026[[#This Row],[Project Name]], _xlpm.nxt,MIN( IF((#REF!=_xlpm.p)*(#REF!&gt;TODAY()),#REF!)), IF(_xlpm.nxt=0,"",_xlpm.nxt-TODAY()))</f>
        <v>#REF!</v>
      </c>
      <c r="J156" s="118"/>
      <c r="K156" s="121"/>
      <c r="M156" s="118"/>
      <c r="N156" s="121"/>
      <c r="Q156" s="118"/>
      <c r="R156" s="118"/>
    </row>
    <row r="157" spans="1:18">
      <c r="A157" t="str" cm="1">
        <f t="array" ref="A157">_xlfn.LET(_xlpm.src,TRIM(#REF!), _xlpm.u,_xlfn._xlws.SORT(_xlfn.UNIQUE(_xlfn._xlws.FILTER(_xlpm.src,_xlpm.src&lt;&gt;""))), IFERROR(INDEX(_xlpm.u,ROWS(A$2:A157)),""))</f>
        <v/>
      </c>
      <c r="B157" s="118"/>
      <c r="C157" s="118"/>
      <c r="D157" s="118"/>
      <c r="E157" s="118"/>
      <c r="F157" s="118"/>
      <c r="G157" s="119" t="str">
        <f>IF(tblProcurement2026[[#This Row],[Committed (All Expenses)]]=0,"",tblProcurement2026[[#This Row],[Paid/Realised]]/tblProcurement2026[[#This Row],[Committed (All Expenses)]])</f>
        <v/>
      </c>
      <c r="H157" s="120" t="e" cm="1">
        <f t="array" aca="1" ref="H157" ca="1">_xlfn.LET(_xlpm.p,tblProcurement2026[[#This Row],[Project Name]], _xlpm.nxt,MIN( IF((#REF!=_xlpm.p)*(#REF!&gt;TODAY()),#REF!)), IF(_xlpm.nxt=0,"",_xlpm.nxt-TODAY()))</f>
        <v>#REF!</v>
      </c>
      <c r="J157" s="118"/>
      <c r="K157" s="121"/>
      <c r="M157" s="118"/>
      <c r="N157" s="121"/>
      <c r="Q157" s="118"/>
      <c r="R157" s="118"/>
    </row>
    <row r="158" spans="1:18">
      <c r="A158" t="str" cm="1">
        <f t="array" ref="A158">_xlfn.LET(_xlpm.src,TRIM(#REF!), _xlpm.u,_xlfn._xlws.SORT(_xlfn.UNIQUE(_xlfn._xlws.FILTER(_xlpm.src,_xlpm.src&lt;&gt;""))), IFERROR(INDEX(_xlpm.u,ROWS(A$2:A158)),""))</f>
        <v/>
      </c>
      <c r="B158" s="118"/>
      <c r="C158" s="118"/>
      <c r="D158" s="118"/>
      <c r="E158" s="118"/>
      <c r="F158" s="118"/>
      <c r="G158" s="119" t="str">
        <f>IF(tblProcurement2026[[#This Row],[Committed (All Expenses)]]=0,"",tblProcurement2026[[#This Row],[Paid/Realised]]/tblProcurement2026[[#This Row],[Committed (All Expenses)]])</f>
        <v/>
      </c>
      <c r="H158" s="120" t="e" cm="1">
        <f t="array" aca="1" ref="H158" ca="1">_xlfn.LET(_xlpm.p,tblProcurement2026[[#This Row],[Project Name]], _xlpm.nxt,MIN( IF((#REF!=_xlpm.p)*(#REF!&gt;TODAY()),#REF!)), IF(_xlpm.nxt=0,"",_xlpm.nxt-TODAY()))</f>
        <v>#REF!</v>
      </c>
      <c r="J158" s="118"/>
      <c r="K158" s="121"/>
      <c r="M158" s="118"/>
      <c r="N158" s="121"/>
      <c r="Q158" s="118"/>
      <c r="R158" s="118"/>
    </row>
    <row r="159" spans="1:18">
      <c r="A159" t="str" cm="1">
        <f t="array" ref="A159">_xlfn.LET(_xlpm.src,TRIM(#REF!), _xlpm.u,_xlfn._xlws.SORT(_xlfn.UNIQUE(_xlfn._xlws.FILTER(_xlpm.src,_xlpm.src&lt;&gt;""))), IFERROR(INDEX(_xlpm.u,ROWS(A$2:A159)),""))</f>
        <v/>
      </c>
      <c r="B159" s="118"/>
      <c r="C159" s="118"/>
      <c r="D159" s="118"/>
      <c r="E159" s="118"/>
      <c r="F159" s="118"/>
      <c r="G159" s="119" t="str">
        <f>IF(tblProcurement2026[[#This Row],[Committed (All Expenses)]]=0,"",tblProcurement2026[[#This Row],[Paid/Realised]]/tblProcurement2026[[#This Row],[Committed (All Expenses)]])</f>
        <v/>
      </c>
      <c r="H159" s="120" t="e" cm="1">
        <f t="array" aca="1" ref="H159" ca="1">_xlfn.LET(_xlpm.p,tblProcurement2026[[#This Row],[Project Name]], _xlpm.nxt,MIN( IF((#REF!=_xlpm.p)*(#REF!&gt;TODAY()),#REF!)), IF(_xlpm.nxt=0,"",_xlpm.nxt-TODAY()))</f>
        <v>#REF!</v>
      </c>
      <c r="J159" s="118"/>
      <c r="K159" s="121"/>
      <c r="M159" s="118"/>
      <c r="N159" s="121"/>
      <c r="Q159" s="118"/>
      <c r="R159" s="118"/>
    </row>
    <row r="160" spans="1:18">
      <c r="A160" t="str" cm="1">
        <f t="array" ref="A160">_xlfn.LET(_xlpm.src,TRIM(#REF!), _xlpm.u,_xlfn._xlws.SORT(_xlfn.UNIQUE(_xlfn._xlws.FILTER(_xlpm.src,_xlpm.src&lt;&gt;""))), IFERROR(INDEX(_xlpm.u,ROWS(A$2:A160)),""))</f>
        <v/>
      </c>
      <c r="B160" s="118"/>
      <c r="C160" s="118"/>
      <c r="D160" s="118"/>
      <c r="E160" s="118"/>
      <c r="F160" s="118"/>
      <c r="G160" s="119" t="str">
        <f>IF(tblProcurement2026[[#This Row],[Committed (All Expenses)]]=0,"",tblProcurement2026[[#This Row],[Paid/Realised]]/tblProcurement2026[[#This Row],[Committed (All Expenses)]])</f>
        <v/>
      </c>
      <c r="H160" s="120" t="e" cm="1">
        <f t="array" aca="1" ref="H160" ca="1">_xlfn.LET(_xlpm.p,tblProcurement2026[[#This Row],[Project Name]], _xlpm.nxt,MIN( IF((#REF!=_xlpm.p)*(#REF!&gt;TODAY()),#REF!)), IF(_xlpm.nxt=0,"",_xlpm.nxt-TODAY()))</f>
        <v>#REF!</v>
      </c>
      <c r="J160" s="118"/>
      <c r="K160" s="121"/>
      <c r="M160" s="118"/>
      <c r="N160" s="121"/>
      <c r="Q160" s="118"/>
      <c r="R160" s="118"/>
    </row>
    <row r="161" spans="1:18">
      <c r="A161" t="str" cm="1">
        <f t="array" ref="A161">_xlfn.LET(_xlpm.src,TRIM(#REF!), _xlpm.u,_xlfn._xlws.SORT(_xlfn.UNIQUE(_xlfn._xlws.FILTER(_xlpm.src,_xlpm.src&lt;&gt;""))), IFERROR(INDEX(_xlpm.u,ROWS(A$2:A161)),""))</f>
        <v/>
      </c>
      <c r="B161" s="118"/>
      <c r="C161" s="118"/>
      <c r="D161" s="118"/>
      <c r="E161" s="118"/>
      <c r="F161" s="118"/>
      <c r="G161" s="119" t="str">
        <f>IF(tblProcurement2026[[#This Row],[Committed (All Expenses)]]=0,"",tblProcurement2026[[#This Row],[Paid/Realised]]/tblProcurement2026[[#This Row],[Committed (All Expenses)]])</f>
        <v/>
      </c>
      <c r="H161" s="120" t="e" cm="1">
        <f t="array" aca="1" ref="H161" ca="1">_xlfn.LET(_xlpm.p,tblProcurement2026[[#This Row],[Project Name]], _xlpm.nxt,MIN( IF((#REF!=_xlpm.p)*(#REF!&gt;TODAY()),#REF!)), IF(_xlpm.nxt=0,"",_xlpm.nxt-TODAY()))</f>
        <v>#REF!</v>
      </c>
      <c r="J161" s="118"/>
      <c r="K161" s="121"/>
      <c r="M161" s="118"/>
      <c r="N161" s="121"/>
      <c r="Q161" s="118"/>
      <c r="R161" s="118"/>
    </row>
    <row r="162" spans="1:18">
      <c r="A162" t="str" cm="1">
        <f t="array" ref="A162">_xlfn.LET(_xlpm.src,TRIM(#REF!), _xlpm.u,_xlfn._xlws.SORT(_xlfn.UNIQUE(_xlfn._xlws.FILTER(_xlpm.src,_xlpm.src&lt;&gt;""))), IFERROR(INDEX(_xlpm.u,ROWS(A$2:A162)),""))</f>
        <v/>
      </c>
      <c r="B162" s="118"/>
      <c r="C162" s="118"/>
      <c r="D162" s="118"/>
      <c r="E162" s="118"/>
      <c r="F162" s="118"/>
      <c r="G162" s="119" t="str">
        <f>IF(tblProcurement2026[[#This Row],[Committed (All Expenses)]]=0,"",tblProcurement2026[[#This Row],[Paid/Realised]]/tblProcurement2026[[#This Row],[Committed (All Expenses)]])</f>
        <v/>
      </c>
      <c r="H162" s="120" t="e" cm="1">
        <f t="array" aca="1" ref="H162" ca="1">_xlfn.LET(_xlpm.p,tblProcurement2026[[#This Row],[Project Name]], _xlpm.nxt,MIN( IF((#REF!=_xlpm.p)*(#REF!&gt;TODAY()),#REF!)), IF(_xlpm.nxt=0,"",_xlpm.nxt-TODAY()))</f>
        <v>#REF!</v>
      </c>
      <c r="J162" s="118"/>
      <c r="K162" s="121"/>
      <c r="M162" s="118"/>
      <c r="N162" s="121"/>
      <c r="Q162" s="118"/>
      <c r="R162" s="118"/>
    </row>
    <row r="163" spans="1:18">
      <c r="A163" t="str" cm="1">
        <f t="array" ref="A163">_xlfn.LET(_xlpm.src,TRIM(#REF!), _xlpm.u,_xlfn._xlws.SORT(_xlfn.UNIQUE(_xlfn._xlws.FILTER(_xlpm.src,_xlpm.src&lt;&gt;""))), IFERROR(INDEX(_xlpm.u,ROWS(A$2:A163)),""))</f>
        <v/>
      </c>
      <c r="B163" s="118"/>
      <c r="C163" s="118"/>
      <c r="D163" s="118"/>
      <c r="E163" s="118"/>
      <c r="F163" s="118"/>
      <c r="G163" s="119" t="str">
        <f>IF(tblProcurement2026[[#This Row],[Committed (All Expenses)]]=0,"",tblProcurement2026[[#This Row],[Paid/Realised]]/tblProcurement2026[[#This Row],[Committed (All Expenses)]])</f>
        <v/>
      </c>
      <c r="H163" s="120" t="e" cm="1">
        <f t="array" aca="1" ref="H163" ca="1">_xlfn.LET(_xlpm.p,tblProcurement2026[[#This Row],[Project Name]], _xlpm.nxt,MIN( IF((#REF!=_xlpm.p)*(#REF!&gt;TODAY()),#REF!)), IF(_xlpm.nxt=0,"",_xlpm.nxt-TODAY()))</f>
        <v>#REF!</v>
      </c>
      <c r="J163" s="118"/>
      <c r="K163" s="121"/>
      <c r="M163" s="118"/>
      <c r="N163" s="121"/>
      <c r="Q163" s="118"/>
      <c r="R163" s="118"/>
    </row>
    <row r="164" spans="1:18">
      <c r="A164" t="str" cm="1">
        <f t="array" ref="A164">_xlfn.LET(_xlpm.src,TRIM(#REF!), _xlpm.u,_xlfn._xlws.SORT(_xlfn.UNIQUE(_xlfn._xlws.FILTER(_xlpm.src,_xlpm.src&lt;&gt;""))), IFERROR(INDEX(_xlpm.u,ROWS(A$2:A164)),""))</f>
        <v/>
      </c>
      <c r="B164" s="118"/>
      <c r="C164" s="118"/>
      <c r="D164" s="118"/>
      <c r="E164" s="118"/>
      <c r="F164" s="118"/>
      <c r="G164" s="119" t="str">
        <f>IF(tblProcurement2026[[#This Row],[Committed (All Expenses)]]=0,"",tblProcurement2026[[#This Row],[Paid/Realised]]/tblProcurement2026[[#This Row],[Committed (All Expenses)]])</f>
        <v/>
      </c>
      <c r="H164" s="120" t="e" cm="1">
        <f t="array" aca="1" ref="H164" ca="1">_xlfn.LET(_xlpm.p,tblProcurement2026[[#This Row],[Project Name]], _xlpm.nxt,MIN( IF((#REF!=_xlpm.p)*(#REF!&gt;TODAY()),#REF!)), IF(_xlpm.nxt=0,"",_xlpm.nxt-TODAY()))</f>
        <v>#REF!</v>
      </c>
      <c r="J164" s="118"/>
      <c r="K164" s="121"/>
      <c r="M164" s="118"/>
      <c r="N164" s="121"/>
      <c r="Q164" s="118"/>
      <c r="R164" s="118"/>
    </row>
    <row r="165" spans="1:18">
      <c r="A165" t="str" cm="1">
        <f t="array" ref="A165">_xlfn.LET(_xlpm.src,TRIM(#REF!), _xlpm.u,_xlfn._xlws.SORT(_xlfn.UNIQUE(_xlfn._xlws.FILTER(_xlpm.src,_xlpm.src&lt;&gt;""))), IFERROR(INDEX(_xlpm.u,ROWS(A$2:A165)),""))</f>
        <v/>
      </c>
      <c r="B165" s="118"/>
      <c r="C165" s="118"/>
      <c r="D165" s="118"/>
      <c r="E165" s="118"/>
      <c r="F165" s="118"/>
      <c r="G165" s="119" t="str">
        <f>IF(tblProcurement2026[[#This Row],[Committed (All Expenses)]]=0,"",tblProcurement2026[[#This Row],[Paid/Realised]]/tblProcurement2026[[#This Row],[Committed (All Expenses)]])</f>
        <v/>
      </c>
      <c r="H165" s="120" t="e" cm="1">
        <f t="array" aca="1" ref="H165" ca="1">_xlfn.LET(_xlpm.p,tblProcurement2026[[#This Row],[Project Name]], _xlpm.nxt,MIN( IF((#REF!=_xlpm.p)*(#REF!&gt;TODAY()),#REF!)), IF(_xlpm.nxt=0,"",_xlpm.nxt-TODAY()))</f>
        <v>#REF!</v>
      </c>
      <c r="J165" s="118"/>
      <c r="K165" s="121"/>
      <c r="M165" s="118"/>
      <c r="N165" s="121"/>
      <c r="Q165" s="118"/>
      <c r="R165" s="118"/>
    </row>
    <row r="166" spans="1:18">
      <c r="A166" t="str" cm="1">
        <f t="array" ref="A166">_xlfn.LET(_xlpm.src,TRIM(#REF!), _xlpm.u,_xlfn._xlws.SORT(_xlfn.UNIQUE(_xlfn._xlws.FILTER(_xlpm.src,_xlpm.src&lt;&gt;""))), IFERROR(INDEX(_xlpm.u,ROWS(A$2:A166)),""))</f>
        <v/>
      </c>
      <c r="B166" s="118"/>
      <c r="C166" s="118"/>
      <c r="D166" s="118"/>
      <c r="E166" s="118"/>
      <c r="F166" s="118"/>
      <c r="G166" s="119" t="str">
        <f>IF(tblProcurement2026[[#This Row],[Committed (All Expenses)]]=0,"",tblProcurement2026[[#This Row],[Paid/Realised]]/tblProcurement2026[[#This Row],[Committed (All Expenses)]])</f>
        <v/>
      </c>
      <c r="H166" s="120" t="e" cm="1">
        <f t="array" aca="1" ref="H166" ca="1">_xlfn.LET(_xlpm.p,tblProcurement2026[[#This Row],[Project Name]], _xlpm.nxt,MIN( IF((#REF!=_xlpm.p)*(#REF!&gt;TODAY()),#REF!)), IF(_xlpm.nxt=0,"",_xlpm.nxt-TODAY()))</f>
        <v>#REF!</v>
      </c>
      <c r="J166" s="118"/>
      <c r="K166" s="121"/>
      <c r="M166" s="118"/>
      <c r="N166" s="121"/>
      <c r="Q166" s="118"/>
      <c r="R166" s="118"/>
    </row>
    <row r="167" spans="1:18">
      <c r="A167" t="str" cm="1">
        <f t="array" ref="A167">_xlfn.LET(_xlpm.src,TRIM(#REF!), _xlpm.u,_xlfn._xlws.SORT(_xlfn.UNIQUE(_xlfn._xlws.FILTER(_xlpm.src,_xlpm.src&lt;&gt;""))), IFERROR(INDEX(_xlpm.u,ROWS(A$2:A167)),""))</f>
        <v/>
      </c>
      <c r="B167" s="118"/>
      <c r="C167" s="118"/>
      <c r="D167" s="118"/>
      <c r="E167" s="118"/>
      <c r="F167" s="118"/>
      <c r="G167" s="119" t="str">
        <f>IF(tblProcurement2026[[#This Row],[Committed (All Expenses)]]=0,"",tblProcurement2026[[#This Row],[Paid/Realised]]/tblProcurement2026[[#This Row],[Committed (All Expenses)]])</f>
        <v/>
      </c>
      <c r="H167" s="120" t="e" cm="1">
        <f t="array" aca="1" ref="H167" ca="1">_xlfn.LET(_xlpm.p,tblProcurement2026[[#This Row],[Project Name]], _xlpm.nxt,MIN( IF((#REF!=_xlpm.p)*(#REF!&gt;TODAY()),#REF!)), IF(_xlpm.nxt=0,"",_xlpm.nxt-TODAY()))</f>
        <v>#REF!</v>
      </c>
      <c r="J167" s="118"/>
      <c r="K167" s="121"/>
      <c r="M167" s="118"/>
      <c r="N167" s="121"/>
      <c r="Q167" s="118"/>
      <c r="R167" s="118"/>
    </row>
    <row r="168" spans="1:18">
      <c r="A168" t="str" cm="1">
        <f t="array" ref="A168">_xlfn.LET(_xlpm.src,TRIM(#REF!), _xlpm.u,_xlfn._xlws.SORT(_xlfn.UNIQUE(_xlfn._xlws.FILTER(_xlpm.src,_xlpm.src&lt;&gt;""))), IFERROR(INDEX(_xlpm.u,ROWS(A$2:A168)),""))</f>
        <v/>
      </c>
      <c r="B168" s="118"/>
      <c r="C168" s="118"/>
      <c r="D168" s="118"/>
      <c r="E168" s="118"/>
      <c r="F168" s="118"/>
      <c r="G168" s="119" t="str">
        <f>IF(tblProcurement2026[[#This Row],[Committed (All Expenses)]]=0,"",tblProcurement2026[[#This Row],[Paid/Realised]]/tblProcurement2026[[#This Row],[Committed (All Expenses)]])</f>
        <v/>
      </c>
      <c r="H168" s="120" t="e" cm="1">
        <f t="array" aca="1" ref="H168" ca="1">_xlfn.LET(_xlpm.p,tblProcurement2026[[#This Row],[Project Name]], _xlpm.nxt,MIN( IF((#REF!=_xlpm.p)*(#REF!&gt;TODAY()),#REF!)), IF(_xlpm.nxt=0,"",_xlpm.nxt-TODAY()))</f>
        <v>#REF!</v>
      </c>
      <c r="J168" s="118"/>
      <c r="K168" s="121"/>
      <c r="M168" s="118"/>
      <c r="N168" s="121"/>
      <c r="Q168" s="118"/>
      <c r="R168" s="118"/>
    </row>
    <row r="169" spans="1:18">
      <c r="A169" t="str" cm="1">
        <f t="array" ref="A169">_xlfn.LET(_xlpm.src,TRIM(#REF!), _xlpm.u,_xlfn._xlws.SORT(_xlfn.UNIQUE(_xlfn._xlws.FILTER(_xlpm.src,_xlpm.src&lt;&gt;""))), IFERROR(INDEX(_xlpm.u,ROWS(A$2:A169)),""))</f>
        <v/>
      </c>
      <c r="B169" s="118"/>
      <c r="C169" s="118"/>
      <c r="D169" s="118"/>
      <c r="E169" s="118"/>
      <c r="F169" s="118"/>
      <c r="G169" s="119" t="str">
        <f>IF(tblProcurement2026[[#This Row],[Committed (All Expenses)]]=0,"",tblProcurement2026[[#This Row],[Paid/Realised]]/tblProcurement2026[[#This Row],[Committed (All Expenses)]])</f>
        <v/>
      </c>
      <c r="H169" s="120" t="e" cm="1">
        <f t="array" aca="1" ref="H169" ca="1">_xlfn.LET(_xlpm.p,tblProcurement2026[[#This Row],[Project Name]], _xlpm.nxt,MIN( IF((#REF!=_xlpm.p)*(#REF!&gt;TODAY()),#REF!)), IF(_xlpm.nxt=0,"",_xlpm.nxt-TODAY()))</f>
        <v>#REF!</v>
      </c>
      <c r="J169" s="118"/>
      <c r="K169" s="121"/>
      <c r="M169" s="118"/>
      <c r="N169" s="121"/>
      <c r="Q169" s="118"/>
      <c r="R169" s="118"/>
    </row>
    <row r="170" spans="1:18">
      <c r="A170" t="str" cm="1">
        <f t="array" ref="A170">_xlfn.LET(_xlpm.src,TRIM(#REF!), _xlpm.u,_xlfn._xlws.SORT(_xlfn.UNIQUE(_xlfn._xlws.FILTER(_xlpm.src,_xlpm.src&lt;&gt;""))), IFERROR(INDEX(_xlpm.u,ROWS(A$2:A170)),""))</f>
        <v/>
      </c>
      <c r="B170" s="118"/>
      <c r="C170" s="118"/>
      <c r="D170" s="118"/>
      <c r="E170" s="118"/>
      <c r="F170" s="118"/>
      <c r="G170" s="119" t="str">
        <f>IF(tblProcurement2026[[#This Row],[Committed (All Expenses)]]=0,"",tblProcurement2026[[#This Row],[Paid/Realised]]/tblProcurement2026[[#This Row],[Committed (All Expenses)]])</f>
        <v/>
      </c>
      <c r="H170" s="120" t="e" cm="1">
        <f t="array" aca="1" ref="H170" ca="1">_xlfn.LET(_xlpm.p,tblProcurement2026[[#This Row],[Project Name]], _xlpm.nxt,MIN( IF((#REF!=_xlpm.p)*(#REF!&gt;TODAY()),#REF!)), IF(_xlpm.nxt=0,"",_xlpm.nxt-TODAY()))</f>
        <v>#REF!</v>
      </c>
      <c r="J170" s="118"/>
      <c r="K170" s="121"/>
      <c r="M170" s="118"/>
      <c r="N170" s="121"/>
      <c r="Q170" s="118"/>
      <c r="R170" s="118"/>
    </row>
    <row r="171" spans="1:18">
      <c r="A171" t="str" cm="1">
        <f t="array" ref="A171">_xlfn.LET(_xlpm.src,TRIM(#REF!), _xlpm.u,_xlfn._xlws.SORT(_xlfn.UNIQUE(_xlfn._xlws.FILTER(_xlpm.src,_xlpm.src&lt;&gt;""))), IFERROR(INDEX(_xlpm.u,ROWS(A$2:A171)),""))</f>
        <v/>
      </c>
      <c r="B171" s="118"/>
      <c r="C171" s="118"/>
      <c r="D171" s="118"/>
      <c r="E171" s="118"/>
      <c r="F171" s="118"/>
      <c r="G171" s="119" t="str">
        <f>IF(tblProcurement2026[[#This Row],[Committed (All Expenses)]]=0,"",tblProcurement2026[[#This Row],[Paid/Realised]]/tblProcurement2026[[#This Row],[Committed (All Expenses)]])</f>
        <v/>
      </c>
      <c r="H171" s="120" t="e" cm="1">
        <f t="array" aca="1" ref="H171" ca="1">_xlfn.LET(_xlpm.p,tblProcurement2026[[#This Row],[Project Name]], _xlpm.nxt,MIN( IF((#REF!=_xlpm.p)*(#REF!&gt;TODAY()),#REF!)), IF(_xlpm.nxt=0,"",_xlpm.nxt-TODAY()))</f>
        <v>#REF!</v>
      </c>
      <c r="J171" s="118"/>
      <c r="K171" s="121"/>
      <c r="M171" s="118"/>
      <c r="N171" s="121"/>
      <c r="Q171" s="118"/>
      <c r="R171" s="118"/>
    </row>
    <row r="172" spans="1:18">
      <c r="A172" t="str" cm="1">
        <f t="array" ref="A172">_xlfn.LET(_xlpm.src,TRIM(#REF!), _xlpm.u,_xlfn._xlws.SORT(_xlfn.UNIQUE(_xlfn._xlws.FILTER(_xlpm.src,_xlpm.src&lt;&gt;""))), IFERROR(INDEX(_xlpm.u,ROWS(A$2:A172)),""))</f>
        <v/>
      </c>
      <c r="B172" s="118"/>
      <c r="C172" s="118"/>
      <c r="D172" s="118"/>
      <c r="E172" s="118"/>
      <c r="F172" s="118"/>
      <c r="G172" s="119" t="str">
        <f>IF(tblProcurement2026[[#This Row],[Committed (All Expenses)]]=0,"",tblProcurement2026[[#This Row],[Paid/Realised]]/tblProcurement2026[[#This Row],[Committed (All Expenses)]])</f>
        <v/>
      </c>
      <c r="H172" s="120" t="e" cm="1">
        <f t="array" aca="1" ref="H172" ca="1">_xlfn.LET(_xlpm.p,tblProcurement2026[[#This Row],[Project Name]], _xlpm.nxt,MIN( IF((#REF!=_xlpm.p)*(#REF!&gt;TODAY()),#REF!)), IF(_xlpm.nxt=0,"",_xlpm.nxt-TODAY()))</f>
        <v>#REF!</v>
      </c>
      <c r="J172" s="118"/>
      <c r="K172" s="121"/>
      <c r="M172" s="118"/>
      <c r="N172" s="121"/>
      <c r="Q172" s="118"/>
      <c r="R172" s="118"/>
    </row>
    <row r="173" spans="1:18">
      <c r="A173" t="str" cm="1">
        <f t="array" ref="A173">_xlfn.LET(_xlpm.src,TRIM(#REF!), _xlpm.u,_xlfn._xlws.SORT(_xlfn.UNIQUE(_xlfn._xlws.FILTER(_xlpm.src,_xlpm.src&lt;&gt;""))), IFERROR(INDEX(_xlpm.u,ROWS(A$2:A173)),""))</f>
        <v/>
      </c>
      <c r="B173" s="118"/>
      <c r="C173" s="118"/>
      <c r="D173" s="118"/>
      <c r="E173" s="118"/>
      <c r="F173" s="118"/>
      <c r="G173" s="119" t="str">
        <f>IF(tblProcurement2026[[#This Row],[Committed (All Expenses)]]=0,"",tblProcurement2026[[#This Row],[Paid/Realised]]/tblProcurement2026[[#This Row],[Committed (All Expenses)]])</f>
        <v/>
      </c>
      <c r="H173" s="120" t="e" cm="1">
        <f t="array" aca="1" ref="H173" ca="1">_xlfn.LET(_xlpm.p,tblProcurement2026[[#This Row],[Project Name]], _xlpm.nxt,MIN( IF((#REF!=_xlpm.p)*(#REF!&gt;TODAY()),#REF!)), IF(_xlpm.nxt=0,"",_xlpm.nxt-TODAY()))</f>
        <v>#REF!</v>
      </c>
      <c r="J173" s="118"/>
      <c r="K173" s="121"/>
      <c r="M173" s="118"/>
      <c r="N173" s="121"/>
      <c r="Q173" s="118"/>
      <c r="R173" s="118"/>
    </row>
    <row r="174" spans="1:18">
      <c r="A174" t="str" cm="1">
        <f t="array" ref="A174">_xlfn.LET(_xlpm.src,TRIM(#REF!), _xlpm.u,_xlfn._xlws.SORT(_xlfn.UNIQUE(_xlfn._xlws.FILTER(_xlpm.src,_xlpm.src&lt;&gt;""))), IFERROR(INDEX(_xlpm.u,ROWS(A$2:A174)),""))</f>
        <v/>
      </c>
      <c r="B174" s="118"/>
      <c r="C174" s="118"/>
      <c r="D174" s="118"/>
      <c r="E174" s="118"/>
      <c r="F174" s="118"/>
      <c r="G174" s="119" t="str">
        <f>IF(tblProcurement2026[[#This Row],[Committed (All Expenses)]]=0,"",tblProcurement2026[[#This Row],[Paid/Realised]]/tblProcurement2026[[#This Row],[Committed (All Expenses)]])</f>
        <v/>
      </c>
      <c r="H174" s="120" t="e" cm="1">
        <f t="array" aca="1" ref="H174" ca="1">_xlfn.LET(_xlpm.p,tblProcurement2026[[#This Row],[Project Name]], _xlpm.nxt,MIN( IF((#REF!=_xlpm.p)*(#REF!&gt;TODAY()),#REF!)), IF(_xlpm.nxt=0,"",_xlpm.nxt-TODAY()))</f>
        <v>#REF!</v>
      </c>
      <c r="J174" s="118"/>
      <c r="K174" s="121"/>
      <c r="M174" s="118"/>
      <c r="N174" s="121"/>
      <c r="Q174" s="118"/>
      <c r="R174" s="118"/>
    </row>
    <row r="175" spans="1:18">
      <c r="A175" t="str" cm="1">
        <f t="array" ref="A175">_xlfn.LET(_xlpm.src,TRIM(#REF!), _xlpm.u,_xlfn._xlws.SORT(_xlfn.UNIQUE(_xlfn._xlws.FILTER(_xlpm.src,_xlpm.src&lt;&gt;""))), IFERROR(INDEX(_xlpm.u,ROWS(A$2:A175)),""))</f>
        <v/>
      </c>
      <c r="B175" s="118"/>
      <c r="C175" s="118"/>
      <c r="D175" s="118"/>
      <c r="E175" s="118"/>
      <c r="F175" s="118"/>
      <c r="G175" s="119" t="str">
        <f>IF(tblProcurement2026[[#This Row],[Committed (All Expenses)]]=0,"",tblProcurement2026[[#This Row],[Paid/Realised]]/tblProcurement2026[[#This Row],[Committed (All Expenses)]])</f>
        <v/>
      </c>
      <c r="H175" s="120" t="e" cm="1">
        <f t="array" aca="1" ref="H175" ca="1">_xlfn.LET(_xlpm.p,tblProcurement2026[[#This Row],[Project Name]], _xlpm.nxt,MIN( IF((#REF!=_xlpm.p)*(#REF!&gt;TODAY()),#REF!)), IF(_xlpm.nxt=0,"",_xlpm.nxt-TODAY()))</f>
        <v>#REF!</v>
      </c>
      <c r="J175" s="118"/>
      <c r="K175" s="121"/>
      <c r="M175" s="118"/>
      <c r="N175" s="121"/>
      <c r="Q175" s="118"/>
      <c r="R175" s="118"/>
    </row>
    <row r="176" spans="1:18">
      <c r="A176" t="str" cm="1">
        <f t="array" ref="A176">_xlfn.LET(_xlpm.src,TRIM(#REF!), _xlpm.u,_xlfn._xlws.SORT(_xlfn.UNIQUE(_xlfn._xlws.FILTER(_xlpm.src,_xlpm.src&lt;&gt;""))), IFERROR(INDEX(_xlpm.u,ROWS(A$2:A176)),""))</f>
        <v/>
      </c>
      <c r="B176" s="118"/>
      <c r="C176" s="118"/>
      <c r="D176" s="118"/>
      <c r="E176" s="118"/>
      <c r="F176" s="118"/>
      <c r="G176" s="119" t="str">
        <f>IF(tblProcurement2026[[#This Row],[Committed (All Expenses)]]=0,"",tblProcurement2026[[#This Row],[Paid/Realised]]/tblProcurement2026[[#This Row],[Committed (All Expenses)]])</f>
        <v/>
      </c>
      <c r="H176" s="120" t="e" cm="1">
        <f t="array" aca="1" ref="H176" ca="1">_xlfn.LET(_xlpm.p,tblProcurement2026[[#This Row],[Project Name]], _xlpm.nxt,MIN( IF((#REF!=_xlpm.p)*(#REF!&gt;TODAY()),#REF!)), IF(_xlpm.nxt=0,"",_xlpm.nxt-TODAY()))</f>
        <v>#REF!</v>
      </c>
      <c r="J176" s="118"/>
      <c r="K176" s="121"/>
      <c r="M176" s="118"/>
      <c r="N176" s="121"/>
      <c r="Q176" s="118"/>
      <c r="R176" s="118"/>
    </row>
    <row r="177" spans="1:18">
      <c r="A177" t="str" cm="1">
        <f t="array" ref="A177">_xlfn.LET(_xlpm.src,TRIM(#REF!), _xlpm.u,_xlfn._xlws.SORT(_xlfn.UNIQUE(_xlfn._xlws.FILTER(_xlpm.src,_xlpm.src&lt;&gt;""))), IFERROR(INDEX(_xlpm.u,ROWS(A$2:A177)),""))</f>
        <v/>
      </c>
      <c r="B177" s="118"/>
      <c r="C177" s="118"/>
      <c r="D177" s="118"/>
      <c r="E177" s="118"/>
      <c r="F177" s="118"/>
      <c r="G177" s="119" t="str">
        <f>IF(tblProcurement2026[[#This Row],[Committed (All Expenses)]]=0,"",tblProcurement2026[[#This Row],[Paid/Realised]]/tblProcurement2026[[#This Row],[Committed (All Expenses)]])</f>
        <v/>
      </c>
      <c r="H177" s="120" t="e" cm="1">
        <f t="array" aca="1" ref="H177" ca="1">_xlfn.LET(_xlpm.p,tblProcurement2026[[#This Row],[Project Name]], _xlpm.nxt,MIN( IF((#REF!=_xlpm.p)*(#REF!&gt;TODAY()),#REF!)), IF(_xlpm.nxt=0,"",_xlpm.nxt-TODAY()))</f>
        <v>#REF!</v>
      </c>
      <c r="J177" s="118"/>
      <c r="K177" s="121"/>
      <c r="M177" s="118"/>
      <c r="N177" s="121"/>
      <c r="Q177" s="118"/>
      <c r="R177" s="118"/>
    </row>
    <row r="178" spans="1:18">
      <c r="A178" t="str" cm="1">
        <f t="array" ref="A178">_xlfn.LET(_xlpm.src,TRIM(#REF!), _xlpm.u,_xlfn._xlws.SORT(_xlfn.UNIQUE(_xlfn._xlws.FILTER(_xlpm.src,_xlpm.src&lt;&gt;""))), IFERROR(INDEX(_xlpm.u,ROWS(A$2:A178)),""))</f>
        <v/>
      </c>
      <c r="B178" s="118"/>
      <c r="C178" s="118"/>
      <c r="D178" s="118"/>
      <c r="E178" s="118"/>
      <c r="F178" s="118"/>
      <c r="G178" s="119" t="str">
        <f>IF(tblProcurement2026[[#This Row],[Committed (All Expenses)]]=0,"",tblProcurement2026[[#This Row],[Paid/Realised]]/tblProcurement2026[[#This Row],[Committed (All Expenses)]])</f>
        <v/>
      </c>
      <c r="H178" s="120" t="e" cm="1">
        <f t="array" aca="1" ref="H178" ca="1">_xlfn.LET(_xlpm.p,tblProcurement2026[[#This Row],[Project Name]], _xlpm.nxt,MIN( IF((#REF!=_xlpm.p)*(#REF!&gt;TODAY()),#REF!)), IF(_xlpm.nxt=0,"",_xlpm.nxt-TODAY()))</f>
        <v>#REF!</v>
      </c>
      <c r="J178" s="118"/>
      <c r="K178" s="121"/>
      <c r="M178" s="118"/>
      <c r="N178" s="121"/>
      <c r="Q178" s="118"/>
      <c r="R178" s="118"/>
    </row>
    <row r="179" spans="1:18">
      <c r="A179" t="str" cm="1">
        <f t="array" ref="A179">_xlfn.LET(_xlpm.src,TRIM(#REF!), _xlpm.u,_xlfn._xlws.SORT(_xlfn.UNIQUE(_xlfn._xlws.FILTER(_xlpm.src,_xlpm.src&lt;&gt;""))), IFERROR(INDEX(_xlpm.u,ROWS(A$2:A179)),""))</f>
        <v/>
      </c>
      <c r="B179" s="118"/>
      <c r="C179" s="118"/>
      <c r="D179" s="118"/>
      <c r="E179" s="118"/>
      <c r="F179" s="118"/>
      <c r="G179" s="119" t="str">
        <f>IF(tblProcurement2026[[#This Row],[Committed (All Expenses)]]=0,"",tblProcurement2026[[#This Row],[Paid/Realised]]/tblProcurement2026[[#This Row],[Committed (All Expenses)]])</f>
        <v/>
      </c>
      <c r="H179" s="120" t="e" cm="1">
        <f t="array" aca="1" ref="H179" ca="1">_xlfn.LET(_xlpm.p,tblProcurement2026[[#This Row],[Project Name]], _xlpm.nxt,MIN( IF((#REF!=_xlpm.p)*(#REF!&gt;TODAY()),#REF!)), IF(_xlpm.nxt=0,"",_xlpm.nxt-TODAY()))</f>
        <v>#REF!</v>
      </c>
      <c r="J179" s="118"/>
      <c r="K179" s="121"/>
      <c r="M179" s="118"/>
      <c r="N179" s="121"/>
      <c r="Q179" s="118"/>
      <c r="R179" s="118"/>
    </row>
    <row r="180" spans="1:18">
      <c r="A180" t="str" cm="1">
        <f t="array" ref="A180">_xlfn.LET(_xlpm.src,TRIM(#REF!), _xlpm.u,_xlfn._xlws.SORT(_xlfn.UNIQUE(_xlfn._xlws.FILTER(_xlpm.src,_xlpm.src&lt;&gt;""))), IFERROR(INDEX(_xlpm.u,ROWS(A$2:A180)),""))</f>
        <v/>
      </c>
      <c r="B180" s="118"/>
      <c r="C180" s="118"/>
      <c r="D180" s="118"/>
      <c r="E180" s="118"/>
      <c r="F180" s="118"/>
      <c r="G180" s="119" t="str">
        <f>IF(tblProcurement2026[[#This Row],[Committed (All Expenses)]]=0,"",tblProcurement2026[[#This Row],[Paid/Realised]]/tblProcurement2026[[#This Row],[Committed (All Expenses)]])</f>
        <v/>
      </c>
      <c r="H180" s="120" t="e" cm="1">
        <f t="array" aca="1" ref="H180" ca="1">_xlfn.LET(_xlpm.p,tblProcurement2026[[#This Row],[Project Name]], _xlpm.nxt,MIN( IF((#REF!=_xlpm.p)*(#REF!&gt;TODAY()),#REF!)), IF(_xlpm.nxt=0,"",_xlpm.nxt-TODAY()))</f>
        <v>#REF!</v>
      </c>
      <c r="J180" s="118"/>
      <c r="K180" s="121"/>
      <c r="M180" s="118"/>
      <c r="N180" s="121"/>
      <c r="Q180" s="118"/>
      <c r="R180" s="118"/>
    </row>
    <row r="181" spans="1:18">
      <c r="A181" t="str" cm="1">
        <f t="array" ref="A181">_xlfn.LET(_xlpm.src,TRIM(#REF!), _xlpm.u,_xlfn._xlws.SORT(_xlfn.UNIQUE(_xlfn._xlws.FILTER(_xlpm.src,_xlpm.src&lt;&gt;""))), IFERROR(INDEX(_xlpm.u,ROWS(A$2:A181)),""))</f>
        <v/>
      </c>
      <c r="B181" s="118"/>
      <c r="C181" s="118"/>
      <c r="D181" s="118"/>
      <c r="E181" s="118"/>
      <c r="F181" s="118"/>
      <c r="G181" s="119" t="str">
        <f>IF(tblProcurement2026[[#This Row],[Committed (All Expenses)]]=0,"",tblProcurement2026[[#This Row],[Paid/Realised]]/tblProcurement2026[[#This Row],[Committed (All Expenses)]])</f>
        <v/>
      </c>
      <c r="H181" s="120" t="e" cm="1">
        <f t="array" aca="1" ref="H181" ca="1">_xlfn.LET(_xlpm.p,tblProcurement2026[[#This Row],[Project Name]], _xlpm.nxt,MIN( IF((#REF!=_xlpm.p)*(#REF!&gt;TODAY()),#REF!)), IF(_xlpm.nxt=0,"",_xlpm.nxt-TODAY()))</f>
        <v>#REF!</v>
      </c>
      <c r="J181" s="118"/>
      <c r="K181" s="121"/>
      <c r="M181" s="118"/>
      <c r="N181" s="121"/>
      <c r="Q181" s="118"/>
      <c r="R181" s="118"/>
    </row>
    <row r="182" spans="1:18">
      <c r="A182" t="str" cm="1">
        <f t="array" ref="A182">_xlfn.LET(_xlpm.src,TRIM(#REF!), _xlpm.u,_xlfn._xlws.SORT(_xlfn.UNIQUE(_xlfn._xlws.FILTER(_xlpm.src,_xlpm.src&lt;&gt;""))), IFERROR(INDEX(_xlpm.u,ROWS(A$2:A182)),""))</f>
        <v/>
      </c>
      <c r="B182" s="118"/>
      <c r="C182" s="118"/>
      <c r="D182" s="118"/>
      <c r="E182" s="118"/>
      <c r="F182" s="118"/>
      <c r="G182" s="119" t="str">
        <f>IF(tblProcurement2026[[#This Row],[Committed (All Expenses)]]=0,"",tblProcurement2026[[#This Row],[Paid/Realised]]/tblProcurement2026[[#This Row],[Committed (All Expenses)]])</f>
        <v/>
      </c>
      <c r="H182" s="120" t="e" cm="1">
        <f t="array" aca="1" ref="H182" ca="1">_xlfn.LET(_xlpm.p,tblProcurement2026[[#This Row],[Project Name]], _xlpm.nxt,MIN( IF((#REF!=_xlpm.p)*(#REF!&gt;TODAY()),#REF!)), IF(_xlpm.nxt=0,"",_xlpm.nxt-TODAY()))</f>
        <v>#REF!</v>
      </c>
      <c r="J182" s="118"/>
      <c r="K182" s="121"/>
      <c r="M182" s="118"/>
      <c r="N182" s="121"/>
      <c r="Q182" s="118"/>
      <c r="R182" s="118"/>
    </row>
    <row r="183" spans="1:18">
      <c r="A183" t="str" cm="1">
        <f t="array" ref="A183">_xlfn.LET(_xlpm.src,TRIM(#REF!), _xlpm.u,_xlfn._xlws.SORT(_xlfn.UNIQUE(_xlfn._xlws.FILTER(_xlpm.src,_xlpm.src&lt;&gt;""))), IFERROR(INDEX(_xlpm.u,ROWS(A$2:A183)),""))</f>
        <v/>
      </c>
      <c r="B183" s="118"/>
      <c r="C183" s="118"/>
      <c r="D183" s="118"/>
      <c r="E183" s="118"/>
      <c r="F183" s="118"/>
      <c r="G183" s="119" t="str">
        <f>IF(tblProcurement2026[[#This Row],[Committed (All Expenses)]]=0,"",tblProcurement2026[[#This Row],[Paid/Realised]]/tblProcurement2026[[#This Row],[Committed (All Expenses)]])</f>
        <v/>
      </c>
      <c r="H183" s="120" t="e" cm="1">
        <f t="array" aca="1" ref="H183" ca="1">_xlfn.LET(_xlpm.p,tblProcurement2026[[#This Row],[Project Name]], _xlpm.nxt,MIN( IF((#REF!=_xlpm.p)*(#REF!&gt;TODAY()),#REF!)), IF(_xlpm.nxt=0,"",_xlpm.nxt-TODAY()))</f>
        <v>#REF!</v>
      </c>
      <c r="J183" s="118"/>
      <c r="K183" s="121"/>
      <c r="M183" s="118"/>
      <c r="N183" s="121"/>
      <c r="Q183" s="118"/>
      <c r="R183" s="118"/>
    </row>
    <row r="184" spans="1:18">
      <c r="A184" t="str" cm="1">
        <f t="array" ref="A184">_xlfn.LET(_xlpm.src,TRIM(#REF!), _xlpm.u,_xlfn._xlws.SORT(_xlfn.UNIQUE(_xlfn._xlws.FILTER(_xlpm.src,_xlpm.src&lt;&gt;""))), IFERROR(INDEX(_xlpm.u,ROWS(A$2:A184)),""))</f>
        <v/>
      </c>
      <c r="B184" s="118"/>
      <c r="C184" s="118"/>
      <c r="D184" s="118"/>
      <c r="E184" s="118"/>
      <c r="F184" s="118"/>
      <c r="G184" s="119" t="str">
        <f>IF(tblProcurement2026[[#This Row],[Committed (All Expenses)]]=0,"",tblProcurement2026[[#This Row],[Paid/Realised]]/tblProcurement2026[[#This Row],[Committed (All Expenses)]])</f>
        <v/>
      </c>
      <c r="H184" s="120" t="e" cm="1">
        <f t="array" aca="1" ref="H184" ca="1">_xlfn.LET(_xlpm.p,tblProcurement2026[[#This Row],[Project Name]], _xlpm.nxt,MIN( IF((#REF!=_xlpm.p)*(#REF!&gt;TODAY()),#REF!)), IF(_xlpm.nxt=0,"",_xlpm.nxt-TODAY()))</f>
        <v>#REF!</v>
      </c>
      <c r="J184" s="118"/>
      <c r="K184" s="121"/>
      <c r="M184" s="118"/>
      <c r="N184" s="121"/>
      <c r="Q184" s="118"/>
      <c r="R184" s="118"/>
    </row>
    <row r="185" spans="1:18">
      <c r="A185" t="str" cm="1">
        <f t="array" ref="A185">_xlfn.LET(_xlpm.src,TRIM(#REF!), _xlpm.u,_xlfn._xlws.SORT(_xlfn.UNIQUE(_xlfn._xlws.FILTER(_xlpm.src,_xlpm.src&lt;&gt;""))), IFERROR(INDEX(_xlpm.u,ROWS(A$2:A185)),""))</f>
        <v/>
      </c>
      <c r="B185" s="118"/>
      <c r="C185" s="118"/>
      <c r="D185" s="118"/>
      <c r="E185" s="118"/>
      <c r="F185" s="118"/>
      <c r="G185" s="119" t="str">
        <f>IF(tblProcurement2026[[#This Row],[Committed (All Expenses)]]=0,"",tblProcurement2026[[#This Row],[Paid/Realised]]/tblProcurement2026[[#This Row],[Committed (All Expenses)]])</f>
        <v/>
      </c>
      <c r="H185" s="120" t="e" cm="1">
        <f t="array" aca="1" ref="H185" ca="1">_xlfn.LET(_xlpm.p,tblProcurement2026[[#This Row],[Project Name]], _xlpm.nxt,MIN( IF((#REF!=_xlpm.p)*(#REF!&gt;TODAY()),#REF!)), IF(_xlpm.nxt=0,"",_xlpm.nxt-TODAY()))</f>
        <v>#REF!</v>
      </c>
      <c r="J185" s="118"/>
      <c r="K185" s="121"/>
      <c r="M185" s="118"/>
      <c r="N185" s="121"/>
      <c r="Q185" s="118"/>
      <c r="R185" s="118"/>
    </row>
    <row r="186" spans="1:18">
      <c r="A186" t="str" cm="1">
        <f t="array" ref="A186">_xlfn.LET(_xlpm.src,TRIM(#REF!), _xlpm.u,_xlfn._xlws.SORT(_xlfn.UNIQUE(_xlfn._xlws.FILTER(_xlpm.src,_xlpm.src&lt;&gt;""))), IFERROR(INDEX(_xlpm.u,ROWS(A$2:A186)),""))</f>
        <v/>
      </c>
      <c r="B186" s="118"/>
      <c r="C186" s="118"/>
      <c r="D186" s="118"/>
      <c r="E186" s="118"/>
      <c r="F186" s="118"/>
      <c r="G186" s="119" t="str">
        <f>IF(tblProcurement2026[[#This Row],[Committed (All Expenses)]]=0,"",tblProcurement2026[[#This Row],[Paid/Realised]]/tblProcurement2026[[#This Row],[Committed (All Expenses)]])</f>
        <v/>
      </c>
      <c r="H186" s="120" t="e" cm="1">
        <f t="array" aca="1" ref="H186" ca="1">_xlfn.LET(_xlpm.p,tblProcurement2026[[#This Row],[Project Name]], _xlpm.nxt,MIN( IF((#REF!=_xlpm.p)*(#REF!&gt;TODAY()),#REF!)), IF(_xlpm.nxt=0,"",_xlpm.nxt-TODAY()))</f>
        <v>#REF!</v>
      </c>
      <c r="J186" s="118"/>
      <c r="K186" s="121"/>
      <c r="M186" s="118"/>
      <c r="N186" s="121"/>
      <c r="Q186" s="118"/>
      <c r="R186" s="118"/>
    </row>
    <row r="187" spans="1:18">
      <c r="A187" t="str" cm="1">
        <f t="array" ref="A187">_xlfn.LET(_xlpm.src,TRIM(#REF!), _xlpm.u,_xlfn._xlws.SORT(_xlfn.UNIQUE(_xlfn._xlws.FILTER(_xlpm.src,_xlpm.src&lt;&gt;""))), IFERROR(INDEX(_xlpm.u,ROWS(A$2:A187)),""))</f>
        <v/>
      </c>
      <c r="B187" s="118"/>
      <c r="C187" s="118"/>
      <c r="D187" s="118"/>
      <c r="E187" s="118"/>
      <c r="F187" s="118"/>
      <c r="G187" s="119" t="str">
        <f>IF(tblProcurement2026[[#This Row],[Committed (All Expenses)]]=0,"",tblProcurement2026[[#This Row],[Paid/Realised]]/tblProcurement2026[[#This Row],[Committed (All Expenses)]])</f>
        <v/>
      </c>
      <c r="H187" s="120" t="e" cm="1">
        <f t="array" aca="1" ref="H187" ca="1">_xlfn.LET(_xlpm.p,tblProcurement2026[[#This Row],[Project Name]], _xlpm.nxt,MIN( IF((#REF!=_xlpm.p)*(#REF!&gt;TODAY()),#REF!)), IF(_xlpm.nxt=0,"",_xlpm.nxt-TODAY()))</f>
        <v>#REF!</v>
      </c>
      <c r="J187" s="118"/>
      <c r="K187" s="121"/>
      <c r="M187" s="118"/>
      <c r="N187" s="121"/>
      <c r="Q187" s="118"/>
      <c r="R187" s="118"/>
    </row>
    <row r="188" spans="1:18">
      <c r="A188" t="str" cm="1">
        <f t="array" ref="A188">_xlfn.LET(_xlpm.src,TRIM(#REF!), _xlpm.u,_xlfn._xlws.SORT(_xlfn.UNIQUE(_xlfn._xlws.FILTER(_xlpm.src,_xlpm.src&lt;&gt;""))), IFERROR(INDEX(_xlpm.u,ROWS(A$2:A188)),""))</f>
        <v/>
      </c>
      <c r="B188" s="118"/>
      <c r="C188" s="118"/>
      <c r="D188" s="118"/>
      <c r="E188" s="118"/>
      <c r="F188" s="118"/>
      <c r="G188" s="119" t="str">
        <f>IF(tblProcurement2026[[#This Row],[Committed (All Expenses)]]=0,"",tblProcurement2026[[#This Row],[Paid/Realised]]/tblProcurement2026[[#This Row],[Committed (All Expenses)]])</f>
        <v/>
      </c>
      <c r="H188" s="120" t="e" cm="1">
        <f t="array" aca="1" ref="H188" ca="1">_xlfn.LET(_xlpm.p,tblProcurement2026[[#This Row],[Project Name]], _xlpm.nxt,MIN( IF((#REF!=_xlpm.p)*(#REF!&gt;TODAY()),#REF!)), IF(_xlpm.nxt=0,"",_xlpm.nxt-TODAY()))</f>
        <v>#REF!</v>
      </c>
      <c r="J188" s="118"/>
      <c r="K188" s="121"/>
      <c r="M188" s="118"/>
      <c r="N188" s="121"/>
      <c r="Q188" s="118"/>
      <c r="R188" s="118"/>
    </row>
    <row r="189" spans="1:18">
      <c r="A189" t="str" cm="1">
        <f t="array" ref="A189">_xlfn.LET(_xlpm.src,TRIM(#REF!), _xlpm.u,_xlfn._xlws.SORT(_xlfn.UNIQUE(_xlfn._xlws.FILTER(_xlpm.src,_xlpm.src&lt;&gt;""))), IFERROR(INDEX(_xlpm.u,ROWS(A$2:A189)),""))</f>
        <v/>
      </c>
      <c r="B189" s="118"/>
      <c r="C189" s="118"/>
      <c r="D189" s="118"/>
      <c r="E189" s="118"/>
      <c r="F189" s="118"/>
      <c r="G189" s="119" t="str">
        <f>IF(tblProcurement2026[[#This Row],[Committed (All Expenses)]]=0,"",tblProcurement2026[[#This Row],[Paid/Realised]]/tblProcurement2026[[#This Row],[Committed (All Expenses)]])</f>
        <v/>
      </c>
      <c r="H189" s="120" t="e" cm="1">
        <f t="array" aca="1" ref="H189" ca="1">_xlfn.LET(_xlpm.p,tblProcurement2026[[#This Row],[Project Name]], _xlpm.nxt,MIN( IF((#REF!=_xlpm.p)*(#REF!&gt;TODAY()),#REF!)), IF(_xlpm.nxt=0,"",_xlpm.nxt-TODAY()))</f>
        <v>#REF!</v>
      </c>
      <c r="J189" s="118"/>
      <c r="K189" s="121"/>
      <c r="M189" s="118"/>
      <c r="N189" s="121"/>
      <c r="Q189" s="118"/>
      <c r="R189" s="118"/>
    </row>
    <row r="190" spans="1:18">
      <c r="A190" t="str" cm="1">
        <f t="array" ref="A190">_xlfn.LET(_xlpm.src,TRIM(#REF!), _xlpm.u,_xlfn._xlws.SORT(_xlfn.UNIQUE(_xlfn._xlws.FILTER(_xlpm.src,_xlpm.src&lt;&gt;""))), IFERROR(INDEX(_xlpm.u,ROWS(A$2:A190)),""))</f>
        <v/>
      </c>
      <c r="B190" s="118"/>
      <c r="C190" s="118"/>
      <c r="D190" s="118"/>
      <c r="E190" s="118"/>
      <c r="F190" s="118"/>
      <c r="G190" s="119" t="str">
        <f>IF(tblProcurement2026[[#This Row],[Committed (All Expenses)]]=0,"",tblProcurement2026[[#This Row],[Paid/Realised]]/tblProcurement2026[[#This Row],[Committed (All Expenses)]])</f>
        <v/>
      </c>
      <c r="H190" s="120" t="e" cm="1">
        <f t="array" aca="1" ref="H190" ca="1">_xlfn.LET(_xlpm.p,tblProcurement2026[[#This Row],[Project Name]], _xlpm.nxt,MIN( IF((#REF!=_xlpm.p)*(#REF!&gt;TODAY()),#REF!)), IF(_xlpm.nxt=0,"",_xlpm.nxt-TODAY()))</f>
        <v>#REF!</v>
      </c>
      <c r="J190" s="118"/>
      <c r="K190" s="121"/>
      <c r="M190" s="118"/>
      <c r="N190" s="121"/>
      <c r="Q190" s="118"/>
      <c r="R190" s="118"/>
    </row>
    <row r="191" spans="1:18">
      <c r="A191" t="str" cm="1">
        <f t="array" ref="A191">_xlfn.LET(_xlpm.src,TRIM(#REF!), _xlpm.u,_xlfn._xlws.SORT(_xlfn.UNIQUE(_xlfn._xlws.FILTER(_xlpm.src,_xlpm.src&lt;&gt;""))), IFERROR(INDEX(_xlpm.u,ROWS(A$2:A191)),""))</f>
        <v/>
      </c>
      <c r="B191" s="118"/>
      <c r="C191" s="118"/>
      <c r="D191" s="118"/>
      <c r="E191" s="118"/>
      <c r="F191" s="118"/>
      <c r="G191" s="119" t="str">
        <f>IF(tblProcurement2026[[#This Row],[Committed (All Expenses)]]=0,"",tblProcurement2026[[#This Row],[Paid/Realised]]/tblProcurement2026[[#This Row],[Committed (All Expenses)]])</f>
        <v/>
      </c>
      <c r="H191" s="120" t="e" cm="1">
        <f t="array" aca="1" ref="H191" ca="1">_xlfn.LET(_xlpm.p,tblProcurement2026[[#This Row],[Project Name]], _xlpm.nxt,MIN( IF((#REF!=_xlpm.p)*(#REF!&gt;TODAY()),#REF!)), IF(_xlpm.nxt=0,"",_xlpm.nxt-TODAY()))</f>
        <v>#REF!</v>
      </c>
      <c r="J191" s="118"/>
      <c r="K191" s="121"/>
      <c r="M191" s="118"/>
      <c r="N191" s="121"/>
      <c r="Q191" s="118"/>
      <c r="R191" s="118"/>
    </row>
    <row r="192" spans="1:18">
      <c r="A192" t="str" cm="1">
        <f t="array" ref="A192">_xlfn.LET(_xlpm.src,TRIM(#REF!), _xlpm.u,_xlfn._xlws.SORT(_xlfn.UNIQUE(_xlfn._xlws.FILTER(_xlpm.src,_xlpm.src&lt;&gt;""))), IFERROR(INDEX(_xlpm.u,ROWS(A$2:A192)),""))</f>
        <v/>
      </c>
      <c r="B192" s="118"/>
      <c r="C192" s="118"/>
      <c r="D192" s="118"/>
      <c r="E192" s="118"/>
      <c r="F192" s="118"/>
      <c r="G192" s="119" t="str">
        <f>IF(tblProcurement2026[[#This Row],[Committed (All Expenses)]]=0,"",tblProcurement2026[[#This Row],[Paid/Realised]]/tblProcurement2026[[#This Row],[Committed (All Expenses)]])</f>
        <v/>
      </c>
      <c r="H192" s="120" t="e" cm="1">
        <f t="array" aca="1" ref="H192" ca="1">_xlfn.LET(_xlpm.p,tblProcurement2026[[#This Row],[Project Name]], _xlpm.nxt,MIN( IF((#REF!=_xlpm.p)*(#REF!&gt;TODAY()),#REF!)), IF(_xlpm.nxt=0,"",_xlpm.nxt-TODAY()))</f>
        <v>#REF!</v>
      </c>
      <c r="J192" s="118"/>
      <c r="K192" s="121"/>
      <c r="M192" s="118"/>
      <c r="N192" s="121"/>
      <c r="Q192" s="118"/>
      <c r="R192" s="118"/>
    </row>
    <row r="193" spans="1:18">
      <c r="A193" t="str" cm="1">
        <f t="array" ref="A193">_xlfn.LET(_xlpm.src,TRIM(#REF!), _xlpm.u,_xlfn._xlws.SORT(_xlfn.UNIQUE(_xlfn._xlws.FILTER(_xlpm.src,_xlpm.src&lt;&gt;""))), IFERROR(INDEX(_xlpm.u,ROWS(A$2:A193)),""))</f>
        <v/>
      </c>
      <c r="B193" s="118"/>
      <c r="C193" s="118"/>
      <c r="D193" s="118"/>
      <c r="E193" s="118"/>
      <c r="F193" s="118"/>
      <c r="G193" s="119" t="str">
        <f>IF(tblProcurement2026[[#This Row],[Committed (All Expenses)]]=0,"",tblProcurement2026[[#This Row],[Paid/Realised]]/tblProcurement2026[[#This Row],[Committed (All Expenses)]])</f>
        <v/>
      </c>
      <c r="H193" s="120" t="e" cm="1">
        <f t="array" aca="1" ref="H193" ca="1">_xlfn.LET(_xlpm.p,tblProcurement2026[[#This Row],[Project Name]], _xlpm.nxt,MIN( IF((#REF!=_xlpm.p)*(#REF!&gt;TODAY()),#REF!)), IF(_xlpm.nxt=0,"",_xlpm.nxt-TODAY()))</f>
        <v>#REF!</v>
      </c>
      <c r="J193" s="118"/>
      <c r="K193" s="121"/>
      <c r="M193" s="118"/>
      <c r="N193" s="121"/>
      <c r="Q193" s="118"/>
      <c r="R193" s="118"/>
    </row>
    <row r="194" spans="1:18">
      <c r="A194" t="str" cm="1">
        <f t="array" ref="A194">_xlfn.LET(_xlpm.src,TRIM(#REF!), _xlpm.u,_xlfn._xlws.SORT(_xlfn.UNIQUE(_xlfn._xlws.FILTER(_xlpm.src,_xlpm.src&lt;&gt;""))), IFERROR(INDEX(_xlpm.u,ROWS(A$2:A194)),""))</f>
        <v/>
      </c>
      <c r="B194" s="118"/>
      <c r="C194" s="118"/>
      <c r="D194" s="118"/>
      <c r="E194" s="118"/>
      <c r="F194" s="118"/>
      <c r="G194" s="119" t="str">
        <f>IF(tblProcurement2026[[#This Row],[Committed (All Expenses)]]=0,"",tblProcurement2026[[#This Row],[Paid/Realised]]/tblProcurement2026[[#This Row],[Committed (All Expenses)]])</f>
        <v/>
      </c>
      <c r="H194" s="120" t="e" cm="1">
        <f t="array" aca="1" ref="H194" ca="1">_xlfn.LET(_xlpm.p,tblProcurement2026[[#This Row],[Project Name]], _xlpm.nxt,MIN( IF((#REF!=_xlpm.p)*(#REF!&gt;TODAY()),#REF!)), IF(_xlpm.nxt=0,"",_xlpm.nxt-TODAY()))</f>
        <v>#REF!</v>
      </c>
      <c r="J194" s="118"/>
      <c r="K194" s="121"/>
      <c r="M194" s="118"/>
      <c r="N194" s="121"/>
      <c r="Q194" s="118"/>
      <c r="R194" s="118"/>
    </row>
    <row r="195" spans="1:18">
      <c r="A195" t="str" cm="1">
        <f t="array" ref="A195">_xlfn.LET(_xlpm.src,TRIM(#REF!), _xlpm.u,_xlfn._xlws.SORT(_xlfn.UNIQUE(_xlfn._xlws.FILTER(_xlpm.src,_xlpm.src&lt;&gt;""))), IFERROR(INDEX(_xlpm.u,ROWS(A$2:A195)),""))</f>
        <v/>
      </c>
      <c r="B195" s="118"/>
      <c r="C195" s="118"/>
      <c r="D195" s="118"/>
      <c r="E195" s="118"/>
      <c r="F195" s="118"/>
      <c r="G195" s="119" t="str">
        <f>IF(tblProcurement2026[[#This Row],[Committed (All Expenses)]]=0,"",tblProcurement2026[[#This Row],[Paid/Realised]]/tblProcurement2026[[#This Row],[Committed (All Expenses)]])</f>
        <v/>
      </c>
      <c r="H195" s="120" t="e" cm="1">
        <f t="array" aca="1" ref="H195" ca="1">_xlfn.LET(_xlpm.p,tblProcurement2026[[#This Row],[Project Name]], _xlpm.nxt,MIN( IF((#REF!=_xlpm.p)*(#REF!&gt;TODAY()),#REF!)), IF(_xlpm.nxt=0,"",_xlpm.nxt-TODAY()))</f>
        <v>#REF!</v>
      </c>
      <c r="J195" s="118"/>
      <c r="K195" s="121"/>
      <c r="M195" s="118"/>
      <c r="N195" s="121"/>
      <c r="Q195" s="118"/>
      <c r="R195" s="118"/>
    </row>
    <row r="196" spans="1:18">
      <c r="A196" t="str" cm="1">
        <f t="array" ref="A196">_xlfn.LET(_xlpm.src,TRIM(#REF!), _xlpm.u,_xlfn._xlws.SORT(_xlfn.UNIQUE(_xlfn._xlws.FILTER(_xlpm.src,_xlpm.src&lt;&gt;""))), IFERROR(INDEX(_xlpm.u,ROWS(A$2:A196)),""))</f>
        <v/>
      </c>
      <c r="B196" s="118"/>
      <c r="C196" s="118"/>
      <c r="D196" s="118"/>
      <c r="E196" s="118"/>
      <c r="F196" s="118"/>
      <c r="G196" s="119" t="str">
        <f>IF(tblProcurement2026[[#This Row],[Committed (All Expenses)]]=0,"",tblProcurement2026[[#This Row],[Paid/Realised]]/tblProcurement2026[[#This Row],[Committed (All Expenses)]])</f>
        <v/>
      </c>
      <c r="H196" s="120" t="e" cm="1">
        <f t="array" aca="1" ref="H196" ca="1">_xlfn.LET(_xlpm.p,tblProcurement2026[[#This Row],[Project Name]], _xlpm.nxt,MIN( IF((#REF!=_xlpm.p)*(#REF!&gt;TODAY()),#REF!)), IF(_xlpm.nxt=0,"",_xlpm.nxt-TODAY()))</f>
        <v>#REF!</v>
      </c>
      <c r="J196" s="118"/>
      <c r="K196" s="121"/>
      <c r="M196" s="118"/>
      <c r="N196" s="121"/>
      <c r="Q196" s="118"/>
      <c r="R196" s="118"/>
    </row>
    <row r="197" spans="1:18">
      <c r="A197" t="str" cm="1">
        <f t="array" ref="A197">_xlfn.LET(_xlpm.src,TRIM(#REF!), _xlpm.u,_xlfn._xlws.SORT(_xlfn.UNIQUE(_xlfn._xlws.FILTER(_xlpm.src,_xlpm.src&lt;&gt;""))), IFERROR(INDEX(_xlpm.u,ROWS(A$2:A197)),""))</f>
        <v/>
      </c>
      <c r="B197" s="118"/>
      <c r="C197" s="118"/>
      <c r="D197" s="118"/>
      <c r="E197" s="118"/>
      <c r="F197" s="118"/>
      <c r="G197" s="119" t="str">
        <f>IF(tblProcurement2026[[#This Row],[Committed (All Expenses)]]=0,"",tblProcurement2026[[#This Row],[Paid/Realised]]/tblProcurement2026[[#This Row],[Committed (All Expenses)]])</f>
        <v/>
      </c>
      <c r="H197" s="120" t="e" cm="1">
        <f t="array" aca="1" ref="H197" ca="1">_xlfn.LET(_xlpm.p,tblProcurement2026[[#This Row],[Project Name]], _xlpm.nxt,MIN( IF((#REF!=_xlpm.p)*(#REF!&gt;TODAY()),#REF!)), IF(_xlpm.nxt=0,"",_xlpm.nxt-TODAY()))</f>
        <v>#REF!</v>
      </c>
      <c r="J197" s="118"/>
      <c r="K197" s="121"/>
      <c r="M197" s="118"/>
      <c r="N197" s="121"/>
      <c r="Q197" s="118"/>
      <c r="R197" s="118"/>
    </row>
    <row r="198" spans="1:18">
      <c r="A198" t="str" cm="1">
        <f t="array" ref="A198">_xlfn.LET(_xlpm.src,TRIM(#REF!), _xlpm.u,_xlfn._xlws.SORT(_xlfn.UNIQUE(_xlfn._xlws.FILTER(_xlpm.src,_xlpm.src&lt;&gt;""))), IFERROR(INDEX(_xlpm.u,ROWS(A$2:A198)),""))</f>
        <v/>
      </c>
      <c r="B198" s="118"/>
      <c r="C198" s="118"/>
      <c r="D198" s="118"/>
      <c r="E198" s="118"/>
      <c r="F198" s="118"/>
      <c r="G198" s="119" t="str">
        <f>IF(tblProcurement2026[[#This Row],[Committed (All Expenses)]]=0,"",tblProcurement2026[[#This Row],[Paid/Realised]]/tblProcurement2026[[#This Row],[Committed (All Expenses)]])</f>
        <v/>
      </c>
      <c r="H198" s="120" t="e" cm="1">
        <f t="array" aca="1" ref="H198" ca="1">_xlfn.LET(_xlpm.p,tblProcurement2026[[#This Row],[Project Name]], _xlpm.nxt,MIN( IF((#REF!=_xlpm.p)*(#REF!&gt;TODAY()),#REF!)), IF(_xlpm.nxt=0,"",_xlpm.nxt-TODAY()))</f>
        <v>#REF!</v>
      </c>
      <c r="J198" s="118"/>
      <c r="K198" s="121"/>
      <c r="M198" s="118"/>
      <c r="N198" s="121"/>
      <c r="Q198" s="118"/>
      <c r="R198" s="118"/>
    </row>
    <row r="199" spans="1:18">
      <c r="A199" t="str" cm="1">
        <f t="array" ref="A199">_xlfn.LET(_xlpm.src,TRIM(#REF!), _xlpm.u,_xlfn._xlws.SORT(_xlfn.UNIQUE(_xlfn._xlws.FILTER(_xlpm.src,_xlpm.src&lt;&gt;""))), IFERROR(INDEX(_xlpm.u,ROWS(A$2:A199)),""))</f>
        <v/>
      </c>
      <c r="B199" s="118"/>
      <c r="C199" s="118"/>
      <c r="D199" s="118"/>
      <c r="E199" s="118"/>
      <c r="F199" s="118"/>
      <c r="G199" s="119" t="str">
        <f>IF(tblProcurement2026[[#This Row],[Committed (All Expenses)]]=0,"",tblProcurement2026[[#This Row],[Paid/Realised]]/tblProcurement2026[[#This Row],[Committed (All Expenses)]])</f>
        <v/>
      </c>
      <c r="H199" s="120" t="e" cm="1">
        <f t="array" aca="1" ref="H199" ca="1">_xlfn.LET(_xlpm.p,tblProcurement2026[[#This Row],[Project Name]], _xlpm.nxt,MIN( IF((#REF!=_xlpm.p)*(#REF!&gt;TODAY()),#REF!)), IF(_xlpm.nxt=0,"",_xlpm.nxt-TODAY()))</f>
        <v>#REF!</v>
      </c>
      <c r="J199" s="118"/>
      <c r="K199" s="121"/>
      <c r="M199" s="118"/>
      <c r="N199" s="121"/>
      <c r="Q199" s="118"/>
      <c r="R199" s="118"/>
    </row>
    <row r="200" spans="1:18">
      <c r="A200" t="str" cm="1">
        <f t="array" ref="A200">_xlfn.LET(_xlpm.src,TRIM(#REF!), _xlpm.u,_xlfn._xlws.SORT(_xlfn.UNIQUE(_xlfn._xlws.FILTER(_xlpm.src,_xlpm.src&lt;&gt;""))), IFERROR(INDEX(_xlpm.u,ROWS(A$2:A200)),""))</f>
        <v/>
      </c>
      <c r="B200" s="118"/>
      <c r="C200" s="118"/>
      <c r="D200" s="118"/>
      <c r="E200" s="118"/>
      <c r="F200" s="118"/>
      <c r="G200" s="119" t="str">
        <f>IF(tblProcurement2026[[#This Row],[Committed (All Expenses)]]=0,"",tblProcurement2026[[#This Row],[Paid/Realised]]/tblProcurement2026[[#This Row],[Committed (All Expenses)]])</f>
        <v/>
      </c>
      <c r="H200" s="120" t="e" cm="1">
        <f t="array" aca="1" ref="H200" ca="1">_xlfn.LET(_xlpm.p,tblProcurement2026[[#This Row],[Project Name]], _xlpm.nxt,MIN( IF((#REF!=_xlpm.p)*(#REF!&gt;TODAY()),#REF!)), IF(_xlpm.nxt=0,"",_xlpm.nxt-TODAY()))</f>
        <v>#REF!</v>
      </c>
      <c r="J200" s="118"/>
      <c r="K200" s="121"/>
      <c r="M200" s="118"/>
      <c r="N200" s="121"/>
      <c r="Q200" s="118"/>
      <c r="R200" s="118"/>
    </row>
    <row r="201" spans="1:18">
      <c r="A201" t="str" cm="1">
        <f t="array" ref="A201">_xlfn.LET(_xlpm.src,TRIM(#REF!), _xlpm.u,_xlfn._xlws.SORT(_xlfn.UNIQUE(_xlfn._xlws.FILTER(_xlpm.src,_xlpm.src&lt;&gt;""))), IFERROR(INDEX(_xlpm.u,ROWS(A$2:A201)),""))</f>
        <v/>
      </c>
      <c r="B201" s="118"/>
      <c r="C201" s="118"/>
      <c r="D201" s="118"/>
      <c r="E201" s="118"/>
      <c r="F201" s="118"/>
      <c r="G201" s="119" t="str">
        <f>IF(tblProcurement2026[[#This Row],[Committed (All Expenses)]]=0,"",tblProcurement2026[[#This Row],[Paid/Realised]]/tblProcurement2026[[#This Row],[Committed (All Expenses)]])</f>
        <v/>
      </c>
      <c r="H201" s="120" t="e" cm="1">
        <f t="array" aca="1" ref="H201" ca="1">_xlfn.LET(_xlpm.p,tblProcurement2026[[#This Row],[Project Name]], _xlpm.nxt,MIN( IF((#REF!=_xlpm.p)*(#REF!&gt;TODAY()),#REF!)), IF(_xlpm.nxt=0,"",_xlpm.nxt-TODAY()))</f>
        <v>#REF!</v>
      </c>
      <c r="J201" s="118"/>
      <c r="K201" s="121"/>
      <c r="M201" s="118"/>
      <c r="N201" s="121"/>
      <c r="Q201" s="118"/>
      <c r="R201" s="118"/>
    </row>
    <row r="202" spans="1:18">
      <c r="A202" t="str" cm="1">
        <f t="array" ref="A202">_xlfn.LET(_xlpm.src,TRIM(#REF!), _xlpm.u,_xlfn._xlws.SORT(_xlfn.UNIQUE(_xlfn._xlws.FILTER(_xlpm.src,_xlpm.src&lt;&gt;""))), IFERROR(INDEX(_xlpm.u,ROWS(A$2:A202)),""))</f>
        <v/>
      </c>
      <c r="B202" s="118"/>
      <c r="C202" s="118"/>
      <c r="D202" s="118"/>
      <c r="E202" s="118"/>
      <c r="F202" s="118"/>
      <c r="G202" s="119" t="str">
        <f>IF(tblProcurement2026[[#This Row],[Committed (All Expenses)]]=0,"",tblProcurement2026[[#This Row],[Paid/Realised]]/tblProcurement2026[[#This Row],[Committed (All Expenses)]])</f>
        <v/>
      </c>
      <c r="H202" s="120" t="e" cm="1">
        <f t="array" aca="1" ref="H202" ca="1">_xlfn.LET(_xlpm.p,tblProcurement2026[[#This Row],[Project Name]], _xlpm.nxt,MIN( IF((#REF!=_xlpm.p)*(#REF!&gt;TODAY()),#REF!)), IF(_xlpm.nxt=0,"",_xlpm.nxt-TODAY()))</f>
        <v>#REF!</v>
      </c>
      <c r="J202" s="118"/>
      <c r="K202" s="121"/>
      <c r="M202" s="118"/>
      <c r="N202" s="121"/>
      <c r="Q202" s="118"/>
      <c r="R202" s="118"/>
    </row>
    <row r="203" spans="1:18">
      <c r="A203" t="str" cm="1">
        <f t="array" ref="A203">_xlfn.LET(_xlpm.src,TRIM(#REF!), _xlpm.u,_xlfn._xlws.SORT(_xlfn.UNIQUE(_xlfn._xlws.FILTER(_xlpm.src,_xlpm.src&lt;&gt;""))), IFERROR(INDEX(_xlpm.u,ROWS(A$2:A203)),""))</f>
        <v/>
      </c>
      <c r="B203" s="118"/>
      <c r="C203" s="118"/>
      <c r="D203" s="118"/>
      <c r="E203" s="118"/>
      <c r="F203" s="118"/>
      <c r="G203" s="119" t="str">
        <f>IF(tblProcurement2026[[#This Row],[Committed (All Expenses)]]=0,"",tblProcurement2026[[#This Row],[Paid/Realised]]/tblProcurement2026[[#This Row],[Committed (All Expenses)]])</f>
        <v/>
      </c>
      <c r="H203" s="120" t="e" cm="1">
        <f t="array" aca="1" ref="H203" ca="1">_xlfn.LET(_xlpm.p,tblProcurement2026[[#This Row],[Project Name]], _xlpm.nxt,MIN( IF((#REF!=_xlpm.p)*(#REF!&gt;TODAY()),#REF!)), IF(_xlpm.nxt=0,"",_xlpm.nxt-TODAY()))</f>
        <v>#REF!</v>
      </c>
      <c r="J203" s="118"/>
      <c r="K203" s="121"/>
      <c r="M203" s="118"/>
      <c r="N203" s="121"/>
      <c r="Q203" s="118"/>
      <c r="R203" s="118"/>
    </row>
    <row r="204" spans="1:18">
      <c r="A204" t="str" cm="1">
        <f t="array" ref="A204">_xlfn.LET(_xlpm.src,TRIM(#REF!), _xlpm.u,_xlfn._xlws.SORT(_xlfn.UNIQUE(_xlfn._xlws.FILTER(_xlpm.src,_xlpm.src&lt;&gt;""))), IFERROR(INDEX(_xlpm.u,ROWS(A$2:A204)),""))</f>
        <v/>
      </c>
      <c r="B204" s="118"/>
      <c r="C204" s="118"/>
      <c r="D204" s="118"/>
      <c r="E204" s="118"/>
      <c r="F204" s="118"/>
      <c r="G204" s="119" t="str">
        <f>IF(tblProcurement2026[[#This Row],[Committed (All Expenses)]]=0,"",tblProcurement2026[[#This Row],[Paid/Realised]]/tblProcurement2026[[#This Row],[Committed (All Expenses)]])</f>
        <v/>
      </c>
      <c r="H204" s="120" t="e" cm="1">
        <f t="array" aca="1" ref="H204" ca="1">_xlfn.LET(_xlpm.p,tblProcurement2026[[#This Row],[Project Name]], _xlpm.nxt,MIN( IF((#REF!=_xlpm.p)*(#REF!&gt;TODAY()),#REF!)), IF(_xlpm.nxt=0,"",_xlpm.nxt-TODAY()))</f>
        <v>#REF!</v>
      </c>
      <c r="J204" s="118"/>
      <c r="K204" s="121"/>
      <c r="M204" s="118"/>
      <c r="N204" s="121"/>
      <c r="Q204" s="118"/>
      <c r="R204" s="118"/>
    </row>
    <row r="205" spans="1:18">
      <c r="A205" t="str" cm="1">
        <f t="array" ref="A205">_xlfn.LET(_xlpm.src,TRIM(#REF!), _xlpm.u,_xlfn._xlws.SORT(_xlfn.UNIQUE(_xlfn._xlws.FILTER(_xlpm.src,_xlpm.src&lt;&gt;""))), IFERROR(INDEX(_xlpm.u,ROWS(A$2:A205)),""))</f>
        <v/>
      </c>
      <c r="B205" s="118"/>
      <c r="C205" s="118"/>
      <c r="D205" s="118"/>
      <c r="E205" s="118"/>
      <c r="F205" s="118"/>
      <c r="G205" s="119" t="str">
        <f>IF(tblProcurement2026[[#This Row],[Committed (All Expenses)]]=0,"",tblProcurement2026[[#This Row],[Paid/Realised]]/tblProcurement2026[[#This Row],[Committed (All Expenses)]])</f>
        <v/>
      </c>
      <c r="H205" s="120" t="e" cm="1">
        <f t="array" aca="1" ref="H205" ca="1">_xlfn.LET(_xlpm.p,tblProcurement2026[[#This Row],[Project Name]], _xlpm.nxt,MIN( IF((#REF!=_xlpm.p)*(#REF!&gt;TODAY()),#REF!)), IF(_xlpm.nxt=0,"",_xlpm.nxt-TODAY()))</f>
        <v>#REF!</v>
      </c>
      <c r="J205" s="118"/>
      <c r="K205" s="121"/>
      <c r="M205" s="118"/>
      <c r="N205" s="121"/>
      <c r="Q205" s="118"/>
      <c r="R205" s="118"/>
    </row>
    <row r="206" spans="1:18">
      <c r="A206" t="str" cm="1">
        <f t="array" ref="A206">_xlfn.LET(_xlpm.src,TRIM(#REF!), _xlpm.u,_xlfn._xlws.SORT(_xlfn.UNIQUE(_xlfn._xlws.FILTER(_xlpm.src,_xlpm.src&lt;&gt;""))), IFERROR(INDEX(_xlpm.u,ROWS(A$2:A206)),""))</f>
        <v/>
      </c>
      <c r="B206" s="118"/>
      <c r="C206" s="118"/>
      <c r="D206" s="118"/>
      <c r="E206" s="118"/>
      <c r="F206" s="118"/>
      <c r="G206" s="119" t="str">
        <f>IF(tblProcurement2026[[#This Row],[Committed (All Expenses)]]=0,"",tblProcurement2026[[#This Row],[Paid/Realised]]/tblProcurement2026[[#This Row],[Committed (All Expenses)]])</f>
        <v/>
      </c>
      <c r="H206" s="120" t="e" cm="1">
        <f t="array" aca="1" ref="H206" ca="1">_xlfn.LET(_xlpm.p,tblProcurement2026[[#This Row],[Project Name]], _xlpm.nxt,MIN( IF((#REF!=_xlpm.p)*(#REF!&gt;TODAY()),#REF!)), IF(_xlpm.nxt=0,"",_xlpm.nxt-TODAY()))</f>
        <v>#REF!</v>
      </c>
      <c r="J206" s="118"/>
      <c r="K206" s="121"/>
      <c r="M206" s="118"/>
      <c r="N206" s="121"/>
      <c r="Q206" s="118"/>
      <c r="R206" s="118"/>
    </row>
    <row r="207" spans="1:18">
      <c r="A207" t="str" cm="1">
        <f t="array" ref="A207">_xlfn.LET(_xlpm.src,TRIM(#REF!), _xlpm.u,_xlfn._xlws.SORT(_xlfn.UNIQUE(_xlfn._xlws.FILTER(_xlpm.src,_xlpm.src&lt;&gt;""))), IFERROR(INDEX(_xlpm.u,ROWS(A$2:A207)),""))</f>
        <v/>
      </c>
      <c r="B207" s="118"/>
      <c r="C207" s="118"/>
      <c r="D207" s="118"/>
      <c r="E207" s="118"/>
      <c r="F207" s="118"/>
      <c r="G207" s="119" t="str">
        <f>IF(tblProcurement2026[[#This Row],[Committed (All Expenses)]]=0,"",tblProcurement2026[[#This Row],[Paid/Realised]]/tblProcurement2026[[#This Row],[Committed (All Expenses)]])</f>
        <v/>
      </c>
      <c r="H207" s="120" t="e" cm="1">
        <f t="array" aca="1" ref="H207" ca="1">_xlfn.LET(_xlpm.p,tblProcurement2026[[#This Row],[Project Name]], _xlpm.nxt,MIN( IF((#REF!=_xlpm.p)*(#REF!&gt;TODAY()),#REF!)), IF(_xlpm.nxt=0,"",_xlpm.nxt-TODAY()))</f>
        <v>#REF!</v>
      </c>
      <c r="J207" s="118"/>
      <c r="K207" s="121"/>
      <c r="M207" s="118"/>
      <c r="N207" s="121"/>
      <c r="Q207" s="118"/>
      <c r="R207" s="118"/>
    </row>
    <row r="208" spans="1:18">
      <c r="A208" t="str" cm="1">
        <f t="array" ref="A208">_xlfn.LET(_xlpm.src,TRIM(#REF!), _xlpm.u,_xlfn._xlws.SORT(_xlfn.UNIQUE(_xlfn._xlws.FILTER(_xlpm.src,_xlpm.src&lt;&gt;""))), IFERROR(INDEX(_xlpm.u,ROWS(A$2:A208)),""))</f>
        <v/>
      </c>
      <c r="B208" s="118"/>
      <c r="C208" s="118"/>
      <c r="D208" s="118"/>
      <c r="E208" s="118"/>
      <c r="F208" s="118"/>
      <c r="G208" s="119" t="str">
        <f>IF(tblProcurement2026[[#This Row],[Committed (All Expenses)]]=0,"",tblProcurement2026[[#This Row],[Paid/Realised]]/tblProcurement2026[[#This Row],[Committed (All Expenses)]])</f>
        <v/>
      </c>
      <c r="H208" s="120" t="e" cm="1">
        <f t="array" aca="1" ref="H208" ca="1">_xlfn.LET(_xlpm.p,tblProcurement2026[[#This Row],[Project Name]], _xlpm.nxt,MIN( IF((#REF!=_xlpm.p)*(#REF!&gt;TODAY()),#REF!)), IF(_xlpm.nxt=0,"",_xlpm.nxt-TODAY()))</f>
        <v>#REF!</v>
      </c>
      <c r="J208" s="118"/>
      <c r="K208" s="121"/>
      <c r="M208" s="118"/>
      <c r="N208" s="121"/>
      <c r="Q208" s="118"/>
      <c r="R208" s="118"/>
    </row>
    <row r="209" spans="1:18">
      <c r="A209" t="str" cm="1">
        <f t="array" ref="A209">_xlfn.LET(_xlpm.src,TRIM(#REF!), _xlpm.u,_xlfn._xlws.SORT(_xlfn.UNIQUE(_xlfn._xlws.FILTER(_xlpm.src,_xlpm.src&lt;&gt;""))), IFERROR(INDEX(_xlpm.u,ROWS(A$2:A209)),""))</f>
        <v/>
      </c>
      <c r="B209" s="118"/>
      <c r="C209" s="118"/>
      <c r="D209" s="118"/>
      <c r="E209" s="118"/>
      <c r="F209" s="118"/>
      <c r="G209" s="119" t="str">
        <f>IF(tblProcurement2026[[#This Row],[Committed (All Expenses)]]=0,"",tblProcurement2026[[#This Row],[Paid/Realised]]/tblProcurement2026[[#This Row],[Committed (All Expenses)]])</f>
        <v/>
      </c>
      <c r="H209" s="120" t="e" cm="1">
        <f t="array" aca="1" ref="H209" ca="1">_xlfn.LET(_xlpm.p,tblProcurement2026[[#This Row],[Project Name]], _xlpm.nxt,MIN( IF((#REF!=_xlpm.p)*(#REF!&gt;TODAY()),#REF!)), IF(_xlpm.nxt=0,"",_xlpm.nxt-TODAY()))</f>
        <v>#REF!</v>
      </c>
      <c r="J209" s="118"/>
      <c r="K209" s="121"/>
      <c r="M209" s="118"/>
      <c r="N209" s="121"/>
      <c r="Q209" s="118"/>
      <c r="R209" s="118"/>
    </row>
    <row r="210" spans="1:18">
      <c r="A210" t="str" cm="1">
        <f t="array" ref="A210">_xlfn.LET(_xlpm.src,TRIM(#REF!), _xlpm.u,_xlfn._xlws.SORT(_xlfn.UNIQUE(_xlfn._xlws.FILTER(_xlpm.src,_xlpm.src&lt;&gt;""))), IFERROR(INDEX(_xlpm.u,ROWS(A$2:A210)),""))</f>
        <v/>
      </c>
      <c r="B210" s="118"/>
      <c r="C210" s="118"/>
      <c r="D210" s="118"/>
      <c r="E210" s="118"/>
      <c r="F210" s="118"/>
      <c r="G210" s="119" t="str">
        <f>IF(tblProcurement2026[[#This Row],[Committed (All Expenses)]]=0,"",tblProcurement2026[[#This Row],[Paid/Realised]]/tblProcurement2026[[#This Row],[Committed (All Expenses)]])</f>
        <v/>
      </c>
      <c r="H210" s="120" t="e" cm="1">
        <f t="array" aca="1" ref="H210" ca="1">_xlfn.LET(_xlpm.p,tblProcurement2026[[#This Row],[Project Name]], _xlpm.nxt,MIN( IF((#REF!=_xlpm.p)*(#REF!&gt;TODAY()),#REF!)), IF(_xlpm.nxt=0,"",_xlpm.nxt-TODAY()))</f>
        <v>#REF!</v>
      </c>
      <c r="J210" s="118"/>
      <c r="K210" s="121"/>
      <c r="M210" s="118"/>
      <c r="N210" s="121"/>
      <c r="Q210" s="118"/>
      <c r="R210" s="118"/>
    </row>
    <row r="211" spans="1:18">
      <c r="A211" t="str" cm="1">
        <f t="array" ref="A211">_xlfn.LET(_xlpm.src,TRIM(#REF!), _xlpm.u,_xlfn._xlws.SORT(_xlfn.UNIQUE(_xlfn._xlws.FILTER(_xlpm.src,_xlpm.src&lt;&gt;""))), IFERROR(INDEX(_xlpm.u,ROWS(A$2:A211)),""))</f>
        <v/>
      </c>
      <c r="B211" s="118"/>
      <c r="C211" s="118"/>
      <c r="D211" s="118"/>
      <c r="E211" s="118"/>
      <c r="F211" s="118"/>
      <c r="G211" s="119" t="str">
        <f>IF(tblProcurement2026[[#This Row],[Committed (All Expenses)]]=0,"",tblProcurement2026[[#This Row],[Paid/Realised]]/tblProcurement2026[[#This Row],[Committed (All Expenses)]])</f>
        <v/>
      </c>
      <c r="H211" s="120" t="e" cm="1">
        <f t="array" aca="1" ref="H211" ca="1">_xlfn.LET(_xlpm.p,tblProcurement2026[[#This Row],[Project Name]], _xlpm.nxt,MIN( IF((#REF!=_xlpm.p)*(#REF!&gt;TODAY()),#REF!)), IF(_xlpm.nxt=0,"",_xlpm.nxt-TODAY()))</f>
        <v>#REF!</v>
      </c>
      <c r="J211" s="118"/>
      <c r="K211" s="121"/>
      <c r="M211" s="118"/>
      <c r="N211" s="121"/>
      <c r="Q211" s="118"/>
      <c r="R211" s="118"/>
    </row>
    <row r="212" spans="1:18">
      <c r="A212" t="str" cm="1">
        <f t="array" ref="A212">_xlfn.LET(_xlpm.src,TRIM(#REF!), _xlpm.u,_xlfn._xlws.SORT(_xlfn.UNIQUE(_xlfn._xlws.FILTER(_xlpm.src,_xlpm.src&lt;&gt;""))), IFERROR(INDEX(_xlpm.u,ROWS(A$2:A212)),""))</f>
        <v/>
      </c>
      <c r="B212" s="118"/>
      <c r="C212" s="118"/>
      <c r="D212" s="118"/>
      <c r="E212" s="118"/>
      <c r="F212" s="118"/>
      <c r="G212" s="119" t="str">
        <f>IF(tblProcurement2026[[#This Row],[Committed (All Expenses)]]=0,"",tblProcurement2026[[#This Row],[Paid/Realised]]/tblProcurement2026[[#This Row],[Committed (All Expenses)]])</f>
        <v/>
      </c>
      <c r="H212" s="120" t="e" cm="1">
        <f t="array" aca="1" ref="H212" ca="1">_xlfn.LET(_xlpm.p,tblProcurement2026[[#This Row],[Project Name]], _xlpm.nxt,MIN( IF((#REF!=_xlpm.p)*(#REF!&gt;TODAY()),#REF!)), IF(_xlpm.nxt=0,"",_xlpm.nxt-TODAY()))</f>
        <v>#REF!</v>
      </c>
      <c r="J212" s="118"/>
      <c r="K212" s="121"/>
      <c r="M212" s="118"/>
      <c r="N212" s="121"/>
      <c r="Q212" s="118"/>
      <c r="R212" s="118"/>
    </row>
    <row r="213" spans="1:18">
      <c r="A213" t="str" cm="1">
        <f t="array" ref="A213">_xlfn.LET(_xlpm.src,TRIM(#REF!), _xlpm.u,_xlfn._xlws.SORT(_xlfn.UNIQUE(_xlfn._xlws.FILTER(_xlpm.src,_xlpm.src&lt;&gt;""))), IFERROR(INDEX(_xlpm.u,ROWS(A$2:A213)),""))</f>
        <v/>
      </c>
      <c r="B213" s="118"/>
      <c r="C213" s="118"/>
      <c r="D213" s="118"/>
      <c r="E213" s="118"/>
      <c r="F213" s="118"/>
      <c r="G213" s="119" t="str">
        <f>IF(tblProcurement2026[[#This Row],[Committed (All Expenses)]]=0,"",tblProcurement2026[[#This Row],[Paid/Realised]]/tblProcurement2026[[#This Row],[Committed (All Expenses)]])</f>
        <v/>
      </c>
      <c r="H213" s="120" t="e" cm="1">
        <f t="array" aca="1" ref="H213" ca="1">_xlfn.LET(_xlpm.p,tblProcurement2026[[#This Row],[Project Name]], _xlpm.nxt,MIN( IF((#REF!=_xlpm.p)*(#REF!&gt;TODAY()),#REF!)), IF(_xlpm.nxt=0,"",_xlpm.nxt-TODAY()))</f>
        <v>#REF!</v>
      </c>
      <c r="J213" s="118"/>
      <c r="K213" s="121"/>
      <c r="M213" s="118"/>
      <c r="N213" s="121"/>
      <c r="Q213" s="118"/>
      <c r="R213" s="118"/>
    </row>
    <row r="214" spans="1:18">
      <c r="A214" t="str" cm="1">
        <f t="array" ref="A214">_xlfn.LET(_xlpm.src,TRIM(#REF!), _xlpm.u,_xlfn._xlws.SORT(_xlfn.UNIQUE(_xlfn._xlws.FILTER(_xlpm.src,_xlpm.src&lt;&gt;""))), IFERROR(INDEX(_xlpm.u,ROWS(A$2:A214)),""))</f>
        <v/>
      </c>
      <c r="B214" s="118"/>
      <c r="C214" s="118"/>
      <c r="D214" s="118"/>
      <c r="E214" s="118"/>
      <c r="F214" s="118"/>
      <c r="G214" s="119" t="str">
        <f>IF(tblProcurement2026[[#This Row],[Committed (All Expenses)]]=0,"",tblProcurement2026[[#This Row],[Paid/Realised]]/tblProcurement2026[[#This Row],[Committed (All Expenses)]])</f>
        <v/>
      </c>
      <c r="H214" s="120" t="e" cm="1">
        <f t="array" aca="1" ref="H214" ca="1">_xlfn.LET(_xlpm.p,tblProcurement2026[[#This Row],[Project Name]], _xlpm.nxt,MIN( IF((#REF!=_xlpm.p)*(#REF!&gt;TODAY()),#REF!)), IF(_xlpm.nxt=0,"",_xlpm.nxt-TODAY()))</f>
        <v>#REF!</v>
      </c>
      <c r="J214" s="118"/>
      <c r="K214" s="121"/>
      <c r="M214" s="118"/>
      <c r="N214" s="121"/>
      <c r="Q214" s="118"/>
      <c r="R214" s="118"/>
    </row>
    <row r="215" spans="1:18">
      <c r="A215" t="str" cm="1">
        <f t="array" ref="A215">_xlfn.LET(_xlpm.src,TRIM(#REF!), _xlpm.u,_xlfn._xlws.SORT(_xlfn.UNIQUE(_xlfn._xlws.FILTER(_xlpm.src,_xlpm.src&lt;&gt;""))), IFERROR(INDEX(_xlpm.u,ROWS(A$2:A215)),""))</f>
        <v/>
      </c>
      <c r="B215" s="118"/>
      <c r="C215" s="118"/>
      <c r="D215" s="118"/>
      <c r="E215" s="118"/>
      <c r="F215" s="118"/>
      <c r="G215" s="119" t="str">
        <f>IF(tblProcurement2026[[#This Row],[Committed (All Expenses)]]=0,"",tblProcurement2026[[#This Row],[Paid/Realised]]/tblProcurement2026[[#This Row],[Committed (All Expenses)]])</f>
        <v/>
      </c>
      <c r="H215" s="120" t="e" cm="1">
        <f t="array" aca="1" ref="H215" ca="1">_xlfn.LET(_xlpm.p,tblProcurement2026[[#This Row],[Project Name]], _xlpm.nxt,MIN( IF((#REF!=_xlpm.p)*(#REF!&gt;TODAY()),#REF!)), IF(_xlpm.nxt=0,"",_xlpm.nxt-TODAY()))</f>
        <v>#REF!</v>
      </c>
      <c r="J215" s="118"/>
      <c r="K215" s="121"/>
      <c r="M215" s="118"/>
      <c r="N215" s="121"/>
      <c r="Q215" s="118"/>
      <c r="R215" s="118"/>
    </row>
    <row r="216" spans="1:18">
      <c r="A216" t="str" cm="1">
        <f t="array" ref="A216">_xlfn.LET(_xlpm.src,TRIM(#REF!), _xlpm.u,_xlfn._xlws.SORT(_xlfn.UNIQUE(_xlfn._xlws.FILTER(_xlpm.src,_xlpm.src&lt;&gt;""))), IFERROR(INDEX(_xlpm.u,ROWS(A$2:A216)),""))</f>
        <v/>
      </c>
      <c r="B216" s="118"/>
      <c r="C216" s="118"/>
      <c r="D216" s="118"/>
      <c r="E216" s="118"/>
      <c r="F216" s="118"/>
      <c r="G216" s="119" t="str">
        <f>IF(tblProcurement2026[[#This Row],[Committed (All Expenses)]]=0,"",tblProcurement2026[[#This Row],[Paid/Realised]]/tblProcurement2026[[#This Row],[Committed (All Expenses)]])</f>
        <v/>
      </c>
      <c r="H216" s="120" t="e" cm="1">
        <f t="array" aca="1" ref="H216" ca="1">_xlfn.LET(_xlpm.p,tblProcurement2026[[#This Row],[Project Name]], _xlpm.nxt,MIN( IF((#REF!=_xlpm.p)*(#REF!&gt;TODAY()),#REF!)), IF(_xlpm.nxt=0,"",_xlpm.nxt-TODAY()))</f>
        <v>#REF!</v>
      </c>
      <c r="J216" s="118"/>
      <c r="K216" s="121"/>
      <c r="M216" s="118"/>
      <c r="N216" s="121"/>
      <c r="Q216" s="118"/>
      <c r="R216" s="118"/>
    </row>
    <row r="217" spans="1:18">
      <c r="A217" t="str" cm="1">
        <f t="array" ref="A217">_xlfn.LET(_xlpm.src,TRIM(#REF!), _xlpm.u,_xlfn._xlws.SORT(_xlfn.UNIQUE(_xlfn._xlws.FILTER(_xlpm.src,_xlpm.src&lt;&gt;""))), IFERROR(INDEX(_xlpm.u,ROWS(A$2:A217)),""))</f>
        <v/>
      </c>
      <c r="B217" s="118"/>
      <c r="C217" s="118"/>
      <c r="D217" s="118"/>
      <c r="E217" s="118"/>
      <c r="F217" s="118"/>
      <c r="G217" s="119" t="str">
        <f>IF(tblProcurement2026[[#This Row],[Committed (All Expenses)]]=0,"",tblProcurement2026[[#This Row],[Paid/Realised]]/tblProcurement2026[[#This Row],[Committed (All Expenses)]])</f>
        <v/>
      </c>
      <c r="H217" s="120" t="e" cm="1">
        <f t="array" aca="1" ref="H217" ca="1">_xlfn.LET(_xlpm.p,tblProcurement2026[[#This Row],[Project Name]], _xlpm.nxt,MIN( IF((#REF!=_xlpm.p)*(#REF!&gt;TODAY()),#REF!)), IF(_xlpm.nxt=0,"",_xlpm.nxt-TODAY()))</f>
        <v>#REF!</v>
      </c>
      <c r="J217" s="118"/>
      <c r="K217" s="121"/>
      <c r="M217" s="118"/>
      <c r="N217" s="121"/>
      <c r="Q217" s="118"/>
      <c r="R217" s="118"/>
    </row>
    <row r="218" spans="1:18">
      <c r="A218" t="str" cm="1">
        <f t="array" ref="A218">_xlfn.LET(_xlpm.src,TRIM(#REF!), _xlpm.u,_xlfn._xlws.SORT(_xlfn.UNIQUE(_xlfn._xlws.FILTER(_xlpm.src,_xlpm.src&lt;&gt;""))), IFERROR(INDEX(_xlpm.u,ROWS(A$2:A218)),""))</f>
        <v/>
      </c>
      <c r="B218" s="118"/>
      <c r="C218" s="118"/>
      <c r="D218" s="118"/>
      <c r="E218" s="118"/>
      <c r="F218" s="118"/>
      <c r="G218" s="119" t="str">
        <f>IF(tblProcurement2026[[#This Row],[Committed (All Expenses)]]=0,"",tblProcurement2026[[#This Row],[Paid/Realised]]/tblProcurement2026[[#This Row],[Committed (All Expenses)]])</f>
        <v/>
      </c>
      <c r="H218" s="120" t="e" cm="1">
        <f t="array" aca="1" ref="H218" ca="1">_xlfn.LET(_xlpm.p,tblProcurement2026[[#This Row],[Project Name]], _xlpm.nxt,MIN( IF((#REF!=_xlpm.p)*(#REF!&gt;TODAY()),#REF!)), IF(_xlpm.nxt=0,"",_xlpm.nxt-TODAY()))</f>
        <v>#REF!</v>
      </c>
      <c r="J218" s="118"/>
      <c r="K218" s="121"/>
      <c r="M218" s="118"/>
      <c r="N218" s="121"/>
      <c r="Q218" s="118"/>
      <c r="R218" s="118"/>
    </row>
    <row r="219" spans="1:18">
      <c r="A219" t="str" cm="1">
        <f t="array" ref="A219">_xlfn.LET(_xlpm.src,TRIM(#REF!), _xlpm.u,_xlfn._xlws.SORT(_xlfn.UNIQUE(_xlfn._xlws.FILTER(_xlpm.src,_xlpm.src&lt;&gt;""))), IFERROR(INDEX(_xlpm.u,ROWS(A$2:A219)),""))</f>
        <v/>
      </c>
      <c r="B219" s="118"/>
      <c r="C219" s="118"/>
      <c r="D219" s="118"/>
      <c r="E219" s="118"/>
      <c r="F219" s="118"/>
      <c r="G219" s="119" t="str">
        <f>IF(tblProcurement2026[[#This Row],[Committed (All Expenses)]]=0,"",tblProcurement2026[[#This Row],[Paid/Realised]]/tblProcurement2026[[#This Row],[Committed (All Expenses)]])</f>
        <v/>
      </c>
      <c r="H219" s="120" t="e" cm="1">
        <f t="array" aca="1" ref="H219" ca="1">_xlfn.LET(_xlpm.p,tblProcurement2026[[#This Row],[Project Name]], _xlpm.nxt,MIN( IF((#REF!=_xlpm.p)*(#REF!&gt;TODAY()),#REF!)), IF(_xlpm.nxt=0,"",_xlpm.nxt-TODAY()))</f>
        <v>#REF!</v>
      </c>
      <c r="J219" s="118"/>
      <c r="K219" s="121"/>
      <c r="M219" s="118"/>
      <c r="N219" s="121"/>
      <c r="Q219" s="118"/>
      <c r="R219" s="118"/>
    </row>
    <row r="220" spans="1:18">
      <c r="A220" t="str" cm="1">
        <f t="array" ref="A220">_xlfn.LET(_xlpm.src,TRIM(#REF!), _xlpm.u,_xlfn._xlws.SORT(_xlfn.UNIQUE(_xlfn._xlws.FILTER(_xlpm.src,_xlpm.src&lt;&gt;""))), IFERROR(INDEX(_xlpm.u,ROWS(A$2:A220)),""))</f>
        <v/>
      </c>
      <c r="B220" s="118"/>
      <c r="C220" s="118"/>
      <c r="D220" s="118"/>
      <c r="E220" s="118"/>
      <c r="F220" s="118"/>
      <c r="G220" s="119" t="str">
        <f>IF(tblProcurement2026[[#This Row],[Committed (All Expenses)]]=0,"",tblProcurement2026[[#This Row],[Paid/Realised]]/tblProcurement2026[[#This Row],[Committed (All Expenses)]])</f>
        <v/>
      </c>
      <c r="H220" s="120" t="e" cm="1">
        <f t="array" aca="1" ref="H220" ca="1">_xlfn.LET(_xlpm.p,tblProcurement2026[[#This Row],[Project Name]], _xlpm.nxt,MIN( IF((#REF!=_xlpm.p)*(#REF!&gt;TODAY()),#REF!)), IF(_xlpm.nxt=0,"",_xlpm.nxt-TODAY()))</f>
        <v>#REF!</v>
      </c>
      <c r="J220" s="118"/>
      <c r="K220" s="121"/>
      <c r="M220" s="118"/>
      <c r="N220" s="121"/>
      <c r="Q220" s="118"/>
      <c r="R220" s="118"/>
    </row>
    <row r="221" spans="1:18">
      <c r="A221" t="str" cm="1">
        <f t="array" ref="A221">_xlfn.LET(_xlpm.src,TRIM(#REF!), _xlpm.u,_xlfn._xlws.SORT(_xlfn.UNIQUE(_xlfn._xlws.FILTER(_xlpm.src,_xlpm.src&lt;&gt;""))), IFERROR(INDEX(_xlpm.u,ROWS(A$2:A221)),""))</f>
        <v/>
      </c>
      <c r="B221" s="118"/>
      <c r="C221" s="118"/>
      <c r="D221" s="118"/>
      <c r="E221" s="118"/>
      <c r="F221" s="118"/>
      <c r="G221" s="119" t="str">
        <f>IF(tblProcurement2026[[#This Row],[Committed (All Expenses)]]=0,"",tblProcurement2026[[#This Row],[Paid/Realised]]/tblProcurement2026[[#This Row],[Committed (All Expenses)]])</f>
        <v/>
      </c>
      <c r="H221" s="120" t="e" cm="1">
        <f t="array" aca="1" ref="H221" ca="1">_xlfn.LET(_xlpm.p,tblProcurement2026[[#This Row],[Project Name]], _xlpm.nxt,MIN( IF((#REF!=_xlpm.p)*(#REF!&gt;TODAY()),#REF!)), IF(_xlpm.nxt=0,"",_xlpm.nxt-TODAY()))</f>
        <v>#REF!</v>
      </c>
      <c r="J221" s="118"/>
      <c r="K221" s="121"/>
      <c r="M221" s="118"/>
      <c r="N221" s="121"/>
      <c r="Q221" s="118"/>
      <c r="R221" s="118"/>
    </row>
    <row r="222" spans="1:18">
      <c r="A222" t="str" cm="1">
        <f t="array" ref="A222">_xlfn.LET(_xlpm.src,TRIM(#REF!), _xlpm.u,_xlfn._xlws.SORT(_xlfn.UNIQUE(_xlfn._xlws.FILTER(_xlpm.src,_xlpm.src&lt;&gt;""))), IFERROR(INDEX(_xlpm.u,ROWS(A$2:A222)),""))</f>
        <v/>
      </c>
      <c r="B222" s="118"/>
      <c r="C222" s="118"/>
      <c r="D222" s="118"/>
      <c r="E222" s="118"/>
      <c r="F222" s="118"/>
      <c r="G222" s="119" t="str">
        <f>IF(tblProcurement2026[[#This Row],[Committed (All Expenses)]]=0,"",tblProcurement2026[[#This Row],[Paid/Realised]]/tblProcurement2026[[#This Row],[Committed (All Expenses)]])</f>
        <v/>
      </c>
      <c r="H222" s="120" t="e" cm="1">
        <f t="array" aca="1" ref="H222" ca="1">_xlfn.LET(_xlpm.p,tblProcurement2026[[#This Row],[Project Name]], _xlpm.nxt,MIN( IF((#REF!=_xlpm.p)*(#REF!&gt;TODAY()),#REF!)), IF(_xlpm.nxt=0,"",_xlpm.nxt-TODAY()))</f>
        <v>#REF!</v>
      </c>
      <c r="J222" s="118"/>
      <c r="K222" s="121"/>
      <c r="M222" s="118"/>
      <c r="N222" s="121"/>
      <c r="Q222" s="118"/>
      <c r="R222" s="118"/>
    </row>
    <row r="223" spans="1:18">
      <c r="A223" t="str" cm="1">
        <f t="array" ref="A223">_xlfn.LET(_xlpm.src,TRIM(#REF!), _xlpm.u,_xlfn._xlws.SORT(_xlfn.UNIQUE(_xlfn._xlws.FILTER(_xlpm.src,_xlpm.src&lt;&gt;""))), IFERROR(INDEX(_xlpm.u,ROWS(A$2:A223)),""))</f>
        <v/>
      </c>
      <c r="B223" s="118"/>
      <c r="C223" s="118"/>
      <c r="D223" s="118"/>
      <c r="E223" s="118"/>
      <c r="F223" s="118"/>
      <c r="G223" s="119" t="str">
        <f>IF(tblProcurement2026[[#This Row],[Committed (All Expenses)]]=0,"",tblProcurement2026[[#This Row],[Paid/Realised]]/tblProcurement2026[[#This Row],[Committed (All Expenses)]])</f>
        <v/>
      </c>
      <c r="H223" s="120" t="e" cm="1">
        <f t="array" aca="1" ref="H223" ca="1">_xlfn.LET(_xlpm.p,tblProcurement2026[[#This Row],[Project Name]], _xlpm.nxt,MIN( IF((#REF!=_xlpm.p)*(#REF!&gt;TODAY()),#REF!)), IF(_xlpm.nxt=0,"",_xlpm.nxt-TODAY()))</f>
        <v>#REF!</v>
      </c>
      <c r="J223" s="118"/>
      <c r="K223" s="121"/>
      <c r="M223" s="118"/>
      <c r="N223" s="121"/>
      <c r="Q223" s="118"/>
      <c r="R223" s="118"/>
    </row>
    <row r="224" spans="1:18">
      <c r="A224" t="str" cm="1">
        <f t="array" ref="A224">_xlfn.LET(_xlpm.src,TRIM(#REF!), _xlpm.u,_xlfn._xlws.SORT(_xlfn.UNIQUE(_xlfn._xlws.FILTER(_xlpm.src,_xlpm.src&lt;&gt;""))), IFERROR(INDEX(_xlpm.u,ROWS(A$2:A224)),""))</f>
        <v/>
      </c>
      <c r="B224" s="118"/>
      <c r="C224" s="118"/>
      <c r="D224" s="118"/>
      <c r="E224" s="118"/>
      <c r="F224" s="118"/>
      <c r="G224" s="119" t="str">
        <f>IF(tblProcurement2026[[#This Row],[Committed (All Expenses)]]=0,"",tblProcurement2026[[#This Row],[Paid/Realised]]/tblProcurement2026[[#This Row],[Committed (All Expenses)]])</f>
        <v/>
      </c>
      <c r="H224" s="120" t="e" cm="1">
        <f t="array" aca="1" ref="H224" ca="1">_xlfn.LET(_xlpm.p,tblProcurement2026[[#This Row],[Project Name]], _xlpm.nxt,MIN( IF((#REF!=_xlpm.p)*(#REF!&gt;TODAY()),#REF!)), IF(_xlpm.nxt=0,"",_xlpm.nxt-TODAY()))</f>
        <v>#REF!</v>
      </c>
      <c r="J224" s="118"/>
      <c r="K224" s="121"/>
      <c r="M224" s="118"/>
      <c r="N224" s="121"/>
      <c r="Q224" s="118"/>
      <c r="R224" s="118"/>
    </row>
    <row r="225" spans="1:18">
      <c r="A225" t="str" cm="1">
        <f t="array" ref="A225">_xlfn.LET(_xlpm.src,TRIM(#REF!), _xlpm.u,_xlfn._xlws.SORT(_xlfn.UNIQUE(_xlfn._xlws.FILTER(_xlpm.src,_xlpm.src&lt;&gt;""))), IFERROR(INDEX(_xlpm.u,ROWS(A$2:A225)),""))</f>
        <v/>
      </c>
      <c r="B225" s="118"/>
      <c r="C225" s="118"/>
      <c r="D225" s="118"/>
      <c r="E225" s="118"/>
      <c r="F225" s="118"/>
      <c r="G225" s="119" t="str">
        <f>IF(tblProcurement2026[[#This Row],[Committed (All Expenses)]]=0,"",tblProcurement2026[[#This Row],[Paid/Realised]]/tblProcurement2026[[#This Row],[Committed (All Expenses)]])</f>
        <v/>
      </c>
      <c r="H225" s="120" t="e" cm="1">
        <f t="array" aca="1" ref="H225" ca="1">_xlfn.LET(_xlpm.p,tblProcurement2026[[#This Row],[Project Name]], _xlpm.nxt,MIN( IF((#REF!=_xlpm.p)*(#REF!&gt;TODAY()),#REF!)), IF(_xlpm.nxt=0,"",_xlpm.nxt-TODAY()))</f>
        <v>#REF!</v>
      </c>
      <c r="J225" s="118"/>
      <c r="K225" s="121"/>
      <c r="M225" s="118"/>
      <c r="N225" s="121"/>
      <c r="Q225" s="118"/>
      <c r="R225" s="118"/>
    </row>
    <row r="226" spans="1:18">
      <c r="A226" t="str" cm="1">
        <f t="array" ref="A226">_xlfn.LET(_xlpm.src,TRIM(#REF!), _xlpm.u,_xlfn._xlws.SORT(_xlfn.UNIQUE(_xlfn._xlws.FILTER(_xlpm.src,_xlpm.src&lt;&gt;""))), IFERROR(INDEX(_xlpm.u,ROWS(A$2:A226)),""))</f>
        <v/>
      </c>
      <c r="B226" s="118"/>
      <c r="C226" s="118"/>
      <c r="D226" s="118"/>
      <c r="E226" s="118"/>
      <c r="F226" s="118"/>
      <c r="G226" s="119" t="str">
        <f>IF(tblProcurement2026[[#This Row],[Committed (All Expenses)]]=0,"",tblProcurement2026[[#This Row],[Paid/Realised]]/tblProcurement2026[[#This Row],[Committed (All Expenses)]])</f>
        <v/>
      </c>
      <c r="H226" s="120" t="e" cm="1">
        <f t="array" aca="1" ref="H226" ca="1">_xlfn.LET(_xlpm.p,tblProcurement2026[[#This Row],[Project Name]], _xlpm.nxt,MIN( IF((#REF!=_xlpm.p)*(#REF!&gt;TODAY()),#REF!)), IF(_xlpm.nxt=0,"",_xlpm.nxt-TODAY()))</f>
        <v>#REF!</v>
      </c>
      <c r="J226" s="118"/>
      <c r="K226" s="121"/>
      <c r="M226" s="118"/>
      <c r="N226" s="121"/>
      <c r="Q226" s="118"/>
      <c r="R226" s="118"/>
    </row>
    <row r="227" spans="1:18">
      <c r="A227" t="str" cm="1">
        <f t="array" ref="A227">_xlfn.LET(_xlpm.src,TRIM(#REF!), _xlpm.u,_xlfn._xlws.SORT(_xlfn.UNIQUE(_xlfn._xlws.FILTER(_xlpm.src,_xlpm.src&lt;&gt;""))), IFERROR(INDEX(_xlpm.u,ROWS(A$2:A227)),""))</f>
        <v/>
      </c>
      <c r="B227" s="118"/>
      <c r="C227" s="118"/>
      <c r="D227" s="118"/>
      <c r="E227" s="118"/>
      <c r="F227" s="118"/>
      <c r="G227" s="119" t="str">
        <f>IF(tblProcurement2026[[#This Row],[Committed (All Expenses)]]=0,"",tblProcurement2026[[#This Row],[Paid/Realised]]/tblProcurement2026[[#This Row],[Committed (All Expenses)]])</f>
        <v/>
      </c>
      <c r="H227" s="120" t="e" cm="1">
        <f t="array" aca="1" ref="H227" ca="1">_xlfn.LET(_xlpm.p,tblProcurement2026[[#This Row],[Project Name]], _xlpm.nxt,MIN( IF((#REF!=_xlpm.p)*(#REF!&gt;TODAY()),#REF!)), IF(_xlpm.nxt=0,"",_xlpm.nxt-TODAY()))</f>
        <v>#REF!</v>
      </c>
      <c r="J227" s="118"/>
      <c r="K227" s="121"/>
      <c r="M227" s="118"/>
      <c r="N227" s="121"/>
      <c r="Q227" s="118"/>
      <c r="R227" s="118"/>
    </row>
    <row r="228" spans="1:18">
      <c r="A228" t="str" cm="1">
        <f t="array" ref="A228">_xlfn.LET(_xlpm.src,TRIM(#REF!), _xlpm.u,_xlfn._xlws.SORT(_xlfn.UNIQUE(_xlfn._xlws.FILTER(_xlpm.src,_xlpm.src&lt;&gt;""))), IFERROR(INDEX(_xlpm.u,ROWS(A$2:A228)),""))</f>
        <v/>
      </c>
      <c r="B228" s="118"/>
      <c r="C228" s="118"/>
      <c r="D228" s="118"/>
      <c r="E228" s="118"/>
      <c r="F228" s="118"/>
      <c r="G228" s="119" t="str">
        <f>IF(tblProcurement2026[[#This Row],[Committed (All Expenses)]]=0,"",tblProcurement2026[[#This Row],[Paid/Realised]]/tblProcurement2026[[#This Row],[Committed (All Expenses)]])</f>
        <v/>
      </c>
      <c r="H228" s="120" t="e" cm="1">
        <f t="array" aca="1" ref="H228" ca="1">_xlfn.LET(_xlpm.p,tblProcurement2026[[#This Row],[Project Name]], _xlpm.nxt,MIN( IF((#REF!=_xlpm.p)*(#REF!&gt;TODAY()),#REF!)), IF(_xlpm.nxt=0,"",_xlpm.nxt-TODAY()))</f>
        <v>#REF!</v>
      </c>
      <c r="J228" s="118"/>
      <c r="K228" s="121"/>
      <c r="M228" s="118"/>
      <c r="N228" s="121"/>
      <c r="Q228" s="118"/>
      <c r="R228" s="118"/>
    </row>
    <row r="229" spans="1:18">
      <c r="A229" t="str" cm="1">
        <f t="array" ref="A229">_xlfn.LET(_xlpm.src,TRIM(#REF!), _xlpm.u,_xlfn._xlws.SORT(_xlfn.UNIQUE(_xlfn._xlws.FILTER(_xlpm.src,_xlpm.src&lt;&gt;""))), IFERROR(INDEX(_xlpm.u,ROWS(A$2:A229)),""))</f>
        <v/>
      </c>
      <c r="B229" s="118"/>
      <c r="C229" s="118"/>
      <c r="D229" s="118"/>
      <c r="E229" s="118"/>
      <c r="F229" s="118"/>
      <c r="G229" s="119" t="str">
        <f>IF(tblProcurement2026[[#This Row],[Committed (All Expenses)]]=0,"",tblProcurement2026[[#This Row],[Paid/Realised]]/tblProcurement2026[[#This Row],[Committed (All Expenses)]])</f>
        <v/>
      </c>
      <c r="H229" s="120" t="e" cm="1">
        <f t="array" aca="1" ref="H229" ca="1">_xlfn.LET(_xlpm.p,tblProcurement2026[[#This Row],[Project Name]], _xlpm.nxt,MIN( IF((#REF!=_xlpm.p)*(#REF!&gt;TODAY()),#REF!)), IF(_xlpm.nxt=0,"",_xlpm.nxt-TODAY()))</f>
        <v>#REF!</v>
      </c>
      <c r="J229" s="118"/>
      <c r="K229" s="121"/>
      <c r="M229" s="118"/>
      <c r="N229" s="121"/>
      <c r="Q229" s="118"/>
      <c r="R229" s="118"/>
    </row>
    <row r="230" spans="1:18">
      <c r="A230" t="str" cm="1">
        <f t="array" ref="A230">_xlfn.LET(_xlpm.src,TRIM(#REF!), _xlpm.u,_xlfn._xlws.SORT(_xlfn.UNIQUE(_xlfn._xlws.FILTER(_xlpm.src,_xlpm.src&lt;&gt;""))), IFERROR(INDEX(_xlpm.u,ROWS(A$2:A230)),""))</f>
        <v/>
      </c>
      <c r="B230" s="118"/>
      <c r="C230" s="118"/>
      <c r="D230" s="118"/>
      <c r="E230" s="118"/>
      <c r="F230" s="118"/>
      <c r="G230" s="119" t="str">
        <f>IF(tblProcurement2026[[#This Row],[Committed (All Expenses)]]=0,"",tblProcurement2026[[#This Row],[Paid/Realised]]/tblProcurement2026[[#This Row],[Committed (All Expenses)]])</f>
        <v/>
      </c>
      <c r="H230" s="120" t="e" cm="1">
        <f t="array" aca="1" ref="H230" ca="1">_xlfn.LET(_xlpm.p,tblProcurement2026[[#This Row],[Project Name]], _xlpm.nxt,MIN( IF((#REF!=_xlpm.p)*(#REF!&gt;TODAY()),#REF!)), IF(_xlpm.nxt=0,"",_xlpm.nxt-TODAY()))</f>
        <v>#REF!</v>
      </c>
      <c r="J230" s="118"/>
      <c r="K230" s="121"/>
      <c r="M230" s="118"/>
      <c r="N230" s="121"/>
      <c r="Q230" s="118"/>
      <c r="R230" s="118"/>
    </row>
    <row r="231" spans="1:18">
      <c r="A231" t="str" cm="1">
        <f t="array" ref="A231">_xlfn.LET(_xlpm.src,TRIM(#REF!), _xlpm.u,_xlfn._xlws.SORT(_xlfn.UNIQUE(_xlfn._xlws.FILTER(_xlpm.src,_xlpm.src&lt;&gt;""))), IFERROR(INDEX(_xlpm.u,ROWS(A$2:A231)),""))</f>
        <v/>
      </c>
      <c r="B231" s="118"/>
      <c r="C231" s="118"/>
      <c r="D231" s="118"/>
      <c r="E231" s="118"/>
      <c r="F231" s="118"/>
      <c r="G231" s="119" t="str">
        <f>IF(tblProcurement2026[[#This Row],[Committed (All Expenses)]]=0,"",tblProcurement2026[[#This Row],[Paid/Realised]]/tblProcurement2026[[#This Row],[Committed (All Expenses)]])</f>
        <v/>
      </c>
      <c r="H231" s="120" t="e" cm="1">
        <f t="array" aca="1" ref="H231" ca="1">_xlfn.LET(_xlpm.p,tblProcurement2026[[#This Row],[Project Name]], _xlpm.nxt,MIN( IF((#REF!=_xlpm.p)*(#REF!&gt;TODAY()),#REF!)), IF(_xlpm.nxt=0,"",_xlpm.nxt-TODAY()))</f>
        <v>#REF!</v>
      </c>
      <c r="J231" s="118"/>
      <c r="K231" s="121"/>
      <c r="M231" s="118"/>
      <c r="N231" s="121"/>
      <c r="Q231" s="118"/>
      <c r="R231" s="118"/>
    </row>
    <row r="232" spans="1:18">
      <c r="A232" t="str" cm="1">
        <f t="array" ref="A232">_xlfn.LET(_xlpm.src,TRIM(#REF!), _xlpm.u,_xlfn._xlws.SORT(_xlfn.UNIQUE(_xlfn._xlws.FILTER(_xlpm.src,_xlpm.src&lt;&gt;""))), IFERROR(INDEX(_xlpm.u,ROWS(A$2:A232)),""))</f>
        <v/>
      </c>
      <c r="B232" s="118"/>
      <c r="C232" s="118"/>
      <c r="D232" s="118"/>
      <c r="E232" s="118"/>
      <c r="F232" s="118"/>
      <c r="G232" s="119" t="str">
        <f>IF(tblProcurement2026[[#This Row],[Committed (All Expenses)]]=0,"",tblProcurement2026[[#This Row],[Paid/Realised]]/tblProcurement2026[[#This Row],[Committed (All Expenses)]])</f>
        <v/>
      </c>
      <c r="H232" s="120" t="e" cm="1">
        <f t="array" aca="1" ref="H232" ca="1">_xlfn.LET(_xlpm.p,tblProcurement2026[[#This Row],[Project Name]], _xlpm.nxt,MIN( IF((#REF!=_xlpm.p)*(#REF!&gt;TODAY()),#REF!)), IF(_xlpm.nxt=0,"",_xlpm.nxt-TODAY()))</f>
        <v>#REF!</v>
      </c>
      <c r="J232" s="118"/>
      <c r="K232" s="121"/>
      <c r="M232" s="118"/>
      <c r="N232" s="121"/>
      <c r="Q232" s="118"/>
      <c r="R232" s="118"/>
    </row>
    <row r="233" spans="1:18">
      <c r="A233" t="str" cm="1">
        <f t="array" ref="A233">_xlfn.LET(_xlpm.src,TRIM(#REF!), _xlpm.u,_xlfn._xlws.SORT(_xlfn.UNIQUE(_xlfn._xlws.FILTER(_xlpm.src,_xlpm.src&lt;&gt;""))), IFERROR(INDEX(_xlpm.u,ROWS(A$2:A233)),""))</f>
        <v/>
      </c>
      <c r="B233" s="118"/>
      <c r="C233" s="118"/>
      <c r="D233" s="118"/>
      <c r="E233" s="118"/>
      <c r="F233" s="118"/>
      <c r="G233" s="119" t="str">
        <f>IF(tblProcurement2026[[#This Row],[Committed (All Expenses)]]=0,"",tblProcurement2026[[#This Row],[Paid/Realised]]/tblProcurement2026[[#This Row],[Committed (All Expenses)]])</f>
        <v/>
      </c>
      <c r="H233" s="120" t="e" cm="1">
        <f t="array" aca="1" ref="H233" ca="1">_xlfn.LET(_xlpm.p,tblProcurement2026[[#This Row],[Project Name]], _xlpm.nxt,MIN( IF((#REF!=_xlpm.p)*(#REF!&gt;TODAY()),#REF!)), IF(_xlpm.nxt=0,"",_xlpm.nxt-TODAY()))</f>
        <v>#REF!</v>
      </c>
      <c r="J233" s="118"/>
      <c r="K233" s="121"/>
      <c r="M233" s="118"/>
      <c r="N233" s="121"/>
      <c r="Q233" s="118"/>
      <c r="R233" s="118"/>
    </row>
    <row r="234" spans="1:18">
      <c r="A234" t="str" cm="1">
        <f t="array" ref="A234">_xlfn.LET(_xlpm.src,TRIM(#REF!), _xlpm.u,_xlfn._xlws.SORT(_xlfn.UNIQUE(_xlfn._xlws.FILTER(_xlpm.src,_xlpm.src&lt;&gt;""))), IFERROR(INDEX(_xlpm.u,ROWS(A$2:A234)),""))</f>
        <v/>
      </c>
      <c r="B234" s="118"/>
      <c r="C234" s="118"/>
      <c r="D234" s="118"/>
      <c r="E234" s="118"/>
      <c r="F234" s="118"/>
      <c r="G234" s="119" t="str">
        <f>IF(tblProcurement2026[[#This Row],[Committed (All Expenses)]]=0,"",tblProcurement2026[[#This Row],[Paid/Realised]]/tblProcurement2026[[#This Row],[Committed (All Expenses)]])</f>
        <v/>
      </c>
      <c r="H234" s="120" t="e" cm="1">
        <f t="array" aca="1" ref="H234" ca="1">_xlfn.LET(_xlpm.p,tblProcurement2026[[#This Row],[Project Name]], _xlpm.nxt,MIN( IF((#REF!=_xlpm.p)*(#REF!&gt;TODAY()),#REF!)), IF(_xlpm.nxt=0,"",_xlpm.nxt-TODAY()))</f>
        <v>#REF!</v>
      </c>
      <c r="J234" s="118"/>
      <c r="K234" s="121"/>
      <c r="M234" s="118"/>
      <c r="N234" s="121"/>
      <c r="Q234" s="118"/>
      <c r="R234" s="118"/>
    </row>
    <row r="235" spans="1:18">
      <c r="A235" t="str" cm="1">
        <f t="array" ref="A235">_xlfn.LET(_xlpm.src,TRIM(#REF!), _xlpm.u,_xlfn._xlws.SORT(_xlfn.UNIQUE(_xlfn._xlws.FILTER(_xlpm.src,_xlpm.src&lt;&gt;""))), IFERROR(INDEX(_xlpm.u,ROWS(A$2:A235)),""))</f>
        <v/>
      </c>
      <c r="B235" s="118"/>
      <c r="C235" s="118"/>
      <c r="D235" s="118"/>
      <c r="E235" s="118"/>
      <c r="F235" s="118"/>
      <c r="G235" s="119" t="str">
        <f>IF(tblProcurement2026[[#This Row],[Committed (All Expenses)]]=0,"",tblProcurement2026[[#This Row],[Paid/Realised]]/tblProcurement2026[[#This Row],[Committed (All Expenses)]])</f>
        <v/>
      </c>
      <c r="H235" s="120" t="e" cm="1">
        <f t="array" aca="1" ref="H235" ca="1">_xlfn.LET(_xlpm.p,tblProcurement2026[[#This Row],[Project Name]], _xlpm.nxt,MIN( IF((#REF!=_xlpm.p)*(#REF!&gt;TODAY()),#REF!)), IF(_xlpm.nxt=0,"",_xlpm.nxt-TODAY()))</f>
        <v>#REF!</v>
      </c>
      <c r="J235" s="118"/>
      <c r="K235" s="121"/>
      <c r="M235" s="118"/>
      <c r="N235" s="121"/>
      <c r="Q235" s="118"/>
      <c r="R235" s="118"/>
    </row>
    <row r="236" spans="1:18">
      <c r="A236" t="str" cm="1">
        <f t="array" ref="A236">_xlfn.LET(_xlpm.src,TRIM(#REF!), _xlpm.u,_xlfn._xlws.SORT(_xlfn.UNIQUE(_xlfn._xlws.FILTER(_xlpm.src,_xlpm.src&lt;&gt;""))), IFERROR(INDEX(_xlpm.u,ROWS(A$2:A236)),""))</f>
        <v/>
      </c>
      <c r="B236" s="118"/>
      <c r="C236" s="118"/>
      <c r="D236" s="118"/>
      <c r="E236" s="118"/>
      <c r="F236" s="118"/>
      <c r="G236" s="119" t="str">
        <f>IF(tblProcurement2026[[#This Row],[Committed (All Expenses)]]=0,"",tblProcurement2026[[#This Row],[Paid/Realised]]/tblProcurement2026[[#This Row],[Committed (All Expenses)]])</f>
        <v/>
      </c>
      <c r="H236" s="120" t="e" cm="1">
        <f t="array" aca="1" ref="H236" ca="1">_xlfn.LET(_xlpm.p,tblProcurement2026[[#This Row],[Project Name]], _xlpm.nxt,MIN( IF((#REF!=_xlpm.p)*(#REF!&gt;TODAY()),#REF!)), IF(_xlpm.nxt=0,"",_xlpm.nxt-TODAY()))</f>
        <v>#REF!</v>
      </c>
      <c r="J236" s="118"/>
      <c r="K236" s="121"/>
      <c r="M236" s="118"/>
      <c r="N236" s="121"/>
      <c r="Q236" s="118"/>
      <c r="R236" s="118"/>
    </row>
    <row r="237" spans="1:18">
      <c r="A237" t="str" cm="1">
        <f t="array" ref="A237">_xlfn.LET(_xlpm.src,TRIM(#REF!), _xlpm.u,_xlfn._xlws.SORT(_xlfn.UNIQUE(_xlfn._xlws.FILTER(_xlpm.src,_xlpm.src&lt;&gt;""))), IFERROR(INDEX(_xlpm.u,ROWS(A$2:A237)),""))</f>
        <v/>
      </c>
      <c r="B237" s="118"/>
      <c r="C237" s="118"/>
      <c r="D237" s="118"/>
      <c r="E237" s="118"/>
      <c r="F237" s="118"/>
      <c r="G237" s="119" t="str">
        <f>IF(tblProcurement2026[[#This Row],[Committed (All Expenses)]]=0,"",tblProcurement2026[[#This Row],[Paid/Realised]]/tblProcurement2026[[#This Row],[Committed (All Expenses)]])</f>
        <v/>
      </c>
      <c r="H237" s="120" t="e" cm="1">
        <f t="array" aca="1" ref="H237" ca="1">_xlfn.LET(_xlpm.p,tblProcurement2026[[#This Row],[Project Name]], _xlpm.nxt,MIN( IF((#REF!=_xlpm.p)*(#REF!&gt;TODAY()),#REF!)), IF(_xlpm.nxt=0,"",_xlpm.nxt-TODAY()))</f>
        <v>#REF!</v>
      </c>
      <c r="J237" s="118"/>
      <c r="K237" s="121"/>
      <c r="M237" s="118"/>
      <c r="N237" s="121"/>
      <c r="Q237" s="118"/>
      <c r="R237" s="118"/>
    </row>
    <row r="238" spans="1:18">
      <c r="A238" t="str" cm="1">
        <f t="array" ref="A238">_xlfn.LET(_xlpm.src,TRIM(#REF!), _xlpm.u,_xlfn._xlws.SORT(_xlfn.UNIQUE(_xlfn._xlws.FILTER(_xlpm.src,_xlpm.src&lt;&gt;""))), IFERROR(INDEX(_xlpm.u,ROWS(A$2:A238)),""))</f>
        <v/>
      </c>
      <c r="B238" s="118"/>
      <c r="C238" s="118"/>
      <c r="D238" s="118"/>
      <c r="E238" s="118"/>
      <c r="F238" s="118"/>
      <c r="G238" s="119" t="str">
        <f>IF(tblProcurement2026[[#This Row],[Committed (All Expenses)]]=0,"",tblProcurement2026[[#This Row],[Paid/Realised]]/tblProcurement2026[[#This Row],[Committed (All Expenses)]])</f>
        <v/>
      </c>
      <c r="H238" s="120" t="e" cm="1">
        <f t="array" aca="1" ref="H238" ca="1">_xlfn.LET(_xlpm.p,tblProcurement2026[[#This Row],[Project Name]], _xlpm.nxt,MIN( IF((#REF!=_xlpm.p)*(#REF!&gt;TODAY()),#REF!)), IF(_xlpm.nxt=0,"",_xlpm.nxt-TODAY()))</f>
        <v>#REF!</v>
      </c>
      <c r="J238" s="118"/>
      <c r="K238" s="121"/>
      <c r="M238" s="118"/>
      <c r="N238" s="121"/>
      <c r="Q238" s="118"/>
      <c r="R238" s="118"/>
    </row>
    <row r="239" spans="1:18">
      <c r="A239" t="str" cm="1">
        <f t="array" ref="A239">_xlfn.LET(_xlpm.src,TRIM(#REF!), _xlpm.u,_xlfn._xlws.SORT(_xlfn.UNIQUE(_xlfn._xlws.FILTER(_xlpm.src,_xlpm.src&lt;&gt;""))), IFERROR(INDEX(_xlpm.u,ROWS(A$2:A239)),""))</f>
        <v/>
      </c>
      <c r="B239" s="118"/>
      <c r="C239" s="118"/>
      <c r="D239" s="118"/>
      <c r="E239" s="118"/>
      <c r="F239" s="118"/>
      <c r="G239" s="119" t="str">
        <f>IF(tblProcurement2026[[#This Row],[Committed (All Expenses)]]=0,"",tblProcurement2026[[#This Row],[Paid/Realised]]/tblProcurement2026[[#This Row],[Committed (All Expenses)]])</f>
        <v/>
      </c>
      <c r="H239" s="120" t="e" cm="1">
        <f t="array" aca="1" ref="H239" ca="1">_xlfn.LET(_xlpm.p,tblProcurement2026[[#This Row],[Project Name]], _xlpm.nxt,MIN( IF((#REF!=_xlpm.p)*(#REF!&gt;TODAY()),#REF!)), IF(_xlpm.nxt=0,"",_xlpm.nxt-TODAY()))</f>
        <v>#REF!</v>
      </c>
      <c r="J239" s="118"/>
      <c r="K239" s="121"/>
      <c r="M239" s="118"/>
      <c r="N239" s="121"/>
      <c r="Q239" s="118"/>
      <c r="R239" s="118"/>
    </row>
    <row r="240" spans="1:18">
      <c r="A240" t="str" cm="1">
        <f t="array" ref="A240">_xlfn.LET(_xlpm.src,TRIM(#REF!), _xlpm.u,_xlfn._xlws.SORT(_xlfn.UNIQUE(_xlfn._xlws.FILTER(_xlpm.src,_xlpm.src&lt;&gt;""))), IFERROR(INDEX(_xlpm.u,ROWS(A$2:A240)),""))</f>
        <v/>
      </c>
      <c r="B240" s="118"/>
      <c r="C240" s="118"/>
      <c r="D240" s="118"/>
      <c r="E240" s="118"/>
      <c r="F240" s="118"/>
      <c r="G240" s="119" t="str">
        <f>IF(tblProcurement2026[[#This Row],[Committed (All Expenses)]]=0,"",tblProcurement2026[[#This Row],[Paid/Realised]]/tblProcurement2026[[#This Row],[Committed (All Expenses)]])</f>
        <v/>
      </c>
      <c r="H240" s="120" t="e" cm="1">
        <f t="array" aca="1" ref="H240" ca="1">_xlfn.LET(_xlpm.p,tblProcurement2026[[#This Row],[Project Name]], _xlpm.nxt,MIN( IF((#REF!=_xlpm.p)*(#REF!&gt;TODAY()),#REF!)), IF(_xlpm.nxt=0,"",_xlpm.nxt-TODAY()))</f>
        <v>#REF!</v>
      </c>
      <c r="J240" s="118"/>
      <c r="K240" s="121"/>
      <c r="M240" s="118"/>
      <c r="N240" s="121"/>
      <c r="Q240" s="118"/>
      <c r="R240" s="118"/>
    </row>
    <row r="241" spans="1:18">
      <c r="A241" t="str" cm="1">
        <f t="array" ref="A241">_xlfn.LET(_xlpm.src,TRIM(#REF!), _xlpm.u,_xlfn._xlws.SORT(_xlfn.UNIQUE(_xlfn._xlws.FILTER(_xlpm.src,_xlpm.src&lt;&gt;""))), IFERROR(INDEX(_xlpm.u,ROWS(A$2:A241)),""))</f>
        <v/>
      </c>
      <c r="B241" s="118"/>
      <c r="C241" s="118"/>
      <c r="D241" s="118"/>
      <c r="E241" s="118"/>
      <c r="F241" s="118"/>
      <c r="G241" s="119" t="str">
        <f>IF(tblProcurement2026[[#This Row],[Committed (All Expenses)]]=0,"",tblProcurement2026[[#This Row],[Paid/Realised]]/tblProcurement2026[[#This Row],[Committed (All Expenses)]])</f>
        <v/>
      </c>
      <c r="H241" s="120" t="e" cm="1">
        <f t="array" aca="1" ref="H241" ca="1">_xlfn.LET(_xlpm.p,tblProcurement2026[[#This Row],[Project Name]], _xlpm.nxt,MIN( IF((#REF!=_xlpm.p)*(#REF!&gt;TODAY()),#REF!)), IF(_xlpm.nxt=0,"",_xlpm.nxt-TODAY()))</f>
        <v>#REF!</v>
      </c>
      <c r="J241" s="118"/>
      <c r="K241" s="121"/>
      <c r="M241" s="118"/>
      <c r="N241" s="121"/>
      <c r="Q241" s="118"/>
      <c r="R241" s="118"/>
    </row>
    <row r="242" spans="1:18">
      <c r="A242" t="str" cm="1">
        <f t="array" ref="A242">_xlfn.LET(_xlpm.src,TRIM(#REF!), _xlpm.u,_xlfn._xlws.SORT(_xlfn.UNIQUE(_xlfn._xlws.FILTER(_xlpm.src,_xlpm.src&lt;&gt;""))), IFERROR(INDEX(_xlpm.u,ROWS(A$2:A242)),""))</f>
        <v/>
      </c>
      <c r="B242" s="118"/>
      <c r="C242" s="118"/>
      <c r="D242" s="118"/>
      <c r="E242" s="118"/>
      <c r="F242" s="118"/>
      <c r="G242" s="119" t="str">
        <f>IF(tblProcurement2026[[#This Row],[Committed (All Expenses)]]=0,"",tblProcurement2026[[#This Row],[Paid/Realised]]/tblProcurement2026[[#This Row],[Committed (All Expenses)]])</f>
        <v/>
      </c>
      <c r="H242" s="120" t="e" cm="1">
        <f t="array" aca="1" ref="H242" ca="1">_xlfn.LET(_xlpm.p,tblProcurement2026[[#This Row],[Project Name]], _xlpm.nxt,MIN( IF((#REF!=_xlpm.p)*(#REF!&gt;TODAY()),#REF!)), IF(_xlpm.nxt=0,"",_xlpm.nxt-TODAY()))</f>
        <v>#REF!</v>
      </c>
      <c r="J242" s="118"/>
      <c r="K242" s="121"/>
      <c r="M242" s="118"/>
      <c r="N242" s="121"/>
      <c r="Q242" s="118"/>
      <c r="R242" s="118"/>
    </row>
    <row r="243" spans="1:18">
      <c r="A243" t="str" cm="1">
        <f t="array" ref="A243">_xlfn.LET(_xlpm.src,TRIM(#REF!), _xlpm.u,_xlfn._xlws.SORT(_xlfn.UNIQUE(_xlfn._xlws.FILTER(_xlpm.src,_xlpm.src&lt;&gt;""))), IFERROR(INDEX(_xlpm.u,ROWS(A$2:A243)),""))</f>
        <v/>
      </c>
      <c r="B243" s="118"/>
      <c r="C243" s="118"/>
      <c r="D243" s="118"/>
      <c r="E243" s="118"/>
      <c r="F243" s="118"/>
      <c r="G243" s="119" t="str">
        <f>IF(tblProcurement2026[[#This Row],[Committed (All Expenses)]]=0,"",tblProcurement2026[[#This Row],[Paid/Realised]]/tblProcurement2026[[#This Row],[Committed (All Expenses)]])</f>
        <v/>
      </c>
      <c r="H243" s="120" t="e" cm="1">
        <f t="array" aca="1" ref="H243" ca="1">_xlfn.LET(_xlpm.p,tblProcurement2026[[#This Row],[Project Name]], _xlpm.nxt,MIN( IF((#REF!=_xlpm.p)*(#REF!&gt;TODAY()),#REF!)), IF(_xlpm.nxt=0,"",_xlpm.nxt-TODAY()))</f>
        <v>#REF!</v>
      </c>
      <c r="J243" s="118"/>
      <c r="K243" s="121"/>
      <c r="M243" s="118"/>
      <c r="N243" s="121"/>
      <c r="Q243" s="118"/>
      <c r="R243" s="118"/>
    </row>
    <row r="244" spans="1:18">
      <c r="A244" t="str" cm="1">
        <f t="array" ref="A244">_xlfn.LET(_xlpm.src,TRIM(#REF!), _xlpm.u,_xlfn._xlws.SORT(_xlfn.UNIQUE(_xlfn._xlws.FILTER(_xlpm.src,_xlpm.src&lt;&gt;""))), IFERROR(INDEX(_xlpm.u,ROWS(A$2:A244)),""))</f>
        <v/>
      </c>
      <c r="B244" s="118"/>
      <c r="C244" s="118"/>
      <c r="D244" s="118"/>
      <c r="E244" s="118"/>
      <c r="F244" s="118"/>
      <c r="G244" s="119" t="str">
        <f>IF(tblProcurement2026[[#This Row],[Committed (All Expenses)]]=0,"",tblProcurement2026[[#This Row],[Paid/Realised]]/tblProcurement2026[[#This Row],[Committed (All Expenses)]])</f>
        <v/>
      </c>
      <c r="H244" s="120" t="e" cm="1">
        <f t="array" aca="1" ref="H244" ca="1">_xlfn.LET(_xlpm.p,tblProcurement2026[[#This Row],[Project Name]], _xlpm.nxt,MIN( IF((#REF!=_xlpm.p)*(#REF!&gt;TODAY()),#REF!)), IF(_xlpm.nxt=0,"",_xlpm.nxt-TODAY()))</f>
        <v>#REF!</v>
      </c>
      <c r="J244" s="118"/>
      <c r="K244" s="121"/>
      <c r="M244" s="118"/>
      <c r="N244" s="121"/>
      <c r="Q244" s="118"/>
      <c r="R244" s="118"/>
    </row>
    <row r="245" spans="1:18">
      <c r="A245" t="str" cm="1">
        <f t="array" ref="A245">_xlfn.LET(_xlpm.src,TRIM(#REF!), _xlpm.u,_xlfn._xlws.SORT(_xlfn.UNIQUE(_xlfn._xlws.FILTER(_xlpm.src,_xlpm.src&lt;&gt;""))), IFERROR(INDEX(_xlpm.u,ROWS(A$2:A245)),""))</f>
        <v/>
      </c>
      <c r="B245" s="118"/>
      <c r="C245" s="118"/>
      <c r="D245" s="118"/>
      <c r="E245" s="118"/>
      <c r="F245" s="118"/>
      <c r="G245" s="119" t="str">
        <f>IF(tblProcurement2026[[#This Row],[Committed (All Expenses)]]=0,"",tblProcurement2026[[#This Row],[Paid/Realised]]/tblProcurement2026[[#This Row],[Committed (All Expenses)]])</f>
        <v/>
      </c>
      <c r="H245" s="120" t="e" cm="1">
        <f t="array" aca="1" ref="H245" ca="1">_xlfn.LET(_xlpm.p,tblProcurement2026[[#This Row],[Project Name]], _xlpm.nxt,MIN( IF((#REF!=_xlpm.p)*(#REF!&gt;TODAY()),#REF!)), IF(_xlpm.nxt=0,"",_xlpm.nxt-TODAY()))</f>
        <v>#REF!</v>
      </c>
      <c r="J245" s="118"/>
      <c r="K245" s="121"/>
      <c r="M245" s="118"/>
      <c r="N245" s="121"/>
      <c r="Q245" s="118"/>
      <c r="R245" s="118"/>
    </row>
    <row r="246" spans="1:18">
      <c r="A246" t="str" cm="1">
        <f t="array" ref="A246">_xlfn.LET(_xlpm.src,TRIM(#REF!), _xlpm.u,_xlfn._xlws.SORT(_xlfn.UNIQUE(_xlfn._xlws.FILTER(_xlpm.src,_xlpm.src&lt;&gt;""))), IFERROR(INDEX(_xlpm.u,ROWS(A$2:A246)),""))</f>
        <v/>
      </c>
      <c r="B246" s="118"/>
      <c r="C246" s="118"/>
      <c r="D246" s="118"/>
      <c r="E246" s="118"/>
      <c r="F246" s="118"/>
      <c r="G246" s="119" t="str">
        <f>IF(tblProcurement2026[[#This Row],[Committed (All Expenses)]]=0,"",tblProcurement2026[[#This Row],[Paid/Realised]]/tblProcurement2026[[#This Row],[Committed (All Expenses)]])</f>
        <v/>
      </c>
      <c r="H246" s="120" t="e" cm="1">
        <f t="array" aca="1" ref="H246" ca="1">_xlfn.LET(_xlpm.p,tblProcurement2026[[#This Row],[Project Name]], _xlpm.nxt,MIN( IF((#REF!=_xlpm.p)*(#REF!&gt;TODAY()),#REF!)), IF(_xlpm.nxt=0,"",_xlpm.nxt-TODAY()))</f>
        <v>#REF!</v>
      </c>
      <c r="J246" s="118"/>
      <c r="K246" s="121"/>
      <c r="M246" s="118"/>
      <c r="N246" s="121"/>
      <c r="Q246" s="118"/>
      <c r="R246" s="118"/>
    </row>
    <row r="247" spans="1:18">
      <c r="A247" t="str" cm="1">
        <f t="array" ref="A247">_xlfn.LET(_xlpm.src,TRIM(#REF!), _xlpm.u,_xlfn._xlws.SORT(_xlfn.UNIQUE(_xlfn._xlws.FILTER(_xlpm.src,_xlpm.src&lt;&gt;""))), IFERROR(INDEX(_xlpm.u,ROWS(A$2:A247)),""))</f>
        <v/>
      </c>
      <c r="B247" s="118"/>
      <c r="C247" s="118"/>
      <c r="D247" s="118"/>
      <c r="E247" s="118"/>
      <c r="F247" s="118"/>
      <c r="G247" s="119" t="str">
        <f>IF(tblProcurement2026[[#This Row],[Committed (All Expenses)]]=0,"",tblProcurement2026[[#This Row],[Paid/Realised]]/tblProcurement2026[[#This Row],[Committed (All Expenses)]])</f>
        <v/>
      </c>
      <c r="H247" s="120" t="e" cm="1">
        <f t="array" aca="1" ref="H247" ca="1">_xlfn.LET(_xlpm.p,tblProcurement2026[[#This Row],[Project Name]], _xlpm.nxt,MIN( IF((#REF!=_xlpm.p)*(#REF!&gt;TODAY()),#REF!)), IF(_xlpm.nxt=0,"",_xlpm.nxt-TODAY()))</f>
        <v>#REF!</v>
      </c>
      <c r="J247" s="118"/>
      <c r="K247" s="121"/>
      <c r="M247" s="118"/>
      <c r="N247" s="121"/>
      <c r="Q247" s="118"/>
      <c r="R247" s="118"/>
    </row>
    <row r="248" spans="1:18">
      <c r="A248" t="str" cm="1">
        <f t="array" ref="A248">_xlfn.LET(_xlpm.src,TRIM(#REF!), _xlpm.u,_xlfn._xlws.SORT(_xlfn.UNIQUE(_xlfn._xlws.FILTER(_xlpm.src,_xlpm.src&lt;&gt;""))), IFERROR(INDEX(_xlpm.u,ROWS(A$2:A248)),""))</f>
        <v/>
      </c>
      <c r="B248" s="118"/>
      <c r="C248" s="118"/>
      <c r="D248" s="118"/>
      <c r="E248" s="118"/>
      <c r="F248" s="118"/>
      <c r="G248" s="119" t="str">
        <f>IF(tblProcurement2026[[#This Row],[Committed (All Expenses)]]=0,"",tblProcurement2026[[#This Row],[Paid/Realised]]/tblProcurement2026[[#This Row],[Committed (All Expenses)]])</f>
        <v/>
      </c>
      <c r="H248" s="120" t="e" cm="1">
        <f t="array" aca="1" ref="H248" ca="1">_xlfn.LET(_xlpm.p,tblProcurement2026[[#This Row],[Project Name]], _xlpm.nxt,MIN( IF((#REF!=_xlpm.p)*(#REF!&gt;TODAY()),#REF!)), IF(_xlpm.nxt=0,"",_xlpm.nxt-TODAY()))</f>
        <v>#REF!</v>
      </c>
      <c r="J248" s="118"/>
      <c r="K248" s="121"/>
      <c r="M248" s="118"/>
      <c r="N248" s="121"/>
      <c r="Q248" s="118"/>
      <c r="R248" s="118"/>
    </row>
    <row r="249" spans="1:18">
      <c r="A249" t="str" cm="1">
        <f t="array" ref="A249">_xlfn.LET(_xlpm.src,TRIM(#REF!), _xlpm.u,_xlfn._xlws.SORT(_xlfn.UNIQUE(_xlfn._xlws.FILTER(_xlpm.src,_xlpm.src&lt;&gt;""))), IFERROR(INDEX(_xlpm.u,ROWS(A$2:A249)),""))</f>
        <v/>
      </c>
      <c r="B249" s="118"/>
      <c r="C249" s="118"/>
      <c r="D249" s="118"/>
      <c r="E249" s="118"/>
      <c r="F249" s="118"/>
      <c r="G249" s="119" t="str">
        <f>IF(tblProcurement2026[[#This Row],[Committed (All Expenses)]]=0,"",tblProcurement2026[[#This Row],[Paid/Realised]]/tblProcurement2026[[#This Row],[Committed (All Expenses)]])</f>
        <v/>
      </c>
      <c r="H249" s="120" t="e" cm="1">
        <f t="array" aca="1" ref="H249" ca="1">_xlfn.LET(_xlpm.p,tblProcurement2026[[#This Row],[Project Name]], _xlpm.nxt,MIN( IF((#REF!=_xlpm.p)*(#REF!&gt;TODAY()),#REF!)), IF(_xlpm.nxt=0,"",_xlpm.nxt-TODAY()))</f>
        <v>#REF!</v>
      </c>
      <c r="J249" s="118"/>
      <c r="K249" s="121"/>
      <c r="M249" s="118"/>
      <c r="N249" s="121"/>
      <c r="Q249" s="118"/>
      <c r="R249" s="118"/>
    </row>
    <row r="250" spans="1:18">
      <c r="A250" t="str" cm="1">
        <f t="array" ref="A250">_xlfn.LET(_xlpm.src,TRIM(#REF!), _xlpm.u,_xlfn._xlws.SORT(_xlfn.UNIQUE(_xlfn._xlws.FILTER(_xlpm.src,_xlpm.src&lt;&gt;""))), IFERROR(INDEX(_xlpm.u,ROWS(A$2:A250)),""))</f>
        <v/>
      </c>
      <c r="B250" s="118"/>
      <c r="C250" s="118"/>
      <c r="D250" s="118"/>
      <c r="E250" s="118"/>
      <c r="F250" s="118"/>
      <c r="G250" s="119" t="str">
        <f>IF(tblProcurement2026[[#This Row],[Committed (All Expenses)]]=0,"",tblProcurement2026[[#This Row],[Paid/Realised]]/tblProcurement2026[[#This Row],[Committed (All Expenses)]])</f>
        <v/>
      </c>
      <c r="H250" s="120" t="e" cm="1">
        <f t="array" aca="1" ref="H250" ca="1">_xlfn.LET(_xlpm.p,tblProcurement2026[[#This Row],[Project Name]], _xlpm.nxt,MIN( IF((#REF!=_xlpm.p)*(#REF!&gt;TODAY()),#REF!)), IF(_xlpm.nxt=0,"",_xlpm.nxt-TODAY()))</f>
        <v>#REF!</v>
      </c>
      <c r="J250" s="118"/>
      <c r="K250" s="121"/>
      <c r="M250" s="118"/>
      <c r="N250" s="121"/>
      <c r="Q250" s="118"/>
      <c r="R250" s="118"/>
    </row>
    <row r="251" spans="1:18">
      <c r="A251" t="str" cm="1">
        <f t="array" ref="A251">_xlfn.LET(_xlpm.src,TRIM(#REF!), _xlpm.u,_xlfn._xlws.SORT(_xlfn.UNIQUE(_xlfn._xlws.FILTER(_xlpm.src,_xlpm.src&lt;&gt;""))), IFERROR(INDEX(_xlpm.u,ROWS(A$2:A251)),""))</f>
        <v/>
      </c>
      <c r="B251" s="118"/>
      <c r="C251" s="118"/>
      <c r="D251" s="118"/>
      <c r="E251" s="118"/>
      <c r="F251" s="118"/>
      <c r="G251" s="119" t="str">
        <f>IF(tblProcurement2026[[#This Row],[Committed (All Expenses)]]=0,"",tblProcurement2026[[#This Row],[Paid/Realised]]/tblProcurement2026[[#This Row],[Committed (All Expenses)]])</f>
        <v/>
      </c>
      <c r="H251" s="120" t="e" cm="1">
        <f t="array" aca="1" ref="H251" ca="1">_xlfn.LET(_xlpm.p,tblProcurement2026[[#This Row],[Project Name]], _xlpm.nxt,MIN( IF((#REF!=_xlpm.p)*(#REF!&gt;TODAY()),#REF!)), IF(_xlpm.nxt=0,"",_xlpm.nxt-TODAY()))</f>
        <v>#REF!</v>
      </c>
      <c r="J251" s="118"/>
      <c r="K251" s="121"/>
      <c r="M251" s="118"/>
      <c r="N251" s="121"/>
      <c r="Q251" s="118"/>
      <c r="R251" s="118"/>
    </row>
    <row r="252" spans="1:18">
      <c r="A252" t="str" cm="1">
        <f t="array" ref="A252">_xlfn.LET(_xlpm.src,TRIM(#REF!), _xlpm.u,_xlfn._xlws.SORT(_xlfn.UNIQUE(_xlfn._xlws.FILTER(_xlpm.src,_xlpm.src&lt;&gt;""))), IFERROR(INDEX(_xlpm.u,ROWS(A$2:A252)),""))</f>
        <v/>
      </c>
      <c r="B252" s="118"/>
      <c r="C252" s="118"/>
      <c r="D252" s="118"/>
      <c r="E252" s="118"/>
      <c r="F252" s="118"/>
      <c r="G252" s="119" t="str">
        <f>IF(tblProcurement2026[[#This Row],[Committed (All Expenses)]]=0,"",tblProcurement2026[[#This Row],[Paid/Realised]]/tblProcurement2026[[#This Row],[Committed (All Expenses)]])</f>
        <v/>
      </c>
      <c r="H252" s="120" t="e" cm="1">
        <f t="array" aca="1" ref="H252" ca="1">_xlfn.LET(_xlpm.p,tblProcurement2026[[#This Row],[Project Name]], _xlpm.nxt,MIN( IF((#REF!=_xlpm.p)*(#REF!&gt;TODAY()),#REF!)), IF(_xlpm.nxt=0,"",_xlpm.nxt-TODAY()))</f>
        <v>#REF!</v>
      </c>
      <c r="J252" s="118"/>
      <c r="K252" s="121"/>
      <c r="M252" s="118"/>
      <c r="N252" s="121"/>
      <c r="Q252" s="118"/>
      <c r="R252" s="118"/>
    </row>
    <row r="253" spans="1:18">
      <c r="A253" t="str" cm="1">
        <f t="array" ref="A253">_xlfn.LET(_xlpm.src,TRIM(#REF!), _xlpm.u,_xlfn._xlws.SORT(_xlfn.UNIQUE(_xlfn._xlws.FILTER(_xlpm.src,_xlpm.src&lt;&gt;""))), IFERROR(INDEX(_xlpm.u,ROWS(A$2:A253)),""))</f>
        <v/>
      </c>
      <c r="B253" s="118"/>
      <c r="C253" s="118"/>
      <c r="D253" s="118"/>
      <c r="E253" s="118"/>
      <c r="F253" s="118"/>
      <c r="G253" s="119" t="str">
        <f>IF(tblProcurement2026[[#This Row],[Committed (All Expenses)]]=0,"",tblProcurement2026[[#This Row],[Paid/Realised]]/tblProcurement2026[[#This Row],[Committed (All Expenses)]])</f>
        <v/>
      </c>
      <c r="H253" s="120" t="e" cm="1">
        <f t="array" aca="1" ref="H253" ca="1">_xlfn.LET(_xlpm.p,tblProcurement2026[[#This Row],[Project Name]], _xlpm.nxt,MIN( IF((#REF!=_xlpm.p)*(#REF!&gt;TODAY()),#REF!)), IF(_xlpm.nxt=0,"",_xlpm.nxt-TODAY()))</f>
        <v>#REF!</v>
      </c>
      <c r="J253" s="118"/>
      <c r="K253" s="121"/>
      <c r="M253" s="118"/>
      <c r="N253" s="121"/>
      <c r="Q253" s="118"/>
      <c r="R253" s="118"/>
    </row>
    <row r="254" spans="1:18">
      <c r="A254" t="str" cm="1">
        <f t="array" ref="A254">_xlfn.LET(_xlpm.src,TRIM(#REF!), _xlpm.u,_xlfn._xlws.SORT(_xlfn.UNIQUE(_xlfn._xlws.FILTER(_xlpm.src,_xlpm.src&lt;&gt;""))), IFERROR(INDEX(_xlpm.u,ROWS(A$2:A254)),""))</f>
        <v/>
      </c>
      <c r="B254" s="118"/>
      <c r="C254" s="118"/>
      <c r="D254" s="118"/>
      <c r="E254" s="118"/>
      <c r="F254" s="118"/>
      <c r="G254" s="119" t="str">
        <f>IF(tblProcurement2026[[#This Row],[Committed (All Expenses)]]=0,"",tblProcurement2026[[#This Row],[Paid/Realised]]/tblProcurement2026[[#This Row],[Committed (All Expenses)]])</f>
        <v/>
      </c>
      <c r="H254" s="120" t="e" cm="1">
        <f t="array" aca="1" ref="H254" ca="1">_xlfn.LET(_xlpm.p,tblProcurement2026[[#This Row],[Project Name]], _xlpm.nxt,MIN( IF((#REF!=_xlpm.p)*(#REF!&gt;TODAY()),#REF!)), IF(_xlpm.nxt=0,"",_xlpm.nxt-TODAY()))</f>
        <v>#REF!</v>
      </c>
      <c r="J254" s="118"/>
      <c r="K254" s="121"/>
      <c r="M254" s="118"/>
      <c r="N254" s="121"/>
      <c r="Q254" s="118"/>
      <c r="R254" s="118"/>
    </row>
    <row r="255" spans="1:18">
      <c r="A255" t="str" cm="1">
        <f t="array" ref="A255">_xlfn.LET(_xlpm.src,TRIM(#REF!), _xlpm.u,_xlfn._xlws.SORT(_xlfn.UNIQUE(_xlfn._xlws.FILTER(_xlpm.src,_xlpm.src&lt;&gt;""))), IFERROR(INDEX(_xlpm.u,ROWS(A$2:A255)),""))</f>
        <v/>
      </c>
      <c r="B255" s="118"/>
      <c r="C255" s="118"/>
      <c r="D255" s="118"/>
      <c r="E255" s="118"/>
      <c r="F255" s="118"/>
      <c r="G255" s="119" t="str">
        <f>IF(tblProcurement2026[[#This Row],[Committed (All Expenses)]]=0,"",tblProcurement2026[[#This Row],[Paid/Realised]]/tblProcurement2026[[#This Row],[Committed (All Expenses)]])</f>
        <v/>
      </c>
      <c r="H255" s="120" t="e" cm="1">
        <f t="array" aca="1" ref="H255" ca="1">_xlfn.LET(_xlpm.p,tblProcurement2026[[#This Row],[Project Name]], _xlpm.nxt,MIN( IF((#REF!=_xlpm.p)*(#REF!&gt;TODAY()),#REF!)), IF(_xlpm.nxt=0,"",_xlpm.nxt-TODAY()))</f>
        <v>#REF!</v>
      </c>
      <c r="J255" s="118"/>
      <c r="K255" s="121"/>
      <c r="M255" s="118"/>
      <c r="N255" s="121"/>
      <c r="Q255" s="118"/>
      <c r="R255" s="118"/>
    </row>
    <row r="256" spans="1:18">
      <c r="A256" t="str" cm="1">
        <f t="array" ref="A256">_xlfn.LET(_xlpm.src,TRIM(#REF!), _xlpm.u,_xlfn._xlws.SORT(_xlfn.UNIQUE(_xlfn._xlws.FILTER(_xlpm.src,_xlpm.src&lt;&gt;""))), IFERROR(INDEX(_xlpm.u,ROWS(A$2:A256)),""))</f>
        <v/>
      </c>
      <c r="B256" s="118"/>
      <c r="C256" s="118"/>
      <c r="D256" s="118"/>
      <c r="E256" s="118"/>
      <c r="F256" s="118"/>
      <c r="G256" s="119" t="str">
        <f>IF(tblProcurement2026[[#This Row],[Committed (All Expenses)]]=0,"",tblProcurement2026[[#This Row],[Paid/Realised]]/tblProcurement2026[[#This Row],[Committed (All Expenses)]])</f>
        <v/>
      </c>
      <c r="H256" s="120" t="e" cm="1">
        <f t="array" aca="1" ref="H256" ca="1">_xlfn.LET(_xlpm.p,tblProcurement2026[[#This Row],[Project Name]], _xlpm.nxt,MIN( IF((#REF!=_xlpm.p)*(#REF!&gt;TODAY()),#REF!)), IF(_xlpm.nxt=0,"",_xlpm.nxt-TODAY()))</f>
        <v>#REF!</v>
      </c>
      <c r="J256" s="118"/>
      <c r="K256" s="121"/>
      <c r="M256" s="118"/>
      <c r="N256" s="121"/>
      <c r="Q256" s="118"/>
      <c r="R256" s="118"/>
    </row>
    <row r="257" spans="1:18">
      <c r="A257" t="str" cm="1">
        <f t="array" ref="A257">_xlfn.LET(_xlpm.src,TRIM(#REF!), _xlpm.u,_xlfn._xlws.SORT(_xlfn.UNIQUE(_xlfn._xlws.FILTER(_xlpm.src,_xlpm.src&lt;&gt;""))), IFERROR(INDEX(_xlpm.u,ROWS(A$2:A257)),""))</f>
        <v/>
      </c>
      <c r="B257" s="118"/>
      <c r="C257" s="118"/>
      <c r="D257" s="118"/>
      <c r="E257" s="118"/>
      <c r="F257" s="118"/>
      <c r="G257" s="119" t="str">
        <f>IF(tblProcurement2026[[#This Row],[Committed (All Expenses)]]=0,"",tblProcurement2026[[#This Row],[Paid/Realised]]/tblProcurement2026[[#This Row],[Committed (All Expenses)]])</f>
        <v/>
      </c>
      <c r="H257" s="120" t="e" cm="1">
        <f t="array" aca="1" ref="H257" ca="1">_xlfn.LET(_xlpm.p,tblProcurement2026[[#This Row],[Project Name]], _xlpm.nxt,MIN( IF((#REF!=_xlpm.p)*(#REF!&gt;TODAY()),#REF!)), IF(_xlpm.nxt=0,"",_xlpm.nxt-TODAY()))</f>
        <v>#REF!</v>
      </c>
      <c r="J257" s="118"/>
      <c r="K257" s="121"/>
      <c r="M257" s="118"/>
      <c r="N257" s="121"/>
      <c r="Q257" s="118"/>
      <c r="R257" s="118"/>
    </row>
    <row r="258" spans="1:18">
      <c r="A258" t="str" cm="1">
        <f t="array" ref="A258">_xlfn.LET(_xlpm.src,TRIM(#REF!), _xlpm.u,_xlfn._xlws.SORT(_xlfn.UNIQUE(_xlfn._xlws.FILTER(_xlpm.src,_xlpm.src&lt;&gt;""))), IFERROR(INDEX(_xlpm.u,ROWS(A$2:A258)),""))</f>
        <v/>
      </c>
      <c r="B258" s="118"/>
      <c r="C258" s="118"/>
      <c r="D258" s="118"/>
      <c r="E258" s="118"/>
      <c r="F258" s="118"/>
      <c r="G258" s="119" t="str">
        <f>IF(tblProcurement2026[[#This Row],[Committed (All Expenses)]]=0,"",tblProcurement2026[[#This Row],[Paid/Realised]]/tblProcurement2026[[#This Row],[Committed (All Expenses)]])</f>
        <v/>
      </c>
      <c r="H258" s="120" t="e" cm="1">
        <f t="array" aca="1" ref="H258" ca="1">_xlfn.LET(_xlpm.p,tblProcurement2026[[#This Row],[Project Name]], _xlpm.nxt,MIN( IF((#REF!=_xlpm.p)*(#REF!&gt;TODAY()),#REF!)), IF(_xlpm.nxt=0,"",_xlpm.nxt-TODAY()))</f>
        <v>#REF!</v>
      </c>
      <c r="J258" s="118"/>
      <c r="K258" s="121"/>
      <c r="M258" s="118"/>
      <c r="N258" s="121"/>
      <c r="Q258" s="118"/>
      <c r="R258" s="118"/>
    </row>
    <row r="259" spans="1:18">
      <c r="A259" t="str" cm="1">
        <f t="array" ref="A259">_xlfn.LET(_xlpm.src,TRIM(#REF!), _xlpm.u,_xlfn._xlws.SORT(_xlfn.UNIQUE(_xlfn._xlws.FILTER(_xlpm.src,_xlpm.src&lt;&gt;""))), IFERROR(INDEX(_xlpm.u,ROWS(A$2:A259)),""))</f>
        <v/>
      </c>
      <c r="B259" s="118"/>
      <c r="C259" s="118"/>
      <c r="D259" s="118"/>
      <c r="E259" s="118"/>
      <c r="F259" s="118"/>
      <c r="G259" s="119" t="str">
        <f>IF(tblProcurement2026[[#This Row],[Committed (All Expenses)]]=0,"",tblProcurement2026[[#This Row],[Paid/Realised]]/tblProcurement2026[[#This Row],[Committed (All Expenses)]])</f>
        <v/>
      </c>
      <c r="H259" s="120" t="e" cm="1">
        <f t="array" aca="1" ref="H259" ca="1">_xlfn.LET(_xlpm.p,tblProcurement2026[[#This Row],[Project Name]], _xlpm.nxt,MIN( IF((#REF!=_xlpm.p)*(#REF!&gt;TODAY()),#REF!)), IF(_xlpm.nxt=0,"",_xlpm.nxt-TODAY()))</f>
        <v>#REF!</v>
      </c>
      <c r="J259" s="118"/>
      <c r="K259" s="121"/>
      <c r="M259" s="118"/>
      <c r="N259" s="121"/>
      <c r="Q259" s="118"/>
      <c r="R259" s="118"/>
    </row>
    <row r="260" spans="1:18">
      <c r="A260" t="str" cm="1">
        <f t="array" ref="A260">_xlfn.LET(_xlpm.src,TRIM(#REF!), _xlpm.u,_xlfn._xlws.SORT(_xlfn.UNIQUE(_xlfn._xlws.FILTER(_xlpm.src,_xlpm.src&lt;&gt;""))), IFERROR(INDEX(_xlpm.u,ROWS(A$2:A260)),""))</f>
        <v/>
      </c>
      <c r="B260" s="118"/>
      <c r="C260" s="118"/>
      <c r="D260" s="118"/>
      <c r="E260" s="118"/>
      <c r="F260" s="118"/>
      <c r="G260" s="119" t="str">
        <f>IF(tblProcurement2026[[#This Row],[Committed (All Expenses)]]=0,"",tblProcurement2026[[#This Row],[Paid/Realised]]/tblProcurement2026[[#This Row],[Committed (All Expenses)]])</f>
        <v/>
      </c>
      <c r="H260" s="120" t="e" cm="1">
        <f t="array" aca="1" ref="H260" ca="1">_xlfn.LET(_xlpm.p,tblProcurement2026[[#This Row],[Project Name]], _xlpm.nxt,MIN( IF((#REF!=_xlpm.p)*(#REF!&gt;TODAY()),#REF!)), IF(_xlpm.nxt=0,"",_xlpm.nxt-TODAY()))</f>
        <v>#REF!</v>
      </c>
      <c r="J260" s="118"/>
      <c r="K260" s="121"/>
      <c r="M260" s="118"/>
      <c r="N260" s="121"/>
      <c r="Q260" s="118"/>
      <c r="R260" s="118"/>
    </row>
    <row r="261" spans="1:18">
      <c r="A261" t="str" cm="1">
        <f t="array" ref="A261">_xlfn.LET(_xlpm.src,TRIM(#REF!), _xlpm.u,_xlfn._xlws.SORT(_xlfn.UNIQUE(_xlfn._xlws.FILTER(_xlpm.src,_xlpm.src&lt;&gt;""))), IFERROR(INDEX(_xlpm.u,ROWS(A$2:A261)),""))</f>
        <v/>
      </c>
      <c r="B261" s="118"/>
      <c r="C261" s="118"/>
      <c r="D261" s="118"/>
      <c r="E261" s="118"/>
      <c r="F261" s="118"/>
      <c r="G261" s="119" t="str">
        <f>IF(tblProcurement2026[[#This Row],[Committed (All Expenses)]]=0,"",tblProcurement2026[[#This Row],[Paid/Realised]]/tblProcurement2026[[#This Row],[Committed (All Expenses)]])</f>
        <v/>
      </c>
      <c r="H261" s="120" t="e" cm="1">
        <f t="array" aca="1" ref="H261" ca="1">_xlfn.LET(_xlpm.p,tblProcurement2026[[#This Row],[Project Name]], _xlpm.nxt,MIN( IF((#REF!=_xlpm.p)*(#REF!&gt;TODAY()),#REF!)), IF(_xlpm.nxt=0,"",_xlpm.nxt-TODAY()))</f>
        <v>#REF!</v>
      </c>
      <c r="J261" s="118"/>
      <c r="K261" s="121"/>
      <c r="M261" s="118"/>
      <c r="N261" s="121"/>
      <c r="Q261" s="118"/>
      <c r="R261" s="118"/>
    </row>
    <row r="262" spans="1:18">
      <c r="A262" t="str" cm="1">
        <f t="array" ref="A262">_xlfn.LET(_xlpm.src,TRIM(#REF!), _xlpm.u,_xlfn._xlws.SORT(_xlfn.UNIQUE(_xlfn._xlws.FILTER(_xlpm.src,_xlpm.src&lt;&gt;""))), IFERROR(INDEX(_xlpm.u,ROWS(A$2:A262)),""))</f>
        <v/>
      </c>
      <c r="B262" s="118"/>
      <c r="C262" s="118"/>
      <c r="D262" s="118"/>
      <c r="E262" s="118"/>
      <c r="F262" s="118"/>
      <c r="G262" s="119" t="str">
        <f>IF(tblProcurement2026[[#This Row],[Committed (All Expenses)]]=0,"",tblProcurement2026[[#This Row],[Paid/Realised]]/tblProcurement2026[[#This Row],[Committed (All Expenses)]])</f>
        <v/>
      </c>
      <c r="H262" s="120" t="e" cm="1">
        <f t="array" aca="1" ref="H262" ca="1">_xlfn.LET(_xlpm.p,tblProcurement2026[[#This Row],[Project Name]], _xlpm.nxt,MIN( IF((#REF!=_xlpm.p)*(#REF!&gt;TODAY()),#REF!)), IF(_xlpm.nxt=0,"",_xlpm.nxt-TODAY()))</f>
        <v>#REF!</v>
      </c>
      <c r="J262" s="118"/>
      <c r="K262" s="121"/>
      <c r="M262" s="118"/>
      <c r="N262" s="121"/>
      <c r="Q262" s="118"/>
      <c r="R262" s="118"/>
    </row>
    <row r="263" spans="1:18">
      <c r="A263" t="str" cm="1">
        <f t="array" ref="A263">_xlfn.LET(_xlpm.src,TRIM(#REF!), _xlpm.u,_xlfn._xlws.SORT(_xlfn.UNIQUE(_xlfn._xlws.FILTER(_xlpm.src,_xlpm.src&lt;&gt;""))), IFERROR(INDEX(_xlpm.u,ROWS(A$2:A263)),""))</f>
        <v/>
      </c>
      <c r="B263" s="118"/>
      <c r="C263" s="118"/>
      <c r="D263" s="118"/>
      <c r="E263" s="118"/>
      <c r="F263" s="118"/>
      <c r="G263" s="119" t="str">
        <f>IF(tblProcurement2026[[#This Row],[Committed (All Expenses)]]=0,"",tblProcurement2026[[#This Row],[Paid/Realised]]/tblProcurement2026[[#This Row],[Committed (All Expenses)]])</f>
        <v/>
      </c>
      <c r="H263" s="120" t="e" cm="1">
        <f t="array" aca="1" ref="H263" ca="1">_xlfn.LET(_xlpm.p,tblProcurement2026[[#This Row],[Project Name]], _xlpm.nxt,MIN( IF((#REF!=_xlpm.p)*(#REF!&gt;TODAY()),#REF!)), IF(_xlpm.nxt=0,"",_xlpm.nxt-TODAY()))</f>
        <v>#REF!</v>
      </c>
      <c r="J263" s="118"/>
      <c r="K263" s="121"/>
      <c r="M263" s="118"/>
      <c r="N263" s="121"/>
      <c r="Q263" s="118"/>
      <c r="R263" s="118"/>
    </row>
    <row r="264" spans="1:18">
      <c r="A264" t="str" cm="1">
        <f t="array" ref="A264">_xlfn.LET(_xlpm.src,TRIM(#REF!), _xlpm.u,_xlfn._xlws.SORT(_xlfn.UNIQUE(_xlfn._xlws.FILTER(_xlpm.src,_xlpm.src&lt;&gt;""))), IFERROR(INDEX(_xlpm.u,ROWS(A$2:A264)),""))</f>
        <v/>
      </c>
      <c r="B264" s="118"/>
      <c r="C264" s="118"/>
      <c r="D264" s="118"/>
      <c r="E264" s="118"/>
      <c r="F264" s="118"/>
      <c r="G264" s="119" t="str">
        <f>IF(tblProcurement2026[[#This Row],[Committed (All Expenses)]]=0,"",tblProcurement2026[[#This Row],[Paid/Realised]]/tblProcurement2026[[#This Row],[Committed (All Expenses)]])</f>
        <v/>
      </c>
      <c r="H264" s="120" t="e" cm="1">
        <f t="array" aca="1" ref="H264" ca="1">_xlfn.LET(_xlpm.p,tblProcurement2026[[#This Row],[Project Name]], _xlpm.nxt,MIN( IF((#REF!=_xlpm.p)*(#REF!&gt;TODAY()),#REF!)), IF(_xlpm.nxt=0,"",_xlpm.nxt-TODAY()))</f>
        <v>#REF!</v>
      </c>
      <c r="J264" s="118"/>
      <c r="K264" s="121"/>
      <c r="M264" s="118"/>
      <c r="N264" s="121"/>
      <c r="Q264" s="118"/>
      <c r="R264" s="118"/>
    </row>
    <row r="265" spans="1:18">
      <c r="A265" t="str" cm="1">
        <f t="array" ref="A265">_xlfn.LET(_xlpm.src,TRIM(#REF!), _xlpm.u,_xlfn._xlws.SORT(_xlfn.UNIQUE(_xlfn._xlws.FILTER(_xlpm.src,_xlpm.src&lt;&gt;""))), IFERROR(INDEX(_xlpm.u,ROWS(A$2:A265)),""))</f>
        <v/>
      </c>
      <c r="B265" s="118"/>
      <c r="C265" s="118"/>
      <c r="D265" s="118"/>
      <c r="E265" s="118"/>
      <c r="F265" s="118"/>
      <c r="G265" s="119" t="str">
        <f>IF(tblProcurement2026[[#This Row],[Committed (All Expenses)]]=0,"",tblProcurement2026[[#This Row],[Paid/Realised]]/tblProcurement2026[[#This Row],[Committed (All Expenses)]])</f>
        <v/>
      </c>
      <c r="H265" s="120" t="e" cm="1">
        <f t="array" aca="1" ref="H265" ca="1">_xlfn.LET(_xlpm.p,tblProcurement2026[[#This Row],[Project Name]], _xlpm.nxt,MIN( IF((#REF!=_xlpm.p)*(#REF!&gt;TODAY()),#REF!)), IF(_xlpm.nxt=0,"",_xlpm.nxt-TODAY()))</f>
        <v>#REF!</v>
      </c>
      <c r="J265" s="118"/>
      <c r="K265" s="121"/>
      <c r="M265" s="118"/>
      <c r="N265" s="121"/>
      <c r="Q265" s="118"/>
      <c r="R265" s="118"/>
    </row>
    <row r="266" spans="1:18">
      <c r="A266" t="str" cm="1">
        <f t="array" ref="A266">_xlfn.LET(_xlpm.src,TRIM(#REF!), _xlpm.u,_xlfn._xlws.SORT(_xlfn.UNIQUE(_xlfn._xlws.FILTER(_xlpm.src,_xlpm.src&lt;&gt;""))), IFERROR(INDEX(_xlpm.u,ROWS(A$2:A266)),""))</f>
        <v/>
      </c>
      <c r="B266" s="118"/>
      <c r="C266" s="118"/>
      <c r="D266" s="118"/>
      <c r="E266" s="118"/>
      <c r="F266" s="118"/>
      <c r="G266" s="119" t="str">
        <f>IF(tblProcurement2026[[#This Row],[Committed (All Expenses)]]=0,"",tblProcurement2026[[#This Row],[Paid/Realised]]/tblProcurement2026[[#This Row],[Committed (All Expenses)]])</f>
        <v/>
      </c>
      <c r="H266" s="120" t="e" cm="1">
        <f t="array" aca="1" ref="H266" ca="1">_xlfn.LET(_xlpm.p,tblProcurement2026[[#This Row],[Project Name]], _xlpm.nxt,MIN( IF((#REF!=_xlpm.p)*(#REF!&gt;TODAY()),#REF!)), IF(_xlpm.nxt=0,"",_xlpm.nxt-TODAY()))</f>
        <v>#REF!</v>
      </c>
      <c r="J266" s="118"/>
      <c r="K266" s="121"/>
      <c r="M266" s="118"/>
      <c r="N266" s="121"/>
      <c r="Q266" s="118"/>
      <c r="R266" s="118"/>
    </row>
    <row r="267" spans="1:18">
      <c r="A267" t="str" cm="1">
        <f t="array" ref="A267">_xlfn.LET(_xlpm.src,TRIM(#REF!), _xlpm.u,_xlfn._xlws.SORT(_xlfn.UNIQUE(_xlfn._xlws.FILTER(_xlpm.src,_xlpm.src&lt;&gt;""))), IFERROR(INDEX(_xlpm.u,ROWS(A$2:A267)),""))</f>
        <v/>
      </c>
      <c r="B267" s="118"/>
      <c r="C267" s="118"/>
      <c r="D267" s="118"/>
      <c r="E267" s="118"/>
      <c r="F267" s="118"/>
      <c r="G267" s="119" t="str">
        <f>IF(tblProcurement2026[[#This Row],[Committed (All Expenses)]]=0,"",tblProcurement2026[[#This Row],[Paid/Realised]]/tblProcurement2026[[#This Row],[Committed (All Expenses)]])</f>
        <v/>
      </c>
      <c r="H267" s="120" t="e" cm="1">
        <f t="array" aca="1" ref="H267" ca="1">_xlfn.LET(_xlpm.p,tblProcurement2026[[#This Row],[Project Name]], _xlpm.nxt,MIN( IF((#REF!=_xlpm.p)*(#REF!&gt;TODAY()),#REF!)), IF(_xlpm.nxt=0,"",_xlpm.nxt-TODAY()))</f>
        <v>#REF!</v>
      </c>
      <c r="J267" s="118"/>
      <c r="K267" s="121"/>
      <c r="M267" s="118"/>
      <c r="N267" s="121"/>
      <c r="Q267" s="118"/>
      <c r="R267" s="118"/>
    </row>
    <row r="268" spans="1:18">
      <c r="A268" t="str" cm="1">
        <f t="array" ref="A268">_xlfn.LET(_xlpm.src,TRIM(#REF!), _xlpm.u,_xlfn._xlws.SORT(_xlfn.UNIQUE(_xlfn._xlws.FILTER(_xlpm.src,_xlpm.src&lt;&gt;""))), IFERROR(INDEX(_xlpm.u,ROWS(A$2:A268)),""))</f>
        <v/>
      </c>
      <c r="B268" s="118"/>
      <c r="C268" s="118"/>
      <c r="D268" s="118"/>
      <c r="E268" s="118"/>
      <c r="F268" s="118"/>
      <c r="G268" s="119" t="str">
        <f>IF(tblProcurement2026[[#This Row],[Committed (All Expenses)]]=0,"",tblProcurement2026[[#This Row],[Paid/Realised]]/tblProcurement2026[[#This Row],[Committed (All Expenses)]])</f>
        <v/>
      </c>
      <c r="H268" s="120" t="e" cm="1">
        <f t="array" aca="1" ref="H268" ca="1">_xlfn.LET(_xlpm.p,tblProcurement2026[[#This Row],[Project Name]], _xlpm.nxt,MIN( IF((#REF!=_xlpm.p)*(#REF!&gt;TODAY()),#REF!)), IF(_xlpm.nxt=0,"",_xlpm.nxt-TODAY()))</f>
        <v>#REF!</v>
      </c>
      <c r="J268" s="118"/>
      <c r="K268" s="121"/>
      <c r="M268" s="118"/>
      <c r="N268" s="121"/>
      <c r="Q268" s="118"/>
      <c r="R268" s="118"/>
    </row>
    <row r="269" spans="1:18">
      <c r="A269" t="str" cm="1">
        <f t="array" ref="A269">_xlfn.LET(_xlpm.src,TRIM(#REF!), _xlpm.u,_xlfn._xlws.SORT(_xlfn.UNIQUE(_xlfn._xlws.FILTER(_xlpm.src,_xlpm.src&lt;&gt;""))), IFERROR(INDEX(_xlpm.u,ROWS(A$2:A269)),""))</f>
        <v/>
      </c>
      <c r="B269" s="118"/>
      <c r="C269" s="118"/>
      <c r="D269" s="118"/>
      <c r="E269" s="118"/>
      <c r="F269" s="118"/>
      <c r="G269" s="119" t="str">
        <f>IF(tblProcurement2026[[#This Row],[Committed (All Expenses)]]=0,"",tblProcurement2026[[#This Row],[Paid/Realised]]/tblProcurement2026[[#This Row],[Committed (All Expenses)]])</f>
        <v/>
      </c>
      <c r="H269" s="120" t="e" cm="1">
        <f t="array" aca="1" ref="H269" ca="1">_xlfn.LET(_xlpm.p,tblProcurement2026[[#This Row],[Project Name]], _xlpm.nxt,MIN( IF((#REF!=_xlpm.p)*(#REF!&gt;TODAY()),#REF!)), IF(_xlpm.nxt=0,"",_xlpm.nxt-TODAY()))</f>
        <v>#REF!</v>
      </c>
      <c r="J269" s="118"/>
      <c r="K269" s="121"/>
      <c r="M269" s="118"/>
      <c r="N269" s="121"/>
      <c r="Q269" s="118"/>
      <c r="R269" s="118"/>
    </row>
    <row r="270" spans="1:18">
      <c r="A270" t="str" cm="1">
        <f t="array" ref="A270">_xlfn.LET(_xlpm.src,TRIM(#REF!), _xlpm.u,_xlfn._xlws.SORT(_xlfn.UNIQUE(_xlfn._xlws.FILTER(_xlpm.src,_xlpm.src&lt;&gt;""))), IFERROR(INDEX(_xlpm.u,ROWS(A$2:A270)),""))</f>
        <v/>
      </c>
      <c r="B270" s="118"/>
      <c r="C270" s="118"/>
      <c r="D270" s="118"/>
      <c r="E270" s="118"/>
      <c r="F270" s="118"/>
      <c r="G270" s="119" t="str">
        <f>IF(tblProcurement2026[[#This Row],[Committed (All Expenses)]]=0,"",tblProcurement2026[[#This Row],[Paid/Realised]]/tblProcurement2026[[#This Row],[Committed (All Expenses)]])</f>
        <v/>
      </c>
      <c r="H270" s="120" t="e" cm="1">
        <f t="array" aca="1" ref="H270" ca="1">_xlfn.LET(_xlpm.p,tblProcurement2026[[#This Row],[Project Name]], _xlpm.nxt,MIN( IF((#REF!=_xlpm.p)*(#REF!&gt;TODAY()),#REF!)), IF(_xlpm.nxt=0,"",_xlpm.nxt-TODAY()))</f>
        <v>#REF!</v>
      </c>
      <c r="J270" s="118"/>
      <c r="K270" s="121"/>
      <c r="M270" s="118"/>
      <c r="N270" s="121"/>
      <c r="Q270" s="118"/>
      <c r="R270" s="118"/>
    </row>
    <row r="271" spans="1:18">
      <c r="A271" t="str" cm="1">
        <f t="array" ref="A271">_xlfn.LET(_xlpm.src,TRIM(#REF!), _xlpm.u,_xlfn._xlws.SORT(_xlfn.UNIQUE(_xlfn._xlws.FILTER(_xlpm.src,_xlpm.src&lt;&gt;""))), IFERROR(INDEX(_xlpm.u,ROWS(A$2:A271)),""))</f>
        <v/>
      </c>
      <c r="B271" s="118"/>
      <c r="C271" s="118"/>
      <c r="D271" s="118"/>
      <c r="E271" s="118"/>
      <c r="F271" s="118"/>
      <c r="G271" s="119" t="str">
        <f>IF(tblProcurement2026[[#This Row],[Committed (All Expenses)]]=0,"",tblProcurement2026[[#This Row],[Paid/Realised]]/tblProcurement2026[[#This Row],[Committed (All Expenses)]])</f>
        <v/>
      </c>
      <c r="H271" s="120" t="e" cm="1">
        <f t="array" aca="1" ref="H271" ca="1">_xlfn.LET(_xlpm.p,tblProcurement2026[[#This Row],[Project Name]], _xlpm.nxt,MIN( IF((#REF!=_xlpm.p)*(#REF!&gt;TODAY()),#REF!)), IF(_xlpm.nxt=0,"",_xlpm.nxt-TODAY()))</f>
        <v>#REF!</v>
      </c>
      <c r="J271" s="118"/>
      <c r="K271" s="121"/>
      <c r="M271" s="118"/>
      <c r="N271" s="121"/>
      <c r="Q271" s="118"/>
      <c r="R271" s="118"/>
    </row>
    <row r="272" spans="1:18">
      <c r="A272" t="str" cm="1">
        <f t="array" ref="A272">_xlfn.LET(_xlpm.src,TRIM(#REF!), _xlpm.u,_xlfn._xlws.SORT(_xlfn.UNIQUE(_xlfn._xlws.FILTER(_xlpm.src,_xlpm.src&lt;&gt;""))), IFERROR(INDEX(_xlpm.u,ROWS(A$2:A272)),""))</f>
        <v/>
      </c>
      <c r="B272" s="118"/>
      <c r="C272" s="118"/>
      <c r="D272" s="118"/>
      <c r="E272" s="118"/>
      <c r="F272" s="118"/>
      <c r="G272" s="119" t="str">
        <f>IF(tblProcurement2026[[#This Row],[Committed (All Expenses)]]=0,"",tblProcurement2026[[#This Row],[Paid/Realised]]/tblProcurement2026[[#This Row],[Committed (All Expenses)]])</f>
        <v/>
      </c>
      <c r="H272" s="120" t="e" cm="1">
        <f t="array" aca="1" ref="H272" ca="1">_xlfn.LET(_xlpm.p,tblProcurement2026[[#This Row],[Project Name]], _xlpm.nxt,MIN( IF((#REF!=_xlpm.p)*(#REF!&gt;TODAY()),#REF!)), IF(_xlpm.nxt=0,"",_xlpm.nxt-TODAY()))</f>
        <v>#REF!</v>
      </c>
      <c r="J272" s="118"/>
      <c r="K272" s="121"/>
      <c r="M272" s="118"/>
      <c r="N272" s="121"/>
      <c r="Q272" s="118"/>
      <c r="R272" s="118"/>
    </row>
    <row r="273" spans="1:18">
      <c r="A273" t="str" cm="1">
        <f t="array" ref="A273">_xlfn.LET(_xlpm.src,TRIM(#REF!), _xlpm.u,_xlfn._xlws.SORT(_xlfn.UNIQUE(_xlfn._xlws.FILTER(_xlpm.src,_xlpm.src&lt;&gt;""))), IFERROR(INDEX(_xlpm.u,ROWS(A$2:A273)),""))</f>
        <v/>
      </c>
      <c r="B273" s="118"/>
      <c r="C273" s="118"/>
      <c r="D273" s="118"/>
      <c r="E273" s="118"/>
      <c r="F273" s="118"/>
      <c r="G273" s="119" t="str">
        <f>IF(tblProcurement2026[[#This Row],[Committed (All Expenses)]]=0,"",tblProcurement2026[[#This Row],[Paid/Realised]]/tblProcurement2026[[#This Row],[Committed (All Expenses)]])</f>
        <v/>
      </c>
      <c r="H273" s="120" t="e" cm="1">
        <f t="array" aca="1" ref="H273" ca="1">_xlfn.LET(_xlpm.p,tblProcurement2026[[#This Row],[Project Name]], _xlpm.nxt,MIN( IF((#REF!=_xlpm.p)*(#REF!&gt;TODAY()),#REF!)), IF(_xlpm.nxt=0,"",_xlpm.nxt-TODAY()))</f>
        <v>#REF!</v>
      </c>
      <c r="J273" s="118"/>
      <c r="K273" s="121"/>
      <c r="M273" s="118"/>
      <c r="N273" s="121"/>
      <c r="Q273" s="118"/>
      <c r="R273" s="118"/>
    </row>
    <row r="274" spans="1:18">
      <c r="A274" t="str" cm="1">
        <f t="array" ref="A274">_xlfn.LET(_xlpm.src,TRIM(#REF!), _xlpm.u,_xlfn._xlws.SORT(_xlfn.UNIQUE(_xlfn._xlws.FILTER(_xlpm.src,_xlpm.src&lt;&gt;""))), IFERROR(INDEX(_xlpm.u,ROWS(A$2:A274)),""))</f>
        <v/>
      </c>
      <c r="B274" s="118"/>
      <c r="C274" s="118"/>
      <c r="D274" s="118"/>
      <c r="E274" s="118"/>
      <c r="F274" s="118"/>
      <c r="G274" s="119" t="str">
        <f>IF(tblProcurement2026[[#This Row],[Committed (All Expenses)]]=0,"",tblProcurement2026[[#This Row],[Paid/Realised]]/tblProcurement2026[[#This Row],[Committed (All Expenses)]])</f>
        <v/>
      </c>
      <c r="H274" s="120" t="e" cm="1">
        <f t="array" aca="1" ref="H274" ca="1">_xlfn.LET(_xlpm.p,tblProcurement2026[[#This Row],[Project Name]], _xlpm.nxt,MIN( IF((#REF!=_xlpm.p)*(#REF!&gt;TODAY()),#REF!)), IF(_xlpm.nxt=0,"",_xlpm.nxt-TODAY()))</f>
        <v>#REF!</v>
      </c>
      <c r="J274" s="118"/>
      <c r="K274" s="121"/>
      <c r="M274" s="118"/>
      <c r="N274" s="121"/>
      <c r="Q274" s="118"/>
      <c r="R274" s="118"/>
    </row>
    <row r="275" spans="1:18">
      <c r="A275" t="str" cm="1">
        <f t="array" ref="A275">_xlfn.LET(_xlpm.src,TRIM(#REF!), _xlpm.u,_xlfn._xlws.SORT(_xlfn.UNIQUE(_xlfn._xlws.FILTER(_xlpm.src,_xlpm.src&lt;&gt;""))), IFERROR(INDEX(_xlpm.u,ROWS(A$2:A275)),""))</f>
        <v/>
      </c>
      <c r="B275" s="118"/>
      <c r="C275" s="118"/>
      <c r="D275" s="118"/>
      <c r="E275" s="118"/>
      <c r="F275" s="118"/>
      <c r="G275" s="119" t="str">
        <f>IF(tblProcurement2026[[#This Row],[Committed (All Expenses)]]=0,"",tblProcurement2026[[#This Row],[Paid/Realised]]/tblProcurement2026[[#This Row],[Committed (All Expenses)]])</f>
        <v/>
      </c>
      <c r="H275" s="120" t="e" cm="1">
        <f t="array" aca="1" ref="H275" ca="1">_xlfn.LET(_xlpm.p,tblProcurement2026[[#This Row],[Project Name]], _xlpm.nxt,MIN( IF((#REF!=_xlpm.p)*(#REF!&gt;TODAY()),#REF!)), IF(_xlpm.nxt=0,"",_xlpm.nxt-TODAY()))</f>
        <v>#REF!</v>
      </c>
      <c r="J275" s="118"/>
      <c r="K275" s="121"/>
      <c r="M275" s="118"/>
      <c r="N275" s="121"/>
      <c r="Q275" s="118"/>
      <c r="R275" s="118"/>
    </row>
    <row r="276" spans="1:18">
      <c r="A276" t="str" cm="1">
        <f t="array" ref="A276">_xlfn.LET(_xlpm.src,TRIM(#REF!), _xlpm.u,_xlfn._xlws.SORT(_xlfn.UNIQUE(_xlfn._xlws.FILTER(_xlpm.src,_xlpm.src&lt;&gt;""))), IFERROR(INDEX(_xlpm.u,ROWS(A$2:A276)),""))</f>
        <v/>
      </c>
      <c r="B276" s="118"/>
      <c r="C276" s="118"/>
      <c r="D276" s="118"/>
      <c r="E276" s="118"/>
      <c r="F276" s="118"/>
      <c r="G276" s="119" t="str">
        <f>IF(tblProcurement2026[[#This Row],[Committed (All Expenses)]]=0,"",tblProcurement2026[[#This Row],[Paid/Realised]]/tblProcurement2026[[#This Row],[Committed (All Expenses)]])</f>
        <v/>
      </c>
      <c r="H276" s="120" t="e" cm="1">
        <f t="array" aca="1" ref="H276" ca="1">_xlfn.LET(_xlpm.p,tblProcurement2026[[#This Row],[Project Name]], _xlpm.nxt,MIN( IF((#REF!=_xlpm.p)*(#REF!&gt;TODAY()),#REF!)), IF(_xlpm.nxt=0,"",_xlpm.nxt-TODAY()))</f>
        <v>#REF!</v>
      </c>
      <c r="J276" s="118"/>
      <c r="K276" s="121"/>
      <c r="M276" s="118"/>
      <c r="N276" s="121"/>
      <c r="Q276" s="118"/>
      <c r="R276" s="118"/>
    </row>
    <row r="277" spans="1:18">
      <c r="A277" t="str" cm="1">
        <f t="array" ref="A277">_xlfn.LET(_xlpm.src,TRIM(#REF!), _xlpm.u,_xlfn._xlws.SORT(_xlfn.UNIQUE(_xlfn._xlws.FILTER(_xlpm.src,_xlpm.src&lt;&gt;""))), IFERROR(INDEX(_xlpm.u,ROWS(A$2:A277)),""))</f>
        <v/>
      </c>
      <c r="B277" s="118"/>
      <c r="C277" s="118"/>
      <c r="D277" s="118"/>
      <c r="E277" s="118"/>
      <c r="F277" s="118"/>
      <c r="G277" s="119" t="str">
        <f>IF(tblProcurement2026[[#This Row],[Committed (All Expenses)]]=0,"",tblProcurement2026[[#This Row],[Paid/Realised]]/tblProcurement2026[[#This Row],[Committed (All Expenses)]])</f>
        <v/>
      </c>
      <c r="H277" s="120" t="e" cm="1">
        <f t="array" aca="1" ref="H277" ca="1">_xlfn.LET(_xlpm.p,tblProcurement2026[[#This Row],[Project Name]], _xlpm.nxt,MIN( IF((#REF!=_xlpm.p)*(#REF!&gt;TODAY()),#REF!)), IF(_xlpm.nxt=0,"",_xlpm.nxt-TODAY()))</f>
        <v>#REF!</v>
      </c>
      <c r="J277" s="118"/>
      <c r="K277" s="121"/>
      <c r="M277" s="118"/>
      <c r="N277" s="121"/>
      <c r="Q277" s="118"/>
      <c r="R277" s="118"/>
    </row>
    <row r="278" spans="1:18">
      <c r="A278" t="str" cm="1">
        <f t="array" ref="A278">_xlfn.LET(_xlpm.src,TRIM(#REF!), _xlpm.u,_xlfn._xlws.SORT(_xlfn.UNIQUE(_xlfn._xlws.FILTER(_xlpm.src,_xlpm.src&lt;&gt;""))), IFERROR(INDEX(_xlpm.u,ROWS(A$2:A278)),""))</f>
        <v/>
      </c>
      <c r="B278" s="118"/>
      <c r="C278" s="118"/>
      <c r="D278" s="118"/>
      <c r="E278" s="118"/>
      <c r="F278" s="118"/>
      <c r="G278" s="119" t="str">
        <f>IF(tblProcurement2026[[#This Row],[Committed (All Expenses)]]=0,"",tblProcurement2026[[#This Row],[Paid/Realised]]/tblProcurement2026[[#This Row],[Committed (All Expenses)]])</f>
        <v/>
      </c>
      <c r="H278" s="120" t="e" cm="1">
        <f t="array" aca="1" ref="H278" ca="1">_xlfn.LET(_xlpm.p,tblProcurement2026[[#This Row],[Project Name]], _xlpm.nxt,MIN( IF((#REF!=_xlpm.p)*(#REF!&gt;TODAY()),#REF!)), IF(_xlpm.nxt=0,"",_xlpm.nxt-TODAY()))</f>
        <v>#REF!</v>
      </c>
      <c r="J278" s="118"/>
      <c r="K278" s="121"/>
      <c r="M278" s="118"/>
      <c r="N278" s="121"/>
      <c r="Q278" s="118"/>
      <c r="R278" s="118"/>
    </row>
    <row r="279" spans="1:18">
      <c r="A279" t="str" cm="1">
        <f t="array" ref="A279">_xlfn.LET(_xlpm.src,TRIM(#REF!), _xlpm.u,_xlfn._xlws.SORT(_xlfn.UNIQUE(_xlfn._xlws.FILTER(_xlpm.src,_xlpm.src&lt;&gt;""))), IFERROR(INDEX(_xlpm.u,ROWS(A$2:A279)),""))</f>
        <v/>
      </c>
      <c r="B279" s="118"/>
      <c r="C279" s="118"/>
      <c r="D279" s="118"/>
      <c r="E279" s="118"/>
      <c r="F279" s="118"/>
      <c r="G279" s="119" t="str">
        <f>IF(tblProcurement2026[[#This Row],[Committed (All Expenses)]]=0,"",tblProcurement2026[[#This Row],[Paid/Realised]]/tblProcurement2026[[#This Row],[Committed (All Expenses)]])</f>
        <v/>
      </c>
      <c r="H279" s="120" t="e" cm="1">
        <f t="array" aca="1" ref="H279" ca="1">_xlfn.LET(_xlpm.p,tblProcurement2026[[#This Row],[Project Name]], _xlpm.nxt,MIN( IF((#REF!=_xlpm.p)*(#REF!&gt;TODAY()),#REF!)), IF(_xlpm.nxt=0,"",_xlpm.nxt-TODAY()))</f>
        <v>#REF!</v>
      </c>
      <c r="J279" s="118"/>
      <c r="K279" s="121"/>
      <c r="M279" s="118"/>
      <c r="N279" s="121"/>
      <c r="Q279" s="118"/>
      <c r="R279" s="118"/>
    </row>
    <row r="280" spans="1:18">
      <c r="A280" t="str" cm="1">
        <f t="array" ref="A280">_xlfn.LET(_xlpm.src,TRIM(#REF!), _xlpm.u,_xlfn._xlws.SORT(_xlfn.UNIQUE(_xlfn._xlws.FILTER(_xlpm.src,_xlpm.src&lt;&gt;""))), IFERROR(INDEX(_xlpm.u,ROWS(A$2:A280)),""))</f>
        <v/>
      </c>
      <c r="B280" s="118"/>
      <c r="C280" s="118"/>
      <c r="D280" s="118"/>
      <c r="E280" s="118"/>
      <c r="F280" s="118"/>
      <c r="G280" s="119" t="str">
        <f>IF(tblProcurement2026[[#This Row],[Committed (All Expenses)]]=0,"",tblProcurement2026[[#This Row],[Paid/Realised]]/tblProcurement2026[[#This Row],[Committed (All Expenses)]])</f>
        <v/>
      </c>
      <c r="H280" s="120" t="e" cm="1">
        <f t="array" aca="1" ref="H280" ca="1">_xlfn.LET(_xlpm.p,tblProcurement2026[[#This Row],[Project Name]], _xlpm.nxt,MIN( IF((#REF!=_xlpm.p)*(#REF!&gt;TODAY()),#REF!)), IF(_xlpm.nxt=0,"",_xlpm.nxt-TODAY()))</f>
        <v>#REF!</v>
      </c>
      <c r="J280" s="118"/>
      <c r="K280" s="121"/>
      <c r="M280" s="118"/>
      <c r="N280" s="121"/>
      <c r="Q280" s="118"/>
      <c r="R280" s="118"/>
    </row>
    <row r="281" spans="1:18">
      <c r="A281" t="str" cm="1">
        <f t="array" ref="A281">_xlfn.LET(_xlpm.src,TRIM(#REF!), _xlpm.u,_xlfn._xlws.SORT(_xlfn.UNIQUE(_xlfn._xlws.FILTER(_xlpm.src,_xlpm.src&lt;&gt;""))), IFERROR(INDEX(_xlpm.u,ROWS(A$2:A281)),""))</f>
        <v/>
      </c>
      <c r="B281" s="118"/>
      <c r="C281" s="118"/>
      <c r="D281" s="118"/>
      <c r="E281" s="118"/>
      <c r="F281" s="118"/>
      <c r="G281" s="119" t="str">
        <f>IF(tblProcurement2026[[#This Row],[Committed (All Expenses)]]=0,"",tblProcurement2026[[#This Row],[Paid/Realised]]/tblProcurement2026[[#This Row],[Committed (All Expenses)]])</f>
        <v/>
      </c>
      <c r="H281" s="120" t="e" cm="1">
        <f t="array" aca="1" ref="H281" ca="1">_xlfn.LET(_xlpm.p,tblProcurement2026[[#This Row],[Project Name]], _xlpm.nxt,MIN( IF((#REF!=_xlpm.p)*(#REF!&gt;TODAY()),#REF!)), IF(_xlpm.nxt=0,"",_xlpm.nxt-TODAY()))</f>
        <v>#REF!</v>
      </c>
      <c r="J281" s="118"/>
      <c r="K281" s="121"/>
      <c r="M281" s="118"/>
      <c r="N281" s="121"/>
      <c r="Q281" s="118"/>
      <c r="R281" s="118"/>
    </row>
    <row r="282" spans="1:18">
      <c r="A282" t="str" cm="1">
        <f t="array" ref="A282">_xlfn.LET(_xlpm.src,TRIM(#REF!), _xlpm.u,_xlfn._xlws.SORT(_xlfn.UNIQUE(_xlfn._xlws.FILTER(_xlpm.src,_xlpm.src&lt;&gt;""))), IFERROR(INDEX(_xlpm.u,ROWS(A$2:A282)),""))</f>
        <v/>
      </c>
      <c r="B282" s="118"/>
      <c r="C282" s="118"/>
      <c r="D282" s="118"/>
      <c r="E282" s="118"/>
      <c r="F282" s="118"/>
      <c r="G282" s="119" t="str">
        <f>IF(tblProcurement2026[[#This Row],[Committed (All Expenses)]]=0,"",tblProcurement2026[[#This Row],[Paid/Realised]]/tblProcurement2026[[#This Row],[Committed (All Expenses)]])</f>
        <v/>
      </c>
      <c r="H282" s="120" t="e" cm="1">
        <f t="array" aca="1" ref="H282" ca="1">_xlfn.LET(_xlpm.p,tblProcurement2026[[#This Row],[Project Name]], _xlpm.nxt,MIN( IF((#REF!=_xlpm.p)*(#REF!&gt;TODAY()),#REF!)), IF(_xlpm.nxt=0,"",_xlpm.nxt-TODAY()))</f>
        <v>#REF!</v>
      </c>
      <c r="J282" s="118"/>
      <c r="K282" s="121"/>
      <c r="M282" s="118"/>
      <c r="N282" s="121"/>
      <c r="Q282" s="118"/>
      <c r="R282" s="118"/>
    </row>
    <row r="283" spans="1:18">
      <c r="A283" t="str" cm="1">
        <f t="array" ref="A283">_xlfn.LET(_xlpm.src,TRIM(#REF!), _xlpm.u,_xlfn._xlws.SORT(_xlfn.UNIQUE(_xlfn._xlws.FILTER(_xlpm.src,_xlpm.src&lt;&gt;""))), IFERROR(INDEX(_xlpm.u,ROWS(A$2:A283)),""))</f>
        <v/>
      </c>
      <c r="B283" s="118"/>
      <c r="C283" s="118"/>
      <c r="D283" s="118"/>
      <c r="E283" s="118"/>
      <c r="F283" s="118"/>
      <c r="G283" s="119" t="str">
        <f>IF(tblProcurement2026[[#This Row],[Committed (All Expenses)]]=0,"",tblProcurement2026[[#This Row],[Paid/Realised]]/tblProcurement2026[[#This Row],[Committed (All Expenses)]])</f>
        <v/>
      </c>
      <c r="H283" s="120" t="e" cm="1">
        <f t="array" aca="1" ref="H283" ca="1">_xlfn.LET(_xlpm.p,tblProcurement2026[[#This Row],[Project Name]], _xlpm.nxt,MIN( IF((#REF!=_xlpm.p)*(#REF!&gt;TODAY()),#REF!)), IF(_xlpm.nxt=0,"",_xlpm.nxt-TODAY()))</f>
        <v>#REF!</v>
      </c>
      <c r="J283" s="118"/>
      <c r="K283" s="121"/>
      <c r="M283" s="118"/>
      <c r="N283" s="121"/>
      <c r="Q283" s="118"/>
      <c r="R283" s="118"/>
    </row>
    <row r="284" spans="1:18">
      <c r="A284" t="str" cm="1">
        <f t="array" ref="A284">_xlfn.LET(_xlpm.src,TRIM(#REF!), _xlpm.u,_xlfn._xlws.SORT(_xlfn.UNIQUE(_xlfn._xlws.FILTER(_xlpm.src,_xlpm.src&lt;&gt;""))), IFERROR(INDEX(_xlpm.u,ROWS(A$2:A284)),""))</f>
        <v/>
      </c>
      <c r="B284" s="118"/>
      <c r="C284" s="118"/>
      <c r="D284" s="118"/>
      <c r="E284" s="118"/>
      <c r="F284" s="118"/>
      <c r="G284" s="119" t="str">
        <f>IF(tblProcurement2026[[#This Row],[Committed (All Expenses)]]=0,"",tblProcurement2026[[#This Row],[Paid/Realised]]/tblProcurement2026[[#This Row],[Committed (All Expenses)]])</f>
        <v/>
      </c>
      <c r="H284" s="120" t="e" cm="1">
        <f t="array" aca="1" ref="H284" ca="1">_xlfn.LET(_xlpm.p,tblProcurement2026[[#This Row],[Project Name]], _xlpm.nxt,MIN( IF((#REF!=_xlpm.p)*(#REF!&gt;TODAY()),#REF!)), IF(_xlpm.nxt=0,"",_xlpm.nxt-TODAY()))</f>
        <v>#REF!</v>
      </c>
      <c r="J284" s="118"/>
      <c r="K284" s="121"/>
      <c r="M284" s="118"/>
      <c r="N284" s="121"/>
      <c r="Q284" s="118"/>
      <c r="R284" s="118"/>
    </row>
    <row r="285" spans="1:18">
      <c r="A285" t="str" cm="1">
        <f t="array" ref="A285">_xlfn.LET(_xlpm.src,TRIM(#REF!), _xlpm.u,_xlfn._xlws.SORT(_xlfn.UNIQUE(_xlfn._xlws.FILTER(_xlpm.src,_xlpm.src&lt;&gt;""))), IFERROR(INDEX(_xlpm.u,ROWS(A$2:A285)),""))</f>
        <v/>
      </c>
      <c r="B285" s="118"/>
      <c r="C285" s="118"/>
      <c r="D285" s="118"/>
      <c r="E285" s="118"/>
      <c r="F285" s="118"/>
      <c r="G285" s="119" t="str">
        <f>IF(tblProcurement2026[[#This Row],[Committed (All Expenses)]]=0,"",tblProcurement2026[[#This Row],[Paid/Realised]]/tblProcurement2026[[#This Row],[Committed (All Expenses)]])</f>
        <v/>
      </c>
      <c r="H285" s="120" t="e" cm="1">
        <f t="array" aca="1" ref="H285" ca="1">_xlfn.LET(_xlpm.p,tblProcurement2026[[#This Row],[Project Name]], _xlpm.nxt,MIN( IF((#REF!=_xlpm.p)*(#REF!&gt;TODAY()),#REF!)), IF(_xlpm.nxt=0,"",_xlpm.nxt-TODAY()))</f>
        <v>#REF!</v>
      </c>
      <c r="J285" s="118"/>
      <c r="K285" s="121"/>
      <c r="M285" s="118"/>
      <c r="N285" s="121"/>
      <c r="Q285" s="118"/>
      <c r="R285" s="118"/>
    </row>
    <row r="286" spans="1:18">
      <c r="A286" t="str" cm="1">
        <f t="array" ref="A286">_xlfn.LET(_xlpm.src,TRIM(#REF!), _xlpm.u,_xlfn._xlws.SORT(_xlfn.UNIQUE(_xlfn._xlws.FILTER(_xlpm.src,_xlpm.src&lt;&gt;""))), IFERROR(INDEX(_xlpm.u,ROWS(A$2:A286)),""))</f>
        <v/>
      </c>
      <c r="B286" s="118"/>
      <c r="C286" s="118"/>
      <c r="D286" s="118"/>
      <c r="E286" s="118"/>
      <c r="F286" s="118"/>
      <c r="G286" s="119" t="str">
        <f>IF(tblProcurement2026[[#This Row],[Committed (All Expenses)]]=0,"",tblProcurement2026[[#This Row],[Paid/Realised]]/tblProcurement2026[[#This Row],[Committed (All Expenses)]])</f>
        <v/>
      </c>
      <c r="H286" s="120" t="e" cm="1">
        <f t="array" aca="1" ref="H286" ca="1">_xlfn.LET(_xlpm.p,tblProcurement2026[[#This Row],[Project Name]], _xlpm.nxt,MIN( IF((#REF!=_xlpm.p)*(#REF!&gt;TODAY()),#REF!)), IF(_xlpm.nxt=0,"",_xlpm.nxt-TODAY()))</f>
        <v>#REF!</v>
      </c>
      <c r="J286" s="118"/>
      <c r="K286" s="121"/>
      <c r="M286" s="118"/>
      <c r="N286" s="121"/>
      <c r="Q286" s="118"/>
      <c r="R286" s="118"/>
    </row>
    <row r="287" spans="1:18">
      <c r="A287" t="str" cm="1">
        <f t="array" ref="A287">_xlfn.LET(_xlpm.src,TRIM(#REF!), _xlpm.u,_xlfn._xlws.SORT(_xlfn.UNIQUE(_xlfn._xlws.FILTER(_xlpm.src,_xlpm.src&lt;&gt;""))), IFERROR(INDEX(_xlpm.u,ROWS(A$2:A287)),""))</f>
        <v/>
      </c>
      <c r="B287" s="118"/>
      <c r="C287" s="118"/>
      <c r="D287" s="118"/>
      <c r="E287" s="118"/>
      <c r="F287" s="118"/>
      <c r="G287" s="119" t="str">
        <f>IF(tblProcurement2026[[#This Row],[Committed (All Expenses)]]=0,"",tblProcurement2026[[#This Row],[Paid/Realised]]/tblProcurement2026[[#This Row],[Committed (All Expenses)]])</f>
        <v/>
      </c>
      <c r="H287" s="120" t="e" cm="1">
        <f t="array" aca="1" ref="H287" ca="1">_xlfn.LET(_xlpm.p,tblProcurement2026[[#This Row],[Project Name]], _xlpm.nxt,MIN( IF((#REF!=_xlpm.p)*(#REF!&gt;TODAY()),#REF!)), IF(_xlpm.nxt=0,"",_xlpm.nxt-TODAY()))</f>
        <v>#REF!</v>
      </c>
      <c r="J287" s="118"/>
      <c r="K287" s="121"/>
      <c r="M287" s="118"/>
      <c r="N287" s="121"/>
      <c r="Q287" s="118"/>
      <c r="R287" s="118"/>
    </row>
    <row r="288" spans="1:18">
      <c r="A288" t="str" cm="1">
        <f t="array" ref="A288">_xlfn.LET(_xlpm.src,TRIM(#REF!), _xlpm.u,_xlfn._xlws.SORT(_xlfn.UNIQUE(_xlfn._xlws.FILTER(_xlpm.src,_xlpm.src&lt;&gt;""))), IFERROR(INDEX(_xlpm.u,ROWS(A$2:A288)),""))</f>
        <v/>
      </c>
      <c r="B288" s="118"/>
      <c r="C288" s="118"/>
      <c r="D288" s="118"/>
      <c r="E288" s="118"/>
      <c r="F288" s="118"/>
      <c r="G288" s="119" t="str">
        <f>IF(tblProcurement2026[[#This Row],[Committed (All Expenses)]]=0,"",tblProcurement2026[[#This Row],[Paid/Realised]]/tblProcurement2026[[#This Row],[Committed (All Expenses)]])</f>
        <v/>
      </c>
      <c r="H288" s="120" t="e" cm="1">
        <f t="array" aca="1" ref="H288" ca="1">_xlfn.LET(_xlpm.p,tblProcurement2026[[#This Row],[Project Name]], _xlpm.nxt,MIN( IF((#REF!=_xlpm.p)*(#REF!&gt;TODAY()),#REF!)), IF(_xlpm.nxt=0,"",_xlpm.nxt-TODAY()))</f>
        <v>#REF!</v>
      </c>
      <c r="J288" s="118"/>
      <c r="K288" s="121"/>
      <c r="M288" s="118"/>
      <c r="N288" s="121"/>
      <c r="Q288" s="118"/>
      <c r="R288" s="118"/>
    </row>
    <row r="289" spans="1:18">
      <c r="A289" t="str" cm="1">
        <f t="array" ref="A289">_xlfn.LET(_xlpm.src,TRIM(#REF!), _xlpm.u,_xlfn._xlws.SORT(_xlfn.UNIQUE(_xlfn._xlws.FILTER(_xlpm.src,_xlpm.src&lt;&gt;""))), IFERROR(INDEX(_xlpm.u,ROWS(A$2:A289)),""))</f>
        <v/>
      </c>
      <c r="B289" s="118"/>
      <c r="C289" s="118"/>
      <c r="D289" s="118"/>
      <c r="E289" s="118"/>
      <c r="F289" s="118"/>
      <c r="G289" s="119" t="str">
        <f>IF(tblProcurement2026[[#This Row],[Committed (All Expenses)]]=0,"",tblProcurement2026[[#This Row],[Paid/Realised]]/tblProcurement2026[[#This Row],[Committed (All Expenses)]])</f>
        <v/>
      </c>
      <c r="H289" s="120" t="e" cm="1">
        <f t="array" aca="1" ref="H289" ca="1">_xlfn.LET(_xlpm.p,tblProcurement2026[[#This Row],[Project Name]], _xlpm.nxt,MIN( IF((#REF!=_xlpm.p)*(#REF!&gt;TODAY()),#REF!)), IF(_xlpm.nxt=0,"",_xlpm.nxt-TODAY()))</f>
        <v>#REF!</v>
      </c>
      <c r="J289" s="118"/>
      <c r="K289" s="121"/>
      <c r="M289" s="118"/>
      <c r="N289" s="121"/>
      <c r="Q289" s="118"/>
      <c r="R289" s="118"/>
    </row>
    <row r="290" spans="1:18">
      <c r="A290" t="str" cm="1">
        <f t="array" ref="A290">_xlfn.LET(_xlpm.src,TRIM(#REF!), _xlpm.u,_xlfn._xlws.SORT(_xlfn.UNIQUE(_xlfn._xlws.FILTER(_xlpm.src,_xlpm.src&lt;&gt;""))), IFERROR(INDEX(_xlpm.u,ROWS(A$2:A290)),""))</f>
        <v/>
      </c>
      <c r="B290" s="118"/>
      <c r="C290" s="118"/>
      <c r="D290" s="118"/>
      <c r="E290" s="118"/>
      <c r="F290" s="118"/>
      <c r="G290" s="119" t="str">
        <f>IF(tblProcurement2026[[#This Row],[Committed (All Expenses)]]=0,"",tblProcurement2026[[#This Row],[Paid/Realised]]/tblProcurement2026[[#This Row],[Committed (All Expenses)]])</f>
        <v/>
      </c>
      <c r="H290" s="120" t="e" cm="1">
        <f t="array" aca="1" ref="H290" ca="1">_xlfn.LET(_xlpm.p,tblProcurement2026[[#This Row],[Project Name]], _xlpm.nxt,MIN( IF((#REF!=_xlpm.p)*(#REF!&gt;TODAY()),#REF!)), IF(_xlpm.nxt=0,"",_xlpm.nxt-TODAY()))</f>
        <v>#REF!</v>
      </c>
      <c r="J290" s="118"/>
      <c r="K290" s="121"/>
      <c r="M290" s="118"/>
      <c r="N290" s="121"/>
      <c r="Q290" s="118"/>
      <c r="R290" s="118"/>
    </row>
    <row r="291" spans="1:18">
      <c r="A291" t="str" cm="1">
        <f t="array" ref="A291">_xlfn.LET(_xlpm.src,TRIM(#REF!), _xlpm.u,_xlfn._xlws.SORT(_xlfn.UNIQUE(_xlfn._xlws.FILTER(_xlpm.src,_xlpm.src&lt;&gt;""))), IFERROR(INDEX(_xlpm.u,ROWS(A$2:A291)),""))</f>
        <v/>
      </c>
      <c r="B291" s="118"/>
      <c r="C291" s="118"/>
      <c r="D291" s="118"/>
      <c r="E291" s="118"/>
      <c r="F291" s="118"/>
      <c r="G291" s="119" t="str">
        <f>IF(tblProcurement2026[[#This Row],[Committed (All Expenses)]]=0,"",tblProcurement2026[[#This Row],[Paid/Realised]]/tblProcurement2026[[#This Row],[Committed (All Expenses)]])</f>
        <v/>
      </c>
      <c r="H291" s="120" t="e" cm="1">
        <f t="array" aca="1" ref="H291" ca="1">_xlfn.LET(_xlpm.p,tblProcurement2026[[#This Row],[Project Name]], _xlpm.nxt,MIN( IF((#REF!=_xlpm.p)*(#REF!&gt;TODAY()),#REF!)), IF(_xlpm.nxt=0,"",_xlpm.nxt-TODAY()))</f>
        <v>#REF!</v>
      </c>
      <c r="J291" s="118"/>
      <c r="K291" s="121"/>
      <c r="M291" s="118"/>
      <c r="N291" s="121"/>
      <c r="Q291" s="118"/>
      <c r="R291" s="118"/>
    </row>
    <row r="292" spans="1:18">
      <c r="A292" t="str" cm="1">
        <f t="array" ref="A292">_xlfn.LET(_xlpm.src,TRIM(#REF!), _xlpm.u,_xlfn._xlws.SORT(_xlfn.UNIQUE(_xlfn._xlws.FILTER(_xlpm.src,_xlpm.src&lt;&gt;""))), IFERROR(INDEX(_xlpm.u,ROWS(A$2:A292)),""))</f>
        <v/>
      </c>
      <c r="B292" s="118"/>
      <c r="C292" s="118"/>
      <c r="D292" s="118"/>
      <c r="E292" s="118"/>
      <c r="F292" s="118"/>
      <c r="G292" s="119" t="str">
        <f>IF(tblProcurement2026[[#This Row],[Committed (All Expenses)]]=0,"",tblProcurement2026[[#This Row],[Paid/Realised]]/tblProcurement2026[[#This Row],[Committed (All Expenses)]])</f>
        <v/>
      </c>
      <c r="H292" s="120" t="e" cm="1">
        <f t="array" aca="1" ref="H292" ca="1">_xlfn.LET(_xlpm.p,tblProcurement2026[[#This Row],[Project Name]], _xlpm.nxt,MIN( IF((#REF!=_xlpm.p)*(#REF!&gt;TODAY()),#REF!)), IF(_xlpm.nxt=0,"",_xlpm.nxt-TODAY()))</f>
        <v>#REF!</v>
      </c>
      <c r="J292" s="118"/>
      <c r="K292" s="121"/>
      <c r="M292" s="118"/>
      <c r="N292" s="121"/>
      <c r="Q292" s="118"/>
      <c r="R292" s="118"/>
    </row>
    <row r="293" spans="1:18">
      <c r="A293" t="str" cm="1">
        <f t="array" ref="A293">_xlfn.LET(_xlpm.src,TRIM(#REF!), _xlpm.u,_xlfn._xlws.SORT(_xlfn.UNIQUE(_xlfn._xlws.FILTER(_xlpm.src,_xlpm.src&lt;&gt;""))), IFERROR(INDEX(_xlpm.u,ROWS(A$2:A293)),""))</f>
        <v/>
      </c>
      <c r="B293" s="118"/>
      <c r="C293" s="118"/>
      <c r="D293" s="118"/>
      <c r="E293" s="118"/>
      <c r="F293" s="118"/>
      <c r="G293" s="119" t="str">
        <f>IF(tblProcurement2026[[#This Row],[Committed (All Expenses)]]=0,"",tblProcurement2026[[#This Row],[Paid/Realised]]/tblProcurement2026[[#This Row],[Committed (All Expenses)]])</f>
        <v/>
      </c>
      <c r="H293" s="120" t="e" cm="1">
        <f t="array" aca="1" ref="H293" ca="1">_xlfn.LET(_xlpm.p,tblProcurement2026[[#This Row],[Project Name]], _xlpm.nxt,MIN( IF((#REF!=_xlpm.p)*(#REF!&gt;TODAY()),#REF!)), IF(_xlpm.nxt=0,"",_xlpm.nxt-TODAY()))</f>
        <v>#REF!</v>
      </c>
      <c r="J293" s="118"/>
      <c r="K293" s="121"/>
      <c r="M293" s="118"/>
      <c r="N293" s="121"/>
      <c r="Q293" s="118"/>
      <c r="R293" s="118"/>
    </row>
    <row r="294" spans="1:18">
      <c r="A294" t="str" cm="1">
        <f t="array" ref="A294">_xlfn.LET(_xlpm.src,TRIM(#REF!), _xlpm.u,_xlfn._xlws.SORT(_xlfn.UNIQUE(_xlfn._xlws.FILTER(_xlpm.src,_xlpm.src&lt;&gt;""))), IFERROR(INDEX(_xlpm.u,ROWS(A$2:A294)),""))</f>
        <v/>
      </c>
      <c r="B294" s="118"/>
      <c r="C294" s="118"/>
      <c r="D294" s="118"/>
      <c r="E294" s="118"/>
      <c r="F294" s="118"/>
      <c r="G294" s="119" t="str">
        <f>IF(tblProcurement2026[[#This Row],[Committed (All Expenses)]]=0,"",tblProcurement2026[[#This Row],[Paid/Realised]]/tblProcurement2026[[#This Row],[Committed (All Expenses)]])</f>
        <v/>
      </c>
      <c r="H294" s="120" t="e" cm="1">
        <f t="array" aca="1" ref="H294" ca="1">_xlfn.LET(_xlpm.p,tblProcurement2026[[#This Row],[Project Name]], _xlpm.nxt,MIN( IF((#REF!=_xlpm.p)*(#REF!&gt;TODAY()),#REF!)), IF(_xlpm.nxt=0,"",_xlpm.nxt-TODAY()))</f>
        <v>#REF!</v>
      </c>
      <c r="J294" s="118"/>
      <c r="K294" s="121"/>
      <c r="M294" s="118"/>
      <c r="N294" s="121"/>
      <c r="Q294" s="118"/>
      <c r="R294" s="118"/>
    </row>
    <row r="295" spans="1:18">
      <c r="A295" t="str" cm="1">
        <f t="array" ref="A295">_xlfn.LET(_xlpm.src,TRIM(#REF!), _xlpm.u,_xlfn._xlws.SORT(_xlfn.UNIQUE(_xlfn._xlws.FILTER(_xlpm.src,_xlpm.src&lt;&gt;""))), IFERROR(INDEX(_xlpm.u,ROWS(A$2:A295)),""))</f>
        <v/>
      </c>
      <c r="B295" s="118"/>
      <c r="C295" s="118"/>
      <c r="D295" s="118"/>
      <c r="E295" s="118"/>
      <c r="F295" s="118"/>
      <c r="G295" s="119" t="str">
        <f>IF(tblProcurement2026[[#This Row],[Committed (All Expenses)]]=0,"",tblProcurement2026[[#This Row],[Paid/Realised]]/tblProcurement2026[[#This Row],[Committed (All Expenses)]])</f>
        <v/>
      </c>
      <c r="H295" s="120" t="e" cm="1">
        <f t="array" aca="1" ref="H295" ca="1">_xlfn.LET(_xlpm.p,tblProcurement2026[[#This Row],[Project Name]], _xlpm.nxt,MIN( IF((#REF!=_xlpm.p)*(#REF!&gt;TODAY()),#REF!)), IF(_xlpm.nxt=0,"",_xlpm.nxt-TODAY()))</f>
        <v>#REF!</v>
      </c>
      <c r="J295" s="118"/>
      <c r="K295" s="121"/>
      <c r="M295" s="118"/>
      <c r="N295" s="121"/>
      <c r="Q295" s="118"/>
      <c r="R295" s="118"/>
    </row>
    <row r="296" spans="1:18">
      <c r="A296" t="str" cm="1">
        <f t="array" ref="A296">_xlfn.LET(_xlpm.src,TRIM(#REF!), _xlpm.u,_xlfn._xlws.SORT(_xlfn.UNIQUE(_xlfn._xlws.FILTER(_xlpm.src,_xlpm.src&lt;&gt;""))), IFERROR(INDEX(_xlpm.u,ROWS(A$2:A296)),""))</f>
        <v/>
      </c>
      <c r="B296" s="118"/>
      <c r="C296" s="118"/>
      <c r="D296" s="118"/>
      <c r="E296" s="118"/>
      <c r="F296" s="118"/>
      <c r="G296" s="119" t="str">
        <f>IF(tblProcurement2026[[#This Row],[Committed (All Expenses)]]=0,"",tblProcurement2026[[#This Row],[Paid/Realised]]/tblProcurement2026[[#This Row],[Committed (All Expenses)]])</f>
        <v/>
      </c>
      <c r="H296" s="120" t="e" cm="1">
        <f t="array" aca="1" ref="H296" ca="1">_xlfn.LET(_xlpm.p,tblProcurement2026[[#This Row],[Project Name]], _xlpm.nxt,MIN( IF((#REF!=_xlpm.p)*(#REF!&gt;TODAY()),#REF!)), IF(_xlpm.nxt=0,"",_xlpm.nxt-TODAY()))</f>
        <v>#REF!</v>
      </c>
      <c r="J296" s="118"/>
      <c r="K296" s="121"/>
      <c r="M296" s="118"/>
      <c r="N296" s="121"/>
      <c r="Q296" s="118"/>
      <c r="R296" s="118"/>
    </row>
    <row r="297" spans="1:18">
      <c r="A297" t="str" cm="1">
        <f t="array" ref="A297">_xlfn.LET(_xlpm.src,TRIM(#REF!), _xlpm.u,_xlfn._xlws.SORT(_xlfn.UNIQUE(_xlfn._xlws.FILTER(_xlpm.src,_xlpm.src&lt;&gt;""))), IFERROR(INDEX(_xlpm.u,ROWS(A$2:A297)),""))</f>
        <v/>
      </c>
      <c r="B297" s="118"/>
      <c r="C297" s="118"/>
      <c r="D297" s="118"/>
      <c r="E297" s="118"/>
      <c r="F297" s="118"/>
      <c r="G297" s="119" t="str">
        <f>IF(tblProcurement2026[[#This Row],[Committed (All Expenses)]]=0,"",tblProcurement2026[[#This Row],[Paid/Realised]]/tblProcurement2026[[#This Row],[Committed (All Expenses)]])</f>
        <v/>
      </c>
      <c r="H297" s="120" t="e" cm="1">
        <f t="array" aca="1" ref="H297" ca="1">_xlfn.LET(_xlpm.p,tblProcurement2026[[#This Row],[Project Name]], _xlpm.nxt,MIN( IF((#REF!=_xlpm.p)*(#REF!&gt;TODAY()),#REF!)), IF(_xlpm.nxt=0,"",_xlpm.nxt-TODAY()))</f>
        <v>#REF!</v>
      </c>
      <c r="J297" s="118"/>
      <c r="K297" s="121"/>
      <c r="M297" s="118"/>
      <c r="N297" s="121"/>
      <c r="Q297" s="118"/>
      <c r="R297" s="118"/>
    </row>
    <row r="298" spans="1:18">
      <c r="A298" t="str" cm="1">
        <f t="array" ref="A298">_xlfn.LET(_xlpm.src,TRIM(#REF!), _xlpm.u,_xlfn._xlws.SORT(_xlfn.UNIQUE(_xlfn._xlws.FILTER(_xlpm.src,_xlpm.src&lt;&gt;""))), IFERROR(INDEX(_xlpm.u,ROWS(A$2:A298)),""))</f>
        <v/>
      </c>
      <c r="B298" s="118"/>
      <c r="C298" s="118"/>
      <c r="D298" s="118"/>
      <c r="E298" s="118"/>
      <c r="F298" s="118"/>
      <c r="G298" s="119" t="str">
        <f>IF(tblProcurement2026[[#This Row],[Committed (All Expenses)]]=0,"",tblProcurement2026[[#This Row],[Paid/Realised]]/tblProcurement2026[[#This Row],[Committed (All Expenses)]])</f>
        <v/>
      </c>
      <c r="H298" s="120" t="e" cm="1">
        <f t="array" aca="1" ref="H298" ca="1">_xlfn.LET(_xlpm.p,tblProcurement2026[[#This Row],[Project Name]], _xlpm.nxt,MIN( IF((#REF!=_xlpm.p)*(#REF!&gt;TODAY()),#REF!)), IF(_xlpm.nxt=0,"",_xlpm.nxt-TODAY()))</f>
        <v>#REF!</v>
      </c>
      <c r="J298" s="118"/>
      <c r="K298" s="121"/>
      <c r="M298" s="118"/>
      <c r="N298" s="121"/>
      <c r="Q298" s="118"/>
      <c r="R298" s="118"/>
    </row>
    <row r="299" spans="1:18">
      <c r="A299" t="str" cm="1">
        <f t="array" ref="A299">_xlfn.LET(_xlpm.src,TRIM(#REF!), _xlpm.u,_xlfn._xlws.SORT(_xlfn.UNIQUE(_xlfn._xlws.FILTER(_xlpm.src,_xlpm.src&lt;&gt;""))), IFERROR(INDEX(_xlpm.u,ROWS(A$2:A299)),""))</f>
        <v/>
      </c>
      <c r="B299" s="118"/>
      <c r="C299" s="118"/>
      <c r="D299" s="118"/>
      <c r="E299" s="118"/>
      <c r="F299" s="118"/>
      <c r="G299" s="119" t="str">
        <f>IF(tblProcurement2026[[#This Row],[Committed (All Expenses)]]=0,"",tblProcurement2026[[#This Row],[Paid/Realised]]/tblProcurement2026[[#This Row],[Committed (All Expenses)]])</f>
        <v/>
      </c>
      <c r="H299" s="120" t="e" cm="1">
        <f t="array" aca="1" ref="H299" ca="1">_xlfn.LET(_xlpm.p,tblProcurement2026[[#This Row],[Project Name]], _xlpm.nxt,MIN( IF((#REF!=_xlpm.p)*(#REF!&gt;TODAY()),#REF!)), IF(_xlpm.nxt=0,"",_xlpm.nxt-TODAY()))</f>
        <v>#REF!</v>
      </c>
      <c r="J299" s="118"/>
      <c r="K299" s="121"/>
      <c r="M299" s="118"/>
      <c r="N299" s="121"/>
      <c r="Q299" s="118"/>
      <c r="R299" s="118"/>
    </row>
    <row r="300" spans="1:18">
      <c r="A300" t="str" cm="1">
        <f t="array" ref="A300">_xlfn.LET(_xlpm.src,TRIM(#REF!), _xlpm.u,_xlfn._xlws.SORT(_xlfn.UNIQUE(_xlfn._xlws.FILTER(_xlpm.src,_xlpm.src&lt;&gt;""))), IFERROR(INDEX(_xlpm.u,ROWS(A$2:A300)),""))</f>
        <v/>
      </c>
      <c r="B300" s="118"/>
      <c r="C300" s="118"/>
      <c r="D300" s="118"/>
      <c r="E300" s="118"/>
      <c r="F300" s="118"/>
      <c r="G300" s="119" t="str">
        <f>IF(tblProcurement2026[[#This Row],[Committed (All Expenses)]]=0,"",tblProcurement2026[[#This Row],[Paid/Realised]]/tblProcurement2026[[#This Row],[Committed (All Expenses)]])</f>
        <v/>
      </c>
      <c r="H300" s="120" t="e" cm="1">
        <f t="array" aca="1" ref="H300" ca="1">_xlfn.LET(_xlpm.p,tblProcurement2026[[#This Row],[Project Name]], _xlpm.nxt,MIN( IF((#REF!=_xlpm.p)*(#REF!&gt;TODAY()),#REF!)), IF(_xlpm.nxt=0,"",_xlpm.nxt-TODAY()))</f>
        <v>#REF!</v>
      </c>
      <c r="J300" s="118"/>
      <c r="K300" s="121"/>
      <c r="M300" s="118"/>
      <c r="N300" s="121"/>
      <c r="Q300" s="118"/>
      <c r="R300" s="118"/>
    </row>
    <row r="301" spans="1:18">
      <c r="A301" t="str" cm="1">
        <f t="array" ref="A301">_xlfn.LET(_xlpm.src,TRIM(#REF!), _xlpm.u,_xlfn._xlws.SORT(_xlfn.UNIQUE(_xlfn._xlws.FILTER(_xlpm.src,_xlpm.src&lt;&gt;""))), IFERROR(INDEX(_xlpm.u,ROWS(A$2:A301)),""))</f>
        <v/>
      </c>
      <c r="B301" s="118"/>
      <c r="C301" s="118"/>
      <c r="D301" s="118"/>
      <c r="E301" s="118"/>
      <c r="F301" s="118"/>
      <c r="G301" s="119" t="str">
        <f>IF(tblProcurement2026[[#This Row],[Committed (All Expenses)]]=0,"",tblProcurement2026[[#This Row],[Paid/Realised]]/tblProcurement2026[[#This Row],[Committed (All Expenses)]])</f>
        <v/>
      </c>
      <c r="H301" s="120" t="e" cm="1">
        <f t="array" aca="1" ref="H301" ca="1">_xlfn.LET(_xlpm.p,tblProcurement2026[[#This Row],[Project Name]], _xlpm.nxt,MIN( IF((#REF!=_xlpm.p)*(#REF!&gt;TODAY()),#REF!)), IF(_xlpm.nxt=0,"",_xlpm.nxt-TODAY()))</f>
        <v>#REF!</v>
      </c>
      <c r="J301" s="118"/>
      <c r="K301" s="121"/>
      <c r="M301" s="118"/>
      <c r="N301" s="121"/>
      <c r="Q301" s="118"/>
      <c r="R301" s="118"/>
    </row>
    <row r="302" spans="1:18">
      <c r="A302" t="str" cm="1">
        <f t="array" ref="A302">_xlfn.LET(_xlpm.src,TRIM(#REF!), _xlpm.u,_xlfn._xlws.SORT(_xlfn.UNIQUE(_xlfn._xlws.FILTER(_xlpm.src,_xlpm.src&lt;&gt;""))), IFERROR(INDEX(_xlpm.u,ROWS(A$2:A302)),""))</f>
        <v/>
      </c>
      <c r="B302" s="118"/>
      <c r="C302" s="118"/>
      <c r="D302" s="118"/>
      <c r="E302" s="118"/>
      <c r="F302" s="118"/>
      <c r="G302" s="119" t="str">
        <f>IF(tblProcurement2026[[#This Row],[Committed (All Expenses)]]=0,"",tblProcurement2026[[#This Row],[Paid/Realised]]/tblProcurement2026[[#This Row],[Committed (All Expenses)]])</f>
        <v/>
      </c>
      <c r="H302" s="120" t="e" cm="1">
        <f t="array" aca="1" ref="H302" ca="1">_xlfn.LET(_xlpm.p,tblProcurement2026[[#This Row],[Project Name]], _xlpm.nxt,MIN( IF((#REF!=_xlpm.p)*(#REF!&gt;TODAY()),#REF!)), IF(_xlpm.nxt=0,"",_xlpm.nxt-TODAY()))</f>
        <v>#REF!</v>
      </c>
      <c r="J302" s="118"/>
      <c r="K302" s="121"/>
      <c r="M302" s="118"/>
      <c r="N302" s="121"/>
      <c r="Q302" s="118"/>
      <c r="R302" s="118"/>
    </row>
    <row r="303" spans="1:18">
      <c r="A303" t="str" cm="1">
        <f t="array" ref="A303">_xlfn.LET(_xlpm.src,TRIM(#REF!), _xlpm.u,_xlfn._xlws.SORT(_xlfn.UNIQUE(_xlfn._xlws.FILTER(_xlpm.src,_xlpm.src&lt;&gt;""))), IFERROR(INDEX(_xlpm.u,ROWS(A$2:A303)),""))</f>
        <v/>
      </c>
      <c r="B303" s="118"/>
      <c r="C303" s="118"/>
      <c r="D303" s="118"/>
      <c r="E303" s="118"/>
      <c r="F303" s="118"/>
      <c r="G303" s="119" t="str">
        <f>IF(tblProcurement2026[[#This Row],[Committed (All Expenses)]]=0,"",tblProcurement2026[[#This Row],[Paid/Realised]]/tblProcurement2026[[#This Row],[Committed (All Expenses)]])</f>
        <v/>
      </c>
      <c r="H303" s="120" t="e" cm="1">
        <f t="array" aca="1" ref="H303" ca="1">_xlfn.LET(_xlpm.p,tblProcurement2026[[#This Row],[Project Name]], _xlpm.nxt,MIN( IF((#REF!=_xlpm.p)*(#REF!&gt;TODAY()),#REF!)), IF(_xlpm.nxt=0,"",_xlpm.nxt-TODAY()))</f>
        <v>#REF!</v>
      </c>
      <c r="J303" s="118"/>
      <c r="K303" s="121"/>
      <c r="M303" s="118"/>
      <c r="N303" s="121"/>
      <c r="Q303" s="118"/>
      <c r="R303" s="118"/>
    </row>
    <row r="304" spans="1:18">
      <c r="A304" t="str" cm="1">
        <f t="array" ref="A304">_xlfn.LET(_xlpm.src,TRIM(#REF!), _xlpm.u,_xlfn._xlws.SORT(_xlfn.UNIQUE(_xlfn._xlws.FILTER(_xlpm.src,_xlpm.src&lt;&gt;""))), IFERROR(INDEX(_xlpm.u,ROWS(A$2:A304)),""))</f>
        <v/>
      </c>
      <c r="B304" s="118"/>
      <c r="C304" s="118"/>
      <c r="D304" s="118"/>
      <c r="E304" s="118"/>
      <c r="F304" s="118"/>
      <c r="G304" s="119" t="str">
        <f>IF(tblProcurement2026[[#This Row],[Committed (All Expenses)]]=0,"",tblProcurement2026[[#This Row],[Paid/Realised]]/tblProcurement2026[[#This Row],[Committed (All Expenses)]])</f>
        <v/>
      </c>
      <c r="H304" s="120" t="e" cm="1">
        <f t="array" aca="1" ref="H304" ca="1">_xlfn.LET(_xlpm.p,tblProcurement2026[[#This Row],[Project Name]], _xlpm.nxt,MIN( IF((#REF!=_xlpm.p)*(#REF!&gt;TODAY()),#REF!)), IF(_xlpm.nxt=0,"",_xlpm.nxt-TODAY()))</f>
        <v>#REF!</v>
      </c>
      <c r="J304" s="118"/>
      <c r="K304" s="121"/>
      <c r="M304" s="118"/>
      <c r="N304" s="121"/>
      <c r="Q304" s="118"/>
      <c r="R304" s="118"/>
    </row>
    <row r="305" spans="1:18">
      <c r="A305" t="str" cm="1">
        <f t="array" ref="A305">_xlfn.LET(_xlpm.src,TRIM(#REF!), _xlpm.u,_xlfn._xlws.SORT(_xlfn.UNIQUE(_xlfn._xlws.FILTER(_xlpm.src,_xlpm.src&lt;&gt;""))), IFERROR(INDEX(_xlpm.u,ROWS(A$2:A305)),""))</f>
        <v/>
      </c>
      <c r="B305" s="118"/>
      <c r="C305" s="118"/>
      <c r="D305" s="118"/>
      <c r="E305" s="118"/>
      <c r="F305" s="118"/>
      <c r="G305" s="119" t="str">
        <f>IF(tblProcurement2026[[#This Row],[Committed (All Expenses)]]=0,"",tblProcurement2026[[#This Row],[Paid/Realised]]/tblProcurement2026[[#This Row],[Committed (All Expenses)]])</f>
        <v/>
      </c>
      <c r="H305" s="120" t="e" cm="1">
        <f t="array" aca="1" ref="H305" ca="1">_xlfn.LET(_xlpm.p,tblProcurement2026[[#This Row],[Project Name]], _xlpm.nxt,MIN( IF((#REF!=_xlpm.p)*(#REF!&gt;TODAY()),#REF!)), IF(_xlpm.nxt=0,"",_xlpm.nxt-TODAY()))</f>
        <v>#REF!</v>
      </c>
      <c r="J305" s="118"/>
      <c r="K305" s="121"/>
      <c r="M305" s="118"/>
      <c r="N305" s="121"/>
      <c r="Q305" s="118"/>
      <c r="R305" s="118"/>
    </row>
    <row r="306" spans="1:18">
      <c r="A306" t="str" cm="1">
        <f t="array" ref="A306">_xlfn.LET(_xlpm.src,TRIM(#REF!), _xlpm.u,_xlfn._xlws.SORT(_xlfn.UNIQUE(_xlfn._xlws.FILTER(_xlpm.src,_xlpm.src&lt;&gt;""))), IFERROR(INDEX(_xlpm.u,ROWS(A$2:A306)),""))</f>
        <v/>
      </c>
      <c r="B306" s="118"/>
      <c r="C306" s="118"/>
      <c r="D306" s="118"/>
      <c r="E306" s="118"/>
      <c r="F306" s="118"/>
      <c r="G306" s="119" t="str">
        <f>IF(tblProcurement2026[[#This Row],[Committed (All Expenses)]]=0,"",tblProcurement2026[[#This Row],[Paid/Realised]]/tblProcurement2026[[#This Row],[Committed (All Expenses)]])</f>
        <v/>
      </c>
      <c r="H306" s="120" t="e" cm="1">
        <f t="array" aca="1" ref="H306" ca="1">_xlfn.LET(_xlpm.p,tblProcurement2026[[#This Row],[Project Name]], _xlpm.nxt,MIN( IF((#REF!=_xlpm.p)*(#REF!&gt;TODAY()),#REF!)), IF(_xlpm.nxt=0,"",_xlpm.nxt-TODAY()))</f>
        <v>#REF!</v>
      </c>
      <c r="J306" s="118"/>
      <c r="K306" s="121"/>
      <c r="M306" s="118"/>
      <c r="N306" s="121"/>
      <c r="Q306" s="118"/>
      <c r="R306" s="118"/>
    </row>
    <row r="307" spans="1:18">
      <c r="A307" t="str" cm="1">
        <f t="array" ref="A307">_xlfn.LET(_xlpm.src,TRIM(#REF!), _xlpm.u,_xlfn._xlws.SORT(_xlfn.UNIQUE(_xlfn._xlws.FILTER(_xlpm.src,_xlpm.src&lt;&gt;""))), IFERROR(INDEX(_xlpm.u,ROWS(A$2:A307)),""))</f>
        <v/>
      </c>
      <c r="B307" s="118"/>
      <c r="C307" s="118"/>
      <c r="D307" s="118"/>
      <c r="E307" s="118"/>
      <c r="F307" s="118"/>
      <c r="G307" s="119" t="str">
        <f>IF(tblProcurement2026[[#This Row],[Committed (All Expenses)]]=0,"",tblProcurement2026[[#This Row],[Paid/Realised]]/tblProcurement2026[[#This Row],[Committed (All Expenses)]])</f>
        <v/>
      </c>
      <c r="H307" s="120" t="e" cm="1">
        <f t="array" aca="1" ref="H307" ca="1">_xlfn.LET(_xlpm.p,tblProcurement2026[[#This Row],[Project Name]], _xlpm.nxt,MIN( IF((#REF!=_xlpm.p)*(#REF!&gt;TODAY()),#REF!)), IF(_xlpm.nxt=0,"",_xlpm.nxt-TODAY()))</f>
        <v>#REF!</v>
      </c>
      <c r="J307" s="118"/>
      <c r="K307" s="121"/>
      <c r="M307" s="118"/>
      <c r="N307" s="121"/>
      <c r="Q307" s="118"/>
      <c r="R307" s="118"/>
    </row>
    <row r="308" spans="1:18">
      <c r="A308" t="str" cm="1">
        <f t="array" ref="A308">_xlfn.LET(_xlpm.src,TRIM(#REF!), _xlpm.u,_xlfn._xlws.SORT(_xlfn.UNIQUE(_xlfn._xlws.FILTER(_xlpm.src,_xlpm.src&lt;&gt;""))), IFERROR(INDEX(_xlpm.u,ROWS(A$2:A308)),""))</f>
        <v/>
      </c>
      <c r="B308" s="118"/>
      <c r="C308" s="118"/>
      <c r="D308" s="118"/>
      <c r="E308" s="118"/>
      <c r="F308" s="118"/>
      <c r="G308" s="119" t="str">
        <f>IF(tblProcurement2026[[#This Row],[Committed (All Expenses)]]=0,"",tblProcurement2026[[#This Row],[Paid/Realised]]/tblProcurement2026[[#This Row],[Committed (All Expenses)]])</f>
        <v/>
      </c>
      <c r="H308" s="120" t="e" cm="1">
        <f t="array" aca="1" ref="H308" ca="1">_xlfn.LET(_xlpm.p,tblProcurement2026[[#This Row],[Project Name]], _xlpm.nxt,MIN( IF((#REF!=_xlpm.p)*(#REF!&gt;TODAY()),#REF!)), IF(_xlpm.nxt=0,"",_xlpm.nxt-TODAY()))</f>
        <v>#REF!</v>
      </c>
      <c r="J308" s="118"/>
      <c r="K308" s="121"/>
      <c r="M308" s="118"/>
      <c r="N308" s="121"/>
      <c r="Q308" s="118"/>
      <c r="R308" s="118"/>
    </row>
    <row r="309" spans="1:18">
      <c r="A309" t="str" cm="1">
        <f t="array" ref="A309">_xlfn.LET(_xlpm.src,TRIM(#REF!), _xlpm.u,_xlfn._xlws.SORT(_xlfn.UNIQUE(_xlfn._xlws.FILTER(_xlpm.src,_xlpm.src&lt;&gt;""))), IFERROR(INDEX(_xlpm.u,ROWS(A$2:A309)),""))</f>
        <v/>
      </c>
      <c r="B309" s="118"/>
      <c r="C309" s="118"/>
      <c r="D309" s="118"/>
      <c r="E309" s="118"/>
      <c r="F309" s="118"/>
      <c r="G309" s="119" t="str">
        <f>IF(tblProcurement2026[[#This Row],[Committed (All Expenses)]]=0,"",tblProcurement2026[[#This Row],[Paid/Realised]]/tblProcurement2026[[#This Row],[Committed (All Expenses)]])</f>
        <v/>
      </c>
      <c r="H309" s="120" t="e" cm="1">
        <f t="array" aca="1" ref="H309" ca="1">_xlfn.LET(_xlpm.p,tblProcurement2026[[#This Row],[Project Name]], _xlpm.nxt,MIN( IF((#REF!=_xlpm.p)*(#REF!&gt;TODAY()),#REF!)), IF(_xlpm.nxt=0,"",_xlpm.nxt-TODAY()))</f>
        <v>#REF!</v>
      </c>
      <c r="J309" s="118"/>
      <c r="K309" s="121"/>
      <c r="M309" s="118"/>
      <c r="N309" s="121"/>
      <c r="Q309" s="118"/>
      <c r="R309" s="118"/>
    </row>
    <row r="310" spans="1:18">
      <c r="A310" t="str" cm="1">
        <f t="array" ref="A310">_xlfn.LET(_xlpm.src,TRIM(#REF!), _xlpm.u,_xlfn._xlws.SORT(_xlfn.UNIQUE(_xlfn._xlws.FILTER(_xlpm.src,_xlpm.src&lt;&gt;""))), IFERROR(INDEX(_xlpm.u,ROWS(A$2:A310)),""))</f>
        <v/>
      </c>
      <c r="B310" s="118"/>
      <c r="C310" s="118"/>
      <c r="D310" s="118"/>
      <c r="E310" s="118"/>
      <c r="F310" s="118"/>
      <c r="G310" s="119" t="str">
        <f>IF(tblProcurement2026[[#This Row],[Committed (All Expenses)]]=0,"",tblProcurement2026[[#This Row],[Paid/Realised]]/tblProcurement2026[[#This Row],[Committed (All Expenses)]])</f>
        <v/>
      </c>
      <c r="H310" s="120" t="e" cm="1">
        <f t="array" aca="1" ref="H310" ca="1">_xlfn.LET(_xlpm.p,tblProcurement2026[[#This Row],[Project Name]], _xlpm.nxt,MIN( IF((#REF!=_xlpm.p)*(#REF!&gt;TODAY()),#REF!)), IF(_xlpm.nxt=0,"",_xlpm.nxt-TODAY()))</f>
        <v>#REF!</v>
      </c>
      <c r="J310" s="118"/>
      <c r="K310" s="121"/>
      <c r="M310" s="118"/>
      <c r="N310" s="121"/>
      <c r="Q310" s="118"/>
      <c r="R310" s="118"/>
    </row>
    <row r="311" spans="1:18">
      <c r="A311" t="str" cm="1">
        <f t="array" ref="A311">_xlfn.LET(_xlpm.src,TRIM(#REF!), _xlpm.u,_xlfn._xlws.SORT(_xlfn.UNIQUE(_xlfn._xlws.FILTER(_xlpm.src,_xlpm.src&lt;&gt;""))), IFERROR(INDEX(_xlpm.u,ROWS(A$2:A311)),""))</f>
        <v/>
      </c>
      <c r="B311" s="118"/>
      <c r="C311" s="118"/>
      <c r="D311" s="118"/>
      <c r="E311" s="118"/>
      <c r="F311" s="118"/>
      <c r="G311" s="119" t="str">
        <f>IF(tblProcurement2026[[#This Row],[Committed (All Expenses)]]=0,"",tblProcurement2026[[#This Row],[Paid/Realised]]/tblProcurement2026[[#This Row],[Committed (All Expenses)]])</f>
        <v/>
      </c>
      <c r="H311" s="120" t="e" cm="1">
        <f t="array" aca="1" ref="H311" ca="1">_xlfn.LET(_xlpm.p,tblProcurement2026[[#This Row],[Project Name]], _xlpm.nxt,MIN( IF((#REF!=_xlpm.p)*(#REF!&gt;TODAY()),#REF!)), IF(_xlpm.nxt=0,"",_xlpm.nxt-TODAY()))</f>
        <v>#REF!</v>
      </c>
      <c r="J311" s="118"/>
      <c r="K311" s="121"/>
      <c r="M311" s="118"/>
      <c r="N311" s="121"/>
      <c r="Q311" s="118"/>
      <c r="R311" s="118"/>
    </row>
    <row r="312" spans="1:18">
      <c r="A312" t="str" cm="1">
        <f t="array" ref="A312">_xlfn.LET(_xlpm.src,TRIM(#REF!), _xlpm.u,_xlfn._xlws.SORT(_xlfn.UNIQUE(_xlfn._xlws.FILTER(_xlpm.src,_xlpm.src&lt;&gt;""))), IFERROR(INDEX(_xlpm.u,ROWS(A$2:A312)),""))</f>
        <v/>
      </c>
      <c r="B312" s="118"/>
      <c r="C312" s="118"/>
      <c r="D312" s="118"/>
      <c r="E312" s="118"/>
      <c r="F312" s="118"/>
      <c r="G312" s="119" t="str">
        <f>IF(tblProcurement2026[[#This Row],[Committed (All Expenses)]]=0,"",tblProcurement2026[[#This Row],[Paid/Realised]]/tblProcurement2026[[#This Row],[Committed (All Expenses)]])</f>
        <v/>
      </c>
      <c r="H312" s="120" t="e" cm="1">
        <f t="array" aca="1" ref="H312" ca="1">_xlfn.LET(_xlpm.p,tblProcurement2026[[#This Row],[Project Name]], _xlpm.nxt,MIN( IF((#REF!=_xlpm.p)*(#REF!&gt;TODAY()),#REF!)), IF(_xlpm.nxt=0,"",_xlpm.nxt-TODAY()))</f>
        <v>#REF!</v>
      </c>
      <c r="J312" s="118"/>
      <c r="K312" s="121"/>
      <c r="M312" s="118"/>
      <c r="N312" s="121"/>
      <c r="Q312" s="118"/>
      <c r="R312" s="118"/>
    </row>
    <row r="313" spans="1:18">
      <c r="A313" t="str" cm="1">
        <f t="array" ref="A313">_xlfn.LET(_xlpm.src,TRIM(#REF!), _xlpm.u,_xlfn._xlws.SORT(_xlfn.UNIQUE(_xlfn._xlws.FILTER(_xlpm.src,_xlpm.src&lt;&gt;""))), IFERROR(INDEX(_xlpm.u,ROWS(A$2:A313)),""))</f>
        <v/>
      </c>
      <c r="B313" s="118"/>
      <c r="C313" s="118"/>
      <c r="D313" s="118"/>
      <c r="E313" s="118"/>
      <c r="F313" s="118"/>
      <c r="G313" s="119" t="str">
        <f>IF(tblProcurement2026[[#This Row],[Committed (All Expenses)]]=0,"",tblProcurement2026[[#This Row],[Paid/Realised]]/tblProcurement2026[[#This Row],[Committed (All Expenses)]])</f>
        <v/>
      </c>
      <c r="H313" s="120" t="e" cm="1">
        <f t="array" aca="1" ref="H313" ca="1">_xlfn.LET(_xlpm.p,tblProcurement2026[[#This Row],[Project Name]], _xlpm.nxt,MIN( IF((#REF!=_xlpm.p)*(#REF!&gt;TODAY()),#REF!)), IF(_xlpm.nxt=0,"",_xlpm.nxt-TODAY()))</f>
        <v>#REF!</v>
      </c>
      <c r="J313" s="118"/>
      <c r="K313" s="121"/>
      <c r="M313" s="118"/>
      <c r="N313" s="121"/>
      <c r="Q313" s="118"/>
      <c r="R313" s="118"/>
    </row>
    <row r="314" spans="1:18">
      <c r="A314" t="str" cm="1">
        <f t="array" ref="A314">_xlfn.LET(_xlpm.src,TRIM(#REF!), _xlpm.u,_xlfn._xlws.SORT(_xlfn.UNIQUE(_xlfn._xlws.FILTER(_xlpm.src,_xlpm.src&lt;&gt;""))), IFERROR(INDEX(_xlpm.u,ROWS(A$2:A314)),""))</f>
        <v/>
      </c>
      <c r="B314" s="118"/>
      <c r="C314" s="118"/>
      <c r="D314" s="118"/>
      <c r="E314" s="118"/>
      <c r="F314" s="118"/>
      <c r="G314" s="119" t="str">
        <f>IF(tblProcurement2026[[#This Row],[Committed (All Expenses)]]=0,"",tblProcurement2026[[#This Row],[Paid/Realised]]/tblProcurement2026[[#This Row],[Committed (All Expenses)]])</f>
        <v/>
      </c>
      <c r="H314" s="120" t="e" cm="1">
        <f t="array" aca="1" ref="H314" ca="1">_xlfn.LET(_xlpm.p,tblProcurement2026[[#This Row],[Project Name]], _xlpm.nxt,MIN( IF((#REF!=_xlpm.p)*(#REF!&gt;TODAY()),#REF!)), IF(_xlpm.nxt=0,"",_xlpm.nxt-TODAY()))</f>
        <v>#REF!</v>
      </c>
      <c r="J314" s="118"/>
      <c r="K314" s="121"/>
      <c r="M314" s="118"/>
      <c r="N314" s="121"/>
      <c r="Q314" s="118"/>
      <c r="R314" s="118"/>
    </row>
    <row r="315" spans="1:18">
      <c r="A315" t="str" cm="1">
        <f t="array" ref="A315">_xlfn.LET(_xlpm.src,TRIM(#REF!), _xlpm.u,_xlfn._xlws.SORT(_xlfn.UNIQUE(_xlfn._xlws.FILTER(_xlpm.src,_xlpm.src&lt;&gt;""))), IFERROR(INDEX(_xlpm.u,ROWS(A$2:A315)),""))</f>
        <v/>
      </c>
      <c r="B315" s="118"/>
      <c r="C315" s="118"/>
      <c r="D315" s="118"/>
      <c r="E315" s="118"/>
      <c r="F315" s="118"/>
      <c r="G315" s="119" t="str">
        <f>IF(tblProcurement2026[[#This Row],[Committed (All Expenses)]]=0,"",tblProcurement2026[[#This Row],[Paid/Realised]]/tblProcurement2026[[#This Row],[Committed (All Expenses)]])</f>
        <v/>
      </c>
      <c r="H315" s="120" t="e" cm="1">
        <f t="array" aca="1" ref="H315" ca="1">_xlfn.LET(_xlpm.p,tblProcurement2026[[#This Row],[Project Name]], _xlpm.nxt,MIN( IF((#REF!=_xlpm.p)*(#REF!&gt;TODAY()),#REF!)), IF(_xlpm.nxt=0,"",_xlpm.nxt-TODAY()))</f>
        <v>#REF!</v>
      </c>
      <c r="J315" s="118"/>
      <c r="K315" s="121"/>
      <c r="M315" s="118"/>
      <c r="N315" s="121"/>
      <c r="Q315" s="118"/>
      <c r="R315" s="118"/>
    </row>
    <row r="316" spans="1:18">
      <c r="A316" t="str" cm="1">
        <f t="array" ref="A316">_xlfn.LET(_xlpm.src,TRIM(#REF!), _xlpm.u,_xlfn._xlws.SORT(_xlfn.UNIQUE(_xlfn._xlws.FILTER(_xlpm.src,_xlpm.src&lt;&gt;""))), IFERROR(INDEX(_xlpm.u,ROWS(A$2:A316)),""))</f>
        <v/>
      </c>
      <c r="B316" s="118"/>
      <c r="C316" s="118"/>
      <c r="D316" s="118"/>
      <c r="E316" s="118"/>
      <c r="F316" s="118"/>
      <c r="G316" s="119" t="str">
        <f>IF(tblProcurement2026[[#This Row],[Committed (All Expenses)]]=0,"",tblProcurement2026[[#This Row],[Paid/Realised]]/tblProcurement2026[[#This Row],[Committed (All Expenses)]])</f>
        <v/>
      </c>
      <c r="H316" s="120" t="e" cm="1">
        <f t="array" aca="1" ref="H316" ca="1">_xlfn.LET(_xlpm.p,tblProcurement2026[[#This Row],[Project Name]], _xlpm.nxt,MIN( IF((#REF!=_xlpm.p)*(#REF!&gt;TODAY()),#REF!)), IF(_xlpm.nxt=0,"",_xlpm.nxt-TODAY()))</f>
        <v>#REF!</v>
      </c>
      <c r="J316" s="118"/>
      <c r="K316" s="121"/>
      <c r="M316" s="118"/>
      <c r="N316" s="121"/>
      <c r="Q316" s="118"/>
      <c r="R316" s="118"/>
    </row>
    <row r="317" spans="1:18">
      <c r="A317" t="str" cm="1">
        <f t="array" ref="A317">_xlfn.LET(_xlpm.src,TRIM(#REF!), _xlpm.u,_xlfn._xlws.SORT(_xlfn.UNIQUE(_xlfn._xlws.FILTER(_xlpm.src,_xlpm.src&lt;&gt;""))), IFERROR(INDEX(_xlpm.u,ROWS(A$2:A317)),""))</f>
        <v/>
      </c>
      <c r="B317" s="118"/>
      <c r="C317" s="118"/>
      <c r="D317" s="118"/>
      <c r="E317" s="118"/>
      <c r="F317" s="118"/>
      <c r="G317" s="119" t="str">
        <f>IF(tblProcurement2026[[#This Row],[Committed (All Expenses)]]=0,"",tblProcurement2026[[#This Row],[Paid/Realised]]/tblProcurement2026[[#This Row],[Committed (All Expenses)]])</f>
        <v/>
      </c>
      <c r="H317" s="120" t="e" cm="1">
        <f t="array" aca="1" ref="H317" ca="1">_xlfn.LET(_xlpm.p,tblProcurement2026[[#This Row],[Project Name]], _xlpm.nxt,MIN( IF((#REF!=_xlpm.p)*(#REF!&gt;TODAY()),#REF!)), IF(_xlpm.nxt=0,"",_xlpm.nxt-TODAY()))</f>
        <v>#REF!</v>
      </c>
      <c r="J317" s="118"/>
      <c r="K317" s="121"/>
      <c r="M317" s="118"/>
      <c r="N317" s="121"/>
      <c r="Q317" s="118"/>
      <c r="R317" s="118"/>
    </row>
    <row r="318" spans="1:18">
      <c r="A318" t="str" cm="1">
        <f t="array" ref="A318">_xlfn.LET(_xlpm.src,TRIM(#REF!), _xlpm.u,_xlfn._xlws.SORT(_xlfn.UNIQUE(_xlfn._xlws.FILTER(_xlpm.src,_xlpm.src&lt;&gt;""))), IFERROR(INDEX(_xlpm.u,ROWS(A$2:A318)),""))</f>
        <v/>
      </c>
      <c r="B318" s="118"/>
      <c r="C318" s="118"/>
      <c r="D318" s="118"/>
      <c r="E318" s="118"/>
      <c r="F318" s="118"/>
      <c r="G318" s="119" t="str">
        <f>IF(tblProcurement2026[[#This Row],[Committed (All Expenses)]]=0,"",tblProcurement2026[[#This Row],[Paid/Realised]]/tblProcurement2026[[#This Row],[Committed (All Expenses)]])</f>
        <v/>
      </c>
      <c r="H318" s="120" t="e" cm="1">
        <f t="array" aca="1" ref="H318" ca="1">_xlfn.LET(_xlpm.p,tblProcurement2026[[#This Row],[Project Name]], _xlpm.nxt,MIN( IF((#REF!=_xlpm.p)*(#REF!&gt;TODAY()),#REF!)), IF(_xlpm.nxt=0,"",_xlpm.nxt-TODAY()))</f>
        <v>#REF!</v>
      </c>
      <c r="J318" s="118"/>
      <c r="K318" s="121"/>
      <c r="M318" s="118"/>
      <c r="N318" s="121"/>
      <c r="Q318" s="118"/>
      <c r="R318" s="118"/>
    </row>
    <row r="319" spans="1:18">
      <c r="A319" t="str" cm="1">
        <f t="array" ref="A319">_xlfn.LET(_xlpm.src,TRIM(#REF!), _xlpm.u,_xlfn._xlws.SORT(_xlfn.UNIQUE(_xlfn._xlws.FILTER(_xlpm.src,_xlpm.src&lt;&gt;""))), IFERROR(INDEX(_xlpm.u,ROWS(A$2:A319)),""))</f>
        <v/>
      </c>
      <c r="B319" s="118"/>
      <c r="C319" s="118"/>
      <c r="D319" s="118"/>
      <c r="E319" s="118"/>
      <c r="F319" s="118"/>
      <c r="G319" s="119" t="str">
        <f>IF(tblProcurement2026[[#This Row],[Committed (All Expenses)]]=0,"",tblProcurement2026[[#This Row],[Paid/Realised]]/tblProcurement2026[[#This Row],[Committed (All Expenses)]])</f>
        <v/>
      </c>
      <c r="H319" s="120" t="e" cm="1">
        <f t="array" aca="1" ref="H319" ca="1">_xlfn.LET(_xlpm.p,tblProcurement2026[[#This Row],[Project Name]], _xlpm.nxt,MIN( IF((#REF!=_xlpm.p)*(#REF!&gt;TODAY()),#REF!)), IF(_xlpm.nxt=0,"",_xlpm.nxt-TODAY()))</f>
        <v>#REF!</v>
      </c>
      <c r="J319" s="118"/>
      <c r="K319" s="121"/>
      <c r="M319" s="118"/>
      <c r="N319" s="121"/>
      <c r="Q319" s="118"/>
      <c r="R319" s="118"/>
    </row>
    <row r="320" spans="1:18">
      <c r="A320" t="str" cm="1">
        <f t="array" ref="A320">_xlfn.LET(_xlpm.src,TRIM(#REF!), _xlpm.u,_xlfn._xlws.SORT(_xlfn.UNIQUE(_xlfn._xlws.FILTER(_xlpm.src,_xlpm.src&lt;&gt;""))), IFERROR(INDEX(_xlpm.u,ROWS(A$2:A320)),""))</f>
        <v/>
      </c>
      <c r="B320" s="118"/>
      <c r="C320" s="118"/>
      <c r="D320" s="118"/>
      <c r="E320" s="118"/>
      <c r="F320" s="118"/>
      <c r="G320" s="119" t="str">
        <f>IF(tblProcurement2026[[#This Row],[Committed (All Expenses)]]=0,"",tblProcurement2026[[#This Row],[Paid/Realised]]/tblProcurement2026[[#This Row],[Committed (All Expenses)]])</f>
        <v/>
      </c>
      <c r="H320" s="120" t="e" cm="1">
        <f t="array" aca="1" ref="H320" ca="1">_xlfn.LET(_xlpm.p,tblProcurement2026[[#This Row],[Project Name]], _xlpm.nxt,MIN( IF((#REF!=_xlpm.p)*(#REF!&gt;TODAY()),#REF!)), IF(_xlpm.nxt=0,"",_xlpm.nxt-TODAY()))</f>
        <v>#REF!</v>
      </c>
      <c r="J320" s="118"/>
      <c r="K320" s="121"/>
      <c r="M320" s="118"/>
      <c r="N320" s="121"/>
      <c r="Q320" s="118"/>
      <c r="R320" s="118"/>
    </row>
    <row r="321" spans="1:18">
      <c r="A321" t="str" cm="1">
        <f t="array" ref="A321">_xlfn.LET(_xlpm.src,TRIM(#REF!), _xlpm.u,_xlfn._xlws.SORT(_xlfn.UNIQUE(_xlfn._xlws.FILTER(_xlpm.src,_xlpm.src&lt;&gt;""))), IFERROR(INDEX(_xlpm.u,ROWS(A$2:A321)),""))</f>
        <v/>
      </c>
      <c r="B321" s="118"/>
      <c r="C321" s="118"/>
      <c r="D321" s="118"/>
      <c r="E321" s="118"/>
      <c r="F321" s="118"/>
      <c r="G321" s="119" t="str">
        <f>IF(tblProcurement2026[[#This Row],[Committed (All Expenses)]]=0,"",tblProcurement2026[[#This Row],[Paid/Realised]]/tblProcurement2026[[#This Row],[Committed (All Expenses)]])</f>
        <v/>
      </c>
      <c r="H321" s="120" t="e" cm="1">
        <f t="array" aca="1" ref="H321" ca="1">_xlfn.LET(_xlpm.p,tblProcurement2026[[#This Row],[Project Name]], _xlpm.nxt,MIN( IF((#REF!=_xlpm.p)*(#REF!&gt;TODAY()),#REF!)), IF(_xlpm.nxt=0,"",_xlpm.nxt-TODAY()))</f>
        <v>#REF!</v>
      </c>
      <c r="J321" s="118"/>
      <c r="K321" s="121"/>
      <c r="M321" s="118"/>
      <c r="N321" s="121"/>
      <c r="Q321" s="118"/>
      <c r="R321" s="118"/>
    </row>
    <row r="322" spans="1:18">
      <c r="A322" t="str" cm="1">
        <f t="array" ref="A322">_xlfn.LET(_xlpm.src,TRIM(#REF!), _xlpm.u,_xlfn._xlws.SORT(_xlfn.UNIQUE(_xlfn._xlws.FILTER(_xlpm.src,_xlpm.src&lt;&gt;""))), IFERROR(INDEX(_xlpm.u,ROWS(A$2:A322)),""))</f>
        <v/>
      </c>
      <c r="B322" s="118"/>
      <c r="C322" s="118"/>
      <c r="D322" s="118"/>
      <c r="E322" s="118"/>
      <c r="F322" s="118"/>
      <c r="G322" s="119" t="str">
        <f>IF(tblProcurement2026[[#This Row],[Committed (All Expenses)]]=0,"",tblProcurement2026[[#This Row],[Paid/Realised]]/tblProcurement2026[[#This Row],[Committed (All Expenses)]])</f>
        <v/>
      </c>
      <c r="H322" s="120" t="e" cm="1">
        <f t="array" aca="1" ref="H322" ca="1">_xlfn.LET(_xlpm.p,tblProcurement2026[[#This Row],[Project Name]], _xlpm.nxt,MIN( IF((#REF!=_xlpm.p)*(#REF!&gt;TODAY()),#REF!)), IF(_xlpm.nxt=0,"",_xlpm.nxt-TODAY()))</f>
        <v>#REF!</v>
      </c>
      <c r="J322" s="118"/>
      <c r="K322" s="121"/>
      <c r="M322" s="118"/>
      <c r="N322" s="121"/>
      <c r="Q322" s="118"/>
      <c r="R322" s="118"/>
    </row>
    <row r="323" spans="1:18">
      <c r="A323" t="str" cm="1">
        <f t="array" ref="A323">_xlfn.LET(_xlpm.src,TRIM(#REF!), _xlpm.u,_xlfn._xlws.SORT(_xlfn.UNIQUE(_xlfn._xlws.FILTER(_xlpm.src,_xlpm.src&lt;&gt;""))), IFERROR(INDEX(_xlpm.u,ROWS(A$2:A323)),""))</f>
        <v/>
      </c>
      <c r="B323" s="118"/>
      <c r="C323" s="118"/>
      <c r="D323" s="118"/>
      <c r="E323" s="118"/>
      <c r="F323" s="118"/>
      <c r="G323" s="119" t="str">
        <f>IF(tblProcurement2026[[#This Row],[Committed (All Expenses)]]=0,"",tblProcurement2026[[#This Row],[Paid/Realised]]/tblProcurement2026[[#This Row],[Committed (All Expenses)]])</f>
        <v/>
      </c>
      <c r="H323" s="120" t="e" cm="1">
        <f t="array" aca="1" ref="H323" ca="1">_xlfn.LET(_xlpm.p,tblProcurement2026[[#This Row],[Project Name]], _xlpm.nxt,MIN( IF((#REF!=_xlpm.p)*(#REF!&gt;TODAY()),#REF!)), IF(_xlpm.nxt=0,"",_xlpm.nxt-TODAY()))</f>
        <v>#REF!</v>
      </c>
      <c r="J323" s="118"/>
      <c r="K323" s="121"/>
      <c r="M323" s="118"/>
      <c r="N323" s="121"/>
      <c r="Q323" s="118"/>
      <c r="R323" s="118"/>
    </row>
    <row r="324" spans="1:18">
      <c r="A324" t="str" cm="1">
        <f t="array" ref="A324">_xlfn.LET(_xlpm.src,TRIM(#REF!), _xlpm.u,_xlfn._xlws.SORT(_xlfn.UNIQUE(_xlfn._xlws.FILTER(_xlpm.src,_xlpm.src&lt;&gt;""))), IFERROR(INDEX(_xlpm.u,ROWS(A$2:A324)),""))</f>
        <v/>
      </c>
      <c r="B324" s="118"/>
      <c r="C324" s="118"/>
      <c r="D324" s="118"/>
      <c r="E324" s="118"/>
      <c r="F324" s="118"/>
      <c r="G324" s="119" t="str">
        <f>IF(tblProcurement2026[[#This Row],[Committed (All Expenses)]]=0,"",tblProcurement2026[[#This Row],[Paid/Realised]]/tblProcurement2026[[#This Row],[Committed (All Expenses)]])</f>
        <v/>
      </c>
      <c r="H324" s="120" t="e" cm="1">
        <f t="array" aca="1" ref="H324" ca="1">_xlfn.LET(_xlpm.p,tblProcurement2026[[#This Row],[Project Name]], _xlpm.nxt,MIN( IF((#REF!=_xlpm.p)*(#REF!&gt;TODAY()),#REF!)), IF(_xlpm.nxt=0,"",_xlpm.nxt-TODAY()))</f>
        <v>#REF!</v>
      </c>
      <c r="J324" s="118"/>
      <c r="K324" s="121"/>
      <c r="M324" s="118"/>
      <c r="N324" s="121"/>
      <c r="Q324" s="118"/>
      <c r="R324" s="118"/>
    </row>
    <row r="325" spans="1:18">
      <c r="A325" t="str" cm="1">
        <f t="array" ref="A325">_xlfn.LET(_xlpm.src,TRIM(#REF!), _xlpm.u,_xlfn._xlws.SORT(_xlfn.UNIQUE(_xlfn._xlws.FILTER(_xlpm.src,_xlpm.src&lt;&gt;""))), IFERROR(INDEX(_xlpm.u,ROWS(A$2:A325)),""))</f>
        <v/>
      </c>
      <c r="B325" s="118"/>
      <c r="C325" s="118"/>
      <c r="D325" s="118"/>
      <c r="E325" s="118"/>
      <c r="F325" s="118"/>
      <c r="G325" s="119" t="str">
        <f>IF(tblProcurement2026[[#This Row],[Committed (All Expenses)]]=0,"",tblProcurement2026[[#This Row],[Paid/Realised]]/tblProcurement2026[[#This Row],[Committed (All Expenses)]])</f>
        <v/>
      </c>
      <c r="H325" s="120" t="e" cm="1">
        <f t="array" aca="1" ref="H325" ca="1">_xlfn.LET(_xlpm.p,tblProcurement2026[[#This Row],[Project Name]], _xlpm.nxt,MIN( IF((#REF!=_xlpm.p)*(#REF!&gt;TODAY()),#REF!)), IF(_xlpm.nxt=0,"",_xlpm.nxt-TODAY()))</f>
        <v>#REF!</v>
      </c>
      <c r="J325" s="118"/>
      <c r="K325" s="121"/>
      <c r="M325" s="118"/>
      <c r="N325" s="121"/>
      <c r="Q325" s="118"/>
      <c r="R325" s="118"/>
    </row>
    <row r="326" spans="1:18">
      <c r="A326" t="str" cm="1">
        <f t="array" ref="A326">_xlfn.LET(_xlpm.src,TRIM(#REF!), _xlpm.u,_xlfn._xlws.SORT(_xlfn.UNIQUE(_xlfn._xlws.FILTER(_xlpm.src,_xlpm.src&lt;&gt;""))), IFERROR(INDEX(_xlpm.u,ROWS(A$2:A326)),""))</f>
        <v/>
      </c>
      <c r="B326" s="118"/>
      <c r="C326" s="118"/>
      <c r="D326" s="118"/>
      <c r="E326" s="118"/>
      <c r="F326" s="118"/>
      <c r="G326" s="119" t="str">
        <f>IF(tblProcurement2026[[#This Row],[Committed (All Expenses)]]=0,"",tblProcurement2026[[#This Row],[Paid/Realised]]/tblProcurement2026[[#This Row],[Committed (All Expenses)]])</f>
        <v/>
      </c>
      <c r="H326" s="120" t="e" cm="1">
        <f t="array" aca="1" ref="H326" ca="1">_xlfn.LET(_xlpm.p,tblProcurement2026[[#This Row],[Project Name]], _xlpm.nxt,MIN( IF((#REF!=_xlpm.p)*(#REF!&gt;TODAY()),#REF!)), IF(_xlpm.nxt=0,"",_xlpm.nxt-TODAY()))</f>
        <v>#REF!</v>
      </c>
      <c r="J326" s="118"/>
      <c r="K326" s="121"/>
      <c r="M326" s="118"/>
      <c r="N326" s="121"/>
      <c r="Q326" s="118"/>
      <c r="R326" s="118"/>
    </row>
    <row r="327" spans="1:18">
      <c r="A327" t="str" cm="1">
        <f t="array" ref="A327">_xlfn.LET(_xlpm.src,TRIM(#REF!), _xlpm.u,_xlfn._xlws.SORT(_xlfn.UNIQUE(_xlfn._xlws.FILTER(_xlpm.src,_xlpm.src&lt;&gt;""))), IFERROR(INDEX(_xlpm.u,ROWS(A$2:A327)),""))</f>
        <v/>
      </c>
      <c r="B327" s="118"/>
      <c r="C327" s="118"/>
      <c r="D327" s="118"/>
      <c r="E327" s="118"/>
      <c r="F327" s="118"/>
      <c r="G327" s="119" t="str">
        <f>IF(tblProcurement2026[[#This Row],[Committed (All Expenses)]]=0,"",tblProcurement2026[[#This Row],[Paid/Realised]]/tblProcurement2026[[#This Row],[Committed (All Expenses)]])</f>
        <v/>
      </c>
      <c r="H327" s="120" t="e" cm="1">
        <f t="array" aca="1" ref="H327" ca="1">_xlfn.LET(_xlpm.p,tblProcurement2026[[#This Row],[Project Name]], _xlpm.nxt,MIN( IF((#REF!=_xlpm.p)*(#REF!&gt;TODAY()),#REF!)), IF(_xlpm.nxt=0,"",_xlpm.nxt-TODAY()))</f>
        <v>#REF!</v>
      </c>
      <c r="J327" s="118"/>
      <c r="K327" s="121"/>
      <c r="M327" s="118"/>
      <c r="N327" s="121"/>
      <c r="Q327" s="118"/>
      <c r="R327" s="118"/>
    </row>
    <row r="328" spans="1:18">
      <c r="A328" t="str" cm="1">
        <f t="array" ref="A328">_xlfn.LET(_xlpm.src,TRIM(#REF!), _xlpm.u,_xlfn._xlws.SORT(_xlfn.UNIQUE(_xlfn._xlws.FILTER(_xlpm.src,_xlpm.src&lt;&gt;""))), IFERROR(INDEX(_xlpm.u,ROWS(A$2:A328)),""))</f>
        <v/>
      </c>
      <c r="B328" s="118"/>
      <c r="C328" s="118"/>
      <c r="D328" s="118"/>
      <c r="E328" s="118"/>
      <c r="F328" s="118"/>
      <c r="G328" s="119" t="str">
        <f>IF(tblProcurement2026[[#This Row],[Committed (All Expenses)]]=0,"",tblProcurement2026[[#This Row],[Paid/Realised]]/tblProcurement2026[[#This Row],[Committed (All Expenses)]])</f>
        <v/>
      </c>
      <c r="H328" s="120" t="e" cm="1">
        <f t="array" aca="1" ref="H328" ca="1">_xlfn.LET(_xlpm.p,tblProcurement2026[[#This Row],[Project Name]], _xlpm.nxt,MIN( IF((#REF!=_xlpm.p)*(#REF!&gt;TODAY()),#REF!)), IF(_xlpm.nxt=0,"",_xlpm.nxt-TODAY()))</f>
        <v>#REF!</v>
      </c>
      <c r="J328" s="118"/>
      <c r="K328" s="121"/>
      <c r="M328" s="118"/>
      <c r="N328" s="121"/>
      <c r="Q328" s="118"/>
      <c r="R328" s="118"/>
    </row>
    <row r="329" spans="1:18">
      <c r="A329" t="str" cm="1">
        <f t="array" ref="A329">_xlfn.LET(_xlpm.src,TRIM(#REF!), _xlpm.u,_xlfn._xlws.SORT(_xlfn.UNIQUE(_xlfn._xlws.FILTER(_xlpm.src,_xlpm.src&lt;&gt;""))), IFERROR(INDEX(_xlpm.u,ROWS(A$2:A329)),""))</f>
        <v/>
      </c>
      <c r="B329" s="118"/>
      <c r="C329" s="118"/>
      <c r="D329" s="118"/>
      <c r="E329" s="118"/>
      <c r="F329" s="118"/>
      <c r="G329" s="119" t="str">
        <f>IF(tblProcurement2026[[#This Row],[Committed (All Expenses)]]=0,"",tblProcurement2026[[#This Row],[Paid/Realised]]/tblProcurement2026[[#This Row],[Committed (All Expenses)]])</f>
        <v/>
      </c>
      <c r="H329" s="120" t="e" cm="1">
        <f t="array" aca="1" ref="H329" ca="1">_xlfn.LET(_xlpm.p,tblProcurement2026[[#This Row],[Project Name]], _xlpm.nxt,MIN( IF((#REF!=_xlpm.p)*(#REF!&gt;TODAY()),#REF!)), IF(_xlpm.nxt=0,"",_xlpm.nxt-TODAY()))</f>
        <v>#REF!</v>
      </c>
      <c r="J329" s="118"/>
      <c r="K329" s="121"/>
      <c r="M329" s="118"/>
      <c r="N329" s="121"/>
      <c r="Q329" s="118"/>
      <c r="R329" s="118"/>
    </row>
    <row r="330" spans="1:18">
      <c r="A330" t="str" cm="1">
        <f t="array" ref="A330">_xlfn.LET(_xlpm.src,TRIM(#REF!), _xlpm.u,_xlfn._xlws.SORT(_xlfn.UNIQUE(_xlfn._xlws.FILTER(_xlpm.src,_xlpm.src&lt;&gt;""))), IFERROR(INDEX(_xlpm.u,ROWS(A$2:A330)),""))</f>
        <v/>
      </c>
      <c r="B330" s="118"/>
      <c r="C330" s="118"/>
      <c r="D330" s="118"/>
      <c r="E330" s="118"/>
      <c r="F330" s="118"/>
      <c r="G330" s="119" t="str">
        <f>IF(tblProcurement2026[[#This Row],[Committed (All Expenses)]]=0,"",tblProcurement2026[[#This Row],[Paid/Realised]]/tblProcurement2026[[#This Row],[Committed (All Expenses)]])</f>
        <v/>
      </c>
      <c r="H330" s="120" t="e" cm="1">
        <f t="array" aca="1" ref="H330" ca="1">_xlfn.LET(_xlpm.p,tblProcurement2026[[#This Row],[Project Name]], _xlpm.nxt,MIN( IF((#REF!=_xlpm.p)*(#REF!&gt;TODAY()),#REF!)), IF(_xlpm.nxt=0,"",_xlpm.nxt-TODAY()))</f>
        <v>#REF!</v>
      </c>
      <c r="J330" s="118"/>
      <c r="K330" s="121"/>
      <c r="M330" s="118"/>
      <c r="N330" s="121"/>
      <c r="Q330" s="118"/>
      <c r="R330" s="118"/>
    </row>
    <row r="331" spans="1:18">
      <c r="A331" t="str" cm="1">
        <f t="array" ref="A331">_xlfn.LET(_xlpm.src,TRIM(#REF!), _xlpm.u,_xlfn._xlws.SORT(_xlfn.UNIQUE(_xlfn._xlws.FILTER(_xlpm.src,_xlpm.src&lt;&gt;""))), IFERROR(INDEX(_xlpm.u,ROWS(A$2:A331)),""))</f>
        <v/>
      </c>
      <c r="B331" s="118"/>
      <c r="C331" s="118"/>
      <c r="D331" s="118"/>
      <c r="E331" s="118"/>
      <c r="F331" s="118"/>
      <c r="G331" s="119" t="str">
        <f>IF(tblProcurement2026[[#This Row],[Committed (All Expenses)]]=0,"",tblProcurement2026[[#This Row],[Paid/Realised]]/tblProcurement2026[[#This Row],[Committed (All Expenses)]])</f>
        <v/>
      </c>
      <c r="H331" s="120" t="e" cm="1">
        <f t="array" aca="1" ref="H331" ca="1">_xlfn.LET(_xlpm.p,tblProcurement2026[[#This Row],[Project Name]], _xlpm.nxt,MIN( IF((#REF!=_xlpm.p)*(#REF!&gt;TODAY()),#REF!)), IF(_xlpm.nxt=0,"",_xlpm.nxt-TODAY()))</f>
        <v>#REF!</v>
      </c>
      <c r="J331" s="118"/>
      <c r="K331" s="121"/>
      <c r="M331" s="118"/>
      <c r="N331" s="121"/>
      <c r="Q331" s="118"/>
      <c r="R331" s="118"/>
    </row>
    <row r="332" spans="1:18">
      <c r="A332" t="str" cm="1">
        <f t="array" ref="A332">_xlfn.LET(_xlpm.src,TRIM(#REF!), _xlpm.u,_xlfn._xlws.SORT(_xlfn.UNIQUE(_xlfn._xlws.FILTER(_xlpm.src,_xlpm.src&lt;&gt;""))), IFERROR(INDEX(_xlpm.u,ROWS(A$2:A332)),""))</f>
        <v/>
      </c>
      <c r="B332" s="118"/>
      <c r="C332" s="118"/>
      <c r="D332" s="118"/>
      <c r="E332" s="118"/>
      <c r="F332" s="118"/>
      <c r="G332" s="119" t="str">
        <f>IF(tblProcurement2026[[#This Row],[Committed (All Expenses)]]=0,"",tblProcurement2026[[#This Row],[Paid/Realised]]/tblProcurement2026[[#This Row],[Committed (All Expenses)]])</f>
        <v/>
      </c>
      <c r="H332" s="120" t="e" cm="1">
        <f t="array" aca="1" ref="H332" ca="1">_xlfn.LET(_xlpm.p,tblProcurement2026[[#This Row],[Project Name]], _xlpm.nxt,MIN( IF((#REF!=_xlpm.p)*(#REF!&gt;TODAY()),#REF!)), IF(_xlpm.nxt=0,"",_xlpm.nxt-TODAY()))</f>
        <v>#REF!</v>
      </c>
      <c r="J332" s="118"/>
      <c r="K332" s="121"/>
      <c r="M332" s="118"/>
      <c r="N332" s="121"/>
      <c r="Q332" s="118"/>
      <c r="R332" s="118"/>
    </row>
    <row r="333" spans="1:18">
      <c r="A333" t="str" cm="1">
        <f t="array" ref="A333">_xlfn.LET(_xlpm.src,TRIM(#REF!), _xlpm.u,_xlfn._xlws.SORT(_xlfn.UNIQUE(_xlfn._xlws.FILTER(_xlpm.src,_xlpm.src&lt;&gt;""))), IFERROR(INDEX(_xlpm.u,ROWS(A$2:A333)),""))</f>
        <v/>
      </c>
      <c r="B333" s="118"/>
      <c r="C333" s="118"/>
      <c r="D333" s="118"/>
      <c r="E333" s="118"/>
      <c r="F333" s="118"/>
      <c r="G333" s="119" t="str">
        <f>IF(tblProcurement2026[[#This Row],[Committed (All Expenses)]]=0,"",tblProcurement2026[[#This Row],[Paid/Realised]]/tblProcurement2026[[#This Row],[Committed (All Expenses)]])</f>
        <v/>
      </c>
      <c r="H333" s="120" t="e" cm="1">
        <f t="array" aca="1" ref="H333" ca="1">_xlfn.LET(_xlpm.p,tblProcurement2026[[#This Row],[Project Name]], _xlpm.nxt,MIN( IF((#REF!=_xlpm.p)*(#REF!&gt;TODAY()),#REF!)), IF(_xlpm.nxt=0,"",_xlpm.nxt-TODAY()))</f>
        <v>#REF!</v>
      </c>
      <c r="J333" s="118"/>
      <c r="K333" s="121"/>
      <c r="M333" s="118"/>
      <c r="N333" s="121"/>
      <c r="Q333" s="118"/>
      <c r="R333" s="118"/>
    </row>
    <row r="334" spans="1:18">
      <c r="A334" t="str" cm="1">
        <f t="array" ref="A334">_xlfn.LET(_xlpm.src,TRIM(#REF!), _xlpm.u,_xlfn._xlws.SORT(_xlfn.UNIQUE(_xlfn._xlws.FILTER(_xlpm.src,_xlpm.src&lt;&gt;""))), IFERROR(INDEX(_xlpm.u,ROWS(A$2:A334)),""))</f>
        <v/>
      </c>
      <c r="B334" s="118"/>
      <c r="C334" s="118"/>
      <c r="D334" s="118"/>
      <c r="E334" s="118"/>
      <c r="F334" s="118"/>
      <c r="G334" s="119" t="str">
        <f>IF(tblProcurement2026[[#This Row],[Committed (All Expenses)]]=0,"",tblProcurement2026[[#This Row],[Paid/Realised]]/tblProcurement2026[[#This Row],[Committed (All Expenses)]])</f>
        <v/>
      </c>
      <c r="H334" s="120" t="e" cm="1">
        <f t="array" aca="1" ref="H334" ca="1">_xlfn.LET(_xlpm.p,tblProcurement2026[[#This Row],[Project Name]], _xlpm.nxt,MIN( IF((#REF!=_xlpm.p)*(#REF!&gt;TODAY()),#REF!)), IF(_xlpm.nxt=0,"",_xlpm.nxt-TODAY()))</f>
        <v>#REF!</v>
      </c>
      <c r="J334" s="118"/>
      <c r="K334" s="121"/>
      <c r="M334" s="118"/>
      <c r="N334" s="121"/>
      <c r="Q334" s="118"/>
      <c r="R334" s="118"/>
    </row>
    <row r="335" spans="1:18">
      <c r="A335" t="str" cm="1">
        <f t="array" ref="A335">_xlfn.LET(_xlpm.src,TRIM(#REF!), _xlpm.u,_xlfn._xlws.SORT(_xlfn.UNIQUE(_xlfn._xlws.FILTER(_xlpm.src,_xlpm.src&lt;&gt;""))), IFERROR(INDEX(_xlpm.u,ROWS(A$2:A335)),""))</f>
        <v/>
      </c>
      <c r="B335" s="118"/>
      <c r="C335" s="118"/>
      <c r="D335" s="118"/>
      <c r="E335" s="118"/>
      <c r="F335" s="118"/>
      <c r="G335" s="119" t="str">
        <f>IF(tblProcurement2026[[#This Row],[Committed (All Expenses)]]=0,"",tblProcurement2026[[#This Row],[Paid/Realised]]/tblProcurement2026[[#This Row],[Committed (All Expenses)]])</f>
        <v/>
      </c>
      <c r="H335" s="120" t="e" cm="1">
        <f t="array" aca="1" ref="H335" ca="1">_xlfn.LET(_xlpm.p,tblProcurement2026[[#This Row],[Project Name]], _xlpm.nxt,MIN( IF((#REF!=_xlpm.p)*(#REF!&gt;TODAY()),#REF!)), IF(_xlpm.nxt=0,"",_xlpm.nxt-TODAY()))</f>
        <v>#REF!</v>
      </c>
      <c r="J335" s="118"/>
      <c r="K335" s="121"/>
      <c r="M335" s="118"/>
      <c r="N335" s="121"/>
      <c r="Q335" s="118"/>
      <c r="R335" s="118"/>
    </row>
    <row r="336" spans="1:18">
      <c r="A336" t="str" cm="1">
        <f t="array" ref="A336">_xlfn.LET(_xlpm.src,TRIM(#REF!), _xlpm.u,_xlfn._xlws.SORT(_xlfn.UNIQUE(_xlfn._xlws.FILTER(_xlpm.src,_xlpm.src&lt;&gt;""))), IFERROR(INDEX(_xlpm.u,ROWS(A$2:A336)),""))</f>
        <v/>
      </c>
      <c r="B336" s="118"/>
      <c r="C336" s="118"/>
      <c r="D336" s="118"/>
      <c r="E336" s="118"/>
      <c r="F336" s="118"/>
      <c r="G336" s="119" t="str">
        <f>IF(tblProcurement2026[[#This Row],[Committed (All Expenses)]]=0,"",tblProcurement2026[[#This Row],[Paid/Realised]]/tblProcurement2026[[#This Row],[Committed (All Expenses)]])</f>
        <v/>
      </c>
      <c r="H336" s="120" t="e" cm="1">
        <f t="array" aca="1" ref="H336" ca="1">_xlfn.LET(_xlpm.p,tblProcurement2026[[#This Row],[Project Name]], _xlpm.nxt,MIN( IF((#REF!=_xlpm.p)*(#REF!&gt;TODAY()),#REF!)), IF(_xlpm.nxt=0,"",_xlpm.nxt-TODAY()))</f>
        <v>#REF!</v>
      </c>
      <c r="J336" s="118"/>
      <c r="K336" s="121"/>
      <c r="M336" s="118"/>
      <c r="N336" s="121"/>
      <c r="Q336" s="118"/>
      <c r="R336" s="118"/>
    </row>
    <row r="337" spans="1:18">
      <c r="A337" t="str" cm="1">
        <f t="array" ref="A337">_xlfn.LET(_xlpm.src,TRIM(#REF!), _xlpm.u,_xlfn._xlws.SORT(_xlfn.UNIQUE(_xlfn._xlws.FILTER(_xlpm.src,_xlpm.src&lt;&gt;""))), IFERROR(INDEX(_xlpm.u,ROWS(A$2:A337)),""))</f>
        <v/>
      </c>
      <c r="B337" s="118"/>
      <c r="C337" s="118"/>
      <c r="D337" s="118"/>
      <c r="E337" s="118"/>
      <c r="F337" s="118"/>
      <c r="G337" s="119" t="str">
        <f>IF(tblProcurement2026[[#This Row],[Committed (All Expenses)]]=0,"",tblProcurement2026[[#This Row],[Paid/Realised]]/tblProcurement2026[[#This Row],[Committed (All Expenses)]])</f>
        <v/>
      </c>
      <c r="H337" s="120" t="e" cm="1">
        <f t="array" aca="1" ref="H337" ca="1">_xlfn.LET(_xlpm.p,tblProcurement2026[[#This Row],[Project Name]], _xlpm.nxt,MIN( IF((#REF!=_xlpm.p)*(#REF!&gt;TODAY()),#REF!)), IF(_xlpm.nxt=0,"",_xlpm.nxt-TODAY()))</f>
        <v>#REF!</v>
      </c>
      <c r="J337" s="118"/>
      <c r="K337" s="121"/>
      <c r="M337" s="118"/>
      <c r="N337" s="121"/>
      <c r="Q337" s="118"/>
      <c r="R337" s="118"/>
    </row>
    <row r="338" spans="1:18">
      <c r="A338" t="str" cm="1">
        <f t="array" ref="A338">_xlfn.LET(_xlpm.src,TRIM(#REF!), _xlpm.u,_xlfn._xlws.SORT(_xlfn.UNIQUE(_xlfn._xlws.FILTER(_xlpm.src,_xlpm.src&lt;&gt;""))), IFERROR(INDEX(_xlpm.u,ROWS(A$2:A338)),""))</f>
        <v/>
      </c>
      <c r="B338" s="118"/>
      <c r="C338" s="118"/>
      <c r="D338" s="118"/>
      <c r="E338" s="118"/>
      <c r="F338" s="118"/>
      <c r="G338" s="119" t="str">
        <f>IF(tblProcurement2026[[#This Row],[Committed (All Expenses)]]=0,"",tblProcurement2026[[#This Row],[Paid/Realised]]/tblProcurement2026[[#This Row],[Committed (All Expenses)]])</f>
        <v/>
      </c>
      <c r="H338" s="120" t="e" cm="1">
        <f t="array" aca="1" ref="H338" ca="1">_xlfn.LET(_xlpm.p,tblProcurement2026[[#This Row],[Project Name]], _xlpm.nxt,MIN( IF((#REF!=_xlpm.p)*(#REF!&gt;TODAY()),#REF!)), IF(_xlpm.nxt=0,"",_xlpm.nxt-TODAY()))</f>
        <v>#REF!</v>
      </c>
      <c r="J338" s="118"/>
      <c r="K338" s="121"/>
      <c r="M338" s="118"/>
      <c r="N338" s="121"/>
      <c r="Q338" s="118"/>
      <c r="R338" s="118"/>
    </row>
    <row r="339" spans="1:18">
      <c r="A339" t="str" cm="1">
        <f t="array" ref="A339">_xlfn.LET(_xlpm.src,TRIM(#REF!), _xlpm.u,_xlfn._xlws.SORT(_xlfn.UNIQUE(_xlfn._xlws.FILTER(_xlpm.src,_xlpm.src&lt;&gt;""))), IFERROR(INDEX(_xlpm.u,ROWS(A$2:A339)),""))</f>
        <v/>
      </c>
      <c r="B339" s="118"/>
      <c r="C339" s="118"/>
      <c r="D339" s="118"/>
      <c r="E339" s="118"/>
      <c r="F339" s="118"/>
      <c r="G339" s="119" t="str">
        <f>IF(tblProcurement2026[[#This Row],[Committed (All Expenses)]]=0,"",tblProcurement2026[[#This Row],[Paid/Realised]]/tblProcurement2026[[#This Row],[Committed (All Expenses)]])</f>
        <v/>
      </c>
      <c r="H339" s="120" t="e" cm="1">
        <f t="array" aca="1" ref="H339" ca="1">_xlfn.LET(_xlpm.p,tblProcurement2026[[#This Row],[Project Name]], _xlpm.nxt,MIN( IF((#REF!=_xlpm.p)*(#REF!&gt;TODAY()),#REF!)), IF(_xlpm.nxt=0,"",_xlpm.nxt-TODAY()))</f>
        <v>#REF!</v>
      </c>
      <c r="J339" s="118"/>
      <c r="K339" s="121"/>
      <c r="M339" s="118"/>
      <c r="N339" s="121"/>
      <c r="Q339" s="118"/>
      <c r="R339" s="118"/>
    </row>
    <row r="340" spans="1:18">
      <c r="A340" t="str" cm="1">
        <f t="array" ref="A340">_xlfn.LET(_xlpm.src,TRIM(#REF!), _xlpm.u,_xlfn._xlws.SORT(_xlfn.UNIQUE(_xlfn._xlws.FILTER(_xlpm.src,_xlpm.src&lt;&gt;""))), IFERROR(INDEX(_xlpm.u,ROWS(A$2:A340)),""))</f>
        <v/>
      </c>
      <c r="B340" s="118"/>
      <c r="C340" s="118"/>
      <c r="D340" s="118"/>
      <c r="E340" s="118"/>
      <c r="F340" s="118"/>
      <c r="G340" s="119" t="str">
        <f>IF(tblProcurement2026[[#This Row],[Committed (All Expenses)]]=0,"",tblProcurement2026[[#This Row],[Paid/Realised]]/tblProcurement2026[[#This Row],[Committed (All Expenses)]])</f>
        <v/>
      </c>
      <c r="H340" s="120" t="e" cm="1">
        <f t="array" aca="1" ref="H340" ca="1">_xlfn.LET(_xlpm.p,tblProcurement2026[[#This Row],[Project Name]], _xlpm.nxt,MIN( IF((#REF!=_xlpm.p)*(#REF!&gt;TODAY()),#REF!)), IF(_xlpm.nxt=0,"",_xlpm.nxt-TODAY()))</f>
        <v>#REF!</v>
      </c>
      <c r="J340" s="118"/>
      <c r="K340" s="121"/>
      <c r="M340" s="118"/>
      <c r="N340" s="121"/>
      <c r="Q340" s="118"/>
      <c r="R340" s="118"/>
    </row>
    <row r="341" spans="1:18">
      <c r="A341" t="str" cm="1">
        <f t="array" ref="A341">_xlfn.LET(_xlpm.src,TRIM(#REF!), _xlpm.u,_xlfn._xlws.SORT(_xlfn.UNIQUE(_xlfn._xlws.FILTER(_xlpm.src,_xlpm.src&lt;&gt;""))), IFERROR(INDEX(_xlpm.u,ROWS(A$2:A341)),""))</f>
        <v/>
      </c>
      <c r="B341" s="118"/>
      <c r="C341" s="118"/>
      <c r="D341" s="118"/>
      <c r="E341" s="118"/>
      <c r="F341" s="118"/>
      <c r="G341" s="119" t="str">
        <f>IF(tblProcurement2026[[#This Row],[Committed (All Expenses)]]=0,"",tblProcurement2026[[#This Row],[Paid/Realised]]/tblProcurement2026[[#This Row],[Committed (All Expenses)]])</f>
        <v/>
      </c>
      <c r="H341" s="120" t="e" cm="1">
        <f t="array" aca="1" ref="H341" ca="1">_xlfn.LET(_xlpm.p,tblProcurement2026[[#This Row],[Project Name]], _xlpm.nxt,MIN( IF((#REF!=_xlpm.p)*(#REF!&gt;TODAY()),#REF!)), IF(_xlpm.nxt=0,"",_xlpm.nxt-TODAY()))</f>
        <v>#REF!</v>
      </c>
      <c r="J341" s="118"/>
      <c r="K341" s="121"/>
      <c r="M341" s="118"/>
      <c r="N341" s="121"/>
      <c r="Q341" s="118"/>
      <c r="R341" s="118"/>
    </row>
    <row r="342" spans="1:18">
      <c r="A342" t="str" cm="1">
        <f t="array" ref="A342">_xlfn.LET(_xlpm.src,TRIM(#REF!), _xlpm.u,_xlfn._xlws.SORT(_xlfn.UNIQUE(_xlfn._xlws.FILTER(_xlpm.src,_xlpm.src&lt;&gt;""))), IFERROR(INDEX(_xlpm.u,ROWS(A$2:A342)),""))</f>
        <v/>
      </c>
      <c r="B342" s="118"/>
      <c r="C342" s="118"/>
      <c r="D342" s="118"/>
      <c r="E342" s="118"/>
      <c r="F342" s="118"/>
      <c r="G342" s="119" t="str">
        <f>IF(tblProcurement2026[[#This Row],[Committed (All Expenses)]]=0,"",tblProcurement2026[[#This Row],[Paid/Realised]]/tblProcurement2026[[#This Row],[Committed (All Expenses)]])</f>
        <v/>
      </c>
      <c r="H342" s="120" t="e" cm="1">
        <f t="array" aca="1" ref="H342" ca="1">_xlfn.LET(_xlpm.p,tblProcurement2026[[#This Row],[Project Name]], _xlpm.nxt,MIN( IF((#REF!=_xlpm.p)*(#REF!&gt;TODAY()),#REF!)), IF(_xlpm.nxt=0,"",_xlpm.nxt-TODAY()))</f>
        <v>#REF!</v>
      </c>
      <c r="J342" s="118"/>
      <c r="K342" s="121"/>
      <c r="M342" s="118"/>
      <c r="N342" s="121"/>
      <c r="Q342" s="118"/>
      <c r="R342" s="118"/>
    </row>
    <row r="343" spans="1:18">
      <c r="A343" t="str" cm="1">
        <f t="array" ref="A343">_xlfn.LET(_xlpm.src,TRIM(#REF!), _xlpm.u,_xlfn._xlws.SORT(_xlfn.UNIQUE(_xlfn._xlws.FILTER(_xlpm.src,_xlpm.src&lt;&gt;""))), IFERROR(INDEX(_xlpm.u,ROWS(A$2:A343)),""))</f>
        <v/>
      </c>
      <c r="B343" s="118"/>
      <c r="C343" s="118"/>
      <c r="D343" s="118"/>
      <c r="E343" s="118"/>
      <c r="F343" s="118"/>
      <c r="G343" s="119" t="str">
        <f>IF(tblProcurement2026[[#This Row],[Committed (All Expenses)]]=0,"",tblProcurement2026[[#This Row],[Paid/Realised]]/tblProcurement2026[[#This Row],[Committed (All Expenses)]])</f>
        <v/>
      </c>
      <c r="H343" s="120" t="e" cm="1">
        <f t="array" aca="1" ref="H343" ca="1">_xlfn.LET(_xlpm.p,tblProcurement2026[[#This Row],[Project Name]], _xlpm.nxt,MIN( IF((#REF!=_xlpm.p)*(#REF!&gt;TODAY()),#REF!)), IF(_xlpm.nxt=0,"",_xlpm.nxt-TODAY()))</f>
        <v>#REF!</v>
      </c>
      <c r="J343" s="118"/>
      <c r="K343" s="121"/>
      <c r="M343" s="118"/>
      <c r="N343" s="121"/>
      <c r="Q343" s="118"/>
      <c r="R343" s="118"/>
    </row>
    <row r="344" spans="1:18">
      <c r="A344" t="str" cm="1">
        <f t="array" ref="A344">_xlfn.LET(_xlpm.src,TRIM(#REF!), _xlpm.u,_xlfn._xlws.SORT(_xlfn.UNIQUE(_xlfn._xlws.FILTER(_xlpm.src,_xlpm.src&lt;&gt;""))), IFERROR(INDEX(_xlpm.u,ROWS(A$2:A344)),""))</f>
        <v/>
      </c>
      <c r="B344" s="118"/>
      <c r="C344" s="118"/>
      <c r="D344" s="118"/>
      <c r="E344" s="118"/>
      <c r="F344" s="118"/>
      <c r="G344" s="119" t="str">
        <f>IF(tblProcurement2026[[#This Row],[Committed (All Expenses)]]=0,"",tblProcurement2026[[#This Row],[Paid/Realised]]/tblProcurement2026[[#This Row],[Committed (All Expenses)]])</f>
        <v/>
      </c>
      <c r="H344" s="120" t="e" cm="1">
        <f t="array" aca="1" ref="H344" ca="1">_xlfn.LET(_xlpm.p,tblProcurement2026[[#This Row],[Project Name]], _xlpm.nxt,MIN( IF((#REF!=_xlpm.p)*(#REF!&gt;TODAY()),#REF!)), IF(_xlpm.nxt=0,"",_xlpm.nxt-TODAY()))</f>
        <v>#REF!</v>
      </c>
      <c r="J344" s="118"/>
      <c r="K344" s="121"/>
      <c r="M344" s="118"/>
      <c r="N344" s="121"/>
      <c r="Q344" s="118"/>
      <c r="R344" s="118"/>
    </row>
    <row r="345" spans="1:18">
      <c r="A345" t="str" cm="1">
        <f t="array" ref="A345">_xlfn.LET(_xlpm.src,TRIM(#REF!), _xlpm.u,_xlfn._xlws.SORT(_xlfn.UNIQUE(_xlfn._xlws.FILTER(_xlpm.src,_xlpm.src&lt;&gt;""))), IFERROR(INDEX(_xlpm.u,ROWS(A$2:A345)),""))</f>
        <v/>
      </c>
      <c r="B345" s="118"/>
      <c r="C345" s="118"/>
      <c r="D345" s="118"/>
      <c r="E345" s="118"/>
      <c r="F345" s="118"/>
      <c r="G345" s="119" t="str">
        <f>IF(tblProcurement2026[[#This Row],[Committed (All Expenses)]]=0,"",tblProcurement2026[[#This Row],[Paid/Realised]]/tblProcurement2026[[#This Row],[Committed (All Expenses)]])</f>
        <v/>
      </c>
      <c r="H345" s="120" t="e" cm="1">
        <f t="array" aca="1" ref="H345" ca="1">_xlfn.LET(_xlpm.p,tblProcurement2026[[#This Row],[Project Name]], _xlpm.nxt,MIN( IF((#REF!=_xlpm.p)*(#REF!&gt;TODAY()),#REF!)), IF(_xlpm.nxt=0,"",_xlpm.nxt-TODAY()))</f>
        <v>#REF!</v>
      </c>
      <c r="J345" s="118"/>
      <c r="K345" s="121"/>
      <c r="M345" s="118"/>
      <c r="N345" s="121"/>
      <c r="Q345" s="118"/>
      <c r="R345" s="118"/>
    </row>
    <row r="346" spans="1:18">
      <c r="A346" t="str" cm="1">
        <f t="array" ref="A346">_xlfn.LET(_xlpm.src,TRIM(#REF!), _xlpm.u,_xlfn._xlws.SORT(_xlfn.UNIQUE(_xlfn._xlws.FILTER(_xlpm.src,_xlpm.src&lt;&gt;""))), IFERROR(INDEX(_xlpm.u,ROWS(A$2:A346)),""))</f>
        <v/>
      </c>
      <c r="B346" s="118"/>
      <c r="C346" s="118"/>
      <c r="D346" s="118"/>
      <c r="E346" s="118"/>
      <c r="F346" s="118"/>
      <c r="G346" s="119" t="str">
        <f>IF(tblProcurement2026[[#This Row],[Committed (All Expenses)]]=0,"",tblProcurement2026[[#This Row],[Paid/Realised]]/tblProcurement2026[[#This Row],[Committed (All Expenses)]])</f>
        <v/>
      </c>
      <c r="H346" s="120" t="e" cm="1">
        <f t="array" aca="1" ref="H346" ca="1">_xlfn.LET(_xlpm.p,tblProcurement2026[[#This Row],[Project Name]], _xlpm.nxt,MIN( IF((#REF!=_xlpm.p)*(#REF!&gt;TODAY()),#REF!)), IF(_xlpm.nxt=0,"",_xlpm.nxt-TODAY()))</f>
        <v>#REF!</v>
      </c>
      <c r="J346" s="118"/>
      <c r="K346" s="121"/>
      <c r="M346" s="118"/>
      <c r="N346" s="121"/>
      <c r="Q346" s="118"/>
      <c r="R346" s="118"/>
    </row>
    <row r="347" spans="1:18">
      <c r="A347" t="str" cm="1">
        <f t="array" ref="A347">_xlfn.LET(_xlpm.src,TRIM(#REF!), _xlpm.u,_xlfn._xlws.SORT(_xlfn.UNIQUE(_xlfn._xlws.FILTER(_xlpm.src,_xlpm.src&lt;&gt;""))), IFERROR(INDEX(_xlpm.u,ROWS(A$2:A347)),""))</f>
        <v/>
      </c>
      <c r="B347" s="118"/>
      <c r="C347" s="118"/>
      <c r="D347" s="118"/>
      <c r="E347" s="118"/>
      <c r="F347" s="118"/>
      <c r="G347" s="119" t="str">
        <f>IF(tblProcurement2026[[#This Row],[Committed (All Expenses)]]=0,"",tblProcurement2026[[#This Row],[Paid/Realised]]/tblProcurement2026[[#This Row],[Committed (All Expenses)]])</f>
        <v/>
      </c>
      <c r="H347" s="120" t="e" cm="1">
        <f t="array" aca="1" ref="H347" ca="1">_xlfn.LET(_xlpm.p,tblProcurement2026[[#This Row],[Project Name]], _xlpm.nxt,MIN( IF((#REF!=_xlpm.p)*(#REF!&gt;TODAY()),#REF!)), IF(_xlpm.nxt=0,"",_xlpm.nxt-TODAY()))</f>
        <v>#REF!</v>
      </c>
      <c r="J347" s="118"/>
      <c r="K347" s="121"/>
      <c r="M347" s="118"/>
      <c r="N347" s="121"/>
      <c r="Q347" s="118"/>
      <c r="R347" s="118"/>
    </row>
    <row r="348" spans="1:18">
      <c r="A348" t="str" cm="1">
        <f t="array" ref="A348">_xlfn.LET(_xlpm.src,TRIM(#REF!), _xlpm.u,_xlfn._xlws.SORT(_xlfn.UNIQUE(_xlfn._xlws.FILTER(_xlpm.src,_xlpm.src&lt;&gt;""))), IFERROR(INDEX(_xlpm.u,ROWS(A$2:A348)),""))</f>
        <v/>
      </c>
      <c r="B348" s="118"/>
      <c r="C348" s="118"/>
      <c r="D348" s="118"/>
      <c r="E348" s="118"/>
      <c r="F348" s="118"/>
      <c r="G348" s="119" t="str">
        <f>IF(tblProcurement2026[[#This Row],[Committed (All Expenses)]]=0,"",tblProcurement2026[[#This Row],[Paid/Realised]]/tblProcurement2026[[#This Row],[Committed (All Expenses)]])</f>
        <v/>
      </c>
      <c r="H348" s="120" t="e" cm="1">
        <f t="array" aca="1" ref="H348" ca="1">_xlfn.LET(_xlpm.p,tblProcurement2026[[#This Row],[Project Name]], _xlpm.nxt,MIN( IF((#REF!=_xlpm.p)*(#REF!&gt;TODAY()),#REF!)), IF(_xlpm.nxt=0,"",_xlpm.nxt-TODAY()))</f>
        <v>#REF!</v>
      </c>
      <c r="J348" s="118"/>
      <c r="K348" s="121"/>
      <c r="M348" s="118"/>
      <c r="N348" s="121"/>
      <c r="Q348" s="118"/>
      <c r="R348" s="118"/>
    </row>
    <row r="349" spans="1:18">
      <c r="A349" t="str" cm="1">
        <f t="array" ref="A349">_xlfn.LET(_xlpm.src,TRIM(#REF!), _xlpm.u,_xlfn._xlws.SORT(_xlfn.UNIQUE(_xlfn._xlws.FILTER(_xlpm.src,_xlpm.src&lt;&gt;""))), IFERROR(INDEX(_xlpm.u,ROWS(A$2:A349)),""))</f>
        <v/>
      </c>
      <c r="B349" s="118"/>
      <c r="C349" s="118"/>
      <c r="D349" s="118"/>
      <c r="E349" s="118"/>
      <c r="F349" s="118"/>
      <c r="G349" s="119" t="str">
        <f>IF(tblProcurement2026[[#This Row],[Committed (All Expenses)]]=0,"",tblProcurement2026[[#This Row],[Paid/Realised]]/tblProcurement2026[[#This Row],[Committed (All Expenses)]])</f>
        <v/>
      </c>
      <c r="H349" s="120" t="e" cm="1">
        <f t="array" aca="1" ref="H349" ca="1">_xlfn.LET(_xlpm.p,tblProcurement2026[[#This Row],[Project Name]], _xlpm.nxt,MIN( IF((#REF!=_xlpm.p)*(#REF!&gt;TODAY()),#REF!)), IF(_xlpm.nxt=0,"",_xlpm.nxt-TODAY()))</f>
        <v>#REF!</v>
      </c>
      <c r="J349" s="118"/>
      <c r="K349" s="121"/>
      <c r="M349" s="118"/>
      <c r="N349" s="121"/>
      <c r="Q349" s="118"/>
      <c r="R349" s="118"/>
    </row>
    <row r="350" spans="1:18">
      <c r="A350" t="str" cm="1">
        <f t="array" ref="A350">_xlfn.LET(_xlpm.src,TRIM(#REF!), _xlpm.u,_xlfn._xlws.SORT(_xlfn.UNIQUE(_xlfn._xlws.FILTER(_xlpm.src,_xlpm.src&lt;&gt;""))), IFERROR(INDEX(_xlpm.u,ROWS(A$2:A350)),""))</f>
        <v/>
      </c>
      <c r="B350" s="118"/>
      <c r="C350" s="118"/>
      <c r="D350" s="118"/>
      <c r="E350" s="118"/>
      <c r="F350" s="118"/>
      <c r="G350" s="119" t="str">
        <f>IF(tblProcurement2026[[#This Row],[Committed (All Expenses)]]=0,"",tblProcurement2026[[#This Row],[Paid/Realised]]/tblProcurement2026[[#This Row],[Committed (All Expenses)]])</f>
        <v/>
      </c>
      <c r="H350" s="120" t="e" cm="1">
        <f t="array" aca="1" ref="H350" ca="1">_xlfn.LET(_xlpm.p,tblProcurement2026[[#This Row],[Project Name]], _xlpm.nxt,MIN( IF((#REF!=_xlpm.p)*(#REF!&gt;TODAY()),#REF!)), IF(_xlpm.nxt=0,"",_xlpm.nxt-TODAY()))</f>
        <v>#REF!</v>
      </c>
      <c r="J350" s="118"/>
      <c r="K350" s="121"/>
      <c r="M350" s="118"/>
      <c r="N350" s="121"/>
      <c r="Q350" s="118"/>
      <c r="R350" s="118"/>
    </row>
    <row r="351" spans="1:18">
      <c r="A351" t="str" cm="1">
        <f t="array" ref="A351">_xlfn.LET(_xlpm.src,TRIM(#REF!), _xlpm.u,_xlfn._xlws.SORT(_xlfn.UNIQUE(_xlfn._xlws.FILTER(_xlpm.src,_xlpm.src&lt;&gt;""))), IFERROR(INDEX(_xlpm.u,ROWS(A$2:A351)),""))</f>
        <v/>
      </c>
      <c r="B351" s="118"/>
      <c r="C351" s="118"/>
      <c r="D351" s="118"/>
      <c r="E351" s="118"/>
      <c r="F351" s="118"/>
      <c r="G351" s="119" t="str">
        <f>IF(tblProcurement2026[[#This Row],[Committed (All Expenses)]]=0,"",tblProcurement2026[[#This Row],[Paid/Realised]]/tblProcurement2026[[#This Row],[Committed (All Expenses)]])</f>
        <v/>
      </c>
      <c r="H351" s="120" t="e" cm="1">
        <f t="array" aca="1" ref="H351" ca="1">_xlfn.LET(_xlpm.p,tblProcurement2026[[#This Row],[Project Name]], _xlpm.nxt,MIN( IF((#REF!=_xlpm.p)*(#REF!&gt;TODAY()),#REF!)), IF(_xlpm.nxt=0,"",_xlpm.nxt-TODAY()))</f>
        <v>#REF!</v>
      </c>
      <c r="J351" s="118"/>
      <c r="K351" s="121"/>
      <c r="M351" s="118"/>
      <c r="N351" s="121"/>
      <c r="Q351" s="118"/>
      <c r="R351" s="118"/>
    </row>
    <row r="352" spans="1:18">
      <c r="A352" t="str" cm="1">
        <f t="array" ref="A352">_xlfn.LET(_xlpm.src,TRIM(#REF!), _xlpm.u,_xlfn._xlws.SORT(_xlfn.UNIQUE(_xlfn._xlws.FILTER(_xlpm.src,_xlpm.src&lt;&gt;""))), IFERROR(INDEX(_xlpm.u,ROWS(A$2:A352)),""))</f>
        <v/>
      </c>
      <c r="B352" s="118"/>
      <c r="C352" s="118"/>
      <c r="D352" s="118"/>
      <c r="E352" s="118"/>
      <c r="F352" s="118"/>
      <c r="G352" s="119" t="str">
        <f>IF(tblProcurement2026[[#This Row],[Committed (All Expenses)]]=0,"",tblProcurement2026[[#This Row],[Paid/Realised]]/tblProcurement2026[[#This Row],[Committed (All Expenses)]])</f>
        <v/>
      </c>
      <c r="H352" s="120" t="e" cm="1">
        <f t="array" aca="1" ref="H352" ca="1">_xlfn.LET(_xlpm.p,tblProcurement2026[[#This Row],[Project Name]], _xlpm.nxt,MIN( IF((#REF!=_xlpm.p)*(#REF!&gt;TODAY()),#REF!)), IF(_xlpm.nxt=0,"",_xlpm.nxt-TODAY()))</f>
        <v>#REF!</v>
      </c>
      <c r="J352" s="118"/>
      <c r="K352" s="121"/>
      <c r="M352" s="118"/>
      <c r="N352" s="121"/>
      <c r="Q352" s="118"/>
      <c r="R352" s="118"/>
    </row>
    <row r="353" spans="1:18">
      <c r="A353" t="str" cm="1">
        <f t="array" ref="A353">_xlfn.LET(_xlpm.src,TRIM(#REF!), _xlpm.u,_xlfn._xlws.SORT(_xlfn.UNIQUE(_xlfn._xlws.FILTER(_xlpm.src,_xlpm.src&lt;&gt;""))), IFERROR(INDEX(_xlpm.u,ROWS(A$2:A353)),""))</f>
        <v/>
      </c>
      <c r="B353" s="118"/>
      <c r="C353" s="118"/>
      <c r="D353" s="118"/>
      <c r="E353" s="118"/>
      <c r="F353" s="118"/>
      <c r="G353" s="119" t="str">
        <f>IF(tblProcurement2026[[#This Row],[Committed (All Expenses)]]=0,"",tblProcurement2026[[#This Row],[Paid/Realised]]/tblProcurement2026[[#This Row],[Committed (All Expenses)]])</f>
        <v/>
      </c>
      <c r="H353" s="120" t="e" cm="1">
        <f t="array" aca="1" ref="H353" ca="1">_xlfn.LET(_xlpm.p,tblProcurement2026[[#This Row],[Project Name]], _xlpm.nxt,MIN( IF((#REF!=_xlpm.p)*(#REF!&gt;TODAY()),#REF!)), IF(_xlpm.nxt=0,"",_xlpm.nxt-TODAY()))</f>
        <v>#REF!</v>
      </c>
      <c r="J353" s="118"/>
      <c r="K353" s="121"/>
      <c r="M353" s="118"/>
      <c r="N353" s="121"/>
      <c r="Q353" s="118"/>
      <c r="R353" s="118"/>
    </row>
    <row r="354" spans="1:18">
      <c r="A354" t="str" cm="1">
        <f t="array" ref="A354">_xlfn.LET(_xlpm.src,TRIM(#REF!), _xlpm.u,_xlfn._xlws.SORT(_xlfn.UNIQUE(_xlfn._xlws.FILTER(_xlpm.src,_xlpm.src&lt;&gt;""))), IFERROR(INDEX(_xlpm.u,ROWS(A$2:A354)),""))</f>
        <v/>
      </c>
      <c r="B354" s="118"/>
      <c r="C354" s="118"/>
      <c r="D354" s="118"/>
      <c r="E354" s="118"/>
      <c r="F354" s="118"/>
      <c r="G354" s="119" t="str">
        <f>IF(tblProcurement2026[[#This Row],[Committed (All Expenses)]]=0,"",tblProcurement2026[[#This Row],[Paid/Realised]]/tblProcurement2026[[#This Row],[Committed (All Expenses)]])</f>
        <v/>
      </c>
      <c r="H354" s="120" t="e" cm="1">
        <f t="array" aca="1" ref="H354" ca="1">_xlfn.LET(_xlpm.p,tblProcurement2026[[#This Row],[Project Name]], _xlpm.nxt,MIN( IF((#REF!=_xlpm.p)*(#REF!&gt;TODAY()),#REF!)), IF(_xlpm.nxt=0,"",_xlpm.nxt-TODAY()))</f>
        <v>#REF!</v>
      </c>
      <c r="J354" s="118"/>
      <c r="K354" s="121"/>
      <c r="M354" s="118"/>
      <c r="N354" s="121"/>
      <c r="Q354" s="118"/>
      <c r="R354" s="118"/>
    </row>
    <row r="355" spans="1:18">
      <c r="A355" t="str" cm="1">
        <f t="array" ref="A355">_xlfn.LET(_xlpm.src,TRIM(#REF!), _xlpm.u,_xlfn._xlws.SORT(_xlfn.UNIQUE(_xlfn._xlws.FILTER(_xlpm.src,_xlpm.src&lt;&gt;""))), IFERROR(INDEX(_xlpm.u,ROWS(A$2:A355)),""))</f>
        <v/>
      </c>
      <c r="B355" s="118"/>
      <c r="C355" s="118"/>
      <c r="D355" s="118"/>
      <c r="E355" s="118"/>
      <c r="F355" s="118"/>
      <c r="G355" s="119" t="str">
        <f>IF(tblProcurement2026[[#This Row],[Committed (All Expenses)]]=0,"",tblProcurement2026[[#This Row],[Paid/Realised]]/tblProcurement2026[[#This Row],[Committed (All Expenses)]])</f>
        <v/>
      </c>
      <c r="H355" s="120" t="e" cm="1">
        <f t="array" aca="1" ref="H355" ca="1">_xlfn.LET(_xlpm.p,tblProcurement2026[[#This Row],[Project Name]], _xlpm.nxt,MIN( IF((#REF!=_xlpm.p)*(#REF!&gt;TODAY()),#REF!)), IF(_xlpm.nxt=0,"",_xlpm.nxt-TODAY()))</f>
        <v>#REF!</v>
      </c>
      <c r="J355" s="118"/>
      <c r="K355" s="121"/>
      <c r="M355" s="118"/>
      <c r="N355" s="121"/>
      <c r="Q355" s="118"/>
      <c r="R355" s="118"/>
    </row>
    <row r="356" spans="1:18">
      <c r="A356" t="str" cm="1">
        <f t="array" ref="A356">_xlfn.LET(_xlpm.src,TRIM(#REF!), _xlpm.u,_xlfn._xlws.SORT(_xlfn.UNIQUE(_xlfn._xlws.FILTER(_xlpm.src,_xlpm.src&lt;&gt;""))), IFERROR(INDEX(_xlpm.u,ROWS(A$2:A356)),""))</f>
        <v/>
      </c>
      <c r="B356" s="118"/>
      <c r="C356" s="118"/>
      <c r="D356" s="118"/>
      <c r="E356" s="118"/>
      <c r="F356" s="118"/>
      <c r="G356" s="119" t="str">
        <f>IF(tblProcurement2026[[#This Row],[Committed (All Expenses)]]=0,"",tblProcurement2026[[#This Row],[Paid/Realised]]/tblProcurement2026[[#This Row],[Committed (All Expenses)]])</f>
        <v/>
      </c>
      <c r="H356" s="120" t="e" cm="1">
        <f t="array" aca="1" ref="H356" ca="1">_xlfn.LET(_xlpm.p,tblProcurement2026[[#This Row],[Project Name]], _xlpm.nxt,MIN( IF((#REF!=_xlpm.p)*(#REF!&gt;TODAY()),#REF!)), IF(_xlpm.nxt=0,"",_xlpm.nxt-TODAY()))</f>
        <v>#REF!</v>
      </c>
      <c r="J356" s="118"/>
      <c r="K356" s="121"/>
      <c r="M356" s="118"/>
      <c r="N356" s="121"/>
      <c r="Q356" s="118"/>
      <c r="R356" s="118"/>
    </row>
    <row r="357" spans="1:18">
      <c r="A357" t="str" cm="1">
        <f t="array" ref="A357">_xlfn.LET(_xlpm.src,TRIM(#REF!), _xlpm.u,_xlfn._xlws.SORT(_xlfn.UNIQUE(_xlfn._xlws.FILTER(_xlpm.src,_xlpm.src&lt;&gt;""))), IFERROR(INDEX(_xlpm.u,ROWS(A$2:A357)),""))</f>
        <v/>
      </c>
      <c r="B357" s="118"/>
      <c r="C357" s="118"/>
      <c r="D357" s="118"/>
      <c r="E357" s="118"/>
      <c r="F357" s="118"/>
      <c r="G357" s="119" t="str">
        <f>IF(tblProcurement2026[[#This Row],[Committed (All Expenses)]]=0,"",tblProcurement2026[[#This Row],[Paid/Realised]]/tblProcurement2026[[#This Row],[Committed (All Expenses)]])</f>
        <v/>
      </c>
      <c r="H357" s="120" t="e" cm="1">
        <f t="array" aca="1" ref="H357" ca="1">_xlfn.LET(_xlpm.p,tblProcurement2026[[#This Row],[Project Name]], _xlpm.nxt,MIN( IF((#REF!=_xlpm.p)*(#REF!&gt;TODAY()),#REF!)), IF(_xlpm.nxt=0,"",_xlpm.nxt-TODAY()))</f>
        <v>#REF!</v>
      </c>
      <c r="J357" s="118"/>
      <c r="K357" s="121"/>
      <c r="M357" s="118"/>
      <c r="N357" s="121"/>
      <c r="Q357" s="118"/>
      <c r="R357" s="118"/>
    </row>
    <row r="358" spans="1:18">
      <c r="A358" t="str" cm="1">
        <f t="array" ref="A358">_xlfn.LET(_xlpm.src,TRIM(#REF!), _xlpm.u,_xlfn._xlws.SORT(_xlfn.UNIQUE(_xlfn._xlws.FILTER(_xlpm.src,_xlpm.src&lt;&gt;""))), IFERROR(INDEX(_xlpm.u,ROWS(A$2:A358)),""))</f>
        <v/>
      </c>
      <c r="B358" s="118"/>
      <c r="C358" s="118"/>
      <c r="D358" s="118"/>
      <c r="E358" s="118"/>
      <c r="F358" s="118"/>
      <c r="G358" s="119" t="str">
        <f>IF(tblProcurement2026[[#This Row],[Committed (All Expenses)]]=0,"",tblProcurement2026[[#This Row],[Paid/Realised]]/tblProcurement2026[[#This Row],[Committed (All Expenses)]])</f>
        <v/>
      </c>
      <c r="H358" s="120" t="e" cm="1">
        <f t="array" aca="1" ref="H358" ca="1">_xlfn.LET(_xlpm.p,tblProcurement2026[[#This Row],[Project Name]], _xlpm.nxt,MIN( IF((#REF!=_xlpm.p)*(#REF!&gt;TODAY()),#REF!)), IF(_xlpm.nxt=0,"",_xlpm.nxt-TODAY()))</f>
        <v>#REF!</v>
      </c>
      <c r="J358" s="118"/>
      <c r="K358" s="121"/>
      <c r="M358" s="118"/>
      <c r="N358" s="121"/>
      <c r="Q358" s="118"/>
      <c r="R358" s="118"/>
    </row>
    <row r="359" spans="1:18">
      <c r="A359" t="str" cm="1">
        <f t="array" ref="A359">_xlfn.LET(_xlpm.src,TRIM(#REF!), _xlpm.u,_xlfn._xlws.SORT(_xlfn.UNIQUE(_xlfn._xlws.FILTER(_xlpm.src,_xlpm.src&lt;&gt;""))), IFERROR(INDEX(_xlpm.u,ROWS(A$2:A359)),""))</f>
        <v/>
      </c>
      <c r="B359" s="118"/>
      <c r="C359" s="118"/>
      <c r="D359" s="118"/>
      <c r="E359" s="118"/>
      <c r="F359" s="118"/>
      <c r="G359" s="119" t="str">
        <f>IF(tblProcurement2026[[#This Row],[Committed (All Expenses)]]=0,"",tblProcurement2026[[#This Row],[Paid/Realised]]/tblProcurement2026[[#This Row],[Committed (All Expenses)]])</f>
        <v/>
      </c>
      <c r="H359" s="120" t="e" cm="1">
        <f t="array" aca="1" ref="H359" ca="1">_xlfn.LET(_xlpm.p,tblProcurement2026[[#This Row],[Project Name]], _xlpm.nxt,MIN( IF((#REF!=_xlpm.p)*(#REF!&gt;TODAY()),#REF!)), IF(_xlpm.nxt=0,"",_xlpm.nxt-TODAY()))</f>
        <v>#REF!</v>
      </c>
      <c r="J359" s="118"/>
      <c r="K359" s="121"/>
      <c r="M359" s="118"/>
      <c r="N359" s="121"/>
      <c r="Q359" s="118"/>
      <c r="R359" s="118"/>
    </row>
    <row r="360" spans="1:18">
      <c r="A360" t="str" cm="1">
        <f t="array" ref="A360">_xlfn.LET(_xlpm.src,TRIM(#REF!), _xlpm.u,_xlfn._xlws.SORT(_xlfn.UNIQUE(_xlfn._xlws.FILTER(_xlpm.src,_xlpm.src&lt;&gt;""))), IFERROR(INDEX(_xlpm.u,ROWS(A$2:A360)),""))</f>
        <v/>
      </c>
      <c r="B360" s="118"/>
      <c r="C360" s="118"/>
      <c r="D360" s="118"/>
      <c r="E360" s="118"/>
      <c r="F360" s="118"/>
      <c r="G360" s="119" t="str">
        <f>IF(tblProcurement2026[[#This Row],[Committed (All Expenses)]]=0,"",tblProcurement2026[[#This Row],[Paid/Realised]]/tblProcurement2026[[#This Row],[Committed (All Expenses)]])</f>
        <v/>
      </c>
      <c r="H360" s="120" t="e" cm="1">
        <f t="array" aca="1" ref="H360" ca="1">_xlfn.LET(_xlpm.p,tblProcurement2026[[#This Row],[Project Name]], _xlpm.nxt,MIN( IF((#REF!=_xlpm.p)*(#REF!&gt;TODAY()),#REF!)), IF(_xlpm.nxt=0,"",_xlpm.nxt-TODAY()))</f>
        <v>#REF!</v>
      </c>
      <c r="J360" s="118"/>
      <c r="K360" s="121"/>
      <c r="M360" s="118"/>
      <c r="N360" s="121"/>
      <c r="Q360" s="118"/>
      <c r="R360" s="118"/>
    </row>
    <row r="361" spans="1:18">
      <c r="A361" t="str" cm="1">
        <f t="array" ref="A361">_xlfn.LET(_xlpm.src,TRIM(#REF!), _xlpm.u,_xlfn._xlws.SORT(_xlfn.UNIQUE(_xlfn._xlws.FILTER(_xlpm.src,_xlpm.src&lt;&gt;""))), IFERROR(INDEX(_xlpm.u,ROWS(A$2:A361)),""))</f>
        <v/>
      </c>
      <c r="B361" s="118"/>
      <c r="C361" s="118"/>
      <c r="D361" s="118"/>
      <c r="E361" s="118"/>
      <c r="F361" s="118"/>
      <c r="G361" s="119" t="str">
        <f>IF(tblProcurement2026[[#This Row],[Committed (All Expenses)]]=0,"",tblProcurement2026[[#This Row],[Paid/Realised]]/tblProcurement2026[[#This Row],[Committed (All Expenses)]])</f>
        <v/>
      </c>
      <c r="H361" s="120" t="e" cm="1">
        <f t="array" aca="1" ref="H361" ca="1">_xlfn.LET(_xlpm.p,tblProcurement2026[[#This Row],[Project Name]], _xlpm.nxt,MIN( IF((#REF!=_xlpm.p)*(#REF!&gt;TODAY()),#REF!)), IF(_xlpm.nxt=0,"",_xlpm.nxt-TODAY()))</f>
        <v>#REF!</v>
      </c>
      <c r="J361" s="118"/>
      <c r="K361" s="121"/>
      <c r="M361" s="118"/>
      <c r="N361" s="121"/>
      <c r="Q361" s="118"/>
      <c r="R361" s="118"/>
    </row>
    <row r="362" spans="1:18">
      <c r="A362" t="str" cm="1">
        <f t="array" ref="A362">_xlfn.LET(_xlpm.src,TRIM(#REF!), _xlpm.u,_xlfn._xlws.SORT(_xlfn.UNIQUE(_xlfn._xlws.FILTER(_xlpm.src,_xlpm.src&lt;&gt;""))), IFERROR(INDEX(_xlpm.u,ROWS(A$2:A362)),""))</f>
        <v/>
      </c>
      <c r="B362" s="118"/>
      <c r="C362" s="118"/>
      <c r="D362" s="118"/>
      <c r="E362" s="118"/>
      <c r="F362" s="118"/>
      <c r="G362" s="119" t="str">
        <f>IF(tblProcurement2026[[#This Row],[Committed (All Expenses)]]=0,"",tblProcurement2026[[#This Row],[Paid/Realised]]/tblProcurement2026[[#This Row],[Committed (All Expenses)]])</f>
        <v/>
      </c>
      <c r="H362" s="120" t="e" cm="1">
        <f t="array" aca="1" ref="H362" ca="1">_xlfn.LET(_xlpm.p,tblProcurement2026[[#This Row],[Project Name]], _xlpm.nxt,MIN( IF((#REF!=_xlpm.p)*(#REF!&gt;TODAY()),#REF!)), IF(_xlpm.nxt=0,"",_xlpm.nxt-TODAY()))</f>
        <v>#REF!</v>
      </c>
      <c r="J362" s="118"/>
      <c r="K362" s="121"/>
      <c r="M362" s="118"/>
      <c r="N362" s="121"/>
      <c r="Q362" s="118"/>
      <c r="R362" s="118"/>
    </row>
    <row r="363" spans="1:18">
      <c r="A363" t="str" cm="1">
        <f t="array" ref="A363">_xlfn.LET(_xlpm.src,TRIM(#REF!), _xlpm.u,_xlfn._xlws.SORT(_xlfn.UNIQUE(_xlfn._xlws.FILTER(_xlpm.src,_xlpm.src&lt;&gt;""))), IFERROR(INDEX(_xlpm.u,ROWS(A$2:A363)),""))</f>
        <v/>
      </c>
      <c r="B363" s="118"/>
      <c r="C363" s="118"/>
      <c r="D363" s="118"/>
      <c r="E363" s="118"/>
      <c r="F363" s="118"/>
      <c r="G363" s="119" t="str">
        <f>IF(tblProcurement2026[[#This Row],[Committed (All Expenses)]]=0,"",tblProcurement2026[[#This Row],[Paid/Realised]]/tblProcurement2026[[#This Row],[Committed (All Expenses)]])</f>
        <v/>
      </c>
      <c r="H363" s="120" t="e" cm="1">
        <f t="array" aca="1" ref="H363" ca="1">_xlfn.LET(_xlpm.p,tblProcurement2026[[#This Row],[Project Name]], _xlpm.nxt,MIN( IF((#REF!=_xlpm.p)*(#REF!&gt;TODAY()),#REF!)), IF(_xlpm.nxt=0,"",_xlpm.nxt-TODAY()))</f>
        <v>#REF!</v>
      </c>
      <c r="J363" s="118"/>
      <c r="K363" s="121"/>
      <c r="M363" s="118"/>
      <c r="N363" s="121"/>
      <c r="Q363" s="118"/>
      <c r="R363" s="118"/>
    </row>
    <row r="364" spans="1:18">
      <c r="A364" t="str" cm="1">
        <f t="array" ref="A364">_xlfn.LET(_xlpm.src,TRIM(#REF!), _xlpm.u,_xlfn._xlws.SORT(_xlfn.UNIQUE(_xlfn._xlws.FILTER(_xlpm.src,_xlpm.src&lt;&gt;""))), IFERROR(INDEX(_xlpm.u,ROWS(A$2:A364)),""))</f>
        <v/>
      </c>
      <c r="B364" s="118"/>
      <c r="C364" s="118"/>
      <c r="D364" s="118"/>
      <c r="E364" s="118"/>
      <c r="F364" s="118"/>
      <c r="G364" s="119" t="str">
        <f>IF(tblProcurement2026[[#This Row],[Committed (All Expenses)]]=0,"",tblProcurement2026[[#This Row],[Paid/Realised]]/tblProcurement2026[[#This Row],[Committed (All Expenses)]])</f>
        <v/>
      </c>
      <c r="H364" s="120" t="e" cm="1">
        <f t="array" aca="1" ref="H364" ca="1">_xlfn.LET(_xlpm.p,tblProcurement2026[[#This Row],[Project Name]], _xlpm.nxt,MIN( IF((#REF!=_xlpm.p)*(#REF!&gt;TODAY()),#REF!)), IF(_xlpm.nxt=0,"",_xlpm.nxt-TODAY()))</f>
        <v>#REF!</v>
      </c>
      <c r="J364" s="118"/>
      <c r="K364" s="121"/>
      <c r="M364" s="118"/>
      <c r="N364" s="121"/>
      <c r="Q364" s="118"/>
      <c r="R364" s="118"/>
    </row>
    <row r="365" spans="1:18">
      <c r="A365" t="str" cm="1">
        <f t="array" ref="A365">_xlfn.LET(_xlpm.src,TRIM(#REF!), _xlpm.u,_xlfn._xlws.SORT(_xlfn.UNIQUE(_xlfn._xlws.FILTER(_xlpm.src,_xlpm.src&lt;&gt;""))), IFERROR(INDEX(_xlpm.u,ROWS(A$2:A365)),""))</f>
        <v/>
      </c>
      <c r="B365" s="118"/>
      <c r="C365" s="118"/>
      <c r="D365" s="118"/>
      <c r="E365" s="118"/>
      <c r="F365" s="118"/>
      <c r="G365" s="119" t="str">
        <f>IF(tblProcurement2026[[#This Row],[Committed (All Expenses)]]=0,"",tblProcurement2026[[#This Row],[Paid/Realised]]/tblProcurement2026[[#This Row],[Committed (All Expenses)]])</f>
        <v/>
      </c>
      <c r="H365" s="120" t="e" cm="1">
        <f t="array" aca="1" ref="H365" ca="1">_xlfn.LET(_xlpm.p,tblProcurement2026[[#This Row],[Project Name]], _xlpm.nxt,MIN( IF((#REF!=_xlpm.p)*(#REF!&gt;TODAY()),#REF!)), IF(_xlpm.nxt=0,"",_xlpm.nxt-TODAY()))</f>
        <v>#REF!</v>
      </c>
      <c r="J365" s="118"/>
      <c r="K365" s="121"/>
      <c r="M365" s="118"/>
      <c r="N365" s="121"/>
      <c r="Q365" s="118"/>
      <c r="R365" s="118"/>
    </row>
    <row r="366" spans="1:18">
      <c r="A366" t="str" cm="1">
        <f t="array" ref="A366">_xlfn.LET(_xlpm.src,TRIM(#REF!), _xlpm.u,_xlfn._xlws.SORT(_xlfn.UNIQUE(_xlfn._xlws.FILTER(_xlpm.src,_xlpm.src&lt;&gt;""))), IFERROR(INDEX(_xlpm.u,ROWS(A$2:A366)),""))</f>
        <v/>
      </c>
      <c r="B366" s="118"/>
      <c r="C366" s="118"/>
      <c r="D366" s="118"/>
      <c r="E366" s="118"/>
      <c r="F366" s="118"/>
      <c r="G366" s="119" t="str">
        <f>IF(tblProcurement2026[[#This Row],[Committed (All Expenses)]]=0,"",tblProcurement2026[[#This Row],[Paid/Realised]]/tblProcurement2026[[#This Row],[Committed (All Expenses)]])</f>
        <v/>
      </c>
      <c r="H366" s="120" t="e" cm="1">
        <f t="array" aca="1" ref="H366" ca="1">_xlfn.LET(_xlpm.p,tblProcurement2026[[#This Row],[Project Name]], _xlpm.nxt,MIN( IF((#REF!=_xlpm.p)*(#REF!&gt;TODAY()),#REF!)), IF(_xlpm.nxt=0,"",_xlpm.nxt-TODAY()))</f>
        <v>#REF!</v>
      </c>
      <c r="J366" s="118"/>
      <c r="K366" s="121"/>
      <c r="M366" s="118"/>
      <c r="N366" s="121"/>
      <c r="Q366" s="118"/>
      <c r="R366" s="118"/>
    </row>
    <row r="367" spans="1:18">
      <c r="A367" t="str" cm="1">
        <f t="array" ref="A367">_xlfn.LET(_xlpm.src,TRIM(#REF!), _xlpm.u,_xlfn._xlws.SORT(_xlfn.UNIQUE(_xlfn._xlws.FILTER(_xlpm.src,_xlpm.src&lt;&gt;""))), IFERROR(INDEX(_xlpm.u,ROWS(A$2:A367)),""))</f>
        <v/>
      </c>
      <c r="B367" s="118"/>
      <c r="C367" s="118"/>
      <c r="D367" s="118"/>
      <c r="E367" s="118"/>
      <c r="F367" s="118"/>
      <c r="G367" s="119" t="str">
        <f>IF(tblProcurement2026[[#This Row],[Committed (All Expenses)]]=0,"",tblProcurement2026[[#This Row],[Paid/Realised]]/tblProcurement2026[[#This Row],[Committed (All Expenses)]])</f>
        <v/>
      </c>
      <c r="H367" s="120" t="e" cm="1">
        <f t="array" aca="1" ref="H367" ca="1">_xlfn.LET(_xlpm.p,tblProcurement2026[[#This Row],[Project Name]], _xlpm.nxt,MIN( IF((#REF!=_xlpm.p)*(#REF!&gt;TODAY()),#REF!)), IF(_xlpm.nxt=0,"",_xlpm.nxt-TODAY()))</f>
        <v>#REF!</v>
      </c>
      <c r="J367" s="118"/>
      <c r="K367" s="121"/>
      <c r="M367" s="118"/>
      <c r="N367" s="121"/>
      <c r="Q367" s="118"/>
      <c r="R367" s="118"/>
    </row>
    <row r="368" spans="1:18">
      <c r="A368" t="str" cm="1">
        <f t="array" ref="A368">_xlfn.LET(_xlpm.src,TRIM(#REF!), _xlpm.u,_xlfn._xlws.SORT(_xlfn.UNIQUE(_xlfn._xlws.FILTER(_xlpm.src,_xlpm.src&lt;&gt;""))), IFERROR(INDEX(_xlpm.u,ROWS(A$2:A368)),""))</f>
        <v/>
      </c>
      <c r="B368" s="118"/>
      <c r="C368" s="118"/>
      <c r="D368" s="118"/>
      <c r="E368" s="118"/>
      <c r="F368" s="118"/>
      <c r="G368" s="119" t="str">
        <f>IF(tblProcurement2026[[#This Row],[Committed (All Expenses)]]=0,"",tblProcurement2026[[#This Row],[Paid/Realised]]/tblProcurement2026[[#This Row],[Committed (All Expenses)]])</f>
        <v/>
      </c>
      <c r="H368" s="120" t="e" cm="1">
        <f t="array" aca="1" ref="H368" ca="1">_xlfn.LET(_xlpm.p,tblProcurement2026[[#This Row],[Project Name]], _xlpm.nxt,MIN( IF((#REF!=_xlpm.p)*(#REF!&gt;TODAY()),#REF!)), IF(_xlpm.nxt=0,"",_xlpm.nxt-TODAY()))</f>
        <v>#REF!</v>
      </c>
      <c r="J368" s="118"/>
      <c r="K368" s="121"/>
      <c r="M368" s="118"/>
      <c r="N368" s="121"/>
      <c r="Q368" s="118"/>
      <c r="R368" s="118"/>
    </row>
    <row r="369" spans="1:18">
      <c r="A369" t="str" cm="1">
        <f t="array" ref="A369">_xlfn.LET(_xlpm.src,TRIM(#REF!), _xlpm.u,_xlfn._xlws.SORT(_xlfn.UNIQUE(_xlfn._xlws.FILTER(_xlpm.src,_xlpm.src&lt;&gt;""))), IFERROR(INDEX(_xlpm.u,ROWS(A$2:A369)),""))</f>
        <v/>
      </c>
      <c r="B369" s="118"/>
      <c r="C369" s="118"/>
      <c r="D369" s="118"/>
      <c r="E369" s="118"/>
      <c r="F369" s="118"/>
      <c r="G369" s="119" t="str">
        <f>IF(tblProcurement2026[[#This Row],[Committed (All Expenses)]]=0,"",tblProcurement2026[[#This Row],[Paid/Realised]]/tblProcurement2026[[#This Row],[Committed (All Expenses)]])</f>
        <v/>
      </c>
      <c r="H369" s="120" t="e" cm="1">
        <f t="array" aca="1" ref="H369" ca="1">_xlfn.LET(_xlpm.p,tblProcurement2026[[#This Row],[Project Name]], _xlpm.nxt,MIN( IF((#REF!=_xlpm.p)*(#REF!&gt;TODAY()),#REF!)), IF(_xlpm.nxt=0,"",_xlpm.nxt-TODAY()))</f>
        <v>#REF!</v>
      </c>
      <c r="J369" s="118"/>
      <c r="K369" s="121"/>
      <c r="M369" s="118"/>
      <c r="N369" s="121"/>
      <c r="Q369" s="118"/>
      <c r="R369" s="118"/>
    </row>
    <row r="370" spans="1:18">
      <c r="A370" t="str" cm="1">
        <f t="array" ref="A370">_xlfn.LET(_xlpm.src,TRIM(#REF!), _xlpm.u,_xlfn._xlws.SORT(_xlfn.UNIQUE(_xlfn._xlws.FILTER(_xlpm.src,_xlpm.src&lt;&gt;""))), IFERROR(INDEX(_xlpm.u,ROWS(A$2:A370)),""))</f>
        <v/>
      </c>
      <c r="B370" s="118"/>
      <c r="C370" s="118"/>
      <c r="D370" s="118"/>
      <c r="E370" s="118"/>
      <c r="F370" s="118"/>
      <c r="G370" s="119" t="str">
        <f>IF(tblProcurement2026[[#This Row],[Committed (All Expenses)]]=0,"",tblProcurement2026[[#This Row],[Paid/Realised]]/tblProcurement2026[[#This Row],[Committed (All Expenses)]])</f>
        <v/>
      </c>
      <c r="H370" s="120" t="e" cm="1">
        <f t="array" aca="1" ref="H370" ca="1">_xlfn.LET(_xlpm.p,tblProcurement2026[[#This Row],[Project Name]], _xlpm.nxt,MIN( IF((#REF!=_xlpm.p)*(#REF!&gt;TODAY()),#REF!)), IF(_xlpm.nxt=0,"",_xlpm.nxt-TODAY()))</f>
        <v>#REF!</v>
      </c>
      <c r="J370" s="118"/>
      <c r="K370" s="121"/>
      <c r="M370" s="118"/>
      <c r="N370" s="121"/>
      <c r="Q370" s="118"/>
      <c r="R370" s="118"/>
    </row>
    <row r="371" spans="1:18">
      <c r="A371" t="str" cm="1">
        <f t="array" ref="A371">_xlfn.LET(_xlpm.src,TRIM(#REF!), _xlpm.u,_xlfn._xlws.SORT(_xlfn.UNIQUE(_xlfn._xlws.FILTER(_xlpm.src,_xlpm.src&lt;&gt;""))), IFERROR(INDEX(_xlpm.u,ROWS(A$2:A371)),""))</f>
        <v/>
      </c>
      <c r="B371" s="118"/>
      <c r="C371" s="118"/>
      <c r="D371" s="118"/>
      <c r="E371" s="118"/>
      <c r="F371" s="118"/>
      <c r="G371" s="119" t="str">
        <f>IF(tblProcurement2026[[#This Row],[Committed (All Expenses)]]=0,"",tblProcurement2026[[#This Row],[Paid/Realised]]/tblProcurement2026[[#This Row],[Committed (All Expenses)]])</f>
        <v/>
      </c>
      <c r="H371" s="120" t="e" cm="1">
        <f t="array" aca="1" ref="H371" ca="1">_xlfn.LET(_xlpm.p,tblProcurement2026[[#This Row],[Project Name]], _xlpm.nxt,MIN( IF((#REF!=_xlpm.p)*(#REF!&gt;TODAY()),#REF!)), IF(_xlpm.nxt=0,"",_xlpm.nxt-TODAY()))</f>
        <v>#REF!</v>
      </c>
      <c r="J371" s="118"/>
      <c r="K371" s="121"/>
      <c r="M371" s="118"/>
      <c r="N371" s="121"/>
      <c r="Q371" s="118"/>
      <c r="R371" s="118"/>
    </row>
    <row r="372" spans="1:18">
      <c r="A372" t="str" cm="1">
        <f t="array" ref="A372">_xlfn.LET(_xlpm.src,TRIM(#REF!), _xlpm.u,_xlfn._xlws.SORT(_xlfn.UNIQUE(_xlfn._xlws.FILTER(_xlpm.src,_xlpm.src&lt;&gt;""))), IFERROR(INDEX(_xlpm.u,ROWS(A$2:A372)),""))</f>
        <v/>
      </c>
      <c r="B372" s="118"/>
      <c r="C372" s="118"/>
      <c r="D372" s="118"/>
      <c r="E372" s="118"/>
      <c r="F372" s="118"/>
      <c r="G372" s="119" t="str">
        <f>IF(tblProcurement2026[[#This Row],[Committed (All Expenses)]]=0,"",tblProcurement2026[[#This Row],[Paid/Realised]]/tblProcurement2026[[#This Row],[Committed (All Expenses)]])</f>
        <v/>
      </c>
      <c r="H372" s="120" t="e" cm="1">
        <f t="array" aca="1" ref="H372" ca="1">_xlfn.LET(_xlpm.p,tblProcurement2026[[#This Row],[Project Name]], _xlpm.nxt,MIN( IF((#REF!=_xlpm.p)*(#REF!&gt;TODAY()),#REF!)), IF(_xlpm.nxt=0,"",_xlpm.nxt-TODAY()))</f>
        <v>#REF!</v>
      </c>
      <c r="J372" s="118"/>
      <c r="K372" s="121"/>
      <c r="M372" s="118"/>
      <c r="N372" s="121"/>
      <c r="Q372" s="118"/>
      <c r="R372" s="118"/>
    </row>
    <row r="373" spans="1:18">
      <c r="A373" t="str" cm="1">
        <f t="array" ref="A373">_xlfn.LET(_xlpm.src,TRIM(#REF!), _xlpm.u,_xlfn._xlws.SORT(_xlfn.UNIQUE(_xlfn._xlws.FILTER(_xlpm.src,_xlpm.src&lt;&gt;""))), IFERROR(INDEX(_xlpm.u,ROWS(A$2:A373)),""))</f>
        <v/>
      </c>
      <c r="B373" s="118"/>
      <c r="C373" s="118"/>
      <c r="D373" s="118"/>
      <c r="E373" s="118"/>
      <c r="F373" s="118"/>
      <c r="G373" s="119" t="str">
        <f>IF(tblProcurement2026[[#This Row],[Committed (All Expenses)]]=0,"",tblProcurement2026[[#This Row],[Paid/Realised]]/tblProcurement2026[[#This Row],[Committed (All Expenses)]])</f>
        <v/>
      </c>
      <c r="H373" s="120" t="e" cm="1">
        <f t="array" aca="1" ref="H373" ca="1">_xlfn.LET(_xlpm.p,tblProcurement2026[[#This Row],[Project Name]], _xlpm.nxt,MIN( IF((#REF!=_xlpm.p)*(#REF!&gt;TODAY()),#REF!)), IF(_xlpm.nxt=0,"",_xlpm.nxt-TODAY()))</f>
        <v>#REF!</v>
      </c>
      <c r="J373" s="118"/>
      <c r="K373" s="121"/>
      <c r="M373" s="118"/>
      <c r="N373" s="121"/>
      <c r="Q373" s="118"/>
      <c r="R373" s="118"/>
    </row>
    <row r="374" spans="1:18">
      <c r="A374" t="str" cm="1">
        <f t="array" ref="A374">_xlfn.LET(_xlpm.src,TRIM(#REF!), _xlpm.u,_xlfn._xlws.SORT(_xlfn.UNIQUE(_xlfn._xlws.FILTER(_xlpm.src,_xlpm.src&lt;&gt;""))), IFERROR(INDEX(_xlpm.u,ROWS(A$2:A374)),""))</f>
        <v/>
      </c>
      <c r="B374" s="118"/>
      <c r="C374" s="118"/>
      <c r="D374" s="118"/>
      <c r="E374" s="118"/>
      <c r="F374" s="118"/>
      <c r="G374" s="119" t="str">
        <f>IF(tblProcurement2026[[#This Row],[Committed (All Expenses)]]=0,"",tblProcurement2026[[#This Row],[Paid/Realised]]/tblProcurement2026[[#This Row],[Committed (All Expenses)]])</f>
        <v/>
      </c>
      <c r="H374" s="120" t="e" cm="1">
        <f t="array" aca="1" ref="H374" ca="1">_xlfn.LET(_xlpm.p,tblProcurement2026[[#This Row],[Project Name]], _xlpm.nxt,MIN( IF((#REF!=_xlpm.p)*(#REF!&gt;TODAY()),#REF!)), IF(_xlpm.nxt=0,"",_xlpm.nxt-TODAY()))</f>
        <v>#REF!</v>
      </c>
      <c r="J374" s="118"/>
      <c r="K374" s="121"/>
      <c r="M374" s="118"/>
      <c r="N374" s="121"/>
      <c r="Q374" s="118"/>
      <c r="R374" s="118"/>
    </row>
    <row r="375" spans="1:18">
      <c r="A375" t="str" cm="1">
        <f t="array" ref="A375">_xlfn.LET(_xlpm.src,TRIM(#REF!), _xlpm.u,_xlfn._xlws.SORT(_xlfn.UNIQUE(_xlfn._xlws.FILTER(_xlpm.src,_xlpm.src&lt;&gt;""))), IFERROR(INDEX(_xlpm.u,ROWS(A$2:A375)),""))</f>
        <v/>
      </c>
      <c r="B375" s="118"/>
      <c r="C375" s="118"/>
      <c r="D375" s="118"/>
      <c r="E375" s="118"/>
      <c r="F375" s="118"/>
      <c r="G375" s="119" t="str">
        <f>IF(tblProcurement2026[[#This Row],[Committed (All Expenses)]]=0,"",tblProcurement2026[[#This Row],[Paid/Realised]]/tblProcurement2026[[#This Row],[Committed (All Expenses)]])</f>
        <v/>
      </c>
      <c r="H375" s="120" t="e" cm="1">
        <f t="array" aca="1" ref="H375" ca="1">_xlfn.LET(_xlpm.p,tblProcurement2026[[#This Row],[Project Name]], _xlpm.nxt,MIN( IF((#REF!=_xlpm.p)*(#REF!&gt;TODAY()),#REF!)), IF(_xlpm.nxt=0,"",_xlpm.nxt-TODAY()))</f>
        <v>#REF!</v>
      </c>
      <c r="J375" s="118"/>
      <c r="K375" s="121"/>
      <c r="M375" s="118"/>
      <c r="N375" s="121"/>
      <c r="Q375" s="118"/>
      <c r="R375" s="118"/>
    </row>
    <row r="376" spans="1:18">
      <c r="A376" t="str" cm="1">
        <f t="array" ref="A376">_xlfn.LET(_xlpm.src,TRIM(#REF!), _xlpm.u,_xlfn._xlws.SORT(_xlfn.UNIQUE(_xlfn._xlws.FILTER(_xlpm.src,_xlpm.src&lt;&gt;""))), IFERROR(INDEX(_xlpm.u,ROWS(A$2:A376)),""))</f>
        <v/>
      </c>
      <c r="B376" s="118"/>
      <c r="C376" s="118"/>
      <c r="D376" s="118"/>
      <c r="E376" s="118"/>
      <c r="F376" s="118"/>
      <c r="G376" s="119" t="str">
        <f>IF(tblProcurement2026[[#This Row],[Committed (All Expenses)]]=0,"",tblProcurement2026[[#This Row],[Paid/Realised]]/tblProcurement2026[[#This Row],[Committed (All Expenses)]])</f>
        <v/>
      </c>
      <c r="H376" s="120" t="e" cm="1">
        <f t="array" aca="1" ref="H376" ca="1">_xlfn.LET(_xlpm.p,tblProcurement2026[[#This Row],[Project Name]], _xlpm.nxt,MIN( IF((#REF!=_xlpm.p)*(#REF!&gt;TODAY()),#REF!)), IF(_xlpm.nxt=0,"",_xlpm.nxt-TODAY()))</f>
        <v>#REF!</v>
      </c>
      <c r="J376" s="118"/>
      <c r="K376" s="121"/>
      <c r="M376" s="118"/>
      <c r="N376" s="121"/>
      <c r="Q376" s="118"/>
      <c r="R376" s="118"/>
    </row>
    <row r="377" spans="1:18">
      <c r="A377" t="str" cm="1">
        <f t="array" ref="A377">_xlfn.LET(_xlpm.src,TRIM(#REF!), _xlpm.u,_xlfn._xlws.SORT(_xlfn.UNIQUE(_xlfn._xlws.FILTER(_xlpm.src,_xlpm.src&lt;&gt;""))), IFERROR(INDEX(_xlpm.u,ROWS(A$2:A377)),""))</f>
        <v/>
      </c>
      <c r="B377" s="118"/>
      <c r="C377" s="118"/>
      <c r="D377" s="118"/>
      <c r="E377" s="118"/>
      <c r="F377" s="118"/>
      <c r="G377" s="119" t="str">
        <f>IF(tblProcurement2026[[#This Row],[Committed (All Expenses)]]=0,"",tblProcurement2026[[#This Row],[Paid/Realised]]/tblProcurement2026[[#This Row],[Committed (All Expenses)]])</f>
        <v/>
      </c>
      <c r="H377" s="120" t="e" cm="1">
        <f t="array" aca="1" ref="H377" ca="1">_xlfn.LET(_xlpm.p,tblProcurement2026[[#This Row],[Project Name]], _xlpm.nxt,MIN( IF((#REF!=_xlpm.p)*(#REF!&gt;TODAY()),#REF!)), IF(_xlpm.nxt=0,"",_xlpm.nxt-TODAY()))</f>
        <v>#REF!</v>
      </c>
      <c r="J377" s="118"/>
      <c r="K377" s="121"/>
      <c r="M377" s="118"/>
      <c r="N377" s="121"/>
      <c r="Q377" s="118"/>
      <c r="R377" s="118"/>
    </row>
    <row r="378" spans="1:18">
      <c r="A378" t="str" cm="1">
        <f t="array" ref="A378">_xlfn.LET(_xlpm.src,TRIM(#REF!), _xlpm.u,_xlfn._xlws.SORT(_xlfn.UNIQUE(_xlfn._xlws.FILTER(_xlpm.src,_xlpm.src&lt;&gt;""))), IFERROR(INDEX(_xlpm.u,ROWS(A$2:A378)),""))</f>
        <v/>
      </c>
      <c r="B378" s="118"/>
      <c r="C378" s="118"/>
      <c r="D378" s="118"/>
      <c r="E378" s="118"/>
      <c r="F378" s="118"/>
      <c r="G378" s="119" t="str">
        <f>IF(tblProcurement2026[[#This Row],[Committed (All Expenses)]]=0,"",tblProcurement2026[[#This Row],[Paid/Realised]]/tblProcurement2026[[#This Row],[Committed (All Expenses)]])</f>
        <v/>
      </c>
      <c r="H378" s="120" t="e" cm="1">
        <f t="array" aca="1" ref="H378" ca="1">_xlfn.LET(_xlpm.p,tblProcurement2026[[#This Row],[Project Name]], _xlpm.nxt,MIN( IF((#REF!=_xlpm.p)*(#REF!&gt;TODAY()),#REF!)), IF(_xlpm.nxt=0,"",_xlpm.nxt-TODAY()))</f>
        <v>#REF!</v>
      </c>
      <c r="J378" s="118"/>
      <c r="K378" s="121"/>
      <c r="M378" s="118"/>
      <c r="N378" s="121"/>
      <c r="Q378" s="118"/>
      <c r="R378" s="118"/>
    </row>
    <row r="379" spans="1:18">
      <c r="A379" t="str" cm="1">
        <f t="array" ref="A379">_xlfn.LET(_xlpm.src,TRIM(#REF!), _xlpm.u,_xlfn._xlws.SORT(_xlfn.UNIQUE(_xlfn._xlws.FILTER(_xlpm.src,_xlpm.src&lt;&gt;""))), IFERROR(INDEX(_xlpm.u,ROWS(A$2:A379)),""))</f>
        <v/>
      </c>
      <c r="B379" s="118"/>
      <c r="C379" s="118"/>
      <c r="D379" s="118"/>
      <c r="E379" s="118"/>
      <c r="F379" s="118"/>
      <c r="G379" s="119" t="str">
        <f>IF(tblProcurement2026[[#This Row],[Committed (All Expenses)]]=0,"",tblProcurement2026[[#This Row],[Paid/Realised]]/tblProcurement2026[[#This Row],[Committed (All Expenses)]])</f>
        <v/>
      </c>
      <c r="H379" s="120" t="e" cm="1">
        <f t="array" aca="1" ref="H379" ca="1">_xlfn.LET(_xlpm.p,tblProcurement2026[[#This Row],[Project Name]], _xlpm.nxt,MIN( IF((#REF!=_xlpm.p)*(#REF!&gt;TODAY()),#REF!)), IF(_xlpm.nxt=0,"",_xlpm.nxt-TODAY()))</f>
        <v>#REF!</v>
      </c>
      <c r="J379" s="118"/>
      <c r="K379" s="121"/>
      <c r="M379" s="118"/>
      <c r="N379" s="121"/>
      <c r="Q379" s="118"/>
      <c r="R379" s="118"/>
    </row>
    <row r="380" spans="1:18">
      <c r="A380" t="str" cm="1">
        <f t="array" ref="A380">_xlfn.LET(_xlpm.src,TRIM(#REF!), _xlpm.u,_xlfn._xlws.SORT(_xlfn.UNIQUE(_xlfn._xlws.FILTER(_xlpm.src,_xlpm.src&lt;&gt;""))), IFERROR(INDEX(_xlpm.u,ROWS(A$2:A380)),""))</f>
        <v/>
      </c>
      <c r="B380" s="118"/>
      <c r="C380" s="118"/>
      <c r="D380" s="118"/>
      <c r="E380" s="118"/>
      <c r="F380" s="118"/>
      <c r="G380" s="119" t="str">
        <f>IF(tblProcurement2026[[#This Row],[Committed (All Expenses)]]=0,"",tblProcurement2026[[#This Row],[Paid/Realised]]/tblProcurement2026[[#This Row],[Committed (All Expenses)]])</f>
        <v/>
      </c>
      <c r="H380" s="120" t="e" cm="1">
        <f t="array" aca="1" ref="H380" ca="1">_xlfn.LET(_xlpm.p,tblProcurement2026[[#This Row],[Project Name]], _xlpm.nxt,MIN( IF((#REF!=_xlpm.p)*(#REF!&gt;TODAY()),#REF!)), IF(_xlpm.nxt=0,"",_xlpm.nxt-TODAY()))</f>
        <v>#REF!</v>
      </c>
      <c r="J380" s="118"/>
      <c r="K380" s="121"/>
      <c r="M380" s="118"/>
      <c r="N380" s="121"/>
      <c r="Q380" s="118"/>
      <c r="R380" s="118"/>
    </row>
    <row r="381" spans="1:18">
      <c r="A381" t="str" cm="1">
        <f t="array" ref="A381">_xlfn.LET(_xlpm.src,TRIM(#REF!), _xlpm.u,_xlfn._xlws.SORT(_xlfn.UNIQUE(_xlfn._xlws.FILTER(_xlpm.src,_xlpm.src&lt;&gt;""))), IFERROR(INDEX(_xlpm.u,ROWS(A$2:A381)),""))</f>
        <v/>
      </c>
      <c r="B381" s="118"/>
      <c r="C381" s="118"/>
      <c r="D381" s="118"/>
      <c r="E381" s="118"/>
      <c r="F381" s="118"/>
      <c r="G381" s="119" t="str">
        <f>IF(tblProcurement2026[[#This Row],[Committed (All Expenses)]]=0,"",tblProcurement2026[[#This Row],[Paid/Realised]]/tblProcurement2026[[#This Row],[Committed (All Expenses)]])</f>
        <v/>
      </c>
      <c r="H381" s="120" t="e" cm="1">
        <f t="array" aca="1" ref="H381" ca="1">_xlfn.LET(_xlpm.p,tblProcurement2026[[#This Row],[Project Name]], _xlpm.nxt,MIN( IF((#REF!=_xlpm.p)*(#REF!&gt;TODAY()),#REF!)), IF(_xlpm.nxt=0,"",_xlpm.nxt-TODAY()))</f>
        <v>#REF!</v>
      </c>
      <c r="J381" s="118"/>
      <c r="K381" s="121"/>
      <c r="M381" s="118"/>
      <c r="N381" s="121"/>
      <c r="Q381" s="118"/>
      <c r="R381" s="118"/>
    </row>
    <row r="382" spans="1:18">
      <c r="A382" t="str" cm="1">
        <f t="array" ref="A382">_xlfn.LET(_xlpm.src,TRIM(#REF!), _xlpm.u,_xlfn._xlws.SORT(_xlfn.UNIQUE(_xlfn._xlws.FILTER(_xlpm.src,_xlpm.src&lt;&gt;""))), IFERROR(INDEX(_xlpm.u,ROWS(A$2:A382)),""))</f>
        <v/>
      </c>
      <c r="B382" s="118"/>
      <c r="C382" s="118"/>
      <c r="D382" s="118"/>
      <c r="E382" s="118"/>
      <c r="F382" s="118"/>
      <c r="G382" s="119" t="str">
        <f>IF(tblProcurement2026[[#This Row],[Committed (All Expenses)]]=0,"",tblProcurement2026[[#This Row],[Paid/Realised]]/tblProcurement2026[[#This Row],[Committed (All Expenses)]])</f>
        <v/>
      </c>
      <c r="H382" s="120" t="e" cm="1">
        <f t="array" aca="1" ref="H382" ca="1">_xlfn.LET(_xlpm.p,tblProcurement2026[[#This Row],[Project Name]], _xlpm.nxt,MIN( IF((#REF!=_xlpm.p)*(#REF!&gt;TODAY()),#REF!)), IF(_xlpm.nxt=0,"",_xlpm.nxt-TODAY()))</f>
        <v>#REF!</v>
      </c>
      <c r="J382" s="118"/>
      <c r="K382" s="121"/>
      <c r="M382" s="118"/>
      <c r="N382" s="121"/>
      <c r="Q382" s="118"/>
      <c r="R382" s="118"/>
    </row>
    <row r="383" spans="1:18">
      <c r="A383" t="str" cm="1">
        <f t="array" ref="A383">_xlfn.LET(_xlpm.src,TRIM(#REF!), _xlpm.u,_xlfn._xlws.SORT(_xlfn.UNIQUE(_xlfn._xlws.FILTER(_xlpm.src,_xlpm.src&lt;&gt;""))), IFERROR(INDEX(_xlpm.u,ROWS(A$2:A383)),""))</f>
        <v/>
      </c>
      <c r="B383" s="118"/>
      <c r="C383" s="118"/>
      <c r="D383" s="118"/>
      <c r="E383" s="118"/>
      <c r="F383" s="118"/>
      <c r="G383" s="119" t="str">
        <f>IF(tblProcurement2026[[#This Row],[Committed (All Expenses)]]=0,"",tblProcurement2026[[#This Row],[Paid/Realised]]/tblProcurement2026[[#This Row],[Committed (All Expenses)]])</f>
        <v/>
      </c>
      <c r="H383" s="120" t="e" cm="1">
        <f t="array" aca="1" ref="H383" ca="1">_xlfn.LET(_xlpm.p,tblProcurement2026[[#This Row],[Project Name]], _xlpm.nxt,MIN( IF((#REF!=_xlpm.p)*(#REF!&gt;TODAY()),#REF!)), IF(_xlpm.nxt=0,"",_xlpm.nxt-TODAY()))</f>
        <v>#REF!</v>
      </c>
      <c r="J383" s="118"/>
      <c r="K383" s="121"/>
      <c r="M383" s="118"/>
      <c r="N383" s="121"/>
      <c r="Q383" s="118"/>
      <c r="R383" s="118"/>
    </row>
    <row r="384" spans="1:18">
      <c r="A384" t="str" cm="1">
        <f t="array" ref="A384">_xlfn.LET(_xlpm.src,TRIM(#REF!), _xlpm.u,_xlfn._xlws.SORT(_xlfn.UNIQUE(_xlfn._xlws.FILTER(_xlpm.src,_xlpm.src&lt;&gt;""))), IFERROR(INDEX(_xlpm.u,ROWS(A$2:A384)),""))</f>
        <v/>
      </c>
      <c r="B384" s="118"/>
      <c r="C384" s="118"/>
      <c r="D384" s="118"/>
      <c r="E384" s="118"/>
      <c r="F384" s="118"/>
      <c r="G384" s="119" t="str">
        <f>IF(tblProcurement2026[[#This Row],[Committed (All Expenses)]]=0,"",tblProcurement2026[[#This Row],[Paid/Realised]]/tblProcurement2026[[#This Row],[Committed (All Expenses)]])</f>
        <v/>
      </c>
      <c r="H384" s="120" t="e" cm="1">
        <f t="array" aca="1" ref="H384" ca="1">_xlfn.LET(_xlpm.p,tblProcurement2026[[#This Row],[Project Name]], _xlpm.nxt,MIN( IF((#REF!=_xlpm.p)*(#REF!&gt;TODAY()),#REF!)), IF(_xlpm.nxt=0,"",_xlpm.nxt-TODAY()))</f>
        <v>#REF!</v>
      </c>
      <c r="J384" s="118"/>
      <c r="K384" s="121"/>
      <c r="M384" s="118"/>
      <c r="N384" s="121"/>
      <c r="Q384" s="118"/>
      <c r="R384" s="118"/>
    </row>
    <row r="385" spans="1:18">
      <c r="A385" t="str" cm="1">
        <f t="array" ref="A385">_xlfn.LET(_xlpm.src,TRIM(#REF!), _xlpm.u,_xlfn._xlws.SORT(_xlfn.UNIQUE(_xlfn._xlws.FILTER(_xlpm.src,_xlpm.src&lt;&gt;""))), IFERROR(INDEX(_xlpm.u,ROWS(A$2:A385)),""))</f>
        <v/>
      </c>
      <c r="B385" s="118"/>
      <c r="C385" s="118"/>
      <c r="D385" s="118"/>
      <c r="E385" s="118"/>
      <c r="F385" s="118"/>
      <c r="G385" s="119" t="str">
        <f>IF(tblProcurement2026[[#This Row],[Committed (All Expenses)]]=0,"",tblProcurement2026[[#This Row],[Paid/Realised]]/tblProcurement2026[[#This Row],[Committed (All Expenses)]])</f>
        <v/>
      </c>
      <c r="H385" s="120" t="e" cm="1">
        <f t="array" aca="1" ref="H385" ca="1">_xlfn.LET(_xlpm.p,tblProcurement2026[[#This Row],[Project Name]], _xlpm.nxt,MIN( IF((#REF!=_xlpm.p)*(#REF!&gt;TODAY()),#REF!)), IF(_xlpm.nxt=0,"",_xlpm.nxt-TODAY()))</f>
        <v>#REF!</v>
      </c>
      <c r="J385" s="118"/>
      <c r="K385" s="121"/>
      <c r="M385" s="118"/>
      <c r="N385" s="121"/>
      <c r="Q385" s="118"/>
      <c r="R385" s="118"/>
    </row>
    <row r="386" spans="1:18">
      <c r="A386" t="str" cm="1">
        <f t="array" ref="A386">_xlfn.LET(_xlpm.src,TRIM(#REF!), _xlpm.u,_xlfn._xlws.SORT(_xlfn.UNIQUE(_xlfn._xlws.FILTER(_xlpm.src,_xlpm.src&lt;&gt;""))), IFERROR(INDEX(_xlpm.u,ROWS(A$2:A386)),""))</f>
        <v/>
      </c>
      <c r="B386" s="118"/>
      <c r="C386" s="118"/>
      <c r="D386" s="118"/>
      <c r="E386" s="118"/>
      <c r="F386" s="118"/>
      <c r="G386" s="119" t="str">
        <f>IF(tblProcurement2026[[#This Row],[Committed (All Expenses)]]=0,"",tblProcurement2026[[#This Row],[Paid/Realised]]/tblProcurement2026[[#This Row],[Committed (All Expenses)]])</f>
        <v/>
      </c>
      <c r="H386" s="120" t="e" cm="1">
        <f t="array" aca="1" ref="H386" ca="1">_xlfn.LET(_xlpm.p,tblProcurement2026[[#This Row],[Project Name]], _xlpm.nxt,MIN( IF((#REF!=_xlpm.p)*(#REF!&gt;TODAY()),#REF!)), IF(_xlpm.nxt=0,"",_xlpm.nxt-TODAY()))</f>
        <v>#REF!</v>
      </c>
      <c r="J386" s="118"/>
      <c r="K386" s="121"/>
      <c r="M386" s="118"/>
      <c r="N386" s="121"/>
      <c r="Q386" s="118"/>
      <c r="R386" s="118"/>
    </row>
    <row r="387" spans="1:18">
      <c r="A387" t="str" cm="1">
        <f t="array" ref="A387">_xlfn.LET(_xlpm.src,TRIM(#REF!), _xlpm.u,_xlfn._xlws.SORT(_xlfn.UNIQUE(_xlfn._xlws.FILTER(_xlpm.src,_xlpm.src&lt;&gt;""))), IFERROR(INDEX(_xlpm.u,ROWS(A$2:A387)),""))</f>
        <v/>
      </c>
      <c r="B387" s="118"/>
      <c r="C387" s="118"/>
      <c r="D387" s="118"/>
      <c r="E387" s="118"/>
      <c r="F387" s="118"/>
      <c r="G387" s="119" t="str">
        <f>IF(tblProcurement2026[[#This Row],[Committed (All Expenses)]]=0,"",tblProcurement2026[[#This Row],[Paid/Realised]]/tblProcurement2026[[#This Row],[Committed (All Expenses)]])</f>
        <v/>
      </c>
      <c r="H387" s="120" t="e" cm="1">
        <f t="array" aca="1" ref="H387" ca="1">_xlfn.LET(_xlpm.p,tblProcurement2026[[#This Row],[Project Name]], _xlpm.nxt,MIN( IF((#REF!=_xlpm.p)*(#REF!&gt;TODAY()),#REF!)), IF(_xlpm.nxt=0,"",_xlpm.nxt-TODAY()))</f>
        <v>#REF!</v>
      </c>
      <c r="J387" s="118"/>
      <c r="K387" s="121"/>
      <c r="M387" s="118"/>
      <c r="N387" s="121"/>
      <c r="Q387" s="118"/>
      <c r="R387" s="118"/>
    </row>
    <row r="388" spans="1:18">
      <c r="A388" t="str" cm="1">
        <f t="array" ref="A388">_xlfn.LET(_xlpm.src,TRIM(#REF!), _xlpm.u,_xlfn._xlws.SORT(_xlfn.UNIQUE(_xlfn._xlws.FILTER(_xlpm.src,_xlpm.src&lt;&gt;""))), IFERROR(INDEX(_xlpm.u,ROWS(A$2:A388)),""))</f>
        <v/>
      </c>
      <c r="B388" s="118"/>
      <c r="C388" s="118"/>
      <c r="D388" s="118"/>
      <c r="E388" s="118"/>
      <c r="F388" s="118"/>
      <c r="G388" s="119" t="str">
        <f>IF(tblProcurement2026[[#This Row],[Committed (All Expenses)]]=0,"",tblProcurement2026[[#This Row],[Paid/Realised]]/tblProcurement2026[[#This Row],[Committed (All Expenses)]])</f>
        <v/>
      </c>
      <c r="H388" s="120" t="e" cm="1">
        <f t="array" aca="1" ref="H388" ca="1">_xlfn.LET(_xlpm.p,tblProcurement2026[[#This Row],[Project Name]], _xlpm.nxt,MIN( IF((#REF!=_xlpm.p)*(#REF!&gt;TODAY()),#REF!)), IF(_xlpm.nxt=0,"",_xlpm.nxt-TODAY()))</f>
        <v>#REF!</v>
      </c>
      <c r="J388" s="118"/>
      <c r="K388" s="121"/>
      <c r="M388" s="118"/>
      <c r="N388" s="121"/>
      <c r="Q388" s="118"/>
      <c r="R388" s="118"/>
    </row>
    <row r="389" spans="1:18">
      <c r="A389" t="str" cm="1">
        <f t="array" ref="A389">_xlfn.LET(_xlpm.src,TRIM(#REF!), _xlpm.u,_xlfn._xlws.SORT(_xlfn.UNIQUE(_xlfn._xlws.FILTER(_xlpm.src,_xlpm.src&lt;&gt;""))), IFERROR(INDEX(_xlpm.u,ROWS(A$2:A389)),""))</f>
        <v/>
      </c>
      <c r="B389" s="118"/>
      <c r="C389" s="118"/>
      <c r="D389" s="118"/>
      <c r="E389" s="118"/>
      <c r="F389" s="118"/>
      <c r="G389" s="119" t="str">
        <f>IF(tblProcurement2026[[#This Row],[Committed (All Expenses)]]=0,"",tblProcurement2026[[#This Row],[Paid/Realised]]/tblProcurement2026[[#This Row],[Committed (All Expenses)]])</f>
        <v/>
      </c>
      <c r="H389" s="120" t="e" cm="1">
        <f t="array" aca="1" ref="H389" ca="1">_xlfn.LET(_xlpm.p,tblProcurement2026[[#This Row],[Project Name]], _xlpm.nxt,MIN( IF((#REF!=_xlpm.p)*(#REF!&gt;TODAY()),#REF!)), IF(_xlpm.nxt=0,"",_xlpm.nxt-TODAY()))</f>
        <v>#REF!</v>
      </c>
      <c r="J389" s="118"/>
      <c r="K389" s="121"/>
      <c r="M389" s="118"/>
      <c r="N389" s="121"/>
      <c r="Q389" s="118"/>
      <c r="R389" s="118"/>
    </row>
    <row r="390" spans="1:18">
      <c r="A390" t="str" cm="1">
        <f t="array" ref="A390">_xlfn.LET(_xlpm.src,TRIM(#REF!), _xlpm.u,_xlfn._xlws.SORT(_xlfn.UNIQUE(_xlfn._xlws.FILTER(_xlpm.src,_xlpm.src&lt;&gt;""))), IFERROR(INDEX(_xlpm.u,ROWS(A$2:A390)),""))</f>
        <v/>
      </c>
      <c r="B390" s="118"/>
      <c r="C390" s="118"/>
      <c r="D390" s="118"/>
      <c r="E390" s="118"/>
      <c r="F390" s="118"/>
      <c r="G390" s="119" t="str">
        <f>IF(tblProcurement2026[[#This Row],[Committed (All Expenses)]]=0,"",tblProcurement2026[[#This Row],[Paid/Realised]]/tblProcurement2026[[#This Row],[Committed (All Expenses)]])</f>
        <v/>
      </c>
      <c r="H390" s="120" t="e" cm="1">
        <f t="array" aca="1" ref="H390" ca="1">_xlfn.LET(_xlpm.p,tblProcurement2026[[#This Row],[Project Name]], _xlpm.nxt,MIN( IF((#REF!=_xlpm.p)*(#REF!&gt;TODAY()),#REF!)), IF(_xlpm.nxt=0,"",_xlpm.nxt-TODAY()))</f>
        <v>#REF!</v>
      </c>
      <c r="J390" s="118"/>
      <c r="K390" s="121"/>
      <c r="M390" s="118"/>
      <c r="N390" s="121"/>
      <c r="Q390" s="118"/>
      <c r="R390" s="118"/>
    </row>
    <row r="391" spans="1:18">
      <c r="A391" t="str" cm="1">
        <f t="array" ref="A391">_xlfn.LET(_xlpm.src,TRIM(#REF!), _xlpm.u,_xlfn._xlws.SORT(_xlfn.UNIQUE(_xlfn._xlws.FILTER(_xlpm.src,_xlpm.src&lt;&gt;""))), IFERROR(INDEX(_xlpm.u,ROWS(A$2:A391)),""))</f>
        <v/>
      </c>
      <c r="B391" s="118"/>
      <c r="C391" s="118"/>
      <c r="D391" s="118"/>
      <c r="E391" s="118"/>
      <c r="F391" s="118"/>
      <c r="G391" s="119" t="str">
        <f>IF(tblProcurement2026[[#This Row],[Committed (All Expenses)]]=0,"",tblProcurement2026[[#This Row],[Paid/Realised]]/tblProcurement2026[[#This Row],[Committed (All Expenses)]])</f>
        <v/>
      </c>
      <c r="H391" s="120" t="e" cm="1">
        <f t="array" aca="1" ref="H391" ca="1">_xlfn.LET(_xlpm.p,tblProcurement2026[[#This Row],[Project Name]], _xlpm.nxt,MIN( IF((#REF!=_xlpm.p)*(#REF!&gt;TODAY()),#REF!)), IF(_xlpm.nxt=0,"",_xlpm.nxt-TODAY()))</f>
        <v>#REF!</v>
      </c>
      <c r="J391" s="118"/>
      <c r="K391" s="121"/>
      <c r="M391" s="118"/>
      <c r="N391" s="121"/>
      <c r="Q391" s="118"/>
      <c r="R391" s="118"/>
    </row>
    <row r="392" spans="1:18">
      <c r="A392" t="str" cm="1">
        <f t="array" ref="A392">_xlfn.LET(_xlpm.src,TRIM(#REF!), _xlpm.u,_xlfn._xlws.SORT(_xlfn.UNIQUE(_xlfn._xlws.FILTER(_xlpm.src,_xlpm.src&lt;&gt;""))), IFERROR(INDEX(_xlpm.u,ROWS(A$2:A392)),""))</f>
        <v/>
      </c>
      <c r="B392" s="118"/>
      <c r="C392" s="118"/>
      <c r="D392" s="118"/>
      <c r="E392" s="118"/>
      <c r="F392" s="118"/>
      <c r="G392" s="119" t="str">
        <f>IF(tblProcurement2026[[#This Row],[Committed (All Expenses)]]=0,"",tblProcurement2026[[#This Row],[Paid/Realised]]/tblProcurement2026[[#This Row],[Committed (All Expenses)]])</f>
        <v/>
      </c>
      <c r="H392" s="120" t="e" cm="1">
        <f t="array" aca="1" ref="H392" ca="1">_xlfn.LET(_xlpm.p,tblProcurement2026[[#This Row],[Project Name]], _xlpm.nxt,MIN( IF((#REF!=_xlpm.p)*(#REF!&gt;TODAY()),#REF!)), IF(_xlpm.nxt=0,"",_xlpm.nxt-TODAY()))</f>
        <v>#REF!</v>
      </c>
      <c r="J392" s="118"/>
      <c r="K392" s="121"/>
      <c r="M392" s="118"/>
      <c r="N392" s="121"/>
      <c r="Q392" s="118"/>
      <c r="R392" s="118"/>
    </row>
    <row r="393" spans="1:18">
      <c r="A393" t="str" cm="1">
        <f t="array" ref="A393">_xlfn.LET(_xlpm.src,TRIM(#REF!), _xlpm.u,_xlfn._xlws.SORT(_xlfn.UNIQUE(_xlfn._xlws.FILTER(_xlpm.src,_xlpm.src&lt;&gt;""))), IFERROR(INDEX(_xlpm.u,ROWS(A$2:A393)),""))</f>
        <v/>
      </c>
      <c r="B393" s="118"/>
      <c r="C393" s="118"/>
      <c r="D393" s="118"/>
      <c r="E393" s="118"/>
      <c r="F393" s="118"/>
      <c r="G393" s="119" t="str">
        <f>IF(tblProcurement2026[[#This Row],[Committed (All Expenses)]]=0,"",tblProcurement2026[[#This Row],[Paid/Realised]]/tblProcurement2026[[#This Row],[Committed (All Expenses)]])</f>
        <v/>
      </c>
      <c r="H393" s="120" t="e" cm="1">
        <f t="array" aca="1" ref="H393" ca="1">_xlfn.LET(_xlpm.p,tblProcurement2026[[#This Row],[Project Name]], _xlpm.nxt,MIN( IF((#REF!=_xlpm.p)*(#REF!&gt;TODAY()),#REF!)), IF(_xlpm.nxt=0,"",_xlpm.nxt-TODAY()))</f>
        <v>#REF!</v>
      </c>
      <c r="J393" s="118"/>
      <c r="K393" s="121"/>
      <c r="M393" s="118"/>
      <c r="N393" s="121"/>
      <c r="Q393" s="118"/>
      <c r="R393" s="118"/>
    </row>
    <row r="394" spans="1:18">
      <c r="A394" t="str" cm="1">
        <f t="array" ref="A394">_xlfn.LET(_xlpm.src,TRIM(#REF!), _xlpm.u,_xlfn._xlws.SORT(_xlfn.UNIQUE(_xlfn._xlws.FILTER(_xlpm.src,_xlpm.src&lt;&gt;""))), IFERROR(INDEX(_xlpm.u,ROWS(A$2:A394)),""))</f>
        <v/>
      </c>
      <c r="B394" s="118"/>
      <c r="C394" s="118"/>
      <c r="D394" s="118"/>
      <c r="E394" s="118"/>
      <c r="F394" s="118"/>
      <c r="G394" s="119" t="str">
        <f>IF(tblProcurement2026[[#This Row],[Committed (All Expenses)]]=0,"",tblProcurement2026[[#This Row],[Paid/Realised]]/tblProcurement2026[[#This Row],[Committed (All Expenses)]])</f>
        <v/>
      </c>
      <c r="H394" s="120" t="e" cm="1">
        <f t="array" aca="1" ref="H394" ca="1">_xlfn.LET(_xlpm.p,tblProcurement2026[[#This Row],[Project Name]], _xlpm.nxt,MIN( IF((#REF!=_xlpm.p)*(#REF!&gt;TODAY()),#REF!)), IF(_xlpm.nxt=0,"",_xlpm.nxt-TODAY()))</f>
        <v>#REF!</v>
      </c>
      <c r="J394" s="118"/>
      <c r="K394" s="121"/>
      <c r="M394" s="118"/>
      <c r="N394" s="121"/>
      <c r="Q394" s="118"/>
      <c r="R394" s="118"/>
    </row>
    <row r="395" spans="1:18">
      <c r="A395" t="str" cm="1">
        <f t="array" ref="A395">_xlfn.LET(_xlpm.src,TRIM(#REF!), _xlpm.u,_xlfn._xlws.SORT(_xlfn.UNIQUE(_xlfn._xlws.FILTER(_xlpm.src,_xlpm.src&lt;&gt;""))), IFERROR(INDEX(_xlpm.u,ROWS(A$2:A395)),""))</f>
        <v/>
      </c>
      <c r="B395" s="118"/>
      <c r="C395" s="118"/>
      <c r="D395" s="118"/>
      <c r="E395" s="118"/>
      <c r="F395" s="118"/>
      <c r="G395" s="119" t="str">
        <f>IF(tblProcurement2026[[#This Row],[Committed (All Expenses)]]=0,"",tblProcurement2026[[#This Row],[Paid/Realised]]/tblProcurement2026[[#This Row],[Committed (All Expenses)]])</f>
        <v/>
      </c>
      <c r="H395" s="120" t="e" cm="1">
        <f t="array" aca="1" ref="H395" ca="1">_xlfn.LET(_xlpm.p,tblProcurement2026[[#This Row],[Project Name]], _xlpm.nxt,MIN( IF((#REF!=_xlpm.p)*(#REF!&gt;TODAY()),#REF!)), IF(_xlpm.nxt=0,"",_xlpm.nxt-TODAY()))</f>
        <v>#REF!</v>
      </c>
      <c r="J395" s="118"/>
      <c r="K395" s="121"/>
      <c r="M395" s="118"/>
      <c r="N395" s="121"/>
      <c r="Q395" s="118"/>
      <c r="R395" s="118"/>
    </row>
    <row r="396" spans="1:18">
      <c r="A396" t="str" cm="1">
        <f t="array" ref="A396">_xlfn.LET(_xlpm.src,TRIM(#REF!), _xlpm.u,_xlfn._xlws.SORT(_xlfn.UNIQUE(_xlfn._xlws.FILTER(_xlpm.src,_xlpm.src&lt;&gt;""))), IFERROR(INDEX(_xlpm.u,ROWS(A$2:A396)),""))</f>
        <v/>
      </c>
      <c r="B396" s="118"/>
      <c r="C396" s="118"/>
      <c r="D396" s="118"/>
      <c r="E396" s="118"/>
      <c r="F396" s="118"/>
      <c r="G396" s="119" t="str">
        <f>IF(tblProcurement2026[[#This Row],[Committed (All Expenses)]]=0,"",tblProcurement2026[[#This Row],[Paid/Realised]]/tblProcurement2026[[#This Row],[Committed (All Expenses)]])</f>
        <v/>
      </c>
      <c r="H396" s="120" t="e" cm="1">
        <f t="array" aca="1" ref="H396" ca="1">_xlfn.LET(_xlpm.p,tblProcurement2026[[#This Row],[Project Name]], _xlpm.nxt,MIN( IF((#REF!=_xlpm.p)*(#REF!&gt;TODAY()),#REF!)), IF(_xlpm.nxt=0,"",_xlpm.nxt-TODAY()))</f>
        <v>#REF!</v>
      </c>
      <c r="J396" s="118"/>
      <c r="K396" s="121"/>
      <c r="M396" s="118"/>
      <c r="N396" s="121"/>
      <c r="Q396" s="118"/>
      <c r="R396" s="118"/>
    </row>
    <row r="397" spans="1:18">
      <c r="A397" t="str" cm="1">
        <f t="array" ref="A397">_xlfn.LET(_xlpm.src,TRIM(#REF!), _xlpm.u,_xlfn._xlws.SORT(_xlfn.UNIQUE(_xlfn._xlws.FILTER(_xlpm.src,_xlpm.src&lt;&gt;""))), IFERROR(INDEX(_xlpm.u,ROWS(A$2:A397)),""))</f>
        <v/>
      </c>
      <c r="B397" s="118"/>
      <c r="C397" s="118"/>
      <c r="D397" s="118"/>
      <c r="E397" s="118"/>
      <c r="F397" s="118"/>
      <c r="G397" s="119" t="str">
        <f>IF(tblProcurement2026[[#This Row],[Committed (All Expenses)]]=0,"",tblProcurement2026[[#This Row],[Paid/Realised]]/tblProcurement2026[[#This Row],[Committed (All Expenses)]])</f>
        <v/>
      </c>
      <c r="H397" s="120" t="e" cm="1">
        <f t="array" aca="1" ref="H397" ca="1">_xlfn.LET(_xlpm.p,tblProcurement2026[[#This Row],[Project Name]], _xlpm.nxt,MIN( IF((#REF!=_xlpm.p)*(#REF!&gt;TODAY()),#REF!)), IF(_xlpm.nxt=0,"",_xlpm.nxt-TODAY()))</f>
        <v>#REF!</v>
      </c>
      <c r="J397" s="118"/>
      <c r="K397" s="121"/>
      <c r="M397" s="118"/>
      <c r="N397" s="121"/>
      <c r="Q397" s="118"/>
      <c r="R397" s="118"/>
    </row>
    <row r="398" spans="1:18">
      <c r="A398" t="str" cm="1">
        <f t="array" ref="A398">_xlfn.LET(_xlpm.src,TRIM(#REF!), _xlpm.u,_xlfn._xlws.SORT(_xlfn.UNIQUE(_xlfn._xlws.FILTER(_xlpm.src,_xlpm.src&lt;&gt;""))), IFERROR(INDEX(_xlpm.u,ROWS(A$2:A398)),""))</f>
        <v/>
      </c>
      <c r="B398" s="118"/>
      <c r="C398" s="118"/>
      <c r="D398" s="118"/>
      <c r="E398" s="118"/>
      <c r="F398" s="118"/>
      <c r="G398" s="119" t="str">
        <f>IF(tblProcurement2026[[#This Row],[Committed (All Expenses)]]=0,"",tblProcurement2026[[#This Row],[Paid/Realised]]/tblProcurement2026[[#This Row],[Committed (All Expenses)]])</f>
        <v/>
      </c>
      <c r="H398" s="120" t="e" cm="1">
        <f t="array" aca="1" ref="H398" ca="1">_xlfn.LET(_xlpm.p,tblProcurement2026[[#This Row],[Project Name]], _xlpm.nxt,MIN( IF((#REF!=_xlpm.p)*(#REF!&gt;TODAY()),#REF!)), IF(_xlpm.nxt=0,"",_xlpm.nxt-TODAY()))</f>
        <v>#REF!</v>
      </c>
      <c r="J398" s="118"/>
      <c r="K398" s="121"/>
      <c r="M398" s="118"/>
      <c r="N398" s="121"/>
      <c r="Q398" s="118"/>
      <c r="R398" s="118"/>
    </row>
    <row r="399" spans="1:18">
      <c r="A399" t="str" cm="1">
        <f t="array" ref="A399">_xlfn.LET(_xlpm.src,TRIM(#REF!), _xlpm.u,_xlfn._xlws.SORT(_xlfn.UNIQUE(_xlfn._xlws.FILTER(_xlpm.src,_xlpm.src&lt;&gt;""))), IFERROR(INDEX(_xlpm.u,ROWS(A$2:A399)),""))</f>
        <v/>
      </c>
      <c r="B399" s="118"/>
      <c r="C399" s="118"/>
      <c r="D399" s="118"/>
      <c r="E399" s="118"/>
      <c r="F399" s="118"/>
      <c r="G399" s="119" t="str">
        <f>IF(tblProcurement2026[[#This Row],[Committed (All Expenses)]]=0,"",tblProcurement2026[[#This Row],[Paid/Realised]]/tblProcurement2026[[#This Row],[Committed (All Expenses)]])</f>
        <v/>
      </c>
      <c r="H399" s="120" t="e" cm="1">
        <f t="array" aca="1" ref="H399" ca="1">_xlfn.LET(_xlpm.p,tblProcurement2026[[#This Row],[Project Name]], _xlpm.nxt,MIN( IF((#REF!=_xlpm.p)*(#REF!&gt;TODAY()),#REF!)), IF(_xlpm.nxt=0,"",_xlpm.nxt-TODAY()))</f>
        <v>#REF!</v>
      </c>
      <c r="J399" s="118"/>
      <c r="K399" s="121"/>
      <c r="M399" s="118"/>
      <c r="N399" s="121"/>
      <c r="Q399" s="118"/>
      <c r="R399" s="118"/>
    </row>
    <row r="400" spans="1:18">
      <c r="A400" t="str" cm="1">
        <f t="array" ref="A400">_xlfn.LET(_xlpm.src,TRIM(#REF!), _xlpm.u,_xlfn._xlws.SORT(_xlfn.UNIQUE(_xlfn._xlws.FILTER(_xlpm.src,_xlpm.src&lt;&gt;""))), IFERROR(INDEX(_xlpm.u,ROWS(A$2:A400)),""))</f>
        <v/>
      </c>
      <c r="B400" s="118"/>
      <c r="C400" s="118"/>
      <c r="D400" s="118"/>
      <c r="E400" s="118"/>
      <c r="F400" s="118"/>
      <c r="G400" s="119" t="str">
        <f>IF(tblProcurement2026[[#This Row],[Committed (All Expenses)]]=0,"",tblProcurement2026[[#This Row],[Paid/Realised]]/tblProcurement2026[[#This Row],[Committed (All Expenses)]])</f>
        <v/>
      </c>
      <c r="H400" s="120" t="e" cm="1">
        <f t="array" aca="1" ref="H400" ca="1">_xlfn.LET(_xlpm.p,tblProcurement2026[[#This Row],[Project Name]], _xlpm.nxt,MIN( IF((#REF!=_xlpm.p)*(#REF!&gt;TODAY()),#REF!)), IF(_xlpm.nxt=0,"",_xlpm.nxt-TODAY()))</f>
        <v>#REF!</v>
      </c>
      <c r="J400" s="118"/>
      <c r="K400" s="121"/>
      <c r="M400" s="118"/>
      <c r="N400" s="121"/>
      <c r="Q400" s="118"/>
      <c r="R400" s="118"/>
    </row>
    <row r="403" spans="2:2">
      <c r="B403" s="122"/>
    </row>
    <row r="404" spans="2:2">
      <c r="B404" s="123"/>
    </row>
    <row r="405" spans="2:2">
      <c r="B405" s="122"/>
    </row>
    <row r="406" spans="2:2">
      <c r="B406" s="123"/>
    </row>
    <row r="407" spans="2:2">
      <c r="B407" s="122"/>
    </row>
    <row r="408" spans="2:2">
      <c r="B408" s="123"/>
    </row>
  </sheetData>
  <conditionalFormatting sqref="A113:A342">
    <cfRule type="expression" dxfId="16" priority="1">
      <formula>#REF!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F7A40-E8F2-461F-8094-EAAD718D1C98}">
  <sheetPr codeName="Sheet4"/>
  <dimension ref="A1:AJ400"/>
  <sheetViews>
    <sheetView zoomScaleNormal="100" workbookViewId="0">
      <selection activeCell="P34" sqref="P34"/>
    </sheetView>
  </sheetViews>
  <sheetFormatPr defaultRowHeight="14.5"/>
  <cols>
    <col min="1" max="1" width="37.54296875" bestFit="1" customWidth="1"/>
    <col min="2" max="2" width="17.453125" bestFit="1" customWidth="1"/>
    <col min="3" max="3" width="19" bestFit="1" customWidth="1"/>
    <col min="4" max="4" width="18" bestFit="1" customWidth="1"/>
    <col min="5" max="5" width="14.08984375" bestFit="1" customWidth="1"/>
    <col min="6" max="6" width="20.453125" bestFit="1" customWidth="1"/>
    <col min="7" max="7" width="26.36328125" bestFit="1" customWidth="1"/>
    <col min="8" max="8" width="18.453125" bestFit="1" customWidth="1"/>
    <col min="9" max="9" width="12.54296875" bestFit="1" customWidth="1"/>
    <col min="10" max="10" width="16.54296875" bestFit="1" customWidth="1"/>
    <col min="11" max="11" width="10.36328125" bestFit="1" customWidth="1"/>
    <col min="12" max="12" width="16" bestFit="1" customWidth="1"/>
    <col min="13" max="13" width="15.453125" bestFit="1" customWidth="1"/>
    <col min="14" max="14" width="18" bestFit="1" customWidth="1"/>
    <col min="15" max="15" width="17.453125" bestFit="1" customWidth="1"/>
    <col min="16" max="16" width="16.1796875" bestFit="1" customWidth="1"/>
    <col min="17" max="17" width="9.54296875" customWidth="1"/>
    <col min="18" max="18" width="15.90625" bestFit="1" customWidth="1"/>
    <col min="19" max="19" width="13.54296875" bestFit="1" customWidth="1"/>
    <col min="20" max="20" width="18.453125" bestFit="1" customWidth="1"/>
    <col min="21" max="21" width="23.54296875" bestFit="1" customWidth="1"/>
    <col min="22" max="22" width="10.36328125" bestFit="1" customWidth="1"/>
    <col min="23" max="23" width="19" bestFit="1" customWidth="1"/>
    <col min="24" max="24" width="24.453125" bestFit="1" customWidth="1"/>
    <col min="25" max="25" width="20.54296875" bestFit="1" customWidth="1"/>
    <col min="26" max="26" width="16.54296875" bestFit="1" customWidth="1"/>
    <col min="27" max="27" width="16.1796875" bestFit="1" customWidth="1"/>
    <col min="28" max="28" width="23.54296875" bestFit="1" customWidth="1"/>
    <col min="29" max="29" width="13" bestFit="1" customWidth="1"/>
    <col min="30" max="30" width="18" bestFit="1" customWidth="1"/>
    <col min="31" max="31" width="18.453125" bestFit="1" customWidth="1"/>
    <col min="32" max="32" width="17.453125" bestFit="1" customWidth="1"/>
    <col min="33" max="33" width="25" bestFit="1" customWidth="1"/>
    <col min="34" max="34" width="14.08984375" bestFit="1" customWidth="1"/>
    <col min="37" max="37" width="26.36328125" bestFit="1" customWidth="1"/>
    <col min="38" max="38" width="12.54296875" bestFit="1" customWidth="1"/>
    <col min="39" max="39" width="19.54296875" bestFit="1" customWidth="1"/>
    <col min="40" max="40" width="12.54296875" bestFit="1" customWidth="1"/>
    <col min="41" max="41" width="12" bestFit="1" customWidth="1"/>
    <col min="42" max="42" width="28.54296875" bestFit="1" customWidth="1"/>
    <col min="43" max="43" width="12.54296875" bestFit="1" customWidth="1"/>
    <col min="44" max="44" width="19.54296875" bestFit="1" customWidth="1"/>
    <col min="45" max="45" width="12.54296875" bestFit="1" customWidth="1"/>
    <col min="46" max="46" width="12" bestFit="1" customWidth="1"/>
  </cols>
  <sheetData>
    <row r="1" spans="1:36">
      <c r="A1" t="s">
        <v>69</v>
      </c>
      <c r="B1" t="s">
        <v>459</v>
      </c>
      <c r="C1" t="s">
        <v>460</v>
      </c>
      <c r="D1" t="s">
        <v>461</v>
      </c>
      <c r="E1" t="s">
        <v>462</v>
      </c>
      <c r="F1" t="s">
        <v>463</v>
      </c>
      <c r="G1" t="s">
        <v>464</v>
      </c>
      <c r="H1" t="s">
        <v>465</v>
      </c>
      <c r="I1" t="s">
        <v>466</v>
      </c>
      <c r="J1" t="s">
        <v>467</v>
      </c>
      <c r="K1" t="s">
        <v>468</v>
      </c>
      <c r="L1" t="s">
        <v>469</v>
      </c>
      <c r="M1" t="s">
        <v>470</v>
      </c>
      <c r="N1" t="s">
        <v>471</v>
      </c>
      <c r="O1" t="s">
        <v>472</v>
      </c>
      <c r="P1" t="s">
        <v>473</v>
      </c>
      <c r="Q1" t="s">
        <v>474</v>
      </c>
      <c r="R1" t="s">
        <v>475</v>
      </c>
      <c r="S1" t="s">
        <v>476</v>
      </c>
      <c r="T1" t="s">
        <v>477</v>
      </c>
      <c r="U1" t="s">
        <v>478</v>
      </c>
      <c r="V1" t="s">
        <v>479</v>
      </c>
      <c r="W1" t="s">
        <v>480</v>
      </c>
      <c r="X1" t="s">
        <v>481</v>
      </c>
      <c r="Y1" t="s">
        <v>482</v>
      </c>
      <c r="Z1" t="s">
        <v>483</v>
      </c>
      <c r="AA1" t="s">
        <v>484</v>
      </c>
      <c r="AB1" t="s">
        <v>485</v>
      </c>
      <c r="AC1" t="s">
        <v>486</v>
      </c>
      <c r="AD1" t="s">
        <v>487</v>
      </c>
      <c r="AE1" t="s">
        <v>488</v>
      </c>
      <c r="AF1" t="s">
        <v>489</v>
      </c>
      <c r="AG1" t="s">
        <v>490</v>
      </c>
      <c r="AH1" t="s">
        <v>491</v>
      </c>
      <c r="AI1" t="s">
        <v>492</v>
      </c>
      <c r="AJ1" t="s">
        <v>493</v>
      </c>
    </row>
    <row r="2" spans="1:36">
      <c r="A2" t="str" cm="1">
        <f t="array" ref="A2">_xlfn.LET(_xlpm.src,TRIM(#REF!), _xlpm.u,_xlfn._xlws.SORT(_xlfn.UNIQUE(_xlfn._xlws.FILTER(_xlpm.src,_xlpm.src&lt;&gt;""))), IFERROR(INDEX(_xlpm.u,ROWS(A$2:A2)),""))</f>
        <v/>
      </c>
      <c r="B2" s="121"/>
      <c r="C2" s="121"/>
      <c r="D2" s="121"/>
      <c r="E2" t="str">
        <f ca="1">IF(D2&lt;&gt;"","Done",IF(C2&lt;&gt;"","In Progress",IF(B2&lt;&gt;"",IF(TODAY()&gt;B2,"Should have started","Planned"),"")))</f>
        <v/>
      </c>
      <c r="F2" s="120" t="str">
        <f ca="1">IF(E2="Done",D2-C2,IF(E2="In Progress",TODAY()-C2,IF(E2="Should have started",TODAY()-B2,"")))</f>
        <v/>
      </c>
      <c r="G2" s="121"/>
      <c r="K2" s="121"/>
      <c r="L2" s="121" t="e">
        <f>_xlfn.LET(_xlpm.p,tblCompliance2026[[#This Row],[Project Name]], _xlfn.MAXIFS(tblProjectPlan[ActualStartDate],#REF!, _xlpm.p, tblProjectPlan[TaskDescription],"*QA*Inspection*"))</f>
        <v>#REF!</v>
      </c>
      <c r="M2" s="121" t="e">
        <f>_xlfn.LET(_xlpm.p,tblCompliance2026[[#This Row],[Project Name]], _xlfn.MAXIFS(tblProjectPlan[ActualEndDate],#REF!,    _xlpm.p, tblProjectPlan[TaskDescription],"*QA*Inspection*"))</f>
        <v>#REF!</v>
      </c>
      <c r="N2" t="e">
        <f ca="1">IF(L2="","Done",IF(M2="","In Progress",IF(L2&lt;&gt;"",IF(TODAY()&gt;L2,"Should have started","Planned"),"")))</f>
        <v>#REF!</v>
      </c>
      <c r="O2" s="120" t="e">
        <f ca="1">IF(N2="Done",M2-L2,IF(N2="In Progress",TODAY()-M2,IF(N2="Should have started",TODAY()-L2,"")))</f>
        <v>#REF!</v>
      </c>
      <c r="Q2" t="e">
        <f ca="1">IF(N2="Done","Green",IF(N2="In Progress",IF(O2&gt;14,"Amber","Green"),IF(N2="Should have started","Red","Amber")))</f>
        <v>#REF!</v>
      </c>
      <c r="T2" s="121"/>
      <c r="U2" s="120"/>
      <c r="W2" s="121"/>
      <c r="X2" s="120"/>
      <c r="Z2" s="121"/>
      <c r="AA2" s="121"/>
      <c r="AB2" s="120"/>
      <c r="AD2" s="121"/>
      <c r="AE2" s="121"/>
      <c r="AF2" s="120"/>
      <c r="AJ2" s="121"/>
    </row>
    <row r="3" spans="1:36">
      <c r="A3" t="str" cm="1">
        <f t="array" ref="A3">_xlfn.LET(_xlpm.src,TRIM(#REF!), _xlpm.u,_xlfn._xlws.SORT(_xlfn.UNIQUE(_xlfn._xlws.FILTER(_xlpm.src,_xlpm.src&lt;&gt;""))), IFERROR(INDEX(_xlpm.u,ROWS(A$2:A3)),""))</f>
        <v/>
      </c>
      <c r="B3" s="121"/>
      <c r="C3" s="121"/>
      <c r="D3" s="121"/>
      <c r="E3" t="str">
        <f ca="1">IF(D2&lt;&gt;"","Done",IF(C2&lt;&gt;"","In Progress",IF(B2&lt;&gt;"",IF(TODAY()&gt;B2,"Should have started","Planned"),"")))</f>
        <v/>
      </c>
      <c r="F3" s="120" t="str">
        <f ca="1">IF(E2="Done",D2-C2,IF(E2="In Progress",TODAY()-C2,IF(E2="Should have started",TODAY()-B2,"")))</f>
        <v/>
      </c>
      <c r="G3" s="121"/>
      <c r="K3" s="121"/>
      <c r="L3" s="121" t="e">
        <f>_xlfn.LET(_xlpm.p,tblCompliance2026[[#This Row],[Project Name]], _xlfn.MAXIFS(tblProjectPlan[ActualStartDate],#REF!, _xlpm.p, tblProjectPlan[TaskDescription],"*QA*Inspection*"))</f>
        <v>#REF!</v>
      </c>
      <c r="M3" s="121" t="e">
        <f>_xlfn.LET(_xlpm.p,tblCompliance2026[[#This Row],[Project Name]], _xlfn.MAXIFS(tblProjectPlan[ActualEndDate],#REF!,    _xlpm.p, tblProjectPlan[TaskDescription],"*QA*Inspection*"))</f>
        <v>#REF!</v>
      </c>
      <c r="N3" t="e">
        <f t="shared" ref="N3:N55" ca="1" si="0">IF(L3="","Done",IF(M3="","In Progress",IF(L3&lt;&gt;"",IF(TODAY()&gt;L3,"Should have started","Planned"),"")))</f>
        <v>#REF!</v>
      </c>
      <c r="O3" s="120" t="e">
        <f t="shared" ref="O3:O55" ca="1" si="1">IF(N3="Done",M3-L3,IF(N3="In Progress",TODAY()-M3,IF(N3="Should have started",TODAY()-L3,"")))</f>
        <v>#REF!</v>
      </c>
      <c r="Q3" t="e">
        <f ca="1">IF(N2="Done","Green",IF(N2="In Progress",IF(O2&gt;14,"Amber","Green"),IF(N2="Should have started","Red","Amber")))</f>
        <v>#REF!</v>
      </c>
      <c r="T3" s="121"/>
      <c r="U3" s="120"/>
      <c r="W3" s="121"/>
      <c r="X3" s="120"/>
      <c r="Z3" s="121"/>
      <c r="AA3" s="121"/>
      <c r="AB3" s="120"/>
      <c r="AD3" s="121"/>
      <c r="AE3" s="121"/>
      <c r="AF3" s="120"/>
      <c r="AJ3" s="121"/>
    </row>
    <row r="4" spans="1:36">
      <c r="A4" t="str" cm="1">
        <f t="array" ref="A4">_xlfn.LET(_xlpm.src,TRIM(#REF!), _xlpm.u,_xlfn._xlws.SORT(_xlfn.UNIQUE(_xlfn._xlws.FILTER(_xlpm.src,_xlpm.src&lt;&gt;""))), IFERROR(INDEX(_xlpm.u,ROWS(A$2:A4)),""))</f>
        <v/>
      </c>
      <c r="B4" s="121"/>
      <c r="C4" s="121"/>
      <c r="D4" s="121"/>
      <c r="E4" t="str">
        <f ca="1">IF(D2&lt;&gt;"","Done",IF(C2&lt;&gt;"","In Progress",IF(B2&lt;&gt;"",IF(TODAY()&gt;B2,"Should have started","Planned"),"")))</f>
        <v/>
      </c>
      <c r="F4" s="120" t="str">
        <f ca="1">IF(E2="Done",D2-C2,IF(E2="In Progress",TODAY()-C2,IF(E2="Should have started",TODAY()-B2,"")))</f>
        <v/>
      </c>
      <c r="G4" s="121"/>
      <c r="K4" s="121"/>
      <c r="L4" s="121" t="e">
        <f>_xlfn.LET(_xlpm.p,tblCompliance2026[[#This Row],[Project Name]], _xlfn.MAXIFS(tblProjectPlan[ActualStartDate],#REF!, _xlpm.p, tblProjectPlan[TaskDescription],"*QA*Inspection*"))</f>
        <v>#REF!</v>
      </c>
      <c r="M4" s="121" t="e">
        <f>_xlfn.LET(_xlpm.p,tblCompliance2026[[#This Row],[Project Name]], _xlfn.MAXIFS(tblProjectPlan[ActualEndDate],#REF!,    _xlpm.p, tblProjectPlan[TaskDescription],"*QA*Inspection*"))</f>
        <v>#REF!</v>
      </c>
      <c r="N4" t="e">
        <f t="shared" ca="1" si="0"/>
        <v>#REF!</v>
      </c>
      <c r="O4" s="120" t="e">
        <f t="shared" ca="1" si="1"/>
        <v>#REF!</v>
      </c>
      <c r="Q4" t="e">
        <f ca="1">IF(N2="Done","Green",IF(N2="In Progress",IF(O2&gt;14,"Amber","Green"),IF(N2="Should have started","Red","Amber")))</f>
        <v>#REF!</v>
      </c>
      <c r="T4" s="121"/>
      <c r="U4" s="120"/>
      <c r="W4" s="121"/>
      <c r="X4" s="120"/>
      <c r="Z4" s="121"/>
      <c r="AA4" s="121"/>
      <c r="AB4" s="120"/>
      <c r="AD4" s="121"/>
      <c r="AE4" s="121"/>
      <c r="AF4" s="120"/>
      <c r="AJ4" s="121"/>
    </row>
    <row r="5" spans="1:36">
      <c r="A5" t="str" cm="1">
        <f t="array" ref="A5">_xlfn.LET(_xlpm.src,TRIM(#REF!), _xlpm.u,_xlfn._xlws.SORT(_xlfn.UNIQUE(_xlfn._xlws.FILTER(_xlpm.src,_xlpm.src&lt;&gt;""))), IFERROR(INDEX(_xlpm.u,ROWS(A$2:A5)),""))</f>
        <v/>
      </c>
      <c r="B5" s="121"/>
      <c r="C5" s="121"/>
      <c r="D5" s="121"/>
      <c r="E5" t="str">
        <f ca="1">IF(D2&lt;&gt;"","Done",IF(C2&lt;&gt;"","In Progress",IF(B2&lt;&gt;"",IF(TODAY()&gt;B2,"Should have started","Planned"),"")))</f>
        <v/>
      </c>
      <c r="F5" s="120" t="str">
        <f ca="1">IF(E2="Done",D2-C2,IF(E2="In Progress",TODAY()-C2,IF(E2="Should have started",TODAY()-B2,"")))</f>
        <v/>
      </c>
      <c r="G5" s="121"/>
      <c r="K5" s="121"/>
      <c r="L5" s="121" t="e">
        <f>_xlfn.LET(_xlpm.p,tblCompliance2026[[#This Row],[Project Name]], _xlfn.MAXIFS(tblProjectPlan[ActualStartDate],#REF!, _xlpm.p, tblProjectPlan[TaskDescription],"*QA*Inspection*"))</f>
        <v>#REF!</v>
      </c>
      <c r="M5" s="121" t="e">
        <f>_xlfn.LET(_xlpm.p,tblCompliance2026[[#This Row],[Project Name]], _xlfn.MAXIFS(tblProjectPlan[ActualEndDate],#REF!,    _xlpm.p, tblProjectPlan[TaskDescription],"*QA*Inspection*"))</f>
        <v>#REF!</v>
      </c>
      <c r="N5" t="e">
        <f t="shared" ca="1" si="0"/>
        <v>#REF!</v>
      </c>
      <c r="O5" s="120" t="e">
        <f t="shared" ca="1" si="1"/>
        <v>#REF!</v>
      </c>
      <c r="Q5" t="e">
        <f ca="1">IF(N2="Done","Green",IF(N2="In Progress",IF(O2&gt;14,"Amber","Green"),IF(N2="Should have started","Red","Amber")))</f>
        <v>#REF!</v>
      </c>
      <c r="T5" s="121"/>
      <c r="U5" s="120"/>
      <c r="W5" s="121"/>
      <c r="X5" s="120"/>
      <c r="Z5" s="121"/>
      <c r="AA5" s="121"/>
      <c r="AB5" s="120"/>
      <c r="AD5" s="121"/>
      <c r="AE5" s="121"/>
      <c r="AF5" s="120"/>
      <c r="AJ5" s="121"/>
    </row>
    <row r="6" spans="1:36">
      <c r="A6" t="str" cm="1">
        <f t="array" ref="A6">_xlfn.LET(_xlpm.src,TRIM(#REF!), _xlpm.u,_xlfn._xlws.SORT(_xlfn.UNIQUE(_xlfn._xlws.FILTER(_xlpm.src,_xlpm.src&lt;&gt;""))), IFERROR(INDEX(_xlpm.u,ROWS(A$2:A6)),""))</f>
        <v/>
      </c>
      <c r="B6" s="121"/>
      <c r="C6" s="121"/>
      <c r="D6" s="121"/>
      <c r="E6" t="str">
        <f ca="1">IF(D2&lt;&gt;"","Done",IF(C2&lt;&gt;"","In Progress",IF(B2&lt;&gt;"",IF(TODAY()&gt;B2,"Should have started","Planned"),"")))</f>
        <v/>
      </c>
      <c r="F6" s="120" t="str">
        <f ca="1">IF(E2="Done",D2-C2,IF(E2="In Progress",TODAY()-C2,IF(E2="Should have started",TODAY()-B2,"")))</f>
        <v/>
      </c>
      <c r="G6" s="121"/>
      <c r="K6" s="121"/>
      <c r="L6" s="121" t="e">
        <f>_xlfn.LET(_xlpm.p,tblCompliance2026[[#This Row],[Project Name]], _xlfn.MAXIFS(tblProjectPlan[ActualStartDate],#REF!, _xlpm.p, tblProjectPlan[TaskDescription],"*QA*Inspection*"))</f>
        <v>#REF!</v>
      </c>
      <c r="M6" s="121" t="e">
        <f>_xlfn.LET(_xlpm.p,tblCompliance2026[[#This Row],[Project Name]], _xlfn.MAXIFS(tblProjectPlan[ActualEndDate],#REF!,    _xlpm.p, tblProjectPlan[TaskDescription],"*QA*Inspection*"))</f>
        <v>#REF!</v>
      </c>
      <c r="N6" t="e">
        <f t="shared" ca="1" si="0"/>
        <v>#REF!</v>
      </c>
      <c r="O6" s="120" t="e">
        <f t="shared" ca="1" si="1"/>
        <v>#REF!</v>
      </c>
      <c r="Q6" t="e">
        <f ca="1">IF(N2="Done","Green",IF(N2="In Progress",IF(O2&gt;14,"Amber","Green"),IF(N2="Should have started","Red","Amber")))</f>
        <v>#REF!</v>
      </c>
      <c r="T6" s="121"/>
      <c r="U6" s="120"/>
      <c r="W6" s="121"/>
      <c r="X6" s="120"/>
      <c r="Z6" s="121"/>
      <c r="AA6" s="121"/>
      <c r="AB6" s="120"/>
      <c r="AD6" s="121"/>
      <c r="AE6" s="121"/>
      <c r="AF6" s="120"/>
      <c r="AJ6" s="121"/>
    </row>
    <row r="7" spans="1:36">
      <c r="A7" t="str" cm="1">
        <f t="array" ref="A7">_xlfn.LET(_xlpm.src,TRIM(#REF!), _xlpm.u,_xlfn._xlws.SORT(_xlfn.UNIQUE(_xlfn._xlws.FILTER(_xlpm.src,_xlpm.src&lt;&gt;""))), IFERROR(INDEX(_xlpm.u,ROWS(A$2:A7)),""))</f>
        <v/>
      </c>
      <c r="B7" s="121"/>
      <c r="C7" s="121"/>
      <c r="D7" s="121"/>
      <c r="E7" t="str">
        <f ca="1">IF(D2&lt;&gt;"","Done",IF(C2&lt;&gt;"","In Progress",IF(B2&lt;&gt;"",IF(TODAY()&gt;B2,"Should have started","Planned"),"")))</f>
        <v/>
      </c>
      <c r="F7" s="120" t="str">
        <f ca="1">IF(E2="Done",D2-C2,IF(E2="In Progress",TODAY()-C2,IF(E2="Should have started",TODAY()-B2,"")))</f>
        <v/>
      </c>
      <c r="G7" s="121"/>
      <c r="K7" s="121"/>
      <c r="L7" s="121" t="e">
        <f>_xlfn.LET(_xlpm.p,tblCompliance2026[[#This Row],[Project Name]], _xlfn.MAXIFS(tblProjectPlan[ActualStartDate],#REF!, _xlpm.p, tblProjectPlan[TaskDescription],"*QA*Inspection*"))</f>
        <v>#REF!</v>
      </c>
      <c r="M7" s="121" t="e">
        <f>_xlfn.LET(_xlpm.p,tblCompliance2026[[#This Row],[Project Name]], _xlfn.MAXIFS(tblProjectPlan[ActualEndDate],#REF!,    _xlpm.p, tblProjectPlan[TaskDescription],"*QA*Inspection*"))</f>
        <v>#REF!</v>
      </c>
      <c r="N7" t="e">
        <f t="shared" ca="1" si="0"/>
        <v>#REF!</v>
      </c>
      <c r="O7" s="120" t="e">
        <f t="shared" ca="1" si="1"/>
        <v>#REF!</v>
      </c>
      <c r="Q7" t="e">
        <f ca="1">IF(N2="Done","Green",IF(N2="In Progress",IF(O2&gt;14,"Amber","Green"),IF(N2="Should have started","Red","Amber")))</f>
        <v>#REF!</v>
      </c>
      <c r="T7" s="121"/>
      <c r="U7" s="120"/>
      <c r="W7" s="121"/>
      <c r="X7" s="120"/>
      <c r="Z7" s="121"/>
      <c r="AA7" s="121"/>
      <c r="AB7" s="120"/>
      <c r="AD7" s="121"/>
      <c r="AE7" s="121"/>
      <c r="AF7" s="120"/>
      <c r="AJ7" s="121"/>
    </row>
    <row r="8" spans="1:36">
      <c r="A8" t="str" cm="1">
        <f t="array" ref="A8">_xlfn.LET(_xlpm.src,TRIM(#REF!), _xlpm.u,_xlfn._xlws.SORT(_xlfn.UNIQUE(_xlfn._xlws.FILTER(_xlpm.src,_xlpm.src&lt;&gt;""))), IFERROR(INDEX(_xlpm.u,ROWS(A$2:A8)),""))</f>
        <v/>
      </c>
      <c r="B8" s="121"/>
      <c r="C8" s="121"/>
      <c r="D8" s="121"/>
      <c r="E8" t="str">
        <f ca="1">IF(D2&lt;&gt;"","Done",IF(C2&lt;&gt;"","In Progress",IF(B2&lt;&gt;"",IF(TODAY()&gt;B2,"Should have started","Planned"),"")))</f>
        <v/>
      </c>
      <c r="F8" s="120" t="str">
        <f ca="1">IF(E2="Done",D2-C2,IF(E2="In Progress",TODAY()-C2,IF(E2="Should have started",TODAY()-B2,"")))</f>
        <v/>
      </c>
      <c r="G8" s="121"/>
      <c r="K8" s="121"/>
      <c r="L8" s="121" t="e">
        <f>_xlfn.LET(_xlpm.p,tblCompliance2026[[#This Row],[Project Name]], _xlfn.MAXIFS(tblProjectPlan[ActualStartDate],#REF!, _xlpm.p, tblProjectPlan[TaskDescription],"*QA*Inspection*"))</f>
        <v>#REF!</v>
      </c>
      <c r="M8" s="121" t="e">
        <f>_xlfn.LET(_xlpm.p,tblCompliance2026[[#This Row],[Project Name]], _xlfn.MAXIFS(tblProjectPlan[ActualEndDate],#REF!,    _xlpm.p, tblProjectPlan[TaskDescription],"*QA*Inspection*"))</f>
        <v>#REF!</v>
      </c>
      <c r="N8" t="e">
        <f t="shared" ca="1" si="0"/>
        <v>#REF!</v>
      </c>
      <c r="O8" s="120" t="e">
        <f t="shared" ca="1" si="1"/>
        <v>#REF!</v>
      </c>
      <c r="Q8" t="e">
        <f ca="1">IF(N2="Done","Green",IF(N2="In Progress",IF(O2&gt;14,"Amber","Green"),IF(N2="Should have started","Red","Amber")))</f>
        <v>#REF!</v>
      </c>
      <c r="T8" s="121"/>
      <c r="U8" s="120"/>
      <c r="W8" s="121"/>
      <c r="X8" s="120"/>
      <c r="Z8" s="121"/>
      <c r="AA8" s="121"/>
      <c r="AB8" s="120"/>
      <c r="AD8" s="121"/>
      <c r="AE8" s="121"/>
      <c r="AF8" s="120"/>
      <c r="AJ8" s="121"/>
    </row>
    <row r="9" spans="1:36">
      <c r="A9" t="str" cm="1">
        <f t="array" ref="A9">_xlfn.LET(_xlpm.src,TRIM(#REF!), _xlpm.u,_xlfn._xlws.SORT(_xlfn.UNIQUE(_xlfn._xlws.FILTER(_xlpm.src,_xlpm.src&lt;&gt;""))), IFERROR(INDEX(_xlpm.u,ROWS(A$2:A9)),""))</f>
        <v/>
      </c>
      <c r="B9" s="121"/>
      <c r="C9" s="121"/>
      <c r="D9" s="121"/>
      <c r="E9" t="str">
        <f ca="1">IF(D2&lt;&gt;"","Done",IF(C2&lt;&gt;"","In Progress",IF(B2&lt;&gt;"",IF(TODAY()&gt;B2,"Should have started","Planned"),"")))</f>
        <v/>
      </c>
      <c r="F9" s="120" t="str">
        <f ca="1">IF(E2="Done",D2-C2,IF(E2="In Progress",TODAY()-C2,IF(E2="Should have started",TODAY()-B2,"")))</f>
        <v/>
      </c>
      <c r="G9" s="121"/>
      <c r="K9" s="121"/>
      <c r="L9" s="121" t="e">
        <f>_xlfn.LET(_xlpm.p,tblCompliance2026[[#This Row],[Project Name]], _xlfn.MAXIFS(tblProjectPlan[ActualStartDate],#REF!, _xlpm.p, tblProjectPlan[TaskDescription],"*QA*Inspection*"))</f>
        <v>#REF!</v>
      </c>
      <c r="M9" s="121" t="e">
        <f>_xlfn.LET(_xlpm.p,tblCompliance2026[[#This Row],[Project Name]], _xlfn.MAXIFS(tblProjectPlan[ActualEndDate],#REF!,    _xlpm.p, tblProjectPlan[TaskDescription],"*QA*Inspection*"))</f>
        <v>#REF!</v>
      </c>
      <c r="N9" t="e">
        <f t="shared" ca="1" si="0"/>
        <v>#REF!</v>
      </c>
      <c r="O9" s="120" t="e">
        <f ca="1">IF(N9="Done",M9-L9,IF(N9="In Progress",TODAY()-M9,IF(N9="Should have started",TODAY()-L9,"")))</f>
        <v>#REF!</v>
      </c>
      <c r="Q9" t="e">
        <f ca="1">IF(N2="Done","Green",IF(N2="In Progress",IF(O2&gt;14,"Amber","Green"),IF(N2="Should have started","Red","Amber")))</f>
        <v>#REF!</v>
      </c>
      <c r="T9" s="121"/>
      <c r="U9" s="120"/>
      <c r="W9" s="121"/>
      <c r="X9" s="120"/>
      <c r="Z9" s="121"/>
      <c r="AA9" s="121"/>
      <c r="AB9" s="120"/>
      <c r="AD9" s="121"/>
      <c r="AE9" s="121"/>
      <c r="AF9" s="120"/>
      <c r="AJ9" s="121"/>
    </row>
    <row r="10" spans="1:36">
      <c r="A10" t="str" cm="1">
        <f t="array" ref="A10">_xlfn.LET(_xlpm.src,TRIM(#REF!), _xlpm.u,_xlfn._xlws.SORT(_xlfn.UNIQUE(_xlfn._xlws.FILTER(_xlpm.src,_xlpm.src&lt;&gt;""))), IFERROR(INDEX(_xlpm.u,ROWS(A$2:A10)),""))</f>
        <v/>
      </c>
      <c r="B10" s="121"/>
      <c r="C10" s="121"/>
      <c r="D10" s="121"/>
      <c r="E10" t="str">
        <f ca="1">IF(D2&lt;&gt;"","Done",IF(C2&lt;&gt;"","In Progress",IF(B2&lt;&gt;"",IF(TODAY()&gt;B2,"Should have started","Planned"),"")))</f>
        <v/>
      </c>
      <c r="F10" s="120" t="str">
        <f ca="1">IF(E2="Done",D2-C2,IF(E2="In Progress",TODAY()-C2,IF(E2="Should have started",TODAY()-B2,"")))</f>
        <v/>
      </c>
      <c r="G10" s="121"/>
      <c r="K10" s="121"/>
      <c r="L10" s="121" t="e">
        <f>_xlfn.LET(_xlpm.p,tblCompliance2026[[#This Row],[Project Name]], _xlfn.MAXIFS(tblProjectPlan[ActualStartDate],#REF!, _xlpm.p, tblProjectPlan[TaskDescription],"*QA*Inspection*"))</f>
        <v>#REF!</v>
      </c>
      <c r="M10" s="121" t="e">
        <f>_xlfn.LET(_xlpm.p,tblCompliance2026[[#This Row],[Project Name]], _xlfn.MAXIFS(tblProjectPlan[ActualEndDate],#REF!,    _xlpm.p, tblProjectPlan[TaskDescription],"*QA*Inspection*"))</f>
        <v>#REF!</v>
      </c>
      <c r="N10" t="e">
        <f t="shared" ca="1" si="0"/>
        <v>#REF!</v>
      </c>
      <c r="O10" s="120" t="e">
        <f t="shared" ca="1" si="1"/>
        <v>#REF!</v>
      </c>
      <c r="Q10" t="e">
        <f ca="1">IF(N2="Done","Green",IF(N2="In Progress",IF(O2&gt;14,"Amber","Green"),IF(N2="Should have started","Red","Amber")))</f>
        <v>#REF!</v>
      </c>
      <c r="T10" s="121"/>
      <c r="U10" s="120"/>
      <c r="W10" s="121"/>
      <c r="X10" s="120"/>
      <c r="Z10" s="121"/>
      <c r="AA10" s="121"/>
      <c r="AB10" s="120"/>
      <c r="AD10" s="121"/>
      <c r="AE10" s="121"/>
      <c r="AF10" s="120"/>
      <c r="AJ10" s="121"/>
    </row>
    <row r="11" spans="1:36">
      <c r="A11" t="str" cm="1">
        <f t="array" ref="A11">_xlfn.LET(_xlpm.src,TRIM(#REF!), _xlpm.u,_xlfn._xlws.SORT(_xlfn.UNIQUE(_xlfn._xlws.FILTER(_xlpm.src,_xlpm.src&lt;&gt;""))), IFERROR(INDEX(_xlpm.u,ROWS(A$2:A11)),""))</f>
        <v/>
      </c>
      <c r="B11" s="121"/>
      <c r="C11" s="121"/>
      <c r="D11" s="121"/>
      <c r="E11" t="str">
        <f ca="1">IF(D2&lt;&gt;"","Done",IF(C2&lt;&gt;"","In Progress",IF(B2&lt;&gt;"",IF(TODAY()&gt;B2,"Should have started","Planned"),"")))</f>
        <v/>
      </c>
      <c r="F11" s="120" t="str">
        <f ca="1">IF(E2="Done",D2-C2,IF(E2="In Progress",TODAY()-C2,IF(E2="Should have started",TODAY()-B2,"")))</f>
        <v/>
      </c>
      <c r="G11" s="121"/>
      <c r="K11" s="121"/>
      <c r="L11" s="121" t="e">
        <f>_xlfn.LET(_xlpm.p,tblCompliance2026[[#This Row],[Project Name]], _xlfn.MAXIFS(tblProjectPlan[ActualStartDate],#REF!, _xlpm.p, tblProjectPlan[TaskDescription],"*QA*Inspection*"))</f>
        <v>#REF!</v>
      </c>
      <c r="M11" s="121" t="e">
        <f>_xlfn.LET(_xlpm.p,tblCompliance2026[[#This Row],[Project Name]], _xlfn.MAXIFS(tblProjectPlan[ActualEndDate],#REF!,    _xlpm.p, tblProjectPlan[TaskDescription],"*QA*Inspection*"))</f>
        <v>#REF!</v>
      </c>
      <c r="N11" t="e">
        <f t="shared" ca="1" si="0"/>
        <v>#REF!</v>
      </c>
      <c r="O11" s="120" t="e">
        <f t="shared" ca="1" si="1"/>
        <v>#REF!</v>
      </c>
      <c r="Q11" t="e">
        <f ca="1">IF(N2="Done","Green",IF(N2="In Progress",IF(O2&gt;14,"Amber","Green"),IF(N2="Should have started","Red","Amber")))</f>
        <v>#REF!</v>
      </c>
      <c r="T11" s="121"/>
      <c r="U11" s="120"/>
      <c r="W11" s="121"/>
      <c r="X11" s="120"/>
      <c r="Z11" s="121"/>
      <c r="AA11" s="121"/>
      <c r="AB11" s="120"/>
      <c r="AD11" s="121"/>
      <c r="AE11" s="121"/>
      <c r="AF11" s="120"/>
      <c r="AJ11" s="121"/>
    </row>
    <row r="12" spans="1:36">
      <c r="A12" t="str" cm="1">
        <f t="array" ref="A12">_xlfn.LET(_xlpm.src,TRIM(#REF!), _xlpm.u,_xlfn._xlws.SORT(_xlfn.UNIQUE(_xlfn._xlws.FILTER(_xlpm.src,_xlpm.src&lt;&gt;""))), IFERROR(INDEX(_xlpm.u,ROWS(A$2:A12)),""))</f>
        <v/>
      </c>
      <c r="B12" s="121"/>
      <c r="C12" s="121"/>
      <c r="D12" s="121"/>
      <c r="E12" t="str">
        <f ca="1">IF(D2&lt;&gt;"","Done",IF(C2&lt;&gt;"","In Progress",IF(B2&lt;&gt;"",IF(TODAY()&gt;B2,"Should have started","Planned"),"")))</f>
        <v/>
      </c>
      <c r="F12" s="120" t="str">
        <f ca="1">IF(E2="Done",D2-C2,IF(E2="In Progress",TODAY()-C2,IF(E2="Should have started",TODAY()-B2,"")))</f>
        <v/>
      </c>
      <c r="G12" s="121"/>
      <c r="K12" s="121"/>
      <c r="L12" s="121" t="e">
        <f>_xlfn.LET(_xlpm.p,tblCompliance2026[[#This Row],[Project Name]], _xlfn.MAXIFS(tblProjectPlan[ActualStartDate],#REF!, _xlpm.p, tblProjectPlan[TaskDescription],"*QA*Inspection*"))</f>
        <v>#REF!</v>
      </c>
      <c r="M12" s="121" t="e">
        <f>_xlfn.LET(_xlpm.p,tblCompliance2026[[#This Row],[Project Name]], _xlfn.MAXIFS(tblProjectPlan[ActualEndDate],#REF!,    _xlpm.p, tblProjectPlan[TaskDescription],"*QA*Inspection*"))</f>
        <v>#REF!</v>
      </c>
      <c r="N12" t="e">
        <f t="shared" ca="1" si="0"/>
        <v>#REF!</v>
      </c>
      <c r="O12" s="120" t="e">
        <f t="shared" ca="1" si="1"/>
        <v>#REF!</v>
      </c>
      <c r="Q12" t="e">
        <f ca="1">IF(N2="Done","Green",IF(N2="In Progress",IF(O2&gt;14,"Amber","Green"),IF(N2="Should have started","Red","Amber")))</f>
        <v>#REF!</v>
      </c>
      <c r="T12" s="121"/>
      <c r="U12" s="120"/>
      <c r="W12" s="121"/>
      <c r="X12" s="120"/>
      <c r="Z12" s="121"/>
      <c r="AA12" s="121"/>
      <c r="AB12" s="120"/>
      <c r="AD12" s="121"/>
      <c r="AE12" s="121"/>
      <c r="AF12" s="120"/>
      <c r="AJ12" s="121"/>
    </row>
    <row r="13" spans="1:36">
      <c r="A13" t="str" cm="1">
        <f t="array" ref="A13">_xlfn.LET(_xlpm.src,TRIM(#REF!), _xlpm.u,_xlfn._xlws.SORT(_xlfn.UNIQUE(_xlfn._xlws.FILTER(_xlpm.src,_xlpm.src&lt;&gt;""))), IFERROR(INDEX(_xlpm.u,ROWS(A$2:A13)),""))</f>
        <v/>
      </c>
      <c r="B13" s="121"/>
      <c r="C13" s="121"/>
      <c r="D13" s="121"/>
      <c r="E13" t="str">
        <f ca="1">IF(D2&lt;&gt;"","Done",IF(C2&lt;&gt;"","In Progress",IF(B2&lt;&gt;"",IF(TODAY()&gt;B2,"Should have started","Planned"),"")))</f>
        <v/>
      </c>
      <c r="F13" s="120" t="str">
        <f ca="1">IF(E2="Done",D2-C2,IF(E2="In Progress",TODAY()-C2,IF(E2="Should have started",TODAY()-B2,"")))</f>
        <v/>
      </c>
      <c r="G13" s="121"/>
      <c r="K13" s="121"/>
      <c r="L13" s="121" t="e">
        <f>_xlfn.LET(_xlpm.p,tblCompliance2026[[#This Row],[Project Name]], _xlfn.MAXIFS(tblProjectPlan[ActualStartDate],#REF!, _xlpm.p, tblProjectPlan[TaskDescription],"*QA*Inspection*"))</f>
        <v>#REF!</v>
      </c>
      <c r="M13" s="121" t="e">
        <f>_xlfn.LET(_xlpm.p,tblCompliance2026[[#This Row],[Project Name]], _xlfn.MAXIFS(tblProjectPlan[ActualEndDate],#REF!,    _xlpm.p, tblProjectPlan[TaskDescription],"*QA*Inspection*"))</f>
        <v>#REF!</v>
      </c>
      <c r="N13" t="e">
        <f t="shared" ca="1" si="0"/>
        <v>#REF!</v>
      </c>
      <c r="O13" s="120" t="e">
        <f t="shared" ca="1" si="1"/>
        <v>#REF!</v>
      </c>
      <c r="Q13" t="e">
        <f ca="1">IF(N2="Done","Green",IF(N2="In Progress",IF(O2&gt;14,"Amber","Green"),IF(N2="Should have started","Red","Amber")))</f>
        <v>#REF!</v>
      </c>
      <c r="T13" s="121"/>
      <c r="U13" s="120"/>
      <c r="W13" s="121"/>
      <c r="X13" s="120"/>
      <c r="Z13" s="121"/>
      <c r="AA13" s="121"/>
      <c r="AB13" s="120"/>
      <c r="AD13" s="121"/>
      <c r="AE13" s="121"/>
      <c r="AF13" s="120"/>
      <c r="AJ13" s="121"/>
    </row>
    <row r="14" spans="1:36">
      <c r="A14" t="str" cm="1">
        <f t="array" ref="A14">_xlfn.LET(_xlpm.src,TRIM(#REF!), _xlpm.u,_xlfn._xlws.SORT(_xlfn.UNIQUE(_xlfn._xlws.FILTER(_xlpm.src,_xlpm.src&lt;&gt;""))), IFERROR(INDEX(_xlpm.u,ROWS(A$2:A14)),""))</f>
        <v/>
      </c>
      <c r="B14" s="121"/>
      <c r="C14" s="121"/>
      <c r="D14" s="121"/>
      <c r="E14" t="str">
        <f ca="1">IF(D2&lt;&gt;"","Done",IF(C2&lt;&gt;"","In Progress",IF(B2&lt;&gt;"",IF(TODAY()&gt;B2,"Should have started","Planned"),"")))</f>
        <v/>
      </c>
      <c r="F14" s="120" t="str">
        <f ca="1">IF(E2="Done",D2-C2,IF(E2="In Progress",TODAY()-C2,IF(E2="Should have started",TODAY()-B2,"")))</f>
        <v/>
      </c>
      <c r="G14" s="121"/>
      <c r="K14" s="121"/>
      <c r="L14" s="121" t="e">
        <f>_xlfn.LET(_xlpm.p,tblCompliance2026[[#This Row],[Project Name]], _xlfn.MAXIFS(tblProjectPlan[ActualStartDate],#REF!, _xlpm.p, tblProjectPlan[TaskDescription],"*QA*Inspection*"))</f>
        <v>#REF!</v>
      </c>
      <c r="M14" s="121" t="e">
        <f>_xlfn.LET(_xlpm.p,tblCompliance2026[[#This Row],[Project Name]], _xlfn.MAXIFS(tblProjectPlan[ActualEndDate],#REF!,    _xlpm.p, tblProjectPlan[TaskDescription],"*QA*Inspection*"))</f>
        <v>#REF!</v>
      </c>
      <c r="N14" t="e">
        <f t="shared" ca="1" si="0"/>
        <v>#REF!</v>
      </c>
      <c r="O14" s="120" t="e">
        <f t="shared" ca="1" si="1"/>
        <v>#REF!</v>
      </c>
      <c r="Q14" t="e">
        <f ca="1">IF(N2="Done","Green",IF(N2="In Progress",IF(O2&gt;14,"Amber","Green"),IF(N2="Should have started","Red","Amber")))</f>
        <v>#REF!</v>
      </c>
      <c r="T14" s="121"/>
      <c r="U14" s="120"/>
      <c r="W14" s="121"/>
      <c r="X14" s="120"/>
      <c r="Z14" s="121"/>
      <c r="AA14" s="121"/>
      <c r="AB14" s="120"/>
      <c r="AD14" s="121"/>
      <c r="AE14" s="121"/>
      <c r="AF14" s="120"/>
      <c r="AJ14" s="121"/>
    </row>
    <row r="15" spans="1:36">
      <c r="A15" t="str" cm="1">
        <f t="array" ref="A15">_xlfn.LET(_xlpm.src,TRIM(#REF!), _xlpm.u,_xlfn._xlws.SORT(_xlfn.UNIQUE(_xlfn._xlws.FILTER(_xlpm.src,_xlpm.src&lt;&gt;""))), IFERROR(INDEX(_xlpm.u,ROWS(A$2:A15)),""))</f>
        <v/>
      </c>
      <c r="B15" s="121"/>
      <c r="C15" s="121"/>
      <c r="D15" s="121"/>
      <c r="E15" t="str">
        <f ca="1">IF(D2&lt;&gt;"","Done",IF(C2&lt;&gt;"","In Progress",IF(B2&lt;&gt;"",IF(TODAY()&gt;B2,"Should have started","Planned"),"")))</f>
        <v/>
      </c>
      <c r="F15" s="120" t="str">
        <f ca="1">IF(E2="Done",D2-C2,IF(E2="In Progress",TODAY()-C2,IF(E2="Should have started",TODAY()-B2,"")))</f>
        <v/>
      </c>
      <c r="G15" s="121"/>
      <c r="K15" s="121"/>
      <c r="L15" s="121" t="e">
        <f>_xlfn.LET(_xlpm.p,tblCompliance2026[[#This Row],[Project Name]], _xlfn.MAXIFS(tblProjectPlan[ActualStartDate],#REF!, _xlpm.p, tblProjectPlan[TaskDescription],"*QA*Inspection*"))</f>
        <v>#REF!</v>
      </c>
      <c r="M15" s="121" t="e">
        <f>_xlfn.LET(_xlpm.p,tblCompliance2026[[#This Row],[Project Name]], _xlfn.MAXIFS(tblProjectPlan[ActualEndDate],#REF!,    _xlpm.p, tblProjectPlan[TaskDescription],"*QA*Inspection*"))</f>
        <v>#REF!</v>
      </c>
      <c r="N15" t="e">
        <f t="shared" ca="1" si="0"/>
        <v>#REF!</v>
      </c>
      <c r="O15" s="120" t="e">
        <f t="shared" ca="1" si="1"/>
        <v>#REF!</v>
      </c>
      <c r="Q15" t="e">
        <f ca="1">IF(N2="Done","Green",IF(N2="In Progress",IF(O2&gt;14,"Amber","Green"),IF(N2="Should have started","Red","Amber")))</f>
        <v>#REF!</v>
      </c>
      <c r="T15" s="121"/>
      <c r="U15" s="120"/>
      <c r="W15" s="121"/>
      <c r="X15" s="120"/>
      <c r="Z15" s="121"/>
      <c r="AA15" s="121"/>
      <c r="AB15" s="120"/>
      <c r="AD15" s="121"/>
      <c r="AE15" s="121"/>
      <c r="AF15" s="120"/>
      <c r="AJ15" s="121"/>
    </row>
    <row r="16" spans="1:36">
      <c r="A16" t="str" cm="1">
        <f t="array" ref="A16">_xlfn.LET(_xlpm.src,TRIM(#REF!), _xlpm.u,_xlfn._xlws.SORT(_xlfn.UNIQUE(_xlfn._xlws.FILTER(_xlpm.src,_xlpm.src&lt;&gt;""))), IFERROR(INDEX(_xlpm.u,ROWS(A$2:A16)),""))</f>
        <v/>
      </c>
      <c r="B16" s="121"/>
      <c r="C16" s="121"/>
      <c r="D16" s="121"/>
      <c r="E16" t="str">
        <f ca="1">IF(D2&lt;&gt;"","Done",IF(C2&lt;&gt;"","In Progress",IF(B2&lt;&gt;"",IF(TODAY()&gt;B2,"Should have started","Planned"),"")))</f>
        <v/>
      </c>
      <c r="F16" s="120" t="str">
        <f ca="1">IF(E2="Done",D2-C2,IF(E2="In Progress",TODAY()-C2,IF(E2="Should have started",TODAY()-B2,"")))</f>
        <v/>
      </c>
      <c r="G16" s="121"/>
      <c r="K16" s="121"/>
      <c r="L16" s="121" t="e">
        <f>_xlfn.LET(_xlpm.p,tblCompliance2026[[#This Row],[Project Name]], _xlfn.MAXIFS(tblProjectPlan[ActualStartDate],#REF!, _xlpm.p, tblProjectPlan[TaskDescription],"*QA*Inspection*"))</f>
        <v>#REF!</v>
      </c>
      <c r="M16" s="121" t="e">
        <f>_xlfn.LET(_xlpm.p,tblCompliance2026[[#This Row],[Project Name]], _xlfn.MAXIFS(tblProjectPlan[ActualEndDate],#REF!,    _xlpm.p, tblProjectPlan[TaskDescription],"*QA*Inspection*"))</f>
        <v>#REF!</v>
      </c>
      <c r="N16" t="e">
        <f t="shared" ca="1" si="0"/>
        <v>#REF!</v>
      </c>
      <c r="O16" s="120" t="e">
        <f t="shared" ca="1" si="1"/>
        <v>#REF!</v>
      </c>
      <c r="Q16" t="e">
        <f ca="1">IF(N2="Done","Green",IF(N2="In Progress",IF(O2&gt;14,"Amber","Green"),IF(N2="Should have started","Red","Amber")))</f>
        <v>#REF!</v>
      </c>
      <c r="T16" s="121"/>
      <c r="U16" s="120"/>
      <c r="W16" s="121"/>
      <c r="X16" s="120"/>
      <c r="Z16" s="121"/>
      <c r="AA16" s="121"/>
      <c r="AB16" s="120"/>
      <c r="AD16" s="121"/>
      <c r="AE16" s="121"/>
      <c r="AF16" s="120"/>
      <c r="AJ16" s="121"/>
    </row>
    <row r="17" spans="1:36">
      <c r="A17" t="str" cm="1">
        <f t="array" ref="A17">_xlfn.LET(_xlpm.src,TRIM(#REF!), _xlpm.u,_xlfn._xlws.SORT(_xlfn.UNIQUE(_xlfn._xlws.FILTER(_xlpm.src,_xlpm.src&lt;&gt;""))), IFERROR(INDEX(_xlpm.u,ROWS(A$2:A17)),""))</f>
        <v/>
      </c>
      <c r="B17" s="121"/>
      <c r="C17" s="121"/>
      <c r="D17" s="121"/>
      <c r="E17" t="str">
        <f ca="1">IF(D2&lt;&gt;"","Done",IF(C2&lt;&gt;"","In Progress",IF(B2&lt;&gt;"",IF(TODAY()&gt;B2,"Should have started","Planned"),"")))</f>
        <v/>
      </c>
      <c r="F17" s="120" t="str">
        <f ca="1">IF(E2="Done",D2-C2,IF(E2="In Progress",TODAY()-C2,IF(E2="Should have started",TODAY()-B2,"")))</f>
        <v/>
      </c>
      <c r="G17" s="121"/>
      <c r="K17" s="121"/>
      <c r="L17" s="121" t="e">
        <f>_xlfn.LET(_xlpm.p,tblCompliance2026[[#This Row],[Project Name]], _xlfn.MAXIFS(tblProjectPlan[ActualStartDate],#REF!, _xlpm.p, tblProjectPlan[TaskDescription],"*QA*Inspection*"))</f>
        <v>#REF!</v>
      </c>
      <c r="M17" s="121" t="e">
        <f>_xlfn.LET(_xlpm.p,tblCompliance2026[[#This Row],[Project Name]], _xlfn.MAXIFS(tblProjectPlan[ActualEndDate],#REF!,    _xlpm.p, tblProjectPlan[TaskDescription],"*QA*Inspection*"))</f>
        <v>#REF!</v>
      </c>
      <c r="N17" t="e">
        <f t="shared" ca="1" si="0"/>
        <v>#REF!</v>
      </c>
      <c r="O17" s="120" t="e">
        <f t="shared" ca="1" si="1"/>
        <v>#REF!</v>
      </c>
      <c r="Q17" t="e">
        <f ca="1">IF(N2="Done","Green",IF(N2="In Progress",IF(O2&gt;14,"Amber","Green"),IF(N2="Should have started","Red","Amber")))</f>
        <v>#REF!</v>
      </c>
      <c r="T17" s="121"/>
      <c r="U17" s="120"/>
      <c r="W17" s="121"/>
      <c r="X17" s="120"/>
      <c r="Z17" s="121"/>
      <c r="AA17" s="121"/>
      <c r="AB17" s="120"/>
      <c r="AD17" s="121"/>
      <c r="AE17" s="121"/>
      <c r="AF17" s="120"/>
      <c r="AJ17" s="121"/>
    </row>
    <row r="18" spans="1:36">
      <c r="A18" t="str" cm="1">
        <f t="array" ref="A18">_xlfn.LET(_xlpm.src,TRIM(#REF!), _xlpm.u,_xlfn._xlws.SORT(_xlfn.UNIQUE(_xlfn._xlws.FILTER(_xlpm.src,_xlpm.src&lt;&gt;""))), IFERROR(INDEX(_xlpm.u,ROWS(A$2:A18)),""))</f>
        <v/>
      </c>
      <c r="B18" s="121"/>
      <c r="C18" s="121"/>
      <c r="D18" s="121"/>
      <c r="E18" t="str">
        <f ca="1">IF(D2&lt;&gt;"","Done",IF(C2&lt;&gt;"","In Progress",IF(B2&lt;&gt;"",IF(TODAY()&gt;B2,"Should have started","Planned"),"")))</f>
        <v/>
      </c>
      <c r="F18" s="120" t="str">
        <f ca="1">IF(E2="Done",D2-C2,IF(E2="In Progress",TODAY()-C2,IF(E2="Should have started",TODAY()-B2,"")))</f>
        <v/>
      </c>
      <c r="G18" s="121"/>
      <c r="K18" s="121"/>
      <c r="L18" s="121" t="e">
        <f>_xlfn.LET(_xlpm.p,tblCompliance2026[[#This Row],[Project Name]], _xlfn.MAXIFS(tblProjectPlan[ActualStartDate],#REF!, _xlpm.p, tblProjectPlan[TaskDescription],"*QA*Inspection*"))</f>
        <v>#REF!</v>
      </c>
      <c r="M18" s="121" t="e">
        <f>_xlfn.LET(_xlpm.p,tblCompliance2026[[#This Row],[Project Name]], _xlfn.MAXIFS(tblProjectPlan[ActualEndDate],#REF!,    _xlpm.p, tblProjectPlan[TaskDescription],"*QA*Inspection*"))</f>
        <v>#REF!</v>
      </c>
      <c r="N18" t="e">
        <f t="shared" ca="1" si="0"/>
        <v>#REF!</v>
      </c>
      <c r="O18" s="120" t="e">
        <f t="shared" ca="1" si="1"/>
        <v>#REF!</v>
      </c>
      <c r="Q18" t="e">
        <f ca="1">IF(N2="Done","Green",IF(N2="In Progress",IF(O2&gt;14,"Amber","Green"),IF(N2="Should have started","Red","Amber")))</f>
        <v>#REF!</v>
      </c>
      <c r="T18" s="121"/>
      <c r="U18" s="120"/>
      <c r="W18" s="121"/>
      <c r="X18" s="120"/>
      <c r="Z18" s="121"/>
      <c r="AA18" s="121"/>
      <c r="AB18" s="120"/>
      <c r="AD18" s="121"/>
      <c r="AE18" s="121"/>
      <c r="AF18" s="120"/>
      <c r="AJ18" s="121"/>
    </row>
    <row r="19" spans="1:36">
      <c r="A19" t="str" cm="1">
        <f t="array" ref="A19">_xlfn.LET(_xlpm.src,TRIM(#REF!), _xlpm.u,_xlfn._xlws.SORT(_xlfn.UNIQUE(_xlfn._xlws.FILTER(_xlpm.src,_xlpm.src&lt;&gt;""))), IFERROR(INDEX(_xlpm.u,ROWS(A$2:A19)),""))</f>
        <v/>
      </c>
      <c r="B19" s="121"/>
      <c r="C19" s="121"/>
      <c r="D19" s="121"/>
      <c r="E19" t="str">
        <f ca="1">IF(D2&lt;&gt;"","Done",IF(C2&lt;&gt;"","In Progress",IF(B2&lt;&gt;"",IF(TODAY()&gt;B2,"Should have started","Planned"),"")))</f>
        <v/>
      </c>
      <c r="F19" s="120" t="str">
        <f ca="1">IF(E2="Done",D2-C2,IF(E2="In Progress",TODAY()-C2,IF(E2="Should have started",TODAY()-B2,"")))</f>
        <v/>
      </c>
      <c r="G19" s="121"/>
      <c r="K19" s="121"/>
      <c r="L19" s="121" t="e">
        <f>_xlfn.LET(_xlpm.p,tblCompliance2026[[#This Row],[Project Name]], _xlfn.MAXIFS(tblProjectPlan[ActualStartDate],#REF!, _xlpm.p, tblProjectPlan[TaskDescription],"*QA*Inspection*"))</f>
        <v>#REF!</v>
      </c>
      <c r="M19" s="121" t="e">
        <f>_xlfn.LET(_xlpm.p,tblCompliance2026[[#This Row],[Project Name]], _xlfn.MAXIFS(tblProjectPlan[ActualEndDate],#REF!,    _xlpm.p, tblProjectPlan[TaskDescription],"*QA*Inspection*"))</f>
        <v>#REF!</v>
      </c>
      <c r="N19" t="e">
        <f t="shared" ca="1" si="0"/>
        <v>#REF!</v>
      </c>
      <c r="O19" s="120" t="e">
        <f t="shared" ca="1" si="1"/>
        <v>#REF!</v>
      </c>
      <c r="Q19" t="e">
        <f ca="1">IF(N2="Done","Green",IF(N2="In Progress",IF(O2&gt;14,"Amber","Green"),IF(N2="Should have started","Red","Amber")))</f>
        <v>#REF!</v>
      </c>
      <c r="T19" s="121"/>
      <c r="U19" s="120"/>
      <c r="W19" s="121"/>
      <c r="X19" s="120"/>
      <c r="Z19" s="121"/>
      <c r="AA19" s="121"/>
      <c r="AB19" s="120"/>
      <c r="AD19" s="121"/>
      <c r="AE19" s="121"/>
      <c r="AF19" s="120"/>
      <c r="AJ19" s="121"/>
    </row>
    <row r="20" spans="1:36">
      <c r="A20" t="str" cm="1">
        <f t="array" ref="A20">_xlfn.LET(_xlpm.src,TRIM(#REF!), _xlpm.u,_xlfn._xlws.SORT(_xlfn.UNIQUE(_xlfn._xlws.FILTER(_xlpm.src,_xlpm.src&lt;&gt;""))), IFERROR(INDEX(_xlpm.u,ROWS(A$2:A20)),""))</f>
        <v/>
      </c>
      <c r="B20" s="121"/>
      <c r="C20" s="121"/>
      <c r="D20" s="121"/>
      <c r="E20" t="str">
        <f ca="1">IF(D2&lt;&gt;"","Done",IF(C2&lt;&gt;"","In Progress",IF(B2&lt;&gt;"",IF(TODAY()&gt;B2,"Should have started","Planned"),"")))</f>
        <v/>
      </c>
      <c r="F20" s="120" t="str">
        <f ca="1">IF(E2="Done",D2-C2,IF(E2="In Progress",TODAY()-C2,IF(E2="Should have started",TODAY()-B2,"")))</f>
        <v/>
      </c>
      <c r="G20" s="121"/>
      <c r="K20" s="121"/>
      <c r="L20" s="121" t="e">
        <f>_xlfn.LET(_xlpm.p,tblCompliance2026[[#This Row],[Project Name]], _xlfn.MAXIFS(tblProjectPlan[ActualStartDate],#REF!, _xlpm.p, tblProjectPlan[TaskDescription],"*QA*Inspection*"))</f>
        <v>#REF!</v>
      </c>
      <c r="M20" s="121" t="e">
        <f>_xlfn.LET(_xlpm.p,tblCompliance2026[[#This Row],[Project Name]], _xlfn.MAXIFS(tblProjectPlan[ActualEndDate],#REF!,    _xlpm.p, tblProjectPlan[TaskDescription],"*QA*Inspection*"))</f>
        <v>#REF!</v>
      </c>
      <c r="N20" t="e">
        <f t="shared" ca="1" si="0"/>
        <v>#REF!</v>
      </c>
      <c r="O20" s="120" t="e">
        <f t="shared" ca="1" si="1"/>
        <v>#REF!</v>
      </c>
      <c r="Q20" t="e">
        <f ca="1">IF(N2="Done","Green",IF(N2="In Progress",IF(O2&gt;14,"Amber","Green"),IF(N2="Should have started","Red","Amber")))</f>
        <v>#REF!</v>
      </c>
      <c r="T20" s="121"/>
      <c r="U20" s="120"/>
      <c r="W20" s="121"/>
      <c r="X20" s="120"/>
      <c r="Z20" s="121"/>
      <c r="AA20" s="121"/>
      <c r="AB20" s="120"/>
      <c r="AD20" s="121"/>
      <c r="AE20" s="121"/>
      <c r="AF20" s="120"/>
      <c r="AJ20" s="121"/>
    </row>
    <row r="21" spans="1:36">
      <c r="A21" t="str" cm="1">
        <f t="array" ref="A21">_xlfn.LET(_xlpm.src,TRIM(#REF!), _xlpm.u,_xlfn._xlws.SORT(_xlfn.UNIQUE(_xlfn._xlws.FILTER(_xlpm.src,_xlpm.src&lt;&gt;""))), IFERROR(INDEX(_xlpm.u,ROWS(A$2:A21)),""))</f>
        <v/>
      </c>
      <c r="B21" s="121"/>
      <c r="C21" s="121"/>
      <c r="D21" s="121"/>
      <c r="E21" t="str">
        <f ca="1">IF(D2&lt;&gt;"","Done",IF(C2&lt;&gt;"","In Progress",IF(B2&lt;&gt;"",IF(TODAY()&gt;B2,"Should have started","Planned"),"")))</f>
        <v/>
      </c>
      <c r="F21" s="120" t="str">
        <f ca="1">IF(E2="Done",D2-C2,IF(E2="In Progress",TODAY()-C2,IF(E2="Should have started",TODAY()-B2,"")))</f>
        <v/>
      </c>
      <c r="G21" s="121"/>
      <c r="K21" s="121"/>
      <c r="L21" s="121" t="e">
        <f>_xlfn.LET(_xlpm.p,tblCompliance2026[[#This Row],[Project Name]], _xlfn.MAXIFS(tblProjectPlan[ActualStartDate],#REF!, _xlpm.p, tblProjectPlan[TaskDescription],"*QA*Inspection*"))</f>
        <v>#REF!</v>
      </c>
      <c r="M21" s="121" t="e">
        <f>_xlfn.LET(_xlpm.p,tblCompliance2026[[#This Row],[Project Name]], _xlfn.MAXIFS(tblProjectPlan[ActualEndDate],#REF!,    _xlpm.p, tblProjectPlan[TaskDescription],"*QA*Inspection*"))</f>
        <v>#REF!</v>
      </c>
      <c r="N21" t="e">
        <f t="shared" ca="1" si="0"/>
        <v>#REF!</v>
      </c>
      <c r="O21" s="120" t="e">
        <f t="shared" ca="1" si="1"/>
        <v>#REF!</v>
      </c>
      <c r="Q21" t="e">
        <f ca="1">IF(N2="Done","Green",IF(N2="In Progress",IF(O2&gt;14,"Amber","Green"),IF(N2="Should have started","Red","Amber")))</f>
        <v>#REF!</v>
      </c>
      <c r="T21" s="121"/>
      <c r="U21" s="120"/>
      <c r="W21" s="121"/>
      <c r="X21" s="120"/>
      <c r="Z21" s="121"/>
      <c r="AA21" s="121"/>
      <c r="AB21" s="120"/>
      <c r="AD21" s="121"/>
      <c r="AE21" s="121"/>
      <c r="AF21" s="120"/>
      <c r="AJ21" s="121"/>
    </row>
    <row r="22" spans="1:36">
      <c r="A22" t="str" cm="1">
        <f t="array" ref="A22">_xlfn.LET(_xlpm.src,TRIM(#REF!), _xlpm.u,_xlfn._xlws.SORT(_xlfn.UNIQUE(_xlfn._xlws.FILTER(_xlpm.src,_xlpm.src&lt;&gt;""))), IFERROR(INDEX(_xlpm.u,ROWS(A$2:A22)),""))</f>
        <v/>
      </c>
      <c r="B22" s="121"/>
      <c r="C22" s="121"/>
      <c r="D22" s="121"/>
      <c r="E22" t="str">
        <f ca="1">IF(D2&lt;&gt;"","Done",IF(C2&lt;&gt;"","In Progress",IF(B2&lt;&gt;"",IF(TODAY()&gt;B2,"Should have started","Planned"),"")))</f>
        <v/>
      </c>
      <c r="F22" s="120" t="str">
        <f ca="1">IF(E2="Done",D2-C2,IF(E2="In Progress",TODAY()-C2,IF(E2="Should have started",TODAY()-B2,"")))</f>
        <v/>
      </c>
      <c r="G22" s="121"/>
      <c r="K22" s="121"/>
      <c r="L22" s="121" t="e">
        <f>_xlfn.LET(_xlpm.p,tblCompliance2026[[#This Row],[Project Name]], _xlfn.MAXIFS(tblProjectPlan[ActualStartDate],#REF!, _xlpm.p, tblProjectPlan[TaskDescription],"*QA*Inspection*"))</f>
        <v>#REF!</v>
      </c>
      <c r="M22" s="121" t="e">
        <f>_xlfn.LET(_xlpm.p,tblCompliance2026[[#This Row],[Project Name]], _xlfn.MAXIFS(tblProjectPlan[ActualEndDate],#REF!,    _xlpm.p, tblProjectPlan[TaskDescription],"*QA*Inspection*"))</f>
        <v>#REF!</v>
      </c>
      <c r="N22" t="e">
        <f t="shared" ca="1" si="0"/>
        <v>#REF!</v>
      </c>
      <c r="O22" s="120" t="e">
        <f t="shared" ca="1" si="1"/>
        <v>#REF!</v>
      </c>
      <c r="Q22" t="e">
        <f ca="1">IF(N2="Done","Green",IF(N2="In Progress",IF(O2&gt;14,"Amber","Green"),IF(N2="Should have started","Red","Amber")))</f>
        <v>#REF!</v>
      </c>
      <c r="T22" s="121"/>
      <c r="U22" s="120"/>
      <c r="W22" s="121"/>
      <c r="X22" s="120"/>
      <c r="Z22" s="121"/>
      <c r="AA22" s="121"/>
      <c r="AB22" s="120"/>
      <c r="AD22" s="121"/>
      <c r="AE22" s="121"/>
      <c r="AF22" s="120"/>
      <c r="AJ22" s="121"/>
    </row>
    <row r="23" spans="1:36">
      <c r="A23" t="str" cm="1">
        <f t="array" ref="A23">_xlfn.LET(_xlpm.src,TRIM(#REF!), _xlpm.u,_xlfn._xlws.SORT(_xlfn.UNIQUE(_xlfn._xlws.FILTER(_xlpm.src,_xlpm.src&lt;&gt;""))), IFERROR(INDEX(_xlpm.u,ROWS(A$2:A23)),""))</f>
        <v/>
      </c>
      <c r="B23" s="121"/>
      <c r="C23" s="121"/>
      <c r="D23" s="121"/>
      <c r="E23" t="str">
        <f ca="1">IF(D2&lt;&gt;"","Done",IF(C2&lt;&gt;"","In Progress",IF(B2&lt;&gt;"",IF(TODAY()&gt;B2,"Should have started","Planned"),"")))</f>
        <v/>
      </c>
      <c r="F23" s="120" t="str">
        <f ca="1">IF(E2="Done",D2-C2,IF(E2="In Progress",TODAY()-C2,IF(E2="Should have started",TODAY()-B2,"")))</f>
        <v/>
      </c>
      <c r="G23" s="121"/>
      <c r="K23" s="121"/>
      <c r="L23" s="121" t="e">
        <f>_xlfn.LET(_xlpm.p,tblCompliance2026[[#This Row],[Project Name]], _xlfn.MAXIFS(tblProjectPlan[ActualStartDate],#REF!, _xlpm.p, tblProjectPlan[TaskDescription],"*QA*Inspection*"))</f>
        <v>#REF!</v>
      </c>
      <c r="M23" s="121" t="e">
        <f>_xlfn.LET(_xlpm.p,tblCompliance2026[[#This Row],[Project Name]], _xlfn.MAXIFS(tblProjectPlan[ActualEndDate],#REF!,    _xlpm.p, tblProjectPlan[TaskDescription],"*QA*Inspection*"))</f>
        <v>#REF!</v>
      </c>
      <c r="N23" t="e">
        <f t="shared" ca="1" si="0"/>
        <v>#REF!</v>
      </c>
      <c r="O23" s="120" t="e">
        <f t="shared" ca="1" si="1"/>
        <v>#REF!</v>
      </c>
      <c r="Q23" t="e">
        <f ca="1">IF(N2="Done","Green",IF(N2="In Progress",IF(O2&gt;14,"Amber","Green"),IF(N2="Should have started","Red","Amber")))</f>
        <v>#REF!</v>
      </c>
      <c r="T23" s="121"/>
      <c r="U23" s="120"/>
      <c r="W23" s="121"/>
      <c r="X23" s="120"/>
      <c r="Z23" s="121"/>
      <c r="AA23" s="121"/>
      <c r="AB23" s="120"/>
      <c r="AD23" s="121"/>
      <c r="AE23" s="121"/>
      <c r="AF23" s="120"/>
      <c r="AJ23" s="121"/>
    </row>
    <row r="24" spans="1:36">
      <c r="A24" t="str" cm="1">
        <f t="array" ref="A24">_xlfn.LET(_xlpm.src,TRIM(#REF!), _xlpm.u,_xlfn._xlws.SORT(_xlfn.UNIQUE(_xlfn._xlws.FILTER(_xlpm.src,_xlpm.src&lt;&gt;""))), IFERROR(INDEX(_xlpm.u,ROWS(A$2:A24)),""))</f>
        <v/>
      </c>
      <c r="B24" s="121"/>
      <c r="C24" s="121"/>
      <c r="D24" s="121"/>
      <c r="E24" t="str">
        <f ca="1">IF(D2&lt;&gt;"","Done",IF(C2&lt;&gt;"","In Progress",IF(B2&lt;&gt;"",IF(TODAY()&gt;B2,"Should have started","Planned"),"")))</f>
        <v/>
      </c>
      <c r="F24" s="120" t="str">
        <f ca="1">IF(E2="Done",D2-C2,IF(E2="In Progress",TODAY()-C2,IF(E2="Should have started",TODAY()-B2,"")))</f>
        <v/>
      </c>
      <c r="G24" s="121"/>
      <c r="K24" s="121"/>
      <c r="L24" s="121" t="e">
        <f>_xlfn.LET(_xlpm.p,tblCompliance2026[[#This Row],[Project Name]], _xlfn.MAXIFS(tblProjectPlan[ActualStartDate],#REF!, _xlpm.p, tblProjectPlan[TaskDescription],"*QA*Inspection*"))</f>
        <v>#REF!</v>
      </c>
      <c r="M24" s="121" t="e">
        <f>_xlfn.LET(_xlpm.p,tblCompliance2026[[#This Row],[Project Name]], _xlfn.MAXIFS(tblProjectPlan[ActualEndDate],#REF!,    _xlpm.p, tblProjectPlan[TaskDescription],"*QA*Inspection*"))</f>
        <v>#REF!</v>
      </c>
      <c r="N24" t="e">
        <f t="shared" ca="1" si="0"/>
        <v>#REF!</v>
      </c>
      <c r="O24" s="120" t="e">
        <f t="shared" ca="1" si="1"/>
        <v>#REF!</v>
      </c>
      <c r="Q24" t="e">
        <f ca="1">IF(N2="Done","Green",IF(N2="In Progress",IF(O2&gt;14,"Amber","Green"),IF(N2="Should have started","Red","Amber")))</f>
        <v>#REF!</v>
      </c>
      <c r="T24" s="121"/>
      <c r="U24" s="120"/>
      <c r="W24" s="121"/>
      <c r="X24" s="120"/>
      <c r="Z24" s="121"/>
      <c r="AA24" s="121"/>
      <c r="AB24" s="120"/>
      <c r="AD24" s="121"/>
      <c r="AE24" s="121"/>
      <c r="AF24" s="120"/>
      <c r="AJ24" s="121"/>
    </row>
    <row r="25" spans="1:36">
      <c r="A25" t="str" cm="1">
        <f t="array" ref="A25">_xlfn.LET(_xlpm.src,TRIM(#REF!), _xlpm.u,_xlfn._xlws.SORT(_xlfn.UNIQUE(_xlfn._xlws.FILTER(_xlpm.src,_xlpm.src&lt;&gt;""))), IFERROR(INDEX(_xlpm.u,ROWS(A$2:A25)),""))</f>
        <v/>
      </c>
      <c r="B25" s="121"/>
      <c r="C25" s="121"/>
      <c r="D25" s="121"/>
      <c r="E25" t="str">
        <f ca="1">IF(D2&lt;&gt;"","Done",IF(C2&lt;&gt;"","In Progress",IF(B2&lt;&gt;"",IF(TODAY()&gt;B2,"Should have started","Planned"),"")))</f>
        <v/>
      </c>
      <c r="F25" s="120" t="str">
        <f ca="1">IF(E2="Done",D2-C2,IF(E2="In Progress",TODAY()-C2,IF(E2="Should have started",TODAY()-B2,"")))</f>
        <v/>
      </c>
      <c r="G25" s="121"/>
      <c r="K25" s="121"/>
      <c r="L25" s="121" t="e">
        <f>_xlfn.LET(_xlpm.p,tblCompliance2026[[#This Row],[Project Name]], _xlfn.MAXIFS(tblProjectPlan[ActualStartDate],#REF!, _xlpm.p, tblProjectPlan[TaskDescription],"*QA*Inspection*"))</f>
        <v>#REF!</v>
      </c>
      <c r="M25" s="121" t="e">
        <f>_xlfn.LET(_xlpm.p,tblCompliance2026[[#This Row],[Project Name]], _xlfn.MAXIFS(tblProjectPlan[ActualEndDate],#REF!,    _xlpm.p, tblProjectPlan[TaskDescription],"*QA*Inspection*"))</f>
        <v>#REF!</v>
      </c>
      <c r="N25" t="e">
        <f t="shared" ca="1" si="0"/>
        <v>#REF!</v>
      </c>
      <c r="O25" s="120" t="e">
        <f t="shared" ca="1" si="1"/>
        <v>#REF!</v>
      </c>
      <c r="Q25" t="e">
        <f ca="1">IF(N2="Done","Green",IF(N2="In Progress",IF(O2&gt;14,"Amber","Green"),IF(N2="Should have started","Red","Amber")))</f>
        <v>#REF!</v>
      </c>
      <c r="T25" s="121"/>
      <c r="U25" s="120"/>
      <c r="W25" s="121"/>
      <c r="X25" s="120"/>
      <c r="Z25" s="121"/>
      <c r="AA25" s="121"/>
      <c r="AB25" s="120"/>
      <c r="AD25" s="121"/>
      <c r="AE25" s="121"/>
      <c r="AF25" s="120"/>
      <c r="AJ25" s="121"/>
    </row>
    <row r="26" spans="1:36">
      <c r="A26" t="str" cm="1">
        <f t="array" ref="A26">_xlfn.LET(_xlpm.src,TRIM(#REF!), _xlpm.u,_xlfn._xlws.SORT(_xlfn.UNIQUE(_xlfn._xlws.FILTER(_xlpm.src,_xlpm.src&lt;&gt;""))), IFERROR(INDEX(_xlpm.u,ROWS(A$2:A26)),""))</f>
        <v/>
      </c>
      <c r="B26" s="121"/>
      <c r="C26" s="121"/>
      <c r="D26" s="121"/>
      <c r="E26" t="str">
        <f ca="1">IF(D2&lt;&gt;"","Done",IF(C2&lt;&gt;"","In Progress",IF(B2&lt;&gt;"",IF(TODAY()&gt;B2,"Should have started","Planned"),"")))</f>
        <v/>
      </c>
      <c r="F26" s="120" t="str">
        <f ca="1">IF(E2="Done",D2-C2,IF(E2="In Progress",TODAY()-C2,IF(E2="Should have started",TODAY()-B2,"")))</f>
        <v/>
      </c>
      <c r="G26" s="121"/>
      <c r="K26" s="121"/>
      <c r="L26" s="121" t="e">
        <f>_xlfn.LET(_xlpm.p,tblCompliance2026[[#This Row],[Project Name]], _xlfn.MAXIFS(tblProjectPlan[ActualStartDate],#REF!, _xlpm.p, tblProjectPlan[TaskDescription],"*QA*Inspection*"))</f>
        <v>#REF!</v>
      </c>
      <c r="M26" s="121" t="e">
        <f>_xlfn.LET(_xlpm.p,tblCompliance2026[[#This Row],[Project Name]], _xlfn.MAXIFS(tblProjectPlan[ActualEndDate],#REF!,    _xlpm.p, tblProjectPlan[TaskDescription],"*QA*Inspection*"))</f>
        <v>#REF!</v>
      </c>
      <c r="N26" t="e">
        <f t="shared" ca="1" si="0"/>
        <v>#REF!</v>
      </c>
      <c r="O26" s="120" t="e">
        <f t="shared" ca="1" si="1"/>
        <v>#REF!</v>
      </c>
      <c r="Q26" t="e">
        <f ca="1">IF(N2="Done","Green",IF(N2="In Progress",IF(O2&gt;14,"Amber","Green"),IF(N2="Should have started","Red","Amber")))</f>
        <v>#REF!</v>
      </c>
      <c r="T26" s="121"/>
      <c r="U26" s="120"/>
      <c r="W26" s="121"/>
      <c r="X26" s="120"/>
      <c r="Z26" s="121"/>
      <c r="AA26" s="121"/>
      <c r="AB26" s="120"/>
      <c r="AD26" s="121"/>
      <c r="AE26" s="121"/>
      <c r="AF26" s="120"/>
      <c r="AJ26" s="121"/>
    </row>
    <row r="27" spans="1:36">
      <c r="A27" t="str" cm="1">
        <f t="array" ref="A27">_xlfn.LET(_xlpm.src,TRIM(#REF!), _xlpm.u,_xlfn._xlws.SORT(_xlfn.UNIQUE(_xlfn._xlws.FILTER(_xlpm.src,_xlpm.src&lt;&gt;""))), IFERROR(INDEX(_xlpm.u,ROWS(A$2:A27)),""))</f>
        <v/>
      </c>
      <c r="B27" s="121"/>
      <c r="C27" s="121"/>
      <c r="D27" s="121"/>
      <c r="E27" t="str">
        <f ca="1">IF(D2&lt;&gt;"","Done",IF(C2&lt;&gt;"","In Progress",IF(B2&lt;&gt;"",IF(TODAY()&gt;B2,"Should have started","Planned"),"")))</f>
        <v/>
      </c>
      <c r="F27" s="120" t="str">
        <f ca="1">IF(E2="Done",D2-C2,IF(E2="In Progress",TODAY()-C2,IF(E2="Should have started",TODAY()-B2,"")))</f>
        <v/>
      </c>
      <c r="G27" s="121"/>
      <c r="K27" s="121"/>
      <c r="L27" s="121" t="e">
        <f>_xlfn.LET(_xlpm.p,tblCompliance2026[[#This Row],[Project Name]], _xlfn.MAXIFS(tblProjectPlan[ActualStartDate],#REF!, _xlpm.p, tblProjectPlan[TaskDescription],"*QA*Inspection*"))</f>
        <v>#REF!</v>
      </c>
      <c r="M27" s="121" t="e">
        <f>_xlfn.LET(_xlpm.p,tblCompliance2026[[#This Row],[Project Name]], _xlfn.MAXIFS(tblProjectPlan[ActualEndDate],#REF!,    _xlpm.p, tblProjectPlan[TaskDescription],"*QA*Inspection*"))</f>
        <v>#REF!</v>
      </c>
      <c r="N27" t="e">
        <f t="shared" ca="1" si="0"/>
        <v>#REF!</v>
      </c>
      <c r="O27" s="120" t="e">
        <f t="shared" ca="1" si="1"/>
        <v>#REF!</v>
      </c>
      <c r="Q27" t="e">
        <f ca="1">IF(N2="Done","Green",IF(N2="In Progress",IF(O2&gt;14,"Amber","Green"),IF(N2="Should have started","Red","Amber")))</f>
        <v>#REF!</v>
      </c>
      <c r="T27" s="121"/>
      <c r="U27" s="120"/>
      <c r="W27" s="121"/>
      <c r="X27" s="120"/>
      <c r="Z27" s="121"/>
      <c r="AA27" s="121"/>
      <c r="AB27" s="120"/>
      <c r="AD27" s="121"/>
      <c r="AE27" s="121"/>
      <c r="AF27" s="120"/>
      <c r="AJ27" s="121"/>
    </row>
    <row r="28" spans="1:36">
      <c r="A28" t="str" cm="1">
        <f t="array" ref="A28">_xlfn.LET(_xlpm.src,TRIM(#REF!), _xlpm.u,_xlfn._xlws.SORT(_xlfn.UNIQUE(_xlfn._xlws.FILTER(_xlpm.src,_xlpm.src&lt;&gt;""))), IFERROR(INDEX(_xlpm.u,ROWS(A$2:A28)),""))</f>
        <v/>
      </c>
      <c r="B28" s="121"/>
      <c r="C28" s="121"/>
      <c r="D28" s="121"/>
      <c r="E28" t="str">
        <f ca="1">IF(D2&lt;&gt;"","Done",IF(C2&lt;&gt;"","In Progress",IF(B2&lt;&gt;"",IF(TODAY()&gt;B2,"Should have started","Planned"),"")))</f>
        <v/>
      </c>
      <c r="F28" s="120" t="str">
        <f ca="1">IF(E2="Done",D2-C2,IF(E2="In Progress",TODAY()-C2,IF(E2="Should have started",TODAY()-B2,"")))</f>
        <v/>
      </c>
      <c r="G28" s="121"/>
      <c r="K28" s="121"/>
      <c r="L28" s="121" t="e">
        <f>_xlfn.LET(_xlpm.p,tblCompliance2026[[#This Row],[Project Name]], _xlfn.MAXIFS(tblProjectPlan[ActualStartDate],#REF!, _xlpm.p, tblProjectPlan[TaskDescription],"*QA*Inspection*"))</f>
        <v>#REF!</v>
      </c>
      <c r="M28" s="121" t="e">
        <f>_xlfn.LET(_xlpm.p,tblCompliance2026[[#This Row],[Project Name]], _xlfn.MAXIFS(tblProjectPlan[ActualEndDate],#REF!,    _xlpm.p, tblProjectPlan[TaskDescription],"*QA*Inspection*"))</f>
        <v>#REF!</v>
      </c>
      <c r="N28" t="e">
        <f t="shared" ca="1" si="0"/>
        <v>#REF!</v>
      </c>
      <c r="O28" s="120" t="e">
        <f t="shared" ca="1" si="1"/>
        <v>#REF!</v>
      </c>
      <c r="Q28" t="e">
        <f ca="1">IF(N2="Done","Green",IF(N2="In Progress",IF(O2&gt;14,"Amber","Green"),IF(N2="Should have started","Red","Amber")))</f>
        <v>#REF!</v>
      </c>
      <c r="T28" s="121"/>
      <c r="U28" s="120"/>
      <c r="W28" s="121"/>
      <c r="X28" s="120"/>
      <c r="Z28" s="121"/>
      <c r="AA28" s="121"/>
      <c r="AB28" s="120"/>
      <c r="AD28" s="121"/>
      <c r="AE28" s="121"/>
      <c r="AF28" s="120"/>
      <c r="AJ28" s="121"/>
    </row>
    <row r="29" spans="1:36">
      <c r="A29" t="str" cm="1">
        <f t="array" ref="A29">_xlfn.LET(_xlpm.src,TRIM(#REF!), _xlpm.u,_xlfn._xlws.SORT(_xlfn.UNIQUE(_xlfn._xlws.FILTER(_xlpm.src,_xlpm.src&lt;&gt;""))), IFERROR(INDEX(_xlpm.u,ROWS(A$2:A29)),""))</f>
        <v/>
      </c>
      <c r="B29" s="121"/>
      <c r="C29" s="121"/>
      <c r="D29" s="121"/>
      <c r="E29" t="str">
        <f ca="1">IF(D2&lt;&gt;"","Done",IF(C2&lt;&gt;"","In Progress",IF(B2&lt;&gt;"",IF(TODAY()&gt;B2,"Should have started","Planned"),"")))</f>
        <v/>
      </c>
      <c r="F29" s="120" t="str">
        <f ca="1">IF(E2="Done",D2-C2,IF(E2="In Progress",TODAY()-C2,IF(E2="Should have started",TODAY()-B2,"")))</f>
        <v/>
      </c>
      <c r="G29" s="121"/>
      <c r="K29" s="121"/>
      <c r="L29" s="121" t="e">
        <f>_xlfn.LET(_xlpm.p,tblCompliance2026[[#This Row],[Project Name]], _xlfn.MAXIFS(tblProjectPlan[ActualStartDate],#REF!, _xlpm.p, tblProjectPlan[TaskDescription],"*QA*Inspection*"))</f>
        <v>#REF!</v>
      </c>
      <c r="M29" s="121" t="e">
        <f>_xlfn.LET(_xlpm.p,tblCompliance2026[[#This Row],[Project Name]], _xlfn.MAXIFS(tblProjectPlan[ActualEndDate],#REF!,    _xlpm.p, tblProjectPlan[TaskDescription],"*QA*Inspection*"))</f>
        <v>#REF!</v>
      </c>
      <c r="N29" t="e">
        <f t="shared" ca="1" si="0"/>
        <v>#REF!</v>
      </c>
      <c r="O29" s="120" t="e">
        <f t="shared" ca="1" si="1"/>
        <v>#REF!</v>
      </c>
      <c r="Q29" t="e">
        <f ca="1">IF(N2="Done","Green",IF(N2="In Progress",IF(O2&gt;14,"Amber","Green"),IF(N2="Should have started","Red","Amber")))</f>
        <v>#REF!</v>
      </c>
      <c r="T29" s="121"/>
      <c r="U29" s="120"/>
      <c r="W29" s="121"/>
      <c r="X29" s="120"/>
      <c r="Z29" s="121"/>
      <c r="AA29" s="121"/>
      <c r="AB29" s="120"/>
      <c r="AD29" s="121"/>
      <c r="AE29" s="121"/>
      <c r="AF29" s="120"/>
      <c r="AJ29" s="121"/>
    </row>
    <row r="30" spans="1:36">
      <c r="A30" t="str" cm="1">
        <f t="array" ref="A30">_xlfn.LET(_xlpm.src,TRIM(#REF!), _xlpm.u,_xlfn._xlws.SORT(_xlfn.UNIQUE(_xlfn._xlws.FILTER(_xlpm.src,_xlpm.src&lt;&gt;""))), IFERROR(INDEX(_xlpm.u,ROWS(A$2:A30)),""))</f>
        <v/>
      </c>
      <c r="B30" s="121"/>
      <c r="C30" s="121"/>
      <c r="D30" s="121"/>
      <c r="E30" t="str">
        <f ca="1">IF(D2&lt;&gt;"","Done",IF(C2&lt;&gt;"","In Progress",IF(B2&lt;&gt;"",IF(TODAY()&gt;B2,"Should have started","Planned"),"")))</f>
        <v/>
      </c>
      <c r="F30" s="120" t="str">
        <f ca="1">IF(E2="Done",D2-C2,IF(E2="In Progress",TODAY()-C2,IF(E2="Should have started",TODAY()-B2,"")))</f>
        <v/>
      </c>
      <c r="G30" s="121"/>
      <c r="K30" s="121"/>
      <c r="L30" s="121" t="e">
        <f>_xlfn.LET(_xlpm.p,tblCompliance2026[[#This Row],[Project Name]], _xlfn.MAXIFS(tblProjectPlan[ActualStartDate],#REF!, _xlpm.p, tblProjectPlan[TaskDescription],"*QA*Inspection*"))</f>
        <v>#REF!</v>
      </c>
      <c r="M30" s="121" t="e">
        <f>_xlfn.LET(_xlpm.p,tblCompliance2026[[#This Row],[Project Name]], _xlfn.MAXIFS(tblProjectPlan[ActualEndDate],#REF!,    _xlpm.p, tblProjectPlan[TaskDescription],"*QA*Inspection*"))</f>
        <v>#REF!</v>
      </c>
      <c r="N30" t="e">
        <f t="shared" ca="1" si="0"/>
        <v>#REF!</v>
      </c>
      <c r="O30" s="120" t="e">
        <f t="shared" ca="1" si="1"/>
        <v>#REF!</v>
      </c>
      <c r="Q30" t="e">
        <f ca="1">IF(N2="Done","Green",IF(N2="In Progress",IF(O2&gt;14,"Amber","Green"),IF(N2="Should have started","Red","Amber")))</f>
        <v>#REF!</v>
      </c>
      <c r="T30" s="121"/>
      <c r="U30" s="120"/>
      <c r="W30" s="121"/>
      <c r="X30" s="120"/>
      <c r="Z30" s="121"/>
      <c r="AA30" s="121"/>
      <c r="AB30" s="120"/>
      <c r="AD30" s="121"/>
      <c r="AE30" s="121"/>
      <c r="AF30" s="120"/>
      <c r="AJ30" s="121"/>
    </row>
    <row r="31" spans="1:36">
      <c r="A31" t="str" cm="1">
        <f t="array" ref="A31">_xlfn.LET(_xlpm.src,TRIM(#REF!), _xlpm.u,_xlfn._xlws.SORT(_xlfn.UNIQUE(_xlfn._xlws.FILTER(_xlpm.src,_xlpm.src&lt;&gt;""))), IFERROR(INDEX(_xlpm.u,ROWS(A$2:A31)),""))</f>
        <v/>
      </c>
      <c r="B31" s="121"/>
      <c r="C31" s="121"/>
      <c r="D31" s="121"/>
      <c r="E31" t="str">
        <f ca="1">IF(D2&lt;&gt;"","Done",IF(C2&lt;&gt;"","In Progress",IF(B2&lt;&gt;"",IF(TODAY()&gt;B2,"Should have started","Planned"),"")))</f>
        <v/>
      </c>
      <c r="F31" s="120" t="str">
        <f ca="1">IF(E2="Done",D2-C2,IF(E2="In Progress",TODAY()-C2,IF(E2="Should have started",TODAY()-B2,"")))</f>
        <v/>
      </c>
      <c r="G31" s="121"/>
      <c r="K31" s="121"/>
      <c r="L31" s="121" t="e">
        <f>_xlfn.LET(_xlpm.p,tblCompliance2026[[#This Row],[Project Name]], _xlfn.MAXIFS(tblProjectPlan[ActualStartDate],#REF!, _xlpm.p, tblProjectPlan[TaskDescription],"*QA*Inspection*"))</f>
        <v>#REF!</v>
      </c>
      <c r="M31" s="121" t="e">
        <f>_xlfn.LET(_xlpm.p,tblCompliance2026[[#This Row],[Project Name]], _xlfn.MAXIFS(tblProjectPlan[ActualEndDate],#REF!,    _xlpm.p, tblProjectPlan[TaskDescription],"*QA*Inspection*"))</f>
        <v>#REF!</v>
      </c>
      <c r="N31" t="e">
        <f t="shared" ca="1" si="0"/>
        <v>#REF!</v>
      </c>
      <c r="O31" s="120" t="e">
        <f t="shared" ca="1" si="1"/>
        <v>#REF!</v>
      </c>
      <c r="Q31" t="e">
        <f ca="1">IF(N2="Done","Green",IF(N2="In Progress",IF(O2&gt;14,"Amber","Green"),IF(N2="Should have started","Red","Amber")))</f>
        <v>#REF!</v>
      </c>
      <c r="T31" s="121"/>
      <c r="U31" s="120"/>
      <c r="W31" s="121"/>
      <c r="X31" s="120"/>
      <c r="Z31" s="121"/>
      <c r="AA31" s="121"/>
      <c r="AB31" s="120"/>
      <c r="AD31" s="121"/>
      <c r="AE31" s="121"/>
      <c r="AF31" s="120"/>
      <c r="AJ31" s="121"/>
    </row>
    <row r="32" spans="1:36">
      <c r="A32" t="str" cm="1">
        <f t="array" ref="A32">_xlfn.LET(_xlpm.src,TRIM(#REF!), _xlpm.u,_xlfn._xlws.SORT(_xlfn.UNIQUE(_xlfn._xlws.FILTER(_xlpm.src,_xlpm.src&lt;&gt;""))), IFERROR(INDEX(_xlpm.u,ROWS(A$2:A32)),""))</f>
        <v/>
      </c>
      <c r="B32" s="121"/>
      <c r="C32" s="121"/>
      <c r="D32" s="121"/>
      <c r="E32" t="str">
        <f ca="1">IF(D2&lt;&gt;"","Done",IF(C2&lt;&gt;"","In Progress",IF(B2&lt;&gt;"",IF(TODAY()&gt;B2,"Should have started","Planned"),"")))</f>
        <v/>
      </c>
      <c r="F32" s="120" t="str">
        <f ca="1">IF(E2="Done",D2-C2,IF(E2="In Progress",TODAY()-C2,IF(E2="Should have started",TODAY()-B2,"")))</f>
        <v/>
      </c>
      <c r="G32" s="121"/>
      <c r="K32" s="121"/>
      <c r="L32" s="121" t="e">
        <f>_xlfn.LET(_xlpm.p,tblCompliance2026[[#This Row],[Project Name]], _xlfn.MAXIFS(tblProjectPlan[ActualStartDate],#REF!, _xlpm.p, tblProjectPlan[TaskDescription],"*QA*Inspection*"))</f>
        <v>#REF!</v>
      </c>
      <c r="M32" s="121" t="e">
        <f>_xlfn.LET(_xlpm.p,tblCompliance2026[[#This Row],[Project Name]], _xlfn.MAXIFS(tblProjectPlan[ActualEndDate],#REF!,    _xlpm.p, tblProjectPlan[TaskDescription],"*QA*Inspection*"))</f>
        <v>#REF!</v>
      </c>
      <c r="N32" t="e">
        <f t="shared" ca="1" si="0"/>
        <v>#REF!</v>
      </c>
      <c r="O32" s="120" t="e">
        <f t="shared" ca="1" si="1"/>
        <v>#REF!</v>
      </c>
      <c r="Q32" t="e">
        <f ca="1">IF(N2="Done","Green",IF(N2="In Progress",IF(O2&gt;14,"Amber","Green"),IF(N2="Should have started","Red","Amber")))</f>
        <v>#REF!</v>
      </c>
      <c r="T32" s="121"/>
      <c r="U32" s="120"/>
      <c r="W32" s="121"/>
      <c r="X32" s="120"/>
      <c r="Z32" s="121"/>
      <c r="AA32" s="121"/>
      <c r="AB32" s="120"/>
      <c r="AD32" s="121"/>
      <c r="AE32" s="121"/>
      <c r="AF32" s="120"/>
      <c r="AJ32" s="121"/>
    </row>
    <row r="33" spans="1:36">
      <c r="A33" t="str" cm="1">
        <f t="array" ref="A33">_xlfn.LET(_xlpm.src,TRIM(#REF!), _xlpm.u,_xlfn._xlws.SORT(_xlfn.UNIQUE(_xlfn._xlws.FILTER(_xlpm.src,_xlpm.src&lt;&gt;""))), IFERROR(INDEX(_xlpm.u,ROWS(A$2:A33)),""))</f>
        <v/>
      </c>
      <c r="B33" s="121"/>
      <c r="C33" s="121"/>
      <c r="D33" s="121"/>
      <c r="E33" t="str">
        <f ca="1">IF(D2&lt;&gt;"","Done",IF(C2&lt;&gt;"","In Progress",IF(B2&lt;&gt;"",IF(TODAY()&gt;B2,"Should have started","Planned"),"")))</f>
        <v/>
      </c>
      <c r="F33" s="120" t="str">
        <f ca="1">IF(E2="Done",D2-C2,IF(E2="In Progress",TODAY()-C2,IF(E2="Should have started",TODAY()-B2,"")))</f>
        <v/>
      </c>
      <c r="G33" s="121"/>
      <c r="K33" s="121"/>
      <c r="L33" s="121" t="e">
        <f>_xlfn.LET(_xlpm.p,tblCompliance2026[[#This Row],[Project Name]], _xlfn.MAXIFS(tblProjectPlan[ActualStartDate],#REF!, _xlpm.p, tblProjectPlan[TaskDescription],"*QA*Inspection*"))</f>
        <v>#REF!</v>
      </c>
      <c r="M33" s="121" t="e">
        <f>_xlfn.LET(_xlpm.p,tblCompliance2026[[#This Row],[Project Name]], _xlfn.MAXIFS(tblProjectPlan[ActualEndDate],#REF!,    _xlpm.p, tblProjectPlan[TaskDescription],"*QA*Inspection*"))</f>
        <v>#REF!</v>
      </c>
      <c r="N33" t="e">
        <f t="shared" ca="1" si="0"/>
        <v>#REF!</v>
      </c>
      <c r="O33" s="120" t="e">
        <f t="shared" ca="1" si="1"/>
        <v>#REF!</v>
      </c>
      <c r="Q33" t="e">
        <f ca="1">IF(N2="Done","Green",IF(N2="In Progress",IF(O2&gt;14,"Amber","Green"),IF(N2="Should have started","Red","Amber")))</f>
        <v>#REF!</v>
      </c>
      <c r="T33" s="121"/>
      <c r="U33" s="120"/>
      <c r="W33" s="121"/>
      <c r="X33" s="120"/>
      <c r="Z33" s="121"/>
      <c r="AA33" s="121"/>
      <c r="AB33" s="120"/>
      <c r="AD33" s="121"/>
      <c r="AE33" s="121"/>
      <c r="AF33" s="120"/>
      <c r="AJ33" s="121"/>
    </row>
    <row r="34" spans="1:36">
      <c r="A34" t="str" cm="1">
        <f t="array" ref="A34">_xlfn.LET(_xlpm.src,TRIM(#REF!), _xlpm.u,_xlfn._xlws.SORT(_xlfn.UNIQUE(_xlfn._xlws.FILTER(_xlpm.src,_xlpm.src&lt;&gt;""))), IFERROR(INDEX(_xlpm.u,ROWS(A$2:A34)),""))</f>
        <v/>
      </c>
      <c r="B34" s="121"/>
      <c r="C34" s="121"/>
      <c r="D34" s="121"/>
      <c r="E34" t="str">
        <f ca="1">IF(D2&lt;&gt;"","Done",IF(C2&lt;&gt;"","In Progress",IF(B2&lt;&gt;"",IF(TODAY()&gt;B2,"Should have started","Planned"),"")))</f>
        <v/>
      </c>
      <c r="F34" s="120" t="str">
        <f ca="1">IF(E2="Done",D2-C2,IF(E2="In Progress",TODAY()-C2,IF(E2="Should have started",TODAY()-B2,"")))</f>
        <v/>
      </c>
      <c r="G34" s="121"/>
      <c r="K34" s="121"/>
      <c r="L34" s="121" t="e">
        <f>_xlfn.LET(_xlpm.p,tblCompliance2026[[#This Row],[Project Name]], _xlfn.MAXIFS(tblProjectPlan[ActualStartDate],#REF!, _xlpm.p, tblProjectPlan[TaskDescription],"*QA*Inspection*"))</f>
        <v>#REF!</v>
      </c>
      <c r="M34" s="121" t="e">
        <f>_xlfn.LET(_xlpm.p,tblCompliance2026[[#This Row],[Project Name]], _xlfn.MAXIFS(tblProjectPlan[ActualEndDate],#REF!,    _xlpm.p, tblProjectPlan[TaskDescription],"*QA*Inspection*"))</f>
        <v>#REF!</v>
      </c>
      <c r="N34" t="e">
        <f t="shared" ca="1" si="0"/>
        <v>#REF!</v>
      </c>
      <c r="O34" s="120" t="e">
        <f t="shared" ca="1" si="1"/>
        <v>#REF!</v>
      </c>
      <c r="Q34" t="e">
        <f ca="1">IF(N2="Done","Green",IF(N2="In Progress",IF(O2&gt;14,"Amber","Green"),IF(N2="Should have started","Red","Amber")))</f>
        <v>#REF!</v>
      </c>
      <c r="T34" s="121"/>
      <c r="U34" s="120"/>
      <c r="W34" s="121"/>
      <c r="X34" s="120"/>
      <c r="Z34" s="121"/>
      <c r="AA34" s="121"/>
      <c r="AB34" s="120"/>
      <c r="AD34" s="121"/>
      <c r="AE34" s="121"/>
      <c r="AF34" s="120"/>
      <c r="AJ34" s="121"/>
    </row>
    <row r="35" spans="1:36">
      <c r="A35" t="str" cm="1">
        <f t="array" ref="A35">_xlfn.LET(_xlpm.src,TRIM(#REF!), _xlpm.u,_xlfn._xlws.SORT(_xlfn.UNIQUE(_xlfn._xlws.FILTER(_xlpm.src,_xlpm.src&lt;&gt;""))), IFERROR(INDEX(_xlpm.u,ROWS(A$2:A35)),""))</f>
        <v/>
      </c>
      <c r="B35" s="121"/>
      <c r="C35" s="121"/>
      <c r="D35" s="121"/>
      <c r="E35" t="str">
        <f ca="1">IF(D2&lt;&gt;"","Done",IF(C2&lt;&gt;"","In Progress",IF(B2&lt;&gt;"",IF(TODAY()&gt;B2,"Should have started","Planned"),"")))</f>
        <v/>
      </c>
      <c r="F35" s="120" t="str">
        <f ca="1">IF(E2="Done",D2-C2,IF(E2="In Progress",TODAY()-C2,IF(E2="Should have started",TODAY()-B2,"")))</f>
        <v/>
      </c>
      <c r="G35" s="121"/>
      <c r="K35" s="121"/>
      <c r="L35" s="121" t="e">
        <f>_xlfn.LET(_xlpm.p,tblCompliance2026[[#This Row],[Project Name]], _xlfn.MAXIFS(tblProjectPlan[ActualStartDate],#REF!, _xlpm.p, tblProjectPlan[TaskDescription],"*QA*Inspection*"))</f>
        <v>#REF!</v>
      </c>
      <c r="M35" s="121" t="e">
        <f>_xlfn.LET(_xlpm.p,tblCompliance2026[[#This Row],[Project Name]], _xlfn.MAXIFS(tblProjectPlan[ActualEndDate],#REF!,    _xlpm.p, tblProjectPlan[TaskDescription],"*QA*Inspection*"))</f>
        <v>#REF!</v>
      </c>
      <c r="N35" t="e">
        <f t="shared" ca="1" si="0"/>
        <v>#REF!</v>
      </c>
      <c r="O35" s="120" t="e">
        <f t="shared" ca="1" si="1"/>
        <v>#REF!</v>
      </c>
      <c r="Q35" t="e">
        <f ca="1">IF(N2="Done","Green",IF(N2="In Progress",IF(O2&gt;14,"Amber","Green"),IF(N2="Should have started","Red","Amber")))</f>
        <v>#REF!</v>
      </c>
      <c r="T35" s="121"/>
      <c r="U35" s="120"/>
      <c r="W35" s="121"/>
      <c r="X35" s="120"/>
      <c r="Z35" s="121"/>
      <c r="AA35" s="121"/>
      <c r="AB35" s="120"/>
      <c r="AD35" s="121"/>
      <c r="AE35" s="121"/>
      <c r="AF35" s="120"/>
      <c r="AJ35" s="121"/>
    </row>
    <row r="36" spans="1:36">
      <c r="A36" t="str" cm="1">
        <f t="array" ref="A36">_xlfn.LET(_xlpm.src,TRIM(#REF!), _xlpm.u,_xlfn._xlws.SORT(_xlfn.UNIQUE(_xlfn._xlws.FILTER(_xlpm.src,_xlpm.src&lt;&gt;""))), IFERROR(INDEX(_xlpm.u,ROWS(A$2:A36)),""))</f>
        <v/>
      </c>
      <c r="B36" s="121"/>
      <c r="C36" s="121"/>
      <c r="D36" s="121"/>
      <c r="E36" t="str">
        <f ca="1">IF(D2&lt;&gt;"","Done",IF(C2&lt;&gt;"","In Progress",IF(B2&lt;&gt;"",IF(TODAY()&gt;B2,"Should have started","Planned"),"")))</f>
        <v/>
      </c>
      <c r="F36" s="120" t="str">
        <f ca="1">IF(E2="Done",D2-C2,IF(E2="In Progress",TODAY()-C2,IF(E2="Should have started",TODAY()-B2,"")))</f>
        <v/>
      </c>
      <c r="G36" s="121"/>
      <c r="K36" s="121"/>
      <c r="L36" s="121" t="e">
        <f>_xlfn.LET(_xlpm.p,tblCompliance2026[[#This Row],[Project Name]], _xlfn.MAXIFS(tblProjectPlan[ActualStartDate],#REF!, _xlpm.p, tblProjectPlan[TaskDescription],"*QA*Inspection*"))</f>
        <v>#REF!</v>
      </c>
      <c r="M36" s="121" t="e">
        <f>_xlfn.LET(_xlpm.p,tblCompliance2026[[#This Row],[Project Name]], _xlfn.MAXIFS(tblProjectPlan[ActualEndDate],#REF!,    _xlpm.p, tblProjectPlan[TaskDescription],"*QA*Inspection*"))</f>
        <v>#REF!</v>
      </c>
      <c r="N36" t="e">
        <f t="shared" ca="1" si="0"/>
        <v>#REF!</v>
      </c>
      <c r="O36" s="120" t="e">
        <f t="shared" ca="1" si="1"/>
        <v>#REF!</v>
      </c>
      <c r="Q36" t="e">
        <f ca="1">IF(N2="Done","Green",IF(N2="In Progress",IF(O2&gt;14,"Amber","Green"),IF(N2="Should have started","Red","Amber")))</f>
        <v>#REF!</v>
      </c>
      <c r="T36" s="121"/>
      <c r="U36" s="120"/>
      <c r="W36" s="121"/>
      <c r="X36" s="120"/>
      <c r="Z36" s="121"/>
      <c r="AA36" s="121"/>
      <c r="AB36" s="120"/>
      <c r="AD36" s="121"/>
      <c r="AE36" s="121"/>
      <c r="AF36" s="120"/>
      <c r="AJ36" s="121"/>
    </row>
    <row r="37" spans="1:36">
      <c r="A37" t="str" cm="1">
        <f t="array" ref="A37">_xlfn.LET(_xlpm.src,TRIM(#REF!), _xlpm.u,_xlfn._xlws.SORT(_xlfn.UNIQUE(_xlfn._xlws.FILTER(_xlpm.src,_xlpm.src&lt;&gt;""))), IFERROR(INDEX(_xlpm.u,ROWS(A$2:A37)),""))</f>
        <v/>
      </c>
      <c r="B37" s="121"/>
      <c r="C37" s="121"/>
      <c r="D37" s="121"/>
      <c r="E37" t="str">
        <f ca="1">IF(D2&lt;&gt;"","Done",IF(C2&lt;&gt;"","In Progress",IF(B2&lt;&gt;"",IF(TODAY()&gt;B2,"Should have started","Planned"),"")))</f>
        <v/>
      </c>
      <c r="F37" s="120" t="str">
        <f ca="1">IF(E2="Done",D2-C2,IF(E2="In Progress",TODAY()-C2,IF(E2="Should have started",TODAY()-B2,"")))</f>
        <v/>
      </c>
      <c r="G37" s="121"/>
      <c r="K37" s="121"/>
      <c r="L37" s="121" t="e">
        <f>_xlfn.LET(_xlpm.p,tblCompliance2026[[#This Row],[Project Name]], _xlfn.MAXIFS(tblProjectPlan[ActualStartDate],#REF!, _xlpm.p, tblProjectPlan[TaskDescription],"*QA*Inspection*"))</f>
        <v>#REF!</v>
      </c>
      <c r="M37" s="121" t="e">
        <f>_xlfn.LET(_xlpm.p,tblCompliance2026[[#This Row],[Project Name]], _xlfn.MAXIFS(tblProjectPlan[ActualEndDate],#REF!,    _xlpm.p, tblProjectPlan[TaskDescription],"*QA*Inspection*"))</f>
        <v>#REF!</v>
      </c>
      <c r="N37" t="e">
        <f t="shared" ca="1" si="0"/>
        <v>#REF!</v>
      </c>
      <c r="O37" s="120" t="e">
        <f t="shared" ca="1" si="1"/>
        <v>#REF!</v>
      </c>
      <c r="Q37" t="e">
        <f ca="1">IF(N2="Done","Green",IF(N2="In Progress",IF(O2&gt;14,"Amber","Green"),IF(N2="Should have started","Red","Amber")))</f>
        <v>#REF!</v>
      </c>
      <c r="T37" s="121"/>
      <c r="U37" s="120"/>
      <c r="W37" s="121"/>
      <c r="X37" s="120"/>
      <c r="Z37" s="121"/>
      <c r="AA37" s="121"/>
      <c r="AB37" s="120"/>
      <c r="AD37" s="121"/>
      <c r="AE37" s="121"/>
      <c r="AF37" s="120"/>
      <c r="AJ37" s="121"/>
    </row>
    <row r="38" spans="1:36">
      <c r="A38" t="str" cm="1">
        <f t="array" ref="A38">_xlfn.LET(_xlpm.src,TRIM(#REF!), _xlpm.u,_xlfn._xlws.SORT(_xlfn.UNIQUE(_xlfn._xlws.FILTER(_xlpm.src,_xlpm.src&lt;&gt;""))), IFERROR(INDEX(_xlpm.u,ROWS(A$2:A38)),""))</f>
        <v/>
      </c>
      <c r="B38" s="121"/>
      <c r="C38" s="121"/>
      <c r="D38" s="121"/>
      <c r="E38" t="str">
        <f ca="1">IF(D2&lt;&gt;"","Done",IF(C2&lt;&gt;"","In Progress",IF(B2&lt;&gt;"",IF(TODAY()&gt;B2,"Should have started","Planned"),"")))</f>
        <v/>
      </c>
      <c r="F38" s="120" t="str">
        <f ca="1">IF(E2="Done",D2-C2,IF(E2="In Progress",TODAY()-C2,IF(E2="Should have started",TODAY()-B2,"")))</f>
        <v/>
      </c>
      <c r="G38" s="121"/>
      <c r="K38" s="121"/>
      <c r="L38" s="121" t="e">
        <f>_xlfn.LET(_xlpm.p,tblCompliance2026[[#This Row],[Project Name]], _xlfn.MAXIFS(tblProjectPlan[ActualStartDate],#REF!, _xlpm.p, tblProjectPlan[TaskDescription],"*QA*Inspection*"))</f>
        <v>#REF!</v>
      </c>
      <c r="M38" s="121" t="e">
        <f>_xlfn.LET(_xlpm.p,tblCompliance2026[[#This Row],[Project Name]], _xlfn.MAXIFS(tblProjectPlan[ActualEndDate],#REF!,    _xlpm.p, tblProjectPlan[TaskDescription],"*QA*Inspection*"))</f>
        <v>#REF!</v>
      </c>
      <c r="N38" t="e">
        <f t="shared" ca="1" si="0"/>
        <v>#REF!</v>
      </c>
      <c r="O38" s="120" t="e">
        <f t="shared" ca="1" si="1"/>
        <v>#REF!</v>
      </c>
      <c r="Q38" t="e">
        <f ca="1">IF(N2="Done","Green",IF(N2="In Progress",IF(O2&gt;14,"Amber","Green"),IF(N2="Should have started","Red","Amber")))</f>
        <v>#REF!</v>
      </c>
      <c r="T38" s="121"/>
      <c r="U38" s="120"/>
      <c r="W38" s="121"/>
      <c r="X38" s="120"/>
      <c r="Z38" s="121"/>
      <c r="AA38" s="121"/>
      <c r="AB38" s="120"/>
      <c r="AD38" s="121"/>
      <c r="AE38" s="121"/>
      <c r="AF38" s="120"/>
      <c r="AJ38" s="121"/>
    </row>
    <row r="39" spans="1:36">
      <c r="A39" t="str" cm="1">
        <f t="array" ref="A39">_xlfn.LET(_xlpm.src,TRIM(#REF!), _xlpm.u,_xlfn._xlws.SORT(_xlfn.UNIQUE(_xlfn._xlws.FILTER(_xlpm.src,_xlpm.src&lt;&gt;""))), IFERROR(INDEX(_xlpm.u,ROWS(A$2:A39)),""))</f>
        <v/>
      </c>
      <c r="B39" s="121"/>
      <c r="C39" s="121"/>
      <c r="D39" s="121"/>
      <c r="E39" t="str">
        <f ca="1">IF(D2&lt;&gt;"","Done",IF(C2&lt;&gt;"","In Progress",IF(B2&lt;&gt;"",IF(TODAY()&gt;B2,"Should have started","Planned"),"")))</f>
        <v/>
      </c>
      <c r="F39" s="120" t="str">
        <f ca="1">IF(E2="Done",D2-C2,IF(E2="In Progress",TODAY()-C2,IF(E2="Should have started",TODAY()-B2,"")))</f>
        <v/>
      </c>
      <c r="G39" s="121"/>
      <c r="K39" s="121"/>
      <c r="L39" s="121" t="e">
        <f>_xlfn.LET(_xlpm.p,tblCompliance2026[[#This Row],[Project Name]], _xlfn.MAXIFS(tblProjectPlan[ActualStartDate],#REF!, _xlpm.p, tblProjectPlan[TaskDescription],"*QA*Inspection*"))</f>
        <v>#REF!</v>
      </c>
      <c r="M39" s="121" t="e">
        <f>_xlfn.LET(_xlpm.p,tblCompliance2026[[#This Row],[Project Name]], _xlfn.MAXIFS(tblProjectPlan[ActualEndDate],#REF!,    _xlpm.p, tblProjectPlan[TaskDescription],"*QA*Inspection*"))</f>
        <v>#REF!</v>
      </c>
      <c r="N39" t="e">
        <f t="shared" ca="1" si="0"/>
        <v>#REF!</v>
      </c>
      <c r="O39" s="120" t="e">
        <f t="shared" ca="1" si="1"/>
        <v>#REF!</v>
      </c>
      <c r="Q39" t="e">
        <f ca="1">IF(N2="Done","Green",IF(N2="In Progress",IF(O2&gt;14,"Amber","Green"),IF(N2="Should have started","Red","Amber")))</f>
        <v>#REF!</v>
      </c>
      <c r="T39" s="121"/>
      <c r="U39" s="120"/>
      <c r="W39" s="121"/>
      <c r="X39" s="120"/>
      <c r="Z39" s="121"/>
      <c r="AA39" s="121"/>
      <c r="AB39" s="120"/>
      <c r="AD39" s="121"/>
      <c r="AE39" s="121"/>
      <c r="AF39" s="120"/>
      <c r="AJ39" s="121"/>
    </row>
    <row r="40" spans="1:36">
      <c r="A40" t="str" cm="1">
        <f t="array" ref="A40">_xlfn.LET(_xlpm.src,TRIM(#REF!), _xlpm.u,_xlfn._xlws.SORT(_xlfn.UNIQUE(_xlfn._xlws.FILTER(_xlpm.src,_xlpm.src&lt;&gt;""))), IFERROR(INDEX(_xlpm.u,ROWS(A$2:A40)),""))</f>
        <v/>
      </c>
      <c r="B40" s="121"/>
      <c r="C40" s="121"/>
      <c r="D40" s="121"/>
      <c r="E40" t="str">
        <f ca="1">IF(D2&lt;&gt;"","Done",IF(C2&lt;&gt;"","In Progress",IF(B2&lt;&gt;"",IF(TODAY()&gt;B2,"Should have started","Planned"),"")))</f>
        <v/>
      </c>
      <c r="F40" s="120" t="str">
        <f ca="1">IF(E2="Done",D2-C2,IF(E2="In Progress",TODAY()-C2,IF(E2="Should have started",TODAY()-B2,"")))</f>
        <v/>
      </c>
      <c r="G40" s="121"/>
      <c r="K40" s="121"/>
      <c r="L40" s="121" t="e">
        <f>_xlfn.LET(_xlpm.p,tblCompliance2026[[#This Row],[Project Name]], _xlfn.MAXIFS(tblProjectPlan[ActualStartDate],#REF!, _xlpm.p, tblProjectPlan[TaskDescription],"*QA*Inspection*"))</f>
        <v>#REF!</v>
      </c>
      <c r="M40" s="121" t="e">
        <f>_xlfn.LET(_xlpm.p,tblCompliance2026[[#This Row],[Project Name]], _xlfn.MAXIFS(tblProjectPlan[ActualEndDate],#REF!,    _xlpm.p, tblProjectPlan[TaskDescription],"*QA*Inspection*"))</f>
        <v>#REF!</v>
      </c>
      <c r="N40" t="e">
        <f t="shared" ca="1" si="0"/>
        <v>#REF!</v>
      </c>
      <c r="O40" s="120" t="e">
        <f t="shared" ca="1" si="1"/>
        <v>#REF!</v>
      </c>
      <c r="Q40" t="e">
        <f ca="1">IF(N2="Done","Green",IF(N2="In Progress",IF(O2&gt;14,"Amber","Green"),IF(N2="Should have started","Red","Amber")))</f>
        <v>#REF!</v>
      </c>
      <c r="T40" s="121"/>
      <c r="U40" s="120"/>
      <c r="W40" s="121"/>
      <c r="X40" s="120"/>
      <c r="Z40" s="121"/>
      <c r="AA40" s="121"/>
      <c r="AB40" s="120"/>
      <c r="AD40" s="121"/>
      <c r="AE40" s="121"/>
      <c r="AF40" s="120"/>
      <c r="AJ40" s="121"/>
    </row>
    <row r="41" spans="1:36">
      <c r="A41" t="str" cm="1">
        <f t="array" ref="A41">_xlfn.LET(_xlpm.src,TRIM(#REF!), _xlpm.u,_xlfn._xlws.SORT(_xlfn.UNIQUE(_xlfn._xlws.FILTER(_xlpm.src,_xlpm.src&lt;&gt;""))), IFERROR(INDEX(_xlpm.u,ROWS(A$2:A41)),""))</f>
        <v/>
      </c>
      <c r="B41" s="121"/>
      <c r="C41" s="121"/>
      <c r="D41" s="121"/>
      <c r="E41" t="str">
        <f ca="1">IF(D2&lt;&gt;"","Done",IF(C2&lt;&gt;"","In Progress",IF(B2&lt;&gt;"",IF(TODAY()&gt;B2,"Should have started","Planned"),"")))</f>
        <v/>
      </c>
      <c r="F41" s="120" t="str">
        <f ca="1">IF(E2="Done",D2-C2,IF(E2="In Progress",TODAY()-C2,IF(E2="Should have started",TODAY()-B2,"")))</f>
        <v/>
      </c>
      <c r="G41" s="121"/>
      <c r="K41" s="121"/>
      <c r="L41" s="121" t="e">
        <f>_xlfn.LET(_xlpm.p,tblCompliance2026[[#This Row],[Project Name]], _xlfn.MAXIFS(tblProjectPlan[ActualStartDate],#REF!, _xlpm.p, tblProjectPlan[TaskDescription],"*QA*Inspection*"))</f>
        <v>#REF!</v>
      </c>
      <c r="M41" s="121" t="e">
        <f>_xlfn.LET(_xlpm.p,tblCompliance2026[[#This Row],[Project Name]], _xlfn.MAXIFS(tblProjectPlan[ActualEndDate],#REF!,    _xlpm.p, tblProjectPlan[TaskDescription],"*QA*Inspection*"))</f>
        <v>#REF!</v>
      </c>
      <c r="N41" t="e">
        <f t="shared" ca="1" si="0"/>
        <v>#REF!</v>
      </c>
      <c r="O41" s="120" t="e">
        <f t="shared" ca="1" si="1"/>
        <v>#REF!</v>
      </c>
      <c r="Q41" t="e">
        <f ca="1">IF(N2="Done","Green",IF(N2="In Progress",IF(O2&gt;14,"Amber","Green"),IF(N2="Should have started","Red","Amber")))</f>
        <v>#REF!</v>
      </c>
      <c r="T41" s="121"/>
      <c r="U41" s="120"/>
      <c r="W41" s="121"/>
      <c r="X41" s="120"/>
      <c r="Z41" s="121"/>
      <c r="AA41" s="121"/>
      <c r="AB41" s="120"/>
      <c r="AD41" s="121"/>
      <c r="AE41" s="121"/>
      <c r="AF41" s="120"/>
      <c r="AJ41" s="121"/>
    </row>
    <row r="42" spans="1:36">
      <c r="A42" t="str" cm="1">
        <f t="array" ref="A42">_xlfn.LET(_xlpm.src,TRIM(#REF!), _xlpm.u,_xlfn._xlws.SORT(_xlfn.UNIQUE(_xlfn._xlws.FILTER(_xlpm.src,_xlpm.src&lt;&gt;""))), IFERROR(INDEX(_xlpm.u,ROWS(A$2:A42)),""))</f>
        <v/>
      </c>
      <c r="B42" s="121"/>
      <c r="C42" s="121"/>
      <c r="D42" s="121"/>
      <c r="E42" t="str">
        <f ca="1">IF(D2&lt;&gt;"","Done",IF(C2&lt;&gt;"","In Progress",IF(B2&lt;&gt;"",IF(TODAY()&gt;B2,"Should have started","Planned"),"")))</f>
        <v/>
      </c>
      <c r="F42" s="120" t="str">
        <f ca="1">IF(E2="Done",D2-C2,IF(E2="In Progress",TODAY()-C2,IF(E2="Should have started",TODAY()-B2,"")))</f>
        <v/>
      </c>
      <c r="G42" s="121"/>
      <c r="K42" s="121"/>
      <c r="L42" s="121" t="e">
        <f>_xlfn.LET(_xlpm.p,tblCompliance2026[[#This Row],[Project Name]], _xlfn.MAXIFS(tblProjectPlan[ActualStartDate],#REF!, _xlpm.p, tblProjectPlan[TaskDescription],"*QA*Inspection*"))</f>
        <v>#REF!</v>
      </c>
      <c r="M42" s="121" t="e">
        <f>_xlfn.LET(_xlpm.p,tblCompliance2026[[#This Row],[Project Name]], _xlfn.MAXIFS(tblProjectPlan[ActualEndDate],#REF!,    _xlpm.p, tblProjectPlan[TaskDescription],"*QA*Inspection*"))</f>
        <v>#REF!</v>
      </c>
      <c r="N42" t="e">
        <f t="shared" ca="1" si="0"/>
        <v>#REF!</v>
      </c>
      <c r="O42" s="120" t="e">
        <f t="shared" ca="1" si="1"/>
        <v>#REF!</v>
      </c>
      <c r="Q42" t="e">
        <f ca="1">IF(N2="Done","Green",IF(N2="In Progress",IF(O2&gt;14,"Amber","Green"),IF(N2="Should have started","Red","Amber")))</f>
        <v>#REF!</v>
      </c>
      <c r="T42" s="121"/>
      <c r="U42" s="120"/>
      <c r="W42" s="121"/>
      <c r="X42" s="120"/>
      <c r="Z42" s="121"/>
      <c r="AA42" s="121"/>
      <c r="AB42" s="120"/>
      <c r="AD42" s="121"/>
      <c r="AE42" s="121"/>
      <c r="AF42" s="120"/>
      <c r="AJ42" s="121"/>
    </row>
    <row r="43" spans="1:36">
      <c r="A43" t="str" cm="1">
        <f t="array" ref="A43">_xlfn.LET(_xlpm.src,TRIM(#REF!), _xlpm.u,_xlfn._xlws.SORT(_xlfn.UNIQUE(_xlfn._xlws.FILTER(_xlpm.src,_xlpm.src&lt;&gt;""))), IFERROR(INDEX(_xlpm.u,ROWS(A$2:A43)),""))</f>
        <v/>
      </c>
      <c r="B43" s="121"/>
      <c r="C43" s="121"/>
      <c r="D43" s="121"/>
      <c r="E43" t="str">
        <f ca="1">IF(D2&lt;&gt;"","Done",IF(C2&lt;&gt;"","In Progress",IF(B2&lt;&gt;"",IF(TODAY()&gt;B2,"Should have started","Planned"),"")))</f>
        <v/>
      </c>
      <c r="F43" s="120" t="str">
        <f ca="1">IF(E2="Done",D2-C2,IF(E2="In Progress",TODAY()-C2,IF(E2="Should have started",TODAY()-B2,"")))</f>
        <v/>
      </c>
      <c r="G43" s="121"/>
      <c r="K43" s="121"/>
      <c r="L43" s="121" t="e">
        <f>_xlfn.LET(_xlpm.p,tblCompliance2026[[#This Row],[Project Name]], _xlfn.MAXIFS(tblProjectPlan[ActualStartDate],#REF!, _xlpm.p, tblProjectPlan[TaskDescription],"*QA*Inspection*"))</f>
        <v>#REF!</v>
      </c>
      <c r="M43" s="121" t="e">
        <f>_xlfn.LET(_xlpm.p,tblCompliance2026[[#This Row],[Project Name]], _xlfn.MAXIFS(tblProjectPlan[ActualEndDate],#REF!,    _xlpm.p, tblProjectPlan[TaskDescription],"*QA*Inspection*"))</f>
        <v>#REF!</v>
      </c>
      <c r="N43" t="e">
        <f t="shared" ca="1" si="0"/>
        <v>#REF!</v>
      </c>
      <c r="O43" s="120" t="e">
        <f t="shared" ca="1" si="1"/>
        <v>#REF!</v>
      </c>
      <c r="Q43" t="e">
        <f ca="1">IF(N2="Done","Green",IF(N2="In Progress",IF(O2&gt;14,"Amber","Green"),IF(N2="Should have started","Red","Amber")))</f>
        <v>#REF!</v>
      </c>
      <c r="T43" s="121"/>
      <c r="U43" s="120"/>
      <c r="W43" s="121"/>
      <c r="X43" s="120"/>
      <c r="Z43" s="121"/>
      <c r="AA43" s="121"/>
      <c r="AB43" s="120"/>
      <c r="AD43" s="121"/>
      <c r="AE43" s="121"/>
      <c r="AF43" s="120"/>
      <c r="AJ43" s="121"/>
    </row>
    <row r="44" spans="1:36">
      <c r="A44" t="str" cm="1">
        <f t="array" ref="A44">_xlfn.LET(_xlpm.src,TRIM(#REF!), _xlpm.u,_xlfn._xlws.SORT(_xlfn.UNIQUE(_xlfn._xlws.FILTER(_xlpm.src,_xlpm.src&lt;&gt;""))), IFERROR(INDEX(_xlpm.u,ROWS(A$2:A44)),""))</f>
        <v/>
      </c>
      <c r="B44" s="121"/>
      <c r="C44" s="121"/>
      <c r="D44" s="121"/>
      <c r="E44" t="str">
        <f ca="1">IF(D2&lt;&gt;"","Done",IF(C2&lt;&gt;"","In Progress",IF(B2&lt;&gt;"",IF(TODAY()&gt;B2,"Should have started","Planned"),"")))</f>
        <v/>
      </c>
      <c r="F44" s="120" t="str">
        <f ca="1">IF(E2="Done",D2-C2,IF(E2="In Progress",TODAY()-C2,IF(E2="Should have started",TODAY()-B2,"")))</f>
        <v/>
      </c>
      <c r="G44" s="121"/>
      <c r="K44" s="121"/>
      <c r="L44" s="121" t="e">
        <f>_xlfn.LET(_xlpm.p,tblCompliance2026[[#This Row],[Project Name]], _xlfn.MAXIFS(tblProjectPlan[ActualStartDate],#REF!, _xlpm.p, tblProjectPlan[TaskDescription],"*QA*Inspection*"))</f>
        <v>#REF!</v>
      </c>
      <c r="M44" s="121" t="e">
        <f>_xlfn.LET(_xlpm.p,tblCompliance2026[[#This Row],[Project Name]], _xlfn.MAXIFS(tblProjectPlan[ActualEndDate],#REF!,    _xlpm.p, tblProjectPlan[TaskDescription],"*QA*Inspection*"))</f>
        <v>#REF!</v>
      </c>
      <c r="N44" t="e">
        <f t="shared" ca="1" si="0"/>
        <v>#REF!</v>
      </c>
      <c r="O44" s="120" t="e">
        <f t="shared" ca="1" si="1"/>
        <v>#REF!</v>
      </c>
      <c r="Q44" t="e">
        <f ca="1">IF(N2="Done","Green",IF(N2="In Progress",IF(O2&gt;14,"Amber","Green"),IF(N2="Should have started","Red","Amber")))</f>
        <v>#REF!</v>
      </c>
      <c r="T44" s="121"/>
      <c r="U44" s="120"/>
      <c r="W44" s="121"/>
      <c r="X44" s="120"/>
      <c r="Z44" s="121"/>
      <c r="AA44" s="121"/>
      <c r="AB44" s="120"/>
      <c r="AD44" s="121"/>
      <c r="AE44" s="121"/>
      <c r="AF44" s="120"/>
      <c r="AJ44" s="121"/>
    </row>
    <row r="45" spans="1:36">
      <c r="A45" t="str" cm="1">
        <f t="array" ref="A45">_xlfn.LET(_xlpm.src,TRIM(#REF!), _xlpm.u,_xlfn._xlws.SORT(_xlfn.UNIQUE(_xlfn._xlws.FILTER(_xlpm.src,_xlpm.src&lt;&gt;""))), IFERROR(INDEX(_xlpm.u,ROWS(A$2:A45)),""))</f>
        <v/>
      </c>
      <c r="B45" s="121"/>
      <c r="C45" s="121"/>
      <c r="D45" s="121"/>
      <c r="E45" t="str">
        <f ca="1">IF(D2&lt;&gt;"","Done",IF(C2&lt;&gt;"","In Progress",IF(B2&lt;&gt;"",IF(TODAY()&gt;B2,"Should have started","Planned"),"")))</f>
        <v/>
      </c>
      <c r="F45" s="120" t="str">
        <f ca="1">IF(E2="Done",D2-C2,IF(E2="In Progress",TODAY()-C2,IF(E2="Should have started",TODAY()-B2,"")))</f>
        <v/>
      </c>
      <c r="G45" s="121"/>
      <c r="K45" s="121"/>
      <c r="L45" s="121" t="e">
        <f>_xlfn.LET(_xlpm.p,tblCompliance2026[[#This Row],[Project Name]], _xlfn.MAXIFS(tblProjectPlan[ActualStartDate],#REF!, _xlpm.p, tblProjectPlan[TaskDescription],"*QA*Inspection*"))</f>
        <v>#REF!</v>
      </c>
      <c r="M45" s="121" t="e">
        <f>_xlfn.LET(_xlpm.p,tblCompliance2026[[#This Row],[Project Name]], _xlfn.MAXIFS(tblProjectPlan[ActualEndDate],#REF!,    _xlpm.p, tblProjectPlan[TaskDescription],"*QA*Inspection*"))</f>
        <v>#REF!</v>
      </c>
      <c r="N45" t="e">
        <f t="shared" ca="1" si="0"/>
        <v>#REF!</v>
      </c>
      <c r="O45" s="120" t="e">
        <f t="shared" ca="1" si="1"/>
        <v>#REF!</v>
      </c>
      <c r="Q45" t="e">
        <f ca="1">IF(N2="Done","Green",IF(N2="In Progress",IF(O2&gt;14,"Amber","Green"),IF(N2="Should have started","Red","Amber")))</f>
        <v>#REF!</v>
      </c>
      <c r="T45" s="121"/>
      <c r="U45" s="120"/>
      <c r="W45" s="121"/>
      <c r="X45" s="120"/>
      <c r="Z45" s="121"/>
      <c r="AA45" s="121"/>
      <c r="AB45" s="120"/>
      <c r="AD45" s="121"/>
      <c r="AE45" s="121"/>
      <c r="AF45" s="120"/>
      <c r="AJ45" s="121"/>
    </row>
    <row r="46" spans="1:36">
      <c r="A46" t="str" cm="1">
        <f t="array" ref="A46">_xlfn.LET(_xlpm.src,TRIM(#REF!), _xlpm.u,_xlfn._xlws.SORT(_xlfn.UNIQUE(_xlfn._xlws.FILTER(_xlpm.src,_xlpm.src&lt;&gt;""))), IFERROR(INDEX(_xlpm.u,ROWS(A$2:A46)),""))</f>
        <v/>
      </c>
      <c r="B46" s="121"/>
      <c r="C46" s="121"/>
      <c r="D46" s="121"/>
      <c r="E46" t="str">
        <f ca="1">IF(D2&lt;&gt;"","Done",IF(C2&lt;&gt;"","In Progress",IF(B2&lt;&gt;"",IF(TODAY()&gt;B2,"Should have started","Planned"),"")))</f>
        <v/>
      </c>
      <c r="F46" s="120" t="str">
        <f ca="1">IF(E2="Done",D2-C2,IF(E2="In Progress",TODAY()-C2,IF(E2="Should have started",TODAY()-B2,"")))</f>
        <v/>
      </c>
      <c r="G46" s="121"/>
      <c r="K46" s="121"/>
      <c r="L46" s="121" t="e">
        <f>_xlfn.LET(_xlpm.p,tblCompliance2026[[#This Row],[Project Name]], _xlfn.MAXIFS(tblProjectPlan[ActualStartDate],#REF!, _xlpm.p, tblProjectPlan[TaskDescription],"*QA*Inspection*"))</f>
        <v>#REF!</v>
      </c>
      <c r="M46" s="121" t="e">
        <f>_xlfn.LET(_xlpm.p,tblCompliance2026[[#This Row],[Project Name]], _xlfn.MAXIFS(tblProjectPlan[ActualEndDate],#REF!,    _xlpm.p, tblProjectPlan[TaskDescription],"*QA*Inspection*"))</f>
        <v>#REF!</v>
      </c>
      <c r="N46" t="e">
        <f t="shared" ca="1" si="0"/>
        <v>#REF!</v>
      </c>
      <c r="O46" s="120" t="e">
        <f t="shared" ca="1" si="1"/>
        <v>#REF!</v>
      </c>
      <c r="Q46" t="e">
        <f ca="1">IF(N2="Done","Green",IF(N2="In Progress",IF(O2&gt;14,"Amber","Green"),IF(N2="Should have started","Red","Amber")))</f>
        <v>#REF!</v>
      </c>
      <c r="T46" s="121"/>
      <c r="U46" s="120"/>
      <c r="W46" s="121"/>
      <c r="X46" s="120"/>
      <c r="Z46" s="121"/>
      <c r="AA46" s="121"/>
      <c r="AB46" s="120"/>
      <c r="AD46" s="121"/>
      <c r="AE46" s="121"/>
      <c r="AF46" s="120"/>
      <c r="AJ46" s="121"/>
    </row>
    <row r="47" spans="1:36">
      <c r="A47" t="str" cm="1">
        <f t="array" ref="A47">_xlfn.LET(_xlpm.src,TRIM(#REF!), _xlpm.u,_xlfn._xlws.SORT(_xlfn.UNIQUE(_xlfn._xlws.FILTER(_xlpm.src,_xlpm.src&lt;&gt;""))), IFERROR(INDEX(_xlpm.u,ROWS(A$2:A47)),""))</f>
        <v/>
      </c>
      <c r="B47" s="121"/>
      <c r="C47" s="121"/>
      <c r="D47" s="121"/>
      <c r="E47" t="str">
        <f ca="1">IF(D2&lt;&gt;"","Done",IF(C2&lt;&gt;"","In Progress",IF(B2&lt;&gt;"",IF(TODAY()&gt;B2,"Should have started","Planned"),"")))</f>
        <v/>
      </c>
      <c r="F47" s="120" t="str">
        <f ca="1">IF(E2="Done",D2-C2,IF(E2="In Progress",TODAY()-C2,IF(E2="Should have started",TODAY()-B2,"")))</f>
        <v/>
      </c>
      <c r="G47" s="121"/>
      <c r="K47" s="121"/>
      <c r="L47" s="121" t="e">
        <f>_xlfn.LET(_xlpm.p,tblCompliance2026[[#This Row],[Project Name]], _xlfn.MAXIFS(tblProjectPlan[ActualStartDate],#REF!, _xlpm.p, tblProjectPlan[TaskDescription],"*QA*Inspection*"))</f>
        <v>#REF!</v>
      </c>
      <c r="M47" s="121" t="e">
        <f>_xlfn.LET(_xlpm.p,tblCompliance2026[[#This Row],[Project Name]], _xlfn.MAXIFS(tblProjectPlan[ActualEndDate],#REF!,    _xlpm.p, tblProjectPlan[TaskDescription],"*QA*Inspection*"))</f>
        <v>#REF!</v>
      </c>
      <c r="N47" t="e">
        <f t="shared" ca="1" si="0"/>
        <v>#REF!</v>
      </c>
      <c r="O47" s="120" t="e">
        <f t="shared" ca="1" si="1"/>
        <v>#REF!</v>
      </c>
      <c r="Q47" t="e">
        <f ca="1">IF(N2="Done","Green",IF(N2="In Progress",IF(O2&gt;14,"Amber","Green"),IF(N2="Should have started","Red","Amber")))</f>
        <v>#REF!</v>
      </c>
      <c r="T47" s="121"/>
      <c r="U47" s="120"/>
      <c r="W47" s="121"/>
      <c r="X47" s="120"/>
      <c r="Z47" s="121"/>
      <c r="AA47" s="121"/>
      <c r="AB47" s="120"/>
      <c r="AD47" s="121"/>
      <c r="AE47" s="121"/>
      <c r="AF47" s="120"/>
      <c r="AJ47" s="121"/>
    </row>
    <row r="48" spans="1:36">
      <c r="A48" t="str" cm="1">
        <f t="array" ref="A48">_xlfn.LET(_xlpm.src,TRIM(#REF!), _xlpm.u,_xlfn._xlws.SORT(_xlfn.UNIQUE(_xlfn._xlws.FILTER(_xlpm.src,_xlpm.src&lt;&gt;""))), IFERROR(INDEX(_xlpm.u,ROWS(A$2:A48)),""))</f>
        <v/>
      </c>
      <c r="B48" s="121"/>
      <c r="C48" s="121"/>
      <c r="D48" s="121"/>
      <c r="E48" t="str">
        <f ca="1">IF(D2&lt;&gt;"","Done",IF(C2&lt;&gt;"","In Progress",IF(B2&lt;&gt;"",IF(TODAY()&gt;B2,"Should have started","Planned"),"")))</f>
        <v/>
      </c>
      <c r="F48" s="120" t="str">
        <f ca="1">IF(E2="Done",D2-C2,IF(E2="In Progress",TODAY()-C2,IF(E2="Should have started",TODAY()-B2,"")))</f>
        <v/>
      </c>
      <c r="G48" s="121"/>
      <c r="K48" s="121"/>
      <c r="L48" s="121" t="e">
        <f>_xlfn.LET(_xlpm.p,tblCompliance2026[[#This Row],[Project Name]], _xlfn.MAXIFS(tblProjectPlan[ActualStartDate],#REF!, _xlpm.p, tblProjectPlan[TaskDescription],"*QA*Inspection*"))</f>
        <v>#REF!</v>
      </c>
      <c r="M48" s="121" t="e">
        <f>_xlfn.LET(_xlpm.p,tblCompliance2026[[#This Row],[Project Name]], _xlfn.MAXIFS(tblProjectPlan[ActualEndDate],#REF!,    _xlpm.p, tblProjectPlan[TaskDescription],"*QA*Inspection*"))</f>
        <v>#REF!</v>
      </c>
      <c r="N48" t="e">
        <f t="shared" ca="1" si="0"/>
        <v>#REF!</v>
      </c>
      <c r="O48" s="120" t="e">
        <f t="shared" ca="1" si="1"/>
        <v>#REF!</v>
      </c>
      <c r="Q48" t="e">
        <f ca="1">IF(N2="Done","Green",IF(N2="In Progress",IF(O2&gt;14,"Amber","Green"),IF(N2="Should have started","Red","Amber")))</f>
        <v>#REF!</v>
      </c>
      <c r="T48" s="121"/>
      <c r="U48" s="120"/>
      <c r="W48" s="121"/>
      <c r="X48" s="120"/>
      <c r="Z48" s="121"/>
      <c r="AA48" s="121"/>
      <c r="AB48" s="120"/>
      <c r="AD48" s="121"/>
      <c r="AE48" s="121"/>
      <c r="AF48" s="120"/>
      <c r="AJ48" s="121"/>
    </row>
    <row r="49" spans="1:36">
      <c r="A49" t="str" cm="1">
        <f t="array" ref="A49">_xlfn.LET(_xlpm.src,TRIM(#REF!), _xlpm.u,_xlfn._xlws.SORT(_xlfn.UNIQUE(_xlfn._xlws.FILTER(_xlpm.src,_xlpm.src&lt;&gt;""))), IFERROR(INDEX(_xlpm.u,ROWS(A$2:A49)),""))</f>
        <v/>
      </c>
      <c r="B49" s="121"/>
      <c r="C49" s="121"/>
      <c r="D49" s="121"/>
      <c r="E49" t="str">
        <f ca="1">IF(D2&lt;&gt;"","Done",IF(C2&lt;&gt;"","In Progress",IF(B2&lt;&gt;"",IF(TODAY()&gt;B2,"Should have started","Planned"),"")))</f>
        <v/>
      </c>
      <c r="F49" s="120" t="str">
        <f ca="1">IF(E2="Done",D2-C2,IF(E2="In Progress",TODAY()-C2,IF(E2="Should have started",TODAY()-B2,"")))</f>
        <v/>
      </c>
      <c r="G49" s="121"/>
      <c r="K49" s="121"/>
      <c r="L49" s="121" t="e">
        <f>_xlfn.LET(_xlpm.p,tblCompliance2026[[#This Row],[Project Name]], _xlfn.MAXIFS(tblProjectPlan[ActualStartDate],#REF!, _xlpm.p, tblProjectPlan[TaskDescription],"*QA*Inspection*"))</f>
        <v>#REF!</v>
      </c>
      <c r="M49" s="121" t="e">
        <f>_xlfn.LET(_xlpm.p,tblCompliance2026[[#This Row],[Project Name]], _xlfn.MAXIFS(tblProjectPlan[ActualEndDate],#REF!,    _xlpm.p, tblProjectPlan[TaskDescription],"*QA*Inspection*"))</f>
        <v>#REF!</v>
      </c>
      <c r="N49" t="e">
        <f t="shared" ca="1" si="0"/>
        <v>#REF!</v>
      </c>
      <c r="O49" s="120" t="e">
        <f t="shared" ca="1" si="1"/>
        <v>#REF!</v>
      </c>
      <c r="Q49" t="e">
        <f ca="1">IF(N2="Done","Green",IF(N2="In Progress",IF(O2&gt;14,"Amber","Green"),IF(N2="Should have started","Red","Amber")))</f>
        <v>#REF!</v>
      </c>
      <c r="T49" s="121"/>
      <c r="U49" s="120"/>
      <c r="W49" s="121"/>
      <c r="X49" s="120"/>
      <c r="Z49" s="121"/>
      <c r="AA49" s="121"/>
      <c r="AB49" s="120"/>
      <c r="AD49" s="121"/>
      <c r="AE49" s="121"/>
      <c r="AF49" s="120"/>
      <c r="AJ49" s="121"/>
    </row>
    <row r="50" spans="1:36">
      <c r="A50" t="str" cm="1">
        <f t="array" ref="A50">_xlfn.LET(_xlpm.src,TRIM(#REF!), _xlpm.u,_xlfn._xlws.SORT(_xlfn.UNIQUE(_xlfn._xlws.FILTER(_xlpm.src,_xlpm.src&lt;&gt;""))), IFERROR(INDEX(_xlpm.u,ROWS(A$2:A50)),""))</f>
        <v/>
      </c>
      <c r="B50" s="121"/>
      <c r="C50" s="121"/>
      <c r="D50" s="121"/>
      <c r="E50" t="str">
        <f ca="1">IF(D2&lt;&gt;"","Done",IF(C2&lt;&gt;"","In Progress",IF(B2&lt;&gt;"",IF(TODAY()&gt;B2,"Should have started","Planned"),"")))</f>
        <v/>
      </c>
      <c r="F50" s="120" t="str">
        <f ca="1">IF(E2="Done",D2-C2,IF(E2="In Progress",TODAY()-C2,IF(E2="Should have started",TODAY()-B2,"")))</f>
        <v/>
      </c>
      <c r="G50" s="121"/>
      <c r="K50" s="121"/>
      <c r="L50" s="121" t="e">
        <f>_xlfn.LET(_xlpm.p,tblCompliance2026[[#This Row],[Project Name]], _xlfn.MAXIFS(tblProjectPlan[ActualStartDate],#REF!, _xlpm.p, tblProjectPlan[TaskDescription],"*QA*Inspection*"))</f>
        <v>#REF!</v>
      </c>
      <c r="M50" s="121" t="e">
        <f>_xlfn.LET(_xlpm.p,tblCompliance2026[[#This Row],[Project Name]], _xlfn.MAXIFS(tblProjectPlan[ActualEndDate],#REF!,    _xlpm.p, tblProjectPlan[TaskDescription],"*QA*Inspection*"))</f>
        <v>#REF!</v>
      </c>
      <c r="N50" t="e">
        <f t="shared" ca="1" si="0"/>
        <v>#REF!</v>
      </c>
      <c r="O50" s="120" t="e">
        <f t="shared" ca="1" si="1"/>
        <v>#REF!</v>
      </c>
      <c r="Q50" t="e">
        <f ca="1">IF(N2="Done","Green",IF(N2="In Progress",IF(O2&gt;14,"Amber","Green"),IF(N2="Should have started","Red","Amber")))</f>
        <v>#REF!</v>
      </c>
      <c r="T50" s="121"/>
      <c r="U50" s="120"/>
      <c r="W50" s="121"/>
      <c r="X50" s="120"/>
      <c r="Z50" s="121"/>
      <c r="AA50" s="121"/>
      <c r="AB50" s="120"/>
      <c r="AD50" s="121"/>
      <c r="AE50" s="121"/>
      <c r="AF50" s="120"/>
      <c r="AJ50" s="121"/>
    </row>
    <row r="51" spans="1:36">
      <c r="A51" t="str" cm="1">
        <f t="array" ref="A51">_xlfn.LET(_xlpm.src,TRIM(#REF!), _xlpm.u,_xlfn._xlws.SORT(_xlfn.UNIQUE(_xlfn._xlws.FILTER(_xlpm.src,_xlpm.src&lt;&gt;""))), IFERROR(INDEX(_xlpm.u,ROWS(A$2:A51)),""))</f>
        <v/>
      </c>
      <c r="B51" s="121"/>
      <c r="C51" s="121"/>
      <c r="D51" s="121"/>
      <c r="E51" t="str">
        <f ca="1">IF(D2&lt;&gt;"","Done",IF(C2&lt;&gt;"","In Progress",IF(B2&lt;&gt;"",IF(TODAY()&gt;B2,"Should have started","Planned"),"")))</f>
        <v/>
      </c>
      <c r="F51" s="120" t="str">
        <f ca="1">IF(E2="Done",D2-C2,IF(E2="In Progress",TODAY()-C2,IF(E2="Should have started",TODAY()-B2,"")))</f>
        <v/>
      </c>
      <c r="G51" s="121"/>
      <c r="K51" s="121"/>
      <c r="L51" s="121" t="e">
        <f>_xlfn.LET(_xlpm.p,tblCompliance2026[[#This Row],[Project Name]], _xlfn.MAXIFS(tblProjectPlan[ActualStartDate],#REF!, _xlpm.p, tblProjectPlan[TaskDescription],"*QA*Inspection*"))</f>
        <v>#REF!</v>
      </c>
      <c r="M51" s="121" t="e">
        <f>_xlfn.LET(_xlpm.p,tblCompliance2026[[#This Row],[Project Name]], _xlfn.MAXIFS(tblProjectPlan[ActualEndDate],#REF!,    _xlpm.p, tblProjectPlan[TaskDescription],"*QA*Inspection*"))</f>
        <v>#REF!</v>
      </c>
      <c r="N51" t="e">
        <f t="shared" ca="1" si="0"/>
        <v>#REF!</v>
      </c>
      <c r="O51" s="120" t="e">
        <f t="shared" ca="1" si="1"/>
        <v>#REF!</v>
      </c>
      <c r="Q51" t="e">
        <f ca="1">IF(N2="Done","Green",IF(N2="In Progress",IF(O2&gt;14,"Amber","Green"),IF(N2="Should have started","Red","Amber")))</f>
        <v>#REF!</v>
      </c>
      <c r="T51" s="121"/>
      <c r="U51" s="120"/>
      <c r="W51" s="121"/>
      <c r="X51" s="120"/>
      <c r="Z51" s="121"/>
      <c r="AA51" s="121"/>
      <c r="AB51" s="120"/>
      <c r="AD51" s="121"/>
      <c r="AE51" s="121"/>
      <c r="AF51" s="120"/>
      <c r="AJ51" s="121"/>
    </row>
    <row r="52" spans="1:36">
      <c r="A52" t="str" cm="1">
        <f t="array" ref="A52">_xlfn.LET(_xlpm.src,TRIM(#REF!), _xlpm.u,_xlfn._xlws.SORT(_xlfn.UNIQUE(_xlfn._xlws.FILTER(_xlpm.src,_xlpm.src&lt;&gt;""))), IFERROR(INDEX(_xlpm.u,ROWS(A$2:A52)),""))</f>
        <v/>
      </c>
      <c r="B52" s="121"/>
      <c r="C52" s="121"/>
      <c r="D52" s="121"/>
      <c r="E52" t="str">
        <f ca="1">IF(D2&lt;&gt;"","Done",IF(C2&lt;&gt;"","In Progress",IF(B2&lt;&gt;"",IF(TODAY()&gt;B2,"Should have started","Planned"),"")))</f>
        <v/>
      </c>
      <c r="F52" s="120" t="str">
        <f ca="1">IF(E2="Done",D2-C2,IF(E2="In Progress",TODAY()-C2,IF(E2="Should have started",TODAY()-B2,"")))</f>
        <v/>
      </c>
      <c r="G52" s="121"/>
      <c r="K52" s="121"/>
      <c r="L52" s="121" t="e">
        <f>_xlfn.LET(_xlpm.p,tblCompliance2026[[#This Row],[Project Name]], _xlfn.MAXIFS(tblProjectPlan[ActualStartDate],#REF!, _xlpm.p, tblProjectPlan[TaskDescription],"*QA*Inspection*"))</f>
        <v>#REF!</v>
      </c>
      <c r="M52" s="121" t="e">
        <f>_xlfn.LET(_xlpm.p,tblCompliance2026[[#This Row],[Project Name]], _xlfn.MAXIFS(tblProjectPlan[ActualEndDate],#REF!,    _xlpm.p, tblProjectPlan[TaskDescription],"*QA*Inspection*"))</f>
        <v>#REF!</v>
      </c>
      <c r="N52" t="e">
        <f t="shared" ca="1" si="0"/>
        <v>#REF!</v>
      </c>
      <c r="O52" s="120" t="e">
        <f t="shared" ca="1" si="1"/>
        <v>#REF!</v>
      </c>
      <c r="Q52" t="e">
        <f ca="1">IF(N2="Done","Green",IF(N2="In Progress",IF(O2&gt;14,"Amber","Green"),IF(N2="Should have started","Red","Amber")))</f>
        <v>#REF!</v>
      </c>
      <c r="T52" s="121"/>
      <c r="U52" s="120"/>
      <c r="W52" s="121"/>
      <c r="X52" s="120"/>
      <c r="Z52" s="121"/>
      <c r="AA52" s="121"/>
      <c r="AB52" s="120"/>
      <c r="AD52" s="121"/>
      <c r="AE52" s="121"/>
      <c r="AF52" s="120"/>
      <c r="AJ52" s="121"/>
    </row>
    <row r="53" spans="1:36">
      <c r="A53" t="str" cm="1">
        <f t="array" ref="A53">_xlfn.LET(_xlpm.src,TRIM(#REF!), _xlpm.u,_xlfn._xlws.SORT(_xlfn.UNIQUE(_xlfn._xlws.FILTER(_xlpm.src,_xlpm.src&lt;&gt;""))), IFERROR(INDEX(_xlpm.u,ROWS(A$2:A53)),""))</f>
        <v/>
      </c>
      <c r="B53" s="121"/>
      <c r="C53" s="121"/>
      <c r="D53" s="121"/>
      <c r="E53" t="str">
        <f ca="1">IF(D2&lt;&gt;"","Done",IF(C2&lt;&gt;"","In Progress",IF(B2&lt;&gt;"",IF(TODAY()&gt;B2,"Should have started","Planned"),"")))</f>
        <v/>
      </c>
      <c r="F53" s="120" t="str">
        <f ca="1">IF(E2="Done",D2-C2,IF(E2="In Progress",TODAY()-C2,IF(E2="Should have started",TODAY()-B2,"")))</f>
        <v/>
      </c>
      <c r="G53" s="121"/>
      <c r="K53" s="121"/>
      <c r="L53" s="121" t="e">
        <f>_xlfn.LET(_xlpm.p,tblCompliance2026[[#This Row],[Project Name]], _xlfn.MAXIFS(tblProjectPlan[ActualStartDate],#REF!, _xlpm.p, tblProjectPlan[TaskDescription],"*QA*Inspection*"))</f>
        <v>#REF!</v>
      </c>
      <c r="M53" s="121" t="e">
        <f>_xlfn.LET(_xlpm.p,tblCompliance2026[[#This Row],[Project Name]], _xlfn.MAXIFS(tblProjectPlan[ActualEndDate],#REF!,    _xlpm.p, tblProjectPlan[TaskDescription],"*QA*Inspection*"))</f>
        <v>#REF!</v>
      </c>
      <c r="N53" t="e">
        <f t="shared" ca="1" si="0"/>
        <v>#REF!</v>
      </c>
      <c r="O53" s="120" t="e">
        <f t="shared" ca="1" si="1"/>
        <v>#REF!</v>
      </c>
      <c r="Q53" t="e">
        <f ca="1">IF(N2="Done","Green",IF(N2="In Progress",IF(O2&gt;14,"Amber","Green"),IF(N2="Should have started","Red","Amber")))</f>
        <v>#REF!</v>
      </c>
      <c r="T53" s="121"/>
      <c r="U53" s="120"/>
      <c r="W53" s="121"/>
      <c r="X53" s="120"/>
      <c r="Z53" s="121"/>
      <c r="AA53" s="121"/>
      <c r="AB53" s="120"/>
      <c r="AD53" s="121"/>
      <c r="AE53" s="121"/>
      <c r="AF53" s="120"/>
      <c r="AJ53" s="121"/>
    </row>
    <row r="54" spans="1:36">
      <c r="A54" t="str" cm="1">
        <f t="array" ref="A54">_xlfn.LET(_xlpm.src,TRIM(#REF!), _xlpm.u,_xlfn._xlws.SORT(_xlfn.UNIQUE(_xlfn._xlws.FILTER(_xlpm.src,_xlpm.src&lt;&gt;""))), IFERROR(INDEX(_xlpm.u,ROWS(A$2:A54)),""))</f>
        <v/>
      </c>
      <c r="B54" s="121"/>
      <c r="C54" s="121"/>
      <c r="D54" s="121"/>
      <c r="E54" t="str">
        <f ca="1">IF(D2&lt;&gt;"","Done",IF(C2&lt;&gt;"","In Progress",IF(B2&lt;&gt;"",IF(TODAY()&gt;B2,"Should have started","Planned"),"")))</f>
        <v/>
      </c>
      <c r="F54" s="120" t="str">
        <f ca="1">IF(E2="Done",D2-C2,IF(E2="In Progress",TODAY()-C2,IF(E2="Should have started",TODAY()-B2,"")))</f>
        <v/>
      </c>
      <c r="G54" s="121"/>
      <c r="K54" s="121"/>
      <c r="L54" s="121" t="e">
        <f>_xlfn.LET(_xlpm.p,tblCompliance2026[[#This Row],[Project Name]], _xlfn.MAXIFS(tblProjectPlan[ActualStartDate],#REF!, _xlpm.p, tblProjectPlan[TaskDescription],"*QA*Inspection*"))</f>
        <v>#REF!</v>
      </c>
      <c r="M54" s="121" t="e">
        <f>_xlfn.LET(_xlpm.p,tblCompliance2026[[#This Row],[Project Name]], _xlfn.MAXIFS(tblProjectPlan[ActualEndDate],#REF!,    _xlpm.p, tblProjectPlan[TaskDescription],"*QA*Inspection*"))</f>
        <v>#REF!</v>
      </c>
      <c r="N54" t="e">
        <f t="shared" ca="1" si="0"/>
        <v>#REF!</v>
      </c>
      <c r="O54" s="120" t="e">
        <f t="shared" ca="1" si="1"/>
        <v>#REF!</v>
      </c>
      <c r="Q54" t="e">
        <f ca="1">IF(N2="Done","Green",IF(N2="In Progress",IF(O2&gt;14,"Amber","Green"),IF(N2="Should have started","Red","Amber")))</f>
        <v>#REF!</v>
      </c>
      <c r="T54" s="121"/>
      <c r="U54" s="120"/>
      <c r="W54" s="121"/>
      <c r="X54" s="120"/>
      <c r="Z54" s="121"/>
      <c r="AA54" s="121"/>
      <c r="AB54" s="120"/>
      <c r="AD54" s="121"/>
      <c r="AE54" s="121"/>
      <c r="AF54" s="120"/>
      <c r="AJ54" s="121"/>
    </row>
    <row r="55" spans="1:36">
      <c r="A55" t="str" cm="1">
        <f t="array" ref="A55">_xlfn.LET(_xlpm.src,TRIM(#REF!), _xlpm.u,_xlfn._xlws.SORT(_xlfn.UNIQUE(_xlfn._xlws.FILTER(_xlpm.src,_xlpm.src&lt;&gt;""))), IFERROR(INDEX(_xlpm.u,ROWS(A$2:A55)),""))</f>
        <v/>
      </c>
      <c r="B55" s="121"/>
      <c r="C55" s="121"/>
      <c r="D55" s="121"/>
      <c r="E55" t="str">
        <f ca="1">IF(D2&lt;&gt;"","Done",IF(C2&lt;&gt;"","In Progress",IF(B2&lt;&gt;"",IF(TODAY()&gt;B2,"Should have started","Planned"),"")))</f>
        <v/>
      </c>
      <c r="F55" s="120" t="str">
        <f ca="1">IF(E2="Done",D2-C2,IF(E2="In Progress",TODAY()-C2,IF(E2="Should have started",TODAY()-B2,"")))</f>
        <v/>
      </c>
      <c r="G55" s="121"/>
      <c r="K55" s="121"/>
      <c r="L55" s="121" t="e">
        <f>_xlfn.LET(_xlpm.p,tblCompliance2026[[#This Row],[Project Name]], _xlfn.MAXIFS(tblProjectPlan[ActualStartDate],#REF!, _xlpm.p, tblProjectPlan[TaskDescription],"*QA*Inspection*"))</f>
        <v>#REF!</v>
      </c>
      <c r="M55" s="121" t="e">
        <f>_xlfn.LET(_xlpm.p,tblCompliance2026[[#This Row],[Project Name]], _xlfn.MAXIFS(tblProjectPlan[ActualEndDate],#REF!,    _xlpm.p, tblProjectPlan[TaskDescription],"*QA*Inspection*"))</f>
        <v>#REF!</v>
      </c>
      <c r="N55" t="e">
        <f t="shared" ca="1" si="0"/>
        <v>#REF!</v>
      </c>
      <c r="O55" s="120" t="e">
        <f t="shared" ca="1" si="1"/>
        <v>#REF!</v>
      </c>
      <c r="Q55" t="e">
        <f ca="1">IF(N2="Done","Green",IF(N2="In Progress",IF(O2&gt;14,"Amber","Green"),IF(N2="Should have started","Red","Amber")))</f>
        <v>#REF!</v>
      </c>
      <c r="T55" s="121"/>
      <c r="U55" s="120"/>
      <c r="W55" s="121"/>
      <c r="X55" s="120"/>
      <c r="Z55" s="121"/>
      <c r="AA55" s="121"/>
      <c r="AB55" s="120"/>
      <c r="AD55" s="121"/>
      <c r="AE55" s="121"/>
      <c r="AF55" s="120"/>
      <c r="AJ55" s="121"/>
    </row>
    <row r="56" spans="1:36">
      <c r="A56" t="str" cm="1">
        <f t="array" ref="A56">_xlfn.LET(_xlpm.src,TRIM(#REF!), _xlpm.u,_xlfn._xlws.SORT(_xlfn.UNIQUE(_xlfn._xlws.FILTER(_xlpm.src,_xlpm.src&lt;&gt;""))), IFERROR(INDEX(_xlpm.u,ROWS(A$2:A56)),""))</f>
        <v/>
      </c>
      <c r="B56" s="121"/>
      <c r="C56" s="121"/>
      <c r="D56" s="121"/>
      <c r="E56" t="str">
        <f ca="1">IF(D2&lt;&gt;"","Done",IF(C2&lt;&gt;"","In Progress",IF(B2&lt;&gt;"",IF(TODAY()&gt;B2,"Should have started","Planned"),"")))</f>
        <v/>
      </c>
      <c r="F56" s="120" t="str">
        <f ca="1">IF(E2="Done",D2-C2,IF(E2="In Progress",TODAY()-C2,IF(E2="Should have started",TODAY()-B2,"")))</f>
        <v/>
      </c>
      <c r="G56" s="121"/>
      <c r="K56" s="121"/>
      <c r="L56" s="121"/>
      <c r="M56" s="121"/>
      <c r="O56" s="120"/>
      <c r="T56" s="121"/>
      <c r="U56" s="120"/>
      <c r="W56" s="121"/>
      <c r="X56" s="120"/>
      <c r="Z56" s="121"/>
      <c r="AA56" s="121"/>
      <c r="AB56" s="120"/>
      <c r="AD56" s="121"/>
      <c r="AE56" s="121"/>
      <c r="AF56" s="120"/>
      <c r="AJ56" s="121"/>
    </row>
    <row r="57" spans="1:36">
      <c r="A57" t="str" cm="1">
        <f t="array" ref="A57">_xlfn.LET(_xlpm.src,TRIM(#REF!), _xlpm.u,_xlfn._xlws.SORT(_xlfn.UNIQUE(_xlfn._xlws.FILTER(_xlpm.src,_xlpm.src&lt;&gt;""))), IFERROR(INDEX(_xlpm.u,ROWS(A$2:A57)),""))</f>
        <v/>
      </c>
      <c r="B57" s="121"/>
      <c r="C57" s="121"/>
      <c r="D57" s="121"/>
      <c r="E57" t="str">
        <f ca="1">IF(D2&lt;&gt;"","Done",IF(C2&lt;&gt;"","In Progress",IF(B2&lt;&gt;"",IF(TODAY()&gt;B2,"Should have started","Planned"),"")))</f>
        <v/>
      </c>
      <c r="F57" s="120" t="str">
        <f ca="1">IF(E2="Done",D2-C2,IF(E2="In Progress",TODAY()-C2,IF(E2="Should have started",TODAY()-B2,"")))</f>
        <v/>
      </c>
      <c r="G57" s="121"/>
      <c r="K57" s="121"/>
      <c r="L57" s="121"/>
      <c r="M57" s="121"/>
      <c r="O57" s="120"/>
      <c r="T57" s="121"/>
      <c r="U57" s="120"/>
      <c r="W57" s="121"/>
      <c r="X57" s="120"/>
      <c r="Z57" s="121"/>
      <c r="AA57" s="121"/>
      <c r="AB57" s="120"/>
      <c r="AD57" s="121"/>
      <c r="AE57" s="121"/>
      <c r="AF57" s="120"/>
      <c r="AJ57" s="121"/>
    </row>
    <row r="58" spans="1:36">
      <c r="A58" t="str" cm="1">
        <f t="array" ref="A58">_xlfn.LET(_xlpm.src,TRIM(#REF!), _xlpm.u,_xlfn._xlws.SORT(_xlfn.UNIQUE(_xlfn._xlws.FILTER(_xlpm.src,_xlpm.src&lt;&gt;""))), IFERROR(INDEX(_xlpm.u,ROWS(A$2:A58)),""))</f>
        <v/>
      </c>
      <c r="B58" s="121"/>
      <c r="C58" s="121"/>
      <c r="D58" s="121"/>
      <c r="E58" t="str">
        <f ca="1">IF(D2&lt;&gt;"","Done",IF(C2&lt;&gt;"","In Progress",IF(B2&lt;&gt;"",IF(TODAY()&gt;B2,"Should have started","Planned"),"")))</f>
        <v/>
      </c>
      <c r="F58" s="120" t="str">
        <f ca="1">IF(E2="Done",D2-C2,IF(E2="In Progress",TODAY()-C2,IF(E2="Should have started",TODAY()-B2,"")))</f>
        <v/>
      </c>
      <c r="G58" s="121"/>
      <c r="K58" s="121"/>
      <c r="L58" s="121"/>
      <c r="M58" s="121"/>
      <c r="O58" s="120"/>
      <c r="T58" s="121"/>
      <c r="U58" s="120"/>
      <c r="W58" s="121"/>
      <c r="X58" s="120"/>
      <c r="Z58" s="121"/>
      <c r="AA58" s="121"/>
      <c r="AB58" s="120"/>
      <c r="AD58" s="121"/>
      <c r="AE58" s="121"/>
      <c r="AF58" s="120"/>
      <c r="AJ58" s="121"/>
    </row>
    <row r="59" spans="1:36">
      <c r="A59" t="str" cm="1">
        <f t="array" ref="A59">_xlfn.LET(_xlpm.src,TRIM(#REF!), _xlpm.u,_xlfn._xlws.SORT(_xlfn.UNIQUE(_xlfn._xlws.FILTER(_xlpm.src,_xlpm.src&lt;&gt;""))), IFERROR(INDEX(_xlpm.u,ROWS(A$2:A59)),""))</f>
        <v/>
      </c>
      <c r="B59" s="121"/>
      <c r="C59" s="121"/>
      <c r="D59" s="121"/>
      <c r="E59" t="str">
        <f ca="1">IF(D2&lt;&gt;"","Done",IF(C2&lt;&gt;"","In Progress",IF(B2&lt;&gt;"",IF(TODAY()&gt;B2,"Should have started","Planned"),"")))</f>
        <v/>
      </c>
      <c r="F59" s="120" t="str">
        <f ca="1">IF(E2="Done",D2-C2,IF(E2="In Progress",TODAY()-C2,IF(E2="Should have started",TODAY()-B2,"")))</f>
        <v/>
      </c>
      <c r="G59" s="121"/>
      <c r="K59" s="121"/>
      <c r="L59" s="121"/>
      <c r="M59" s="121"/>
      <c r="O59" s="120"/>
      <c r="T59" s="121"/>
      <c r="U59" s="120"/>
      <c r="W59" s="121"/>
      <c r="X59" s="120"/>
      <c r="Z59" s="121"/>
      <c r="AA59" s="121"/>
      <c r="AB59" s="120"/>
      <c r="AD59" s="121"/>
      <c r="AE59" s="121"/>
      <c r="AF59" s="120"/>
      <c r="AJ59" s="121"/>
    </row>
    <row r="60" spans="1:36">
      <c r="A60" t="str" cm="1">
        <f t="array" ref="A60">_xlfn.LET(_xlpm.src,TRIM(#REF!), _xlpm.u,_xlfn._xlws.SORT(_xlfn.UNIQUE(_xlfn._xlws.FILTER(_xlpm.src,_xlpm.src&lt;&gt;""))), IFERROR(INDEX(_xlpm.u,ROWS(A$2:A60)),""))</f>
        <v/>
      </c>
      <c r="B60" s="121"/>
      <c r="C60" s="121"/>
      <c r="D60" s="121"/>
      <c r="E60" t="str">
        <f ca="1">IF(D2&lt;&gt;"","Done",IF(C2&lt;&gt;"","In Progress",IF(B2&lt;&gt;"",IF(TODAY()&gt;B2,"Should have started","Planned"),"")))</f>
        <v/>
      </c>
      <c r="F60" s="120" t="str">
        <f ca="1">IF(E2="Done",D2-C2,IF(E2="In Progress",TODAY()-C2,IF(E2="Should have started",TODAY()-B2,"")))</f>
        <v/>
      </c>
      <c r="G60" s="121"/>
      <c r="K60" s="121"/>
      <c r="L60" s="121"/>
      <c r="M60" s="121"/>
      <c r="O60" s="120"/>
      <c r="T60" s="121"/>
      <c r="U60" s="120"/>
      <c r="W60" s="121"/>
      <c r="X60" s="120"/>
      <c r="Z60" s="121"/>
      <c r="AA60" s="121"/>
      <c r="AB60" s="120"/>
      <c r="AD60" s="121"/>
      <c r="AE60" s="121"/>
      <c r="AF60" s="120"/>
      <c r="AJ60" s="121"/>
    </row>
    <row r="61" spans="1:36">
      <c r="A61" t="str" cm="1">
        <f t="array" ref="A61">_xlfn.LET(_xlpm.src,TRIM(#REF!), _xlpm.u,_xlfn._xlws.SORT(_xlfn.UNIQUE(_xlfn._xlws.FILTER(_xlpm.src,_xlpm.src&lt;&gt;""))), IFERROR(INDEX(_xlpm.u,ROWS(A$2:A61)),""))</f>
        <v/>
      </c>
      <c r="B61" s="121"/>
      <c r="C61" s="121"/>
      <c r="D61" s="121"/>
      <c r="E61" t="str">
        <f ca="1">IF(D2&lt;&gt;"","Done",IF(C2&lt;&gt;"","In Progress",IF(B2&lt;&gt;"",IF(TODAY()&gt;B2,"Should have started","Planned"),"")))</f>
        <v/>
      </c>
      <c r="F61" s="120" t="str">
        <f ca="1">IF(E2="Done",D2-C2,IF(E2="In Progress",TODAY()-C2,IF(E2="Should have started",TODAY()-B2,"")))</f>
        <v/>
      </c>
      <c r="G61" s="121"/>
      <c r="K61" s="121"/>
      <c r="L61" s="121"/>
      <c r="M61" s="121"/>
      <c r="O61" s="120"/>
      <c r="T61" s="121"/>
      <c r="U61" s="120"/>
      <c r="W61" s="121"/>
      <c r="X61" s="120"/>
      <c r="Z61" s="121"/>
      <c r="AA61" s="121"/>
      <c r="AB61" s="120"/>
      <c r="AD61" s="121"/>
      <c r="AE61" s="121"/>
      <c r="AF61" s="120"/>
      <c r="AJ61" s="121"/>
    </row>
    <row r="62" spans="1:36">
      <c r="A62" t="str" cm="1">
        <f t="array" ref="A62">_xlfn.LET(_xlpm.src,TRIM(#REF!), _xlpm.u,_xlfn._xlws.SORT(_xlfn.UNIQUE(_xlfn._xlws.FILTER(_xlpm.src,_xlpm.src&lt;&gt;""))), IFERROR(INDEX(_xlpm.u,ROWS(A$2:A62)),""))</f>
        <v/>
      </c>
      <c r="B62" s="121"/>
      <c r="C62" s="121"/>
      <c r="D62" s="121"/>
      <c r="E62" t="str">
        <f ca="1">IF(D2&lt;&gt;"","Done",IF(C2&lt;&gt;"","In Progress",IF(B2&lt;&gt;"",IF(TODAY()&gt;B2,"Should have started","Planned"),"")))</f>
        <v/>
      </c>
      <c r="F62" s="120" t="str">
        <f ca="1">IF(E2="Done",D2-C2,IF(E2="In Progress",TODAY()-C2,IF(E2="Should have started",TODAY()-B2,"")))</f>
        <v/>
      </c>
      <c r="G62" s="121"/>
      <c r="K62" s="121"/>
      <c r="L62" s="121"/>
      <c r="M62" s="121"/>
      <c r="O62" s="120"/>
      <c r="T62" s="121"/>
      <c r="U62" s="120"/>
      <c r="W62" s="121"/>
      <c r="X62" s="120"/>
      <c r="Z62" s="121"/>
      <c r="AA62" s="121"/>
      <c r="AB62" s="120"/>
      <c r="AD62" s="121"/>
      <c r="AE62" s="121"/>
      <c r="AF62" s="120"/>
      <c r="AJ62" s="121"/>
    </row>
    <row r="63" spans="1:36">
      <c r="A63" t="str" cm="1">
        <f t="array" ref="A63">_xlfn.LET(_xlpm.src,TRIM(#REF!), _xlpm.u,_xlfn._xlws.SORT(_xlfn.UNIQUE(_xlfn._xlws.FILTER(_xlpm.src,_xlpm.src&lt;&gt;""))), IFERROR(INDEX(_xlpm.u,ROWS(A$2:A63)),""))</f>
        <v/>
      </c>
      <c r="B63" s="121"/>
      <c r="C63" s="121"/>
      <c r="D63" s="121"/>
      <c r="E63" t="str">
        <f ca="1">IF(D2&lt;&gt;"","Done",IF(C2&lt;&gt;"","In Progress",IF(B2&lt;&gt;"",IF(TODAY()&gt;B2,"Should have started","Planned"),"")))</f>
        <v/>
      </c>
      <c r="F63" s="120" t="str">
        <f ca="1">IF(E2="Done",D2-C2,IF(E2="In Progress",TODAY()-C2,IF(E2="Should have started",TODAY()-B2,"")))</f>
        <v/>
      </c>
      <c r="G63" s="121"/>
      <c r="K63" s="121"/>
      <c r="L63" s="121"/>
      <c r="M63" s="121"/>
      <c r="O63" s="120"/>
      <c r="T63" s="121"/>
      <c r="U63" s="120"/>
      <c r="W63" s="121"/>
      <c r="X63" s="120"/>
      <c r="Z63" s="121"/>
      <c r="AA63" s="121"/>
      <c r="AB63" s="120"/>
      <c r="AD63" s="121"/>
      <c r="AE63" s="121"/>
      <c r="AF63" s="120"/>
      <c r="AJ63" s="121"/>
    </row>
    <row r="64" spans="1:36">
      <c r="A64" t="str" cm="1">
        <f t="array" ref="A64">_xlfn.LET(_xlpm.src,TRIM(#REF!), _xlpm.u,_xlfn._xlws.SORT(_xlfn.UNIQUE(_xlfn._xlws.FILTER(_xlpm.src,_xlpm.src&lt;&gt;""))), IFERROR(INDEX(_xlpm.u,ROWS(A$2:A64)),""))</f>
        <v/>
      </c>
      <c r="B64" s="121"/>
      <c r="C64" s="121"/>
      <c r="D64" s="121"/>
      <c r="E64" t="str">
        <f ca="1">IF(D2&lt;&gt;"","Done",IF(C2&lt;&gt;"","In Progress",IF(B2&lt;&gt;"",IF(TODAY()&gt;B2,"Should have started","Planned"),"")))</f>
        <v/>
      </c>
      <c r="F64" s="120" t="str">
        <f ca="1">IF(E2="Done",D2-C2,IF(E2="In Progress",TODAY()-C2,IF(E2="Should have started",TODAY()-B2,"")))</f>
        <v/>
      </c>
      <c r="G64" s="121"/>
      <c r="K64" s="121"/>
      <c r="L64" s="121"/>
      <c r="M64" s="121"/>
      <c r="O64" s="120"/>
      <c r="T64" s="121"/>
      <c r="U64" s="120"/>
      <c r="W64" s="121"/>
      <c r="X64" s="120"/>
      <c r="Z64" s="121"/>
      <c r="AA64" s="121"/>
      <c r="AB64" s="120"/>
      <c r="AD64" s="121"/>
      <c r="AE64" s="121"/>
      <c r="AF64" s="120"/>
      <c r="AJ64" s="121"/>
    </row>
    <row r="65" spans="1:36">
      <c r="A65" t="str" cm="1">
        <f t="array" ref="A65">_xlfn.LET(_xlpm.src,TRIM(#REF!), _xlpm.u,_xlfn._xlws.SORT(_xlfn.UNIQUE(_xlfn._xlws.FILTER(_xlpm.src,_xlpm.src&lt;&gt;""))), IFERROR(INDEX(_xlpm.u,ROWS(A$2:A65)),""))</f>
        <v/>
      </c>
      <c r="B65" s="121"/>
      <c r="C65" s="121"/>
      <c r="D65" s="121"/>
      <c r="E65" t="str">
        <f ca="1">IF(D2&lt;&gt;"","Done",IF(C2&lt;&gt;"","In Progress",IF(B2&lt;&gt;"",IF(TODAY()&gt;B2,"Should have started","Planned"),"")))</f>
        <v/>
      </c>
      <c r="F65" s="120" t="str">
        <f ca="1">IF(E2="Done",D2-C2,IF(E2="In Progress",TODAY()-C2,IF(E2="Should have started",TODAY()-B2,"")))</f>
        <v/>
      </c>
      <c r="G65" s="121"/>
      <c r="K65" s="121"/>
      <c r="L65" s="121"/>
      <c r="M65" s="121"/>
      <c r="O65" s="120"/>
      <c r="T65" s="121"/>
      <c r="U65" s="120"/>
      <c r="W65" s="121"/>
      <c r="X65" s="120"/>
      <c r="Z65" s="121"/>
      <c r="AA65" s="121"/>
      <c r="AB65" s="120"/>
      <c r="AD65" s="121"/>
      <c r="AE65" s="121"/>
      <c r="AF65" s="120"/>
      <c r="AJ65" s="121"/>
    </row>
    <row r="66" spans="1:36">
      <c r="A66" t="str" cm="1">
        <f t="array" ref="A66">_xlfn.LET(_xlpm.src,TRIM(#REF!), _xlpm.u,_xlfn._xlws.SORT(_xlfn.UNIQUE(_xlfn._xlws.FILTER(_xlpm.src,_xlpm.src&lt;&gt;""))), IFERROR(INDEX(_xlpm.u,ROWS(A$2:A66)),""))</f>
        <v/>
      </c>
      <c r="B66" s="121"/>
      <c r="C66" s="121"/>
      <c r="D66" s="121"/>
      <c r="E66" t="str">
        <f ca="1">IF(D2&lt;&gt;"","Done",IF(C2&lt;&gt;"","In Progress",IF(B2&lt;&gt;"",IF(TODAY()&gt;B2,"Should have started","Planned"),"")))</f>
        <v/>
      </c>
      <c r="F66" s="120" t="str">
        <f ca="1">IF(E2="Done",D2-C2,IF(E2="In Progress",TODAY()-C2,IF(E2="Should have started",TODAY()-B2,"")))</f>
        <v/>
      </c>
      <c r="G66" s="121"/>
      <c r="K66" s="121"/>
      <c r="L66" s="121"/>
      <c r="M66" s="121"/>
      <c r="O66" s="120"/>
      <c r="T66" s="121"/>
      <c r="U66" s="120"/>
      <c r="W66" s="121"/>
      <c r="X66" s="120"/>
      <c r="Z66" s="121"/>
      <c r="AA66" s="121"/>
      <c r="AB66" s="120"/>
      <c r="AD66" s="121"/>
      <c r="AE66" s="121"/>
      <c r="AF66" s="120"/>
      <c r="AJ66" s="121"/>
    </row>
    <row r="67" spans="1:36">
      <c r="A67" t="str" cm="1">
        <f t="array" ref="A67">_xlfn.LET(_xlpm.src,TRIM(#REF!), _xlpm.u,_xlfn._xlws.SORT(_xlfn.UNIQUE(_xlfn._xlws.FILTER(_xlpm.src,_xlpm.src&lt;&gt;""))), IFERROR(INDEX(_xlpm.u,ROWS(A$2:A67)),""))</f>
        <v/>
      </c>
      <c r="B67" s="121"/>
      <c r="C67" s="121"/>
      <c r="D67" s="121"/>
      <c r="E67" t="str">
        <f ca="1">IF(D2&lt;&gt;"","Done",IF(C2&lt;&gt;"","In Progress",IF(B2&lt;&gt;"",IF(TODAY()&gt;B2,"Should have started","Planned"),"")))</f>
        <v/>
      </c>
      <c r="F67" s="120" t="str">
        <f ca="1">IF(E2="Done",D2-C2,IF(E2="In Progress",TODAY()-C2,IF(E2="Should have started",TODAY()-B2,"")))</f>
        <v/>
      </c>
      <c r="G67" s="121"/>
      <c r="K67" s="121"/>
      <c r="L67" s="121"/>
      <c r="M67" s="121"/>
      <c r="O67" s="120"/>
      <c r="T67" s="121"/>
      <c r="U67" s="120"/>
      <c r="W67" s="121"/>
      <c r="X67" s="120"/>
      <c r="Z67" s="121"/>
      <c r="AA67" s="121"/>
      <c r="AB67" s="120"/>
      <c r="AD67" s="121"/>
      <c r="AE67" s="121"/>
      <c r="AF67" s="120"/>
      <c r="AJ67" s="121"/>
    </row>
    <row r="68" spans="1:36">
      <c r="A68" t="str" cm="1">
        <f t="array" ref="A68">_xlfn.LET(_xlpm.src,TRIM(#REF!), _xlpm.u,_xlfn._xlws.SORT(_xlfn.UNIQUE(_xlfn._xlws.FILTER(_xlpm.src,_xlpm.src&lt;&gt;""))), IFERROR(INDEX(_xlpm.u,ROWS(A$2:A68)),""))</f>
        <v/>
      </c>
      <c r="B68" s="121"/>
      <c r="C68" s="121"/>
      <c r="D68" s="121"/>
      <c r="E68" t="str">
        <f ca="1">IF(D2&lt;&gt;"","Done",IF(C2&lt;&gt;"","In Progress",IF(B2&lt;&gt;"",IF(TODAY()&gt;B2,"Should have started","Planned"),"")))</f>
        <v/>
      </c>
      <c r="F68" s="120" t="str">
        <f ca="1">IF(E2="Done",D2-C2,IF(E2="In Progress",TODAY()-C2,IF(E2="Should have started",TODAY()-B2,"")))</f>
        <v/>
      </c>
      <c r="G68" s="121"/>
      <c r="K68" s="121"/>
      <c r="L68" s="121"/>
      <c r="M68" s="121"/>
      <c r="O68" s="120"/>
      <c r="T68" s="121"/>
      <c r="U68" s="120"/>
      <c r="W68" s="121"/>
      <c r="X68" s="120"/>
      <c r="Z68" s="121"/>
      <c r="AA68" s="121"/>
      <c r="AB68" s="120"/>
      <c r="AD68" s="121"/>
      <c r="AE68" s="121"/>
      <c r="AF68" s="120"/>
      <c r="AJ68" s="121"/>
    </row>
    <row r="69" spans="1:36">
      <c r="A69" t="str" cm="1">
        <f t="array" ref="A69">_xlfn.LET(_xlpm.src,TRIM(#REF!), _xlpm.u,_xlfn._xlws.SORT(_xlfn.UNIQUE(_xlfn._xlws.FILTER(_xlpm.src,_xlpm.src&lt;&gt;""))), IFERROR(INDEX(_xlpm.u,ROWS(A$2:A69)),""))</f>
        <v/>
      </c>
      <c r="B69" s="121"/>
      <c r="C69" s="121"/>
      <c r="D69" s="121"/>
      <c r="E69" t="str">
        <f ca="1">IF(D2&lt;&gt;"","Done",IF(C2&lt;&gt;"","In Progress",IF(B2&lt;&gt;"",IF(TODAY()&gt;B2,"Should have started","Planned"),"")))</f>
        <v/>
      </c>
      <c r="F69" s="120" t="str">
        <f ca="1">IF(E2="Done",D2-C2,IF(E2="In Progress",TODAY()-C2,IF(E2="Should have started",TODAY()-B2,"")))</f>
        <v/>
      </c>
      <c r="G69" s="121"/>
      <c r="K69" s="121"/>
      <c r="L69" s="121"/>
      <c r="M69" s="121"/>
      <c r="O69" s="120"/>
      <c r="T69" s="121"/>
      <c r="U69" s="120"/>
      <c r="W69" s="121"/>
      <c r="X69" s="120"/>
      <c r="Z69" s="121"/>
      <c r="AA69" s="121"/>
      <c r="AB69" s="120"/>
      <c r="AD69" s="121"/>
      <c r="AE69" s="121"/>
      <c r="AF69" s="120"/>
      <c r="AJ69" s="121"/>
    </row>
    <row r="70" spans="1:36">
      <c r="A70" t="str" cm="1">
        <f t="array" ref="A70">_xlfn.LET(_xlpm.src,TRIM(#REF!), _xlpm.u,_xlfn._xlws.SORT(_xlfn.UNIQUE(_xlfn._xlws.FILTER(_xlpm.src,_xlpm.src&lt;&gt;""))), IFERROR(INDEX(_xlpm.u,ROWS(A$2:A70)),""))</f>
        <v/>
      </c>
      <c r="B70" s="121"/>
      <c r="C70" s="121"/>
      <c r="D70" s="121"/>
      <c r="E70" t="str">
        <f ca="1">IF(D2&lt;&gt;"","Done",IF(C2&lt;&gt;"","In Progress",IF(B2&lt;&gt;"",IF(TODAY()&gt;B2,"Should have started","Planned"),"")))</f>
        <v/>
      </c>
      <c r="F70" s="120" t="str">
        <f ca="1">IF(E2="Done",D2-C2,IF(E2="In Progress",TODAY()-C2,IF(E2="Should have started",TODAY()-B2,"")))</f>
        <v/>
      </c>
      <c r="G70" s="121"/>
      <c r="K70" s="121"/>
      <c r="L70" s="121"/>
      <c r="M70" s="121"/>
      <c r="O70" s="120"/>
      <c r="T70" s="121"/>
      <c r="U70" s="120"/>
      <c r="W70" s="121"/>
      <c r="X70" s="120"/>
      <c r="Z70" s="121"/>
      <c r="AA70" s="121"/>
      <c r="AB70" s="120"/>
      <c r="AD70" s="121"/>
      <c r="AE70" s="121"/>
      <c r="AF70" s="120"/>
      <c r="AJ70" s="121"/>
    </row>
    <row r="71" spans="1:36">
      <c r="A71" t="str" cm="1">
        <f t="array" ref="A71">_xlfn.LET(_xlpm.src,TRIM(#REF!), _xlpm.u,_xlfn._xlws.SORT(_xlfn.UNIQUE(_xlfn._xlws.FILTER(_xlpm.src,_xlpm.src&lt;&gt;""))), IFERROR(INDEX(_xlpm.u,ROWS(A$2:A71)),""))</f>
        <v/>
      </c>
      <c r="B71" s="121"/>
      <c r="C71" s="121"/>
      <c r="D71" s="121"/>
      <c r="E71" t="str">
        <f ca="1">IF(D2&lt;&gt;"","Done",IF(C2&lt;&gt;"","In Progress",IF(B2&lt;&gt;"",IF(TODAY()&gt;B2,"Should have started","Planned"),"")))</f>
        <v/>
      </c>
      <c r="F71" s="120" t="str">
        <f ca="1">IF(E2="Done",D2-C2,IF(E2="In Progress",TODAY()-C2,IF(E2="Should have started",TODAY()-B2,"")))</f>
        <v/>
      </c>
      <c r="G71" s="121"/>
      <c r="K71" s="121"/>
      <c r="L71" s="121"/>
      <c r="M71" s="121"/>
      <c r="O71" s="120"/>
      <c r="T71" s="121"/>
      <c r="U71" s="120"/>
      <c r="W71" s="121"/>
      <c r="X71" s="120"/>
      <c r="Z71" s="121"/>
      <c r="AA71" s="121"/>
      <c r="AB71" s="120"/>
      <c r="AD71" s="121"/>
      <c r="AE71" s="121"/>
      <c r="AF71" s="120"/>
      <c r="AJ71" s="121"/>
    </row>
    <row r="72" spans="1:36">
      <c r="A72" t="str" cm="1">
        <f t="array" ref="A72">_xlfn.LET(_xlpm.src,TRIM(#REF!), _xlpm.u,_xlfn._xlws.SORT(_xlfn.UNIQUE(_xlfn._xlws.FILTER(_xlpm.src,_xlpm.src&lt;&gt;""))), IFERROR(INDEX(_xlpm.u,ROWS(A$2:A72)),""))</f>
        <v/>
      </c>
      <c r="B72" s="121"/>
      <c r="C72" s="121"/>
      <c r="D72" s="121"/>
      <c r="E72" t="str">
        <f ca="1">IF(D2&lt;&gt;"","Done",IF(C2&lt;&gt;"","In Progress",IF(B2&lt;&gt;"",IF(TODAY()&gt;B2,"Should have started","Planned"),"")))</f>
        <v/>
      </c>
      <c r="F72" s="120" t="str">
        <f ca="1">IF(E2="Done",D2-C2,IF(E2="In Progress",TODAY()-C2,IF(E2="Should have started",TODAY()-B2,"")))</f>
        <v/>
      </c>
      <c r="G72" s="121"/>
      <c r="K72" s="121"/>
      <c r="L72" s="121"/>
      <c r="M72" s="121"/>
      <c r="O72" s="120"/>
      <c r="T72" s="121"/>
      <c r="U72" s="120"/>
      <c r="W72" s="121"/>
      <c r="X72" s="120"/>
      <c r="Z72" s="121"/>
      <c r="AA72" s="121"/>
      <c r="AB72" s="120"/>
      <c r="AD72" s="121"/>
      <c r="AE72" s="121"/>
      <c r="AF72" s="120"/>
      <c r="AJ72" s="121"/>
    </row>
    <row r="73" spans="1:36">
      <c r="A73" t="str" cm="1">
        <f t="array" ref="A73">_xlfn.LET(_xlpm.src,TRIM(#REF!), _xlpm.u,_xlfn._xlws.SORT(_xlfn.UNIQUE(_xlfn._xlws.FILTER(_xlpm.src,_xlpm.src&lt;&gt;""))), IFERROR(INDEX(_xlpm.u,ROWS(A$2:A73)),""))</f>
        <v/>
      </c>
      <c r="B73" s="121"/>
      <c r="C73" s="121"/>
      <c r="D73" s="121"/>
      <c r="E73" t="str">
        <f ca="1">IF(D2&lt;&gt;"","Done",IF(C2&lt;&gt;"","In Progress",IF(B2&lt;&gt;"",IF(TODAY()&gt;B2,"Should have started","Planned"),"")))</f>
        <v/>
      </c>
      <c r="F73" s="120" t="str">
        <f ca="1">IF(E2="Done",D2-C2,IF(E2="In Progress",TODAY()-C2,IF(E2="Should have started",TODAY()-B2,"")))</f>
        <v/>
      </c>
      <c r="G73" s="121"/>
      <c r="K73" s="121"/>
      <c r="L73" s="121"/>
      <c r="M73" s="121"/>
      <c r="O73" s="120"/>
      <c r="T73" s="121"/>
      <c r="U73" s="120"/>
      <c r="W73" s="121"/>
      <c r="X73" s="120"/>
      <c r="Z73" s="121"/>
      <c r="AA73" s="121"/>
      <c r="AB73" s="120"/>
      <c r="AD73" s="121"/>
      <c r="AE73" s="121"/>
      <c r="AF73" s="120"/>
      <c r="AJ73" s="121"/>
    </row>
    <row r="74" spans="1:36">
      <c r="A74" t="str" cm="1">
        <f t="array" ref="A74">_xlfn.LET(_xlpm.src,TRIM(#REF!), _xlpm.u,_xlfn._xlws.SORT(_xlfn.UNIQUE(_xlfn._xlws.FILTER(_xlpm.src,_xlpm.src&lt;&gt;""))), IFERROR(INDEX(_xlpm.u,ROWS(A$2:A74)),""))</f>
        <v/>
      </c>
      <c r="B74" s="121"/>
      <c r="C74" s="121"/>
      <c r="D74" s="121"/>
      <c r="E74" t="str">
        <f ca="1">IF(D2&lt;&gt;"","Done",IF(C2&lt;&gt;"","In Progress",IF(B2&lt;&gt;"",IF(TODAY()&gt;B2,"Should have started","Planned"),"")))</f>
        <v/>
      </c>
      <c r="F74" s="120" t="str">
        <f ca="1">IF(E2="Done",D2-C2,IF(E2="In Progress",TODAY()-C2,IF(E2="Should have started",TODAY()-B2,"")))</f>
        <v/>
      </c>
      <c r="G74" s="121"/>
      <c r="K74" s="121"/>
      <c r="L74" s="121"/>
      <c r="M74" s="121"/>
      <c r="O74" s="120"/>
      <c r="T74" s="121"/>
      <c r="U74" s="120"/>
      <c r="W74" s="121"/>
      <c r="X74" s="120"/>
      <c r="Z74" s="121"/>
      <c r="AA74" s="121"/>
      <c r="AB74" s="120"/>
      <c r="AD74" s="121"/>
      <c r="AE74" s="121"/>
      <c r="AF74" s="120"/>
      <c r="AJ74" s="121"/>
    </row>
    <row r="75" spans="1:36">
      <c r="A75" t="str" cm="1">
        <f t="array" ref="A75">_xlfn.LET(_xlpm.src,TRIM(#REF!), _xlpm.u,_xlfn._xlws.SORT(_xlfn.UNIQUE(_xlfn._xlws.FILTER(_xlpm.src,_xlpm.src&lt;&gt;""))), IFERROR(INDEX(_xlpm.u,ROWS(A$2:A75)),""))</f>
        <v/>
      </c>
      <c r="B75" s="121"/>
      <c r="C75" s="121"/>
      <c r="D75" s="121"/>
      <c r="E75" t="str">
        <f ca="1">IF(D2&lt;&gt;"","Done",IF(C2&lt;&gt;"","In Progress",IF(B2&lt;&gt;"",IF(TODAY()&gt;B2,"Should have started","Planned"),"")))</f>
        <v/>
      </c>
      <c r="F75" s="120" t="str">
        <f ca="1">IF(E2="Done",D2-C2,IF(E2="In Progress",TODAY()-C2,IF(E2="Should have started",TODAY()-B2,"")))</f>
        <v/>
      </c>
      <c r="G75" s="121"/>
      <c r="K75" s="121"/>
      <c r="L75" s="121"/>
      <c r="M75" s="121"/>
      <c r="O75" s="120"/>
      <c r="T75" s="121"/>
      <c r="U75" s="120"/>
      <c r="W75" s="121"/>
      <c r="X75" s="120"/>
      <c r="Z75" s="121"/>
      <c r="AA75" s="121"/>
      <c r="AB75" s="120"/>
      <c r="AD75" s="121"/>
      <c r="AE75" s="121"/>
      <c r="AF75" s="120"/>
      <c r="AJ75" s="121"/>
    </row>
    <row r="76" spans="1:36">
      <c r="A76" t="str" cm="1">
        <f t="array" ref="A76">_xlfn.LET(_xlpm.src,TRIM(#REF!), _xlpm.u,_xlfn._xlws.SORT(_xlfn.UNIQUE(_xlfn._xlws.FILTER(_xlpm.src,_xlpm.src&lt;&gt;""))), IFERROR(INDEX(_xlpm.u,ROWS(A$2:A76)),""))</f>
        <v/>
      </c>
      <c r="B76" s="121"/>
      <c r="C76" s="121"/>
      <c r="D76" s="121"/>
      <c r="E76" t="str">
        <f ca="1">IF(D2&lt;&gt;"","Done",IF(C2&lt;&gt;"","In Progress",IF(B2&lt;&gt;"",IF(TODAY()&gt;B2,"Should have started","Planned"),"")))</f>
        <v/>
      </c>
      <c r="F76" s="120" t="str">
        <f ca="1">IF(E2="Done",D2-C2,IF(E2="In Progress",TODAY()-C2,IF(E2="Should have started",TODAY()-B2,"")))</f>
        <v/>
      </c>
      <c r="G76" s="121"/>
      <c r="K76" s="121"/>
      <c r="L76" s="121"/>
      <c r="M76" s="121"/>
      <c r="O76" s="120"/>
      <c r="T76" s="121"/>
      <c r="U76" s="120"/>
      <c r="W76" s="121"/>
      <c r="X76" s="120"/>
      <c r="Z76" s="121"/>
      <c r="AA76" s="121"/>
      <c r="AB76" s="120"/>
      <c r="AD76" s="121"/>
      <c r="AE76" s="121"/>
      <c r="AF76" s="120"/>
      <c r="AJ76" s="121"/>
    </row>
    <row r="77" spans="1:36">
      <c r="A77" t="str" cm="1">
        <f t="array" ref="A77">_xlfn.LET(_xlpm.src,TRIM(#REF!), _xlpm.u,_xlfn._xlws.SORT(_xlfn.UNIQUE(_xlfn._xlws.FILTER(_xlpm.src,_xlpm.src&lt;&gt;""))), IFERROR(INDEX(_xlpm.u,ROWS(A$2:A77)),""))</f>
        <v/>
      </c>
      <c r="B77" s="121"/>
      <c r="C77" s="121"/>
      <c r="D77" s="121"/>
      <c r="E77" t="str">
        <f ca="1">IF(D2&lt;&gt;"","Done",IF(C2&lt;&gt;"","In Progress",IF(B2&lt;&gt;"",IF(TODAY()&gt;B2,"Should have started","Planned"),"")))</f>
        <v/>
      </c>
      <c r="F77" s="120" t="str">
        <f ca="1">IF(E2="Done",D2-C2,IF(E2="In Progress",TODAY()-C2,IF(E2="Should have started",TODAY()-B2,"")))</f>
        <v/>
      </c>
      <c r="G77" s="121"/>
      <c r="K77" s="121"/>
      <c r="L77" s="121"/>
      <c r="M77" s="121"/>
      <c r="O77" s="120"/>
      <c r="T77" s="121"/>
      <c r="U77" s="120"/>
      <c r="W77" s="121"/>
      <c r="X77" s="120"/>
      <c r="Z77" s="121"/>
      <c r="AA77" s="121"/>
      <c r="AB77" s="120"/>
      <c r="AD77" s="121"/>
      <c r="AE77" s="121"/>
      <c r="AF77" s="120"/>
      <c r="AJ77" s="121"/>
    </row>
    <row r="78" spans="1:36">
      <c r="A78" t="str" cm="1">
        <f t="array" ref="A78">_xlfn.LET(_xlpm.src,TRIM(#REF!), _xlpm.u,_xlfn._xlws.SORT(_xlfn.UNIQUE(_xlfn._xlws.FILTER(_xlpm.src,_xlpm.src&lt;&gt;""))), IFERROR(INDEX(_xlpm.u,ROWS(A$2:A78)),""))</f>
        <v/>
      </c>
      <c r="B78" s="121"/>
      <c r="C78" s="121"/>
      <c r="D78" s="121"/>
      <c r="E78" t="str">
        <f ca="1">IF(D2&lt;&gt;"","Done",IF(C2&lt;&gt;"","In Progress",IF(B2&lt;&gt;"",IF(TODAY()&gt;B2,"Should have started","Planned"),"")))</f>
        <v/>
      </c>
      <c r="F78" s="120" t="str">
        <f ca="1">IF(E2="Done",D2-C2,IF(E2="In Progress",TODAY()-C2,IF(E2="Should have started",TODAY()-B2,"")))</f>
        <v/>
      </c>
      <c r="G78" s="121"/>
      <c r="K78" s="121"/>
      <c r="L78" s="121"/>
      <c r="M78" s="121"/>
      <c r="O78" s="120"/>
      <c r="T78" s="121"/>
      <c r="U78" s="120"/>
      <c r="W78" s="121"/>
      <c r="X78" s="120"/>
      <c r="Z78" s="121"/>
      <c r="AA78" s="121"/>
      <c r="AB78" s="120"/>
      <c r="AD78" s="121"/>
      <c r="AE78" s="121"/>
      <c r="AF78" s="120"/>
      <c r="AJ78" s="121"/>
    </row>
    <row r="79" spans="1:36">
      <c r="A79" t="str" cm="1">
        <f t="array" ref="A79">_xlfn.LET(_xlpm.src,TRIM(#REF!), _xlpm.u,_xlfn._xlws.SORT(_xlfn.UNIQUE(_xlfn._xlws.FILTER(_xlpm.src,_xlpm.src&lt;&gt;""))), IFERROR(INDEX(_xlpm.u,ROWS(A$2:A79)),""))</f>
        <v/>
      </c>
      <c r="B79" s="121"/>
      <c r="C79" s="121"/>
      <c r="D79" s="121"/>
      <c r="E79" t="str">
        <f ca="1">IF(D2&lt;&gt;"","Done",IF(C2&lt;&gt;"","In Progress",IF(B2&lt;&gt;"",IF(TODAY()&gt;B2,"Should have started","Planned"),"")))</f>
        <v/>
      </c>
      <c r="F79" s="120" t="str">
        <f ca="1">IF(E2="Done",D2-C2,IF(E2="In Progress",TODAY()-C2,IF(E2="Should have started",TODAY()-B2,"")))</f>
        <v/>
      </c>
      <c r="G79" s="121"/>
      <c r="K79" s="121"/>
      <c r="L79" s="121"/>
      <c r="M79" s="121"/>
      <c r="O79" s="120"/>
      <c r="T79" s="121"/>
      <c r="U79" s="120"/>
      <c r="W79" s="121"/>
      <c r="X79" s="120"/>
      <c r="Z79" s="121"/>
      <c r="AA79" s="121"/>
      <c r="AB79" s="120"/>
      <c r="AD79" s="121"/>
      <c r="AE79" s="121"/>
      <c r="AF79" s="120"/>
      <c r="AJ79" s="121"/>
    </row>
    <row r="80" spans="1:36">
      <c r="A80" t="str" cm="1">
        <f t="array" ref="A80">_xlfn.LET(_xlpm.src,TRIM(#REF!), _xlpm.u,_xlfn._xlws.SORT(_xlfn.UNIQUE(_xlfn._xlws.FILTER(_xlpm.src,_xlpm.src&lt;&gt;""))), IFERROR(INDEX(_xlpm.u,ROWS(A$2:A80)),""))</f>
        <v/>
      </c>
      <c r="B80" s="121"/>
      <c r="C80" s="121"/>
      <c r="D80" s="121"/>
      <c r="E80" t="str">
        <f ca="1">IF(D2&lt;&gt;"","Done",IF(C2&lt;&gt;"","In Progress",IF(B2&lt;&gt;"",IF(TODAY()&gt;B2,"Should have started","Planned"),"")))</f>
        <v/>
      </c>
      <c r="F80" s="120" t="str">
        <f ca="1">IF(E2="Done",D2-C2,IF(E2="In Progress",TODAY()-C2,IF(E2="Should have started",TODAY()-B2,"")))</f>
        <v/>
      </c>
      <c r="G80" s="121"/>
      <c r="K80" s="121"/>
      <c r="L80" s="121"/>
      <c r="M80" s="121"/>
      <c r="O80" s="120"/>
      <c r="T80" s="121"/>
      <c r="U80" s="120"/>
      <c r="W80" s="121"/>
      <c r="X80" s="120"/>
      <c r="Z80" s="121"/>
      <c r="AA80" s="121"/>
      <c r="AB80" s="120"/>
      <c r="AD80" s="121"/>
      <c r="AE80" s="121"/>
      <c r="AF80" s="120"/>
      <c r="AJ80" s="121"/>
    </row>
    <row r="81" spans="1:36">
      <c r="A81" t="str" cm="1">
        <f t="array" ref="A81">_xlfn.LET(_xlpm.src,TRIM(#REF!), _xlpm.u,_xlfn._xlws.SORT(_xlfn.UNIQUE(_xlfn._xlws.FILTER(_xlpm.src,_xlpm.src&lt;&gt;""))), IFERROR(INDEX(_xlpm.u,ROWS(A$2:A81)),""))</f>
        <v/>
      </c>
      <c r="B81" s="121"/>
      <c r="C81" s="121"/>
      <c r="D81" s="121"/>
      <c r="E81" t="str">
        <f ca="1">IF(D2&lt;&gt;"","Done",IF(C2&lt;&gt;"","In Progress",IF(B2&lt;&gt;"",IF(TODAY()&gt;B2,"Should have started","Planned"),"")))</f>
        <v/>
      </c>
      <c r="F81" s="120" t="str">
        <f ca="1">IF(E2="Done",D2-C2,IF(E2="In Progress",TODAY()-C2,IF(E2="Should have started",TODAY()-B2,"")))</f>
        <v/>
      </c>
      <c r="G81" s="121"/>
      <c r="K81" s="121"/>
      <c r="L81" s="121"/>
      <c r="M81" s="121"/>
      <c r="O81" s="120"/>
      <c r="T81" s="121"/>
      <c r="U81" s="120"/>
      <c r="W81" s="121"/>
      <c r="X81" s="120"/>
      <c r="Z81" s="121"/>
      <c r="AA81" s="121"/>
      <c r="AB81" s="120"/>
      <c r="AD81" s="121"/>
      <c r="AE81" s="121"/>
      <c r="AF81" s="120"/>
      <c r="AJ81" s="121"/>
    </row>
    <row r="82" spans="1:36">
      <c r="A82" t="str" cm="1">
        <f t="array" ref="A82">_xlfn.LET(_xlpm.src,TRIM(#REF!), _xlpm.u,_xlfn._xlws.SORT(_xlfn.UNIQUE(_xlfn._xlws.FILTER(_xlpm.src,_xlpm.src&lt;&gt;""))), IFERROR(INDEX(_xlpm.u,ROWS(A$2:A82)),""))</f>
        <v/>
      </c>
      <c r="B82" s="121"/>
      <c r="C82" s="121"/>
      <c r="D82" s="121"/>
      <c r="E82" t="str">
        <f ca="1">IF(D2&lt;&gt;"","Done",IF(C2&lt;&gt;"","In Progress",IF(B2&lt;&gt;"",IF(TODAY()&gt;B2,"Should have started","Planned"),"")))</f>
        <v/>
      </c>
      <c r="F82" s="120" t="str">
        <f ca="1">IF(E2="Done",D2-C2,IF(E2="In Progress",TODAY()-C2,IF(E2="Should have started",TODAY()-B2,"")))</f>
        <v/>
      </c>
      <c r="G82" s="121"/>
      <c r="K82" s="121"/>
      <c r="L82" s="121"/>
      <c r="M82" s="121"/>
      <c r="O82" s="120"/>
      <c r="T82" s="121"/>
      <c r="U82" s="120"/>
      <c r="W82" s="121"/>
      <c r="X82" s="120"/>
      <c r="Z82" s="121"/>
      <c r="AA82" s="121"/>
      <c r="AB82" s="120"/>
      <c r="AD82" s="121"/>
      <c r="AE82" s="121"/>
      <c r="AF82" s="120"/>
      <c r="AJ82" s="121"/>
    </row>
    <row r="83" spans="1:36">
      <c r="A83" t="str" cm="1">
        <f t="array" ref="A83">_xlfn.LET(_xlpm.src,TRIM(#REF!), _xlpm.u,_xlfn._xlws.SORT(_xlfn.UNIQUE(_xlfn._xlws.FILTER(_xlpm.src,_xlpm.src&lt;&gt;""))), IFERROR(INDEX(_xlpm.u,ROWS(A$2:A83)),""))</f>
        <v/>
      </c>
      <c r="B83" s="121"/>
      <c r="C83" s="121"/>
      <c r="D83" s="121"/>
      <c r="E83" t="str">
        <f ca="1">IF(D2&lt;&gt;"","Done",IF(C2&lt;&gt;"","In Progress",IF(B2&lt;&gt;"",IF(TODAY()&gt;B2,"Should have started","Planned"),"")))</f>
        <v/>
      </c>
      <c r="F83" s="120" t="str">
        <f ca="1">IF(E2="Done",D2-C2,IF(E2="In Progress",TODAY()-C2,IF(E2="Should have started",TODAY()-B2,"")))</f>
        <v/>
      </c>
      <c r="G83" s="121"/>
      <c r="K83" s="121"/>
      <c r="L83" s="121"/>
      <c r="M83" s="121"/>
      <c r="O83" s="120"/>
      <c r="T83" s="121"/>
      <c r="U83" s="120"/>
      <c r="W83" s="121"/>
      <c r="X83" s="120"/>
      <c r="Z83" s="121"/>
      <c r="AA83" s="121"/>
      <c r="AB83" s="120"/>
      <c r="AD83" s="121"/>
      <c r="AE83" s="121"/>
      <c r="AF83" s="120"/>
      <c r="AJ83" s="121"/>
    </row>
    <row r="84" spans="1:36">
      <c r="A84" t="str" cm="1">
        <f t="array" ref="A84">_xlfn.LET(_xlpm.src,TRIM(#REF!), _xlpm.u,_xlfn._xlws.SORT(_xlfn.UNIQUE(_xlfn._xlws.FILTER(_xlpm.src,_xlpm.src&lt;&gt;""))), IFERROR(INDEX(_xlpm.u,ROWS(A$2:A84)),""))</f>
        <v/>
      </c>
      <c r="B84" s="121"/>
      <c r="C84" s="121"/>
      <c r="D84" s="121"/>
      <c r="E84" t="str">
        <f ca="1">IF(D2&lt;&gt;"","Done",IF(C2&lt;&gt;"","In Progress",IF(B2&lt;&gt;"",IF(TODAY()&gt;B2,"Should have started","Planned"),"")))</f>
        <v/>
      </c>
      <c r="F84" s="120" t="str">
        <f ca="1">IF(E2="Done",D2-C2,IF(E2="In Progress",TODAY()-C2,IF(E2="Should have started",TODAY()-B2,"")))</f>
        <v/>
      </c>
      <c r="G84" s="121"/>
      <c r="K84" s="121"/>
      <c r="L84" s="121"/>
      <c r="M84" s="121"/>
      <c r="O84" s="120"/>
      <c r="T84" s="121"/>
      <c r="U84" s="120"/>
      <c r="W84" s="121"/>
      <c r="X84" s="120"/>
      <c r="Z84" s="121"/>
      <c r="AA84" s="121"/>
      <c r="AB84" s="120"/>
      <c r="AD84" s="121"/>
      <c r="AE84" s="121"/>
      <c r="AF84" s="120"/>
      <c r="AJ84" s="121"/>
    </row>
    <row r="85" spans="1:36">
      <c r="A85" t="str" cm="1">
        <f t="array" ref="A85">_xlfn.LET(_xlpm.src,TRIM(#REF!), _xlpm.u,_xlfn._xlws.SORT(_xlfn.UNIQUE(_xlfn._xlws.FILTER(_xlpm.src,_xlpm.src&lt;&gt;""))), IFERROR(INDEX(_xlpm.u,ROWS(A$2:A85)),""))</f>
        <v/>
      </c>
      <c r="B85" s="121"/>
      <c r="C85" s="121"/>
      <c r="D85" s="121"/>
      <c r="E85" t="str">
        <f ca="1">IF(D2&lt;&gt;"","Done",IF(C2&lt;&gt;"","In Progress",IF(B2&lt;&gt;"",IF(TODAY()&gt;B2,"Should have started","Planned"),"")))</f>
        <v/>
      </c>
      <c r="F85" s="120" t="str">
        <f ca="1">IF(E2="Done",D2-C2,IF(E2="In Progress",TODAY()-C2,IF(E2="Should have started",TODAY()-B2,"")))</f>
        <v/>
      </c>
      <c r="G85" s="121"/>
      <c r="K85" s="121"/>
      <c r="L85" s="121"/>
      <c r="M85" s="121"/>
      <c r="O85" s="120"/>
      <c r="T85" s="121"/>
      <c r="U85" s="120"/>
      <c r="W85" s="121"/>
      <c r="X85" s="120"/>
      <c r="Z85" s="121"/>
      <c r="AA85" s="121"/>
      <c r="AB85" s="120"/>
      <c r="AD85" s="121"/>
      <c r="AE85" s="121"/>
      <c r="AF85" s="120"/>
      <c r="AJ85" s="121"/>
    </row>
    <row r="86" spans="1:36">
      <c r="A86" t="str" cm="1">
        <f t="array" ref="A86">_xlfn.LET(_xlpm.src,TRIM(#REF!), _xlpm.u,_xlfn._xlws.SORT(_xlfn.UNIQUE(_xlfn._xlws.FILTER(_xlpm.src,_xlpm.src&lt;&gt;""))), IFERROR(INDEX(_xlpm.u,ROWS(A$2:A86)),""))</f>
        <v/>
      </c>
      <c r="B86" s="121"/>
      <c r="C86" s="121"/>
      <c r="D86" s="121"/>
      <c r="E86" t="str">
        <f ca="1">IF(D2&lt;&gt;"","Done",IF(C2&lt;&gt;"","In Progress",IF(B2&lt;&gt;"",IF(TODAY()&gt;B2,"Should have started","Planned"),"")))</f>
        <v/>
      </c>
      <c r="F86" s="120" t="str">
        <f ca="1">IF(E2="Done",D2-C2,IF(E2="In Progress",TODAY()-C2,IF(E2="Should have started",TODAY()-B2,"")))</f>
        <v/>
      </c>
      <c r="G86" s="121"/>
      <c r="K86" s="121"/>
      <c r="L86" s="121"/>
      <c r="M86" s="121"/>
      <c r="O86" s="120"/>
      <c r="T86" s="121"/>
      <c r="U86" s="120"/>
      <c r="W86" s="121"/>
      <c r="X86" s="120"/>
      <c r="Z86" s="121"/>
      <c r="AA86" s="121"/>
      <c r="AB86" s="120"/>
      <c r="AD86" s="121"/>
      <c r="AE86" s="121"/>
      <c r="AF86" s="120"/>
      <c r="AJ86" s="121"/>
    </row>
    <row r="87" spans="1:36">
      <c r="A87" t="str" cm="1">
        <f t="array" ref="A87">_xlfn.LET(_xlpm.src,TRIM(#REF!), _xlpm.u,_xlfn._xlws.SORT(_xlfn.UNIQUE(_xlfn._xlws.FILTER(_xlpm.src,_xlpm.src&lt;&gt;""))), IFERROR(INDEX(_xlpm.u,ROWS(A$2:A87)),""))</f>
        <v/>
      </c>
      <c r="B87" s="121"/>
      <c r="C87" s="121"/>
      <c r="D87" s="121"/>
      <c r="E87" t="str">
        <f ca="1">IF(D2&lt;&gt;"","Done",IF(C2&lt;&gt;"","In Progress",IF(B2&lt;&gt;"",IF(TODAY()&gt;B2,"Should have started","Planned"),"")))</f>
        <v/>
      </c>
      <c r="F87" s="120" t="str">
        <f ca="1">IF(E2="Done",D2-C2,IF(E2="In Progress",TODAY()-C2,IF(E2="Should have started",TODAY()-B2,"")))</f>
        <v/>
      </c>
      <c r="G87" s="121"/>
      <c r="K87" s="121"/>
      <c r="L87" s="121"/>
      <c r="M87" s="121"/>
      <c r="O87" s="120"/>
      <c r="T87" s="121"/>
      <c r="U87" s="120"/>
      <c r="W87" s="121"/>
      <c r="X87" s="120"/>
      <c r="Z87" s="121"/>
      <c r="AA87" s="121"/>
      <c r="AB87" s="120"/>
      <c r="AD87" s="121"/>
      <c r="AE87" s="121"/>
      <c r="AF87" s="120"/>
      <c r="AJ87" s="121"/>
    </row>
    <row r="88" spans="1:36">
      <c r="A88" t="str" cm="1">
        <f t="array" ref="A88">_xlfn.LET(_xlpm.src,TRIM(#REF!), _xlpm.u,_xlfn._xlws.SORT(_xlfn.UNIQUE(_xlfn._xlws.FILTER(_xlpm.src,_xlpm.src&lt;&gt;""))), IFERROR(INDEX(_xlpm.u,ROWS(A$2:A88)),""))</f>
        <v/>
      </c>
      <c r="B88" s="121"/>
      <c r="C88" s="121"/>
      <c r="D88" s="121"/>
      <c r="E88" t="str">
        <f ca="1">IF(D2&lt;&gt;"","Done",IF(C2&lt;&gt;"","In Progress",IF(B2&lt;&gt;"",IF(TODAY()&gt;B2,"Should have started","Planned"),"")))</f>
        <v/>
      </c>
      <c r="F88" s="120" t="str">
        <f ca="1">IF(E2="Done",D2-C2,IF(E2="In Progress",TODAY()-C2,IF(E2="Should have started",TODAY()-B2,"")))</f>
        <v/>
      </c>
      <c r="G88" s="121"/>
      <c r="K88" s="121"/>
      <c r="L88" s="121"/>
      <c r="M88" s="121"/>
      <c r="O88" s="120"/>
      <c r="T88" s="121"/>
      <c r="U88" s="120"/>
      <c r="W88" s="121"/>
      <c r="X88" s="120"/>
      <c r="Z88" s="121"/>
      <c r="AA88" s="121"/>
      <c r="AB88" s="120"/>
      <c r="AD88" s="121"/>
      <c r="AE88" s="121"/>
      <c r="AF88" s="120"/>
      <c r="AJ88" s="121"/>
    </row>
    <row r="89" spans="1:36">
      <c r="A89" t="str" cm="1">
        <f t="array" ref="A89">_xlfn.LET(_xlpm.src,TRIM(#REF!), _xlpm.u,_xlfn._xlws.SORT(_xlfn.UNIQUE(_xlfn._xlws.FILTER(_xlpm.src,_xlpm.src&lt;&gt;""))), IFERROR(INDEX(_xlpm.u,ROWS(A$2:A89)),""))</f>
        <v/>
      </c>
      <c r="B89" s="121"/>
      <c r="C89" s="121"/>
      <c r="D89" s="121"/>
      <c r="E89" t="str">
        <f ca="1">IF(D2&lt;&gt;"","Done",IF(C2&lt;&gt;"","In Progress",IF(B2&lt;&gt;"",IF(TODAY()&gt;B2,"Should have started","Planned"),"")))</f>
        <v/>
      </c>
      <c r="F89" s="120" t="str">
        <f ca="1">IF(E2="Done",D2-C2,IF(E2="In Progress",TODAY()-C2,IF(E2="Should have started",TODAY()-B2,"")))</f>
        <v/>
      </c>
      <c r="G89" s="121"/>
      <c r="K89" s="121"/>
      <c r="L89" s="121"/>
      <c r="M89" s="121"/>
      <c r="O89" s="120"/>
      <c r="T89" s="121"/>
      <c r="U89" s="120"/>
      <c r="W89" s="121"/>
      <c r="X89" s="120"/>
      <c r="Z89" s="121"/>
      <c r="AA89" s="121"/>
      <c r="AB89" s="120"/>
      <c r="AD89" s="121"/>
      <c r="AE89" s="121"/>
      <c r="AF89" s="120"/>
      <c r="AJ89" s="121"/>
    </row>
    <row r="90" spans="1:36">
      <c r="A90" t="str" cm="1">
        <f t="array" ref="A90">_xlfn.LET(_xlpm.src,TRIM(#REF!), _xlpm.u,_xlfn._xlws.SORT(_xlfn.UNIQUE(_xlfn._xlws.FILTER(_xlpm.src,_xlpm.src&lt;&gt;""))), IFERROR(INDEX(_xlpm.u,ROWS(A$2:A90)),""))</f>
        <v/>
      </c>
      <c r="B90" s="121"/>
      <c r="C90" s="121"/>
      <c r="D90" s="121"/>
      <c r="E90" t="str">
        <f ca="1">IF(D2&lt;&gt;"","Done",IF(C2&lt;&gt;"","In Progress",IF(B2&lt;&gt;"",IF(TODAY()&gt;B2,"Should have started","Planned"),"")))</f>
        <v/>
      </c>
      <c r="F90" s="120" t="str">
        <f ca="1">IF(E2="Done",D2-C2,IF(E2="In Progress",TODAY()-C2,IF(E2="Should have started",TODAY()-B2,"")))</f>
        <v/>
      </c>
      <c r="G90" s="121"/>
      <c r="K90" s="121"/>
      <c r="L90" s="121"/>
      <c r="M90" s="121"/>
      <c r="O90" s="120"/>
      <c r="T90" s="121"/>
      <c r="U90" s="120"/>
      <c r="W90" s="121"/>
      <c r="X90" s="120"/>
      <c r="Z90" s="121"/>
      <c r="AA90" s="121"/>
      <c r="AB90" s="120"/>
      <c r="AD90" s="121"/>
      <c r="AE90" s="121"/>
      <c r="AF90" s="120"/>
      <c r="AJ90" s="121"/>
    </row>
    <row r="91" spans="1:36">
      <c r="A91" t="str" cm="1">
        <f t="array" ref="A91">_xlfn.LET(_xlpm.src,TRIM(#REF!), _xlpm.u,_xlfn._xlws.SORT(_xlfn.UNIQUE(_xlfn._xlws.FILTER(_xlpm.src,_xlpm.src&lt;&gt;""))), IFERROR(INDEX(_xlpm.u,ROWS(A$2:A91)),""))</f>
        <v/>
      </c>
      <c r="B91" s="121"/>
      <c r="C91" s="121"/>
      <c r="D91" s="121"/>
      <c r="E91" t="str">
        <f ca="1">IF(D2&lt;&gt;"","Done",IF(C2&lt;&gt;"","In Progress",IF(B2&lt;&gt;"",IF(TODAY()&gt;B2,"Should have started","Planned"),"")))</f>
        <v/>
      </c>
      <c r="F91" s="120" t="str">
        <f ca="1">IF(E2="Done",D2-C2,IF(E2="In Progress",TODAY()-C2,IF(E2="Should have started",TODAY()-B2,"")))</f>
        <v/>
      </c>
      <c r="G91" s="121"/>
      <c r="K91" s="121"/>
      <c r="L91" s="121"/>
      <c r="M91" s="121"/>
      <c r="O91" s="120"/>
      <c r="T91" s="121"/>
      <c r="U91" s="120"/>
      <c r="W91" s="121"/>
      <c r="X91" s="120"/>
      <c r="Z91" s="121"/>
      <c r="AA91" s="121"/>
      <c r="AB91" s="120"/>
      <c r="AD91" s="121"/>
      <c r="AE91" s="121"/>
      <c r="AF91" s="120"/>
      <c r="AJ91" s="121"/>
    </row>
    <row r="92" spans="1:36">
      <c r="A92" t="str" cm="1">
        <f t="array" ref="A92">_xlfn.LET(_xlpm.src,TRIM(#REF!), _xlpm.u,_xlfn._xlws.SORT(_xlfn.UNIQUE(_xlfn._xlws.FILTER(_xlpm.src,_xlpm.src&lt;&gt;""))), IFERROR(INDEX(_xlpm.u,ROWS(A$2:A92)),""))</f>
        <v/>
      </c>
      <c r="B92" s="121"/>
      <c r="C92" s="121"/>
      <c r="D92" s="121"/>
      <c r="E92" t="str">
        <f ca="1">IF(D2&lt;&gt;"","Done",IF(C2&lt;&gt;"","In Progress",IF(B2&lt;&gt;"",IF(TODAY()&gt;B2,"Should have started","Planned"),"")))</f>
        <v/>
      </c>
      <c r="F92" s="120" t="str">
        <f ca="1">IF(E2="Done",D2-C2,IF(E2="In Progress",TODAY()-C2,IF(E2="Should have started",TODAY()-B2,"")))</f>
        <v/>
      </c>
      <c r="G92" s="121"/>
      <c r="K92" s="121"/>
      <c r="L92" s="121"/>
      <c r="M92" s="121"/>
      <c r="O92" s="120"/>
      <c r="T92" s="121"/>
      <c r="U92" s="120"/>
      <c r="W92" s="121"/>
      <c r="X92" s="120"/>
      <c r="Z92" s="121"/>
      <c r="AA92" s="121"/>
      <c r="AB92" s="120"/>
      <c r="AD92" s="121"/>
      <c r="AE92" s="121"/>
      <c r="AF92" s="120"/>
      <c r="AJ92" s="121"/>
    </row>
    <row r="93" spans="1:36">
      <c r="A93" t="str" cm="1">
        <f t="array" ref="A93">_xlfn.LET(_xlpm.src,TRIM(#REF!), _xlpm.u,_xlfn._xlws.SORT(_xlfn.UNIQUE(_xlfn._xlws.FILTER(_xlpm.src,_xlpm.src&lt;&gt;""))), IFERROR(INDEX(_xlpm.u,ROWS(A$2:A93)),""))</f>
        <v/>
      </c>
      <c r="B93" s="121"/>
      <c r="C93" s="121"/>
      <c r="D93" s="121"/>
      <c r="E93" t="str">
        <f ca="1">IF(D2&lt;&gt;"","Done",IF(C2&lt;&gt;"","In Progress",IF(B2&lt;&gt;"",IF(TODAY()&gt;B2,"Should have started","Planned"),"")))</f>
        <v/>
      </c>
      <c r="F93" s="120" t="str">
        <f ca="1">IF(E2="Done",D2-C2,IF(E2="In Progress",TODAY()-C2,IF(E2="Should have started",TODAY()-B2,"")))</f>
        <v/>
      </c>
      <c r="G93" s="121"/>
      <c r="K93" s="121"/>
      <c r="L93" s="121"/>
      <c r="M93" s="121"/>
      <c r="O93" s="120"/>
      <c r="T93" s="121"/>
      <c r="U93" s="120"/>
      <c r="W93" s="121"/>
      <c r="X93" s="120"/>
      <c r="Z93" s="121"/>
      <c r="AA93" s="121"/>
      <c r="AB93" s="120"/>
      <c r="AD93" s="121"/>
      <c r="AE93" s="121"/>
      <c r="AF93" s="120"/>
      <c r="AJ93" s="121"/>
    </row>
    <row r="94" spans="1:36">
      <c r="A94" t="str" cm="1">
        <f t="array" ref="A94">_xlfn.LET(_xlpm.src,TRIM(#REF!), _xlpm.u,_xlfn._xlws.SORT(_xlfn.UNIQUE(_xlfn._xlws.FILTER(_xlpm.src,_xlpm.src&lt;&gt;""))), IFERROR(INDEX(_xlpm.u,ROWS(A$2:A94)),""))</f>
        <v/>
      </c>
      <c r="B94" s="121"/>
      <c r="C94" s="121"/>
      <c r="D94" s="121"/>
      <c r="E94" t="str">
        <f ca="1">IF(D2&lt;&gt;"","Done",IF(C2&lt;&gt;"","In Progress",IF(B2&lt;&gt;"",IF(TODAY()&gt;B2,"Should have started","Planned"),"")))</f>
        <v/>
      </c>
      <c r="F94" s="120" t="str">
        <f ca="1">IF(E2="Done",D2-C2,IF(E2="In Progress",TODAY()-C2,IF(E2="Should have started",TODAY()-B2,"")))</f>
        <v/>
      </c>
      <c r="G94" s="121"/>
      <c r="K94" s="121"/>
      <c r="L94" s="121"/>
      <c r="M94" s="121"/>
      <c r="O94" s="120"/>
      <c r="T94" s="121"/>
      <c r="U94" s="120"/>
      <c r="W94" s="121"/>
      <c r="X94" s="120"/>
      <c r="Z94" s="121"/>
      <c r="AA94" s="121"/>
      <c r="AB94" s="120"/>
      <c r="AD94" s="121"/>
      <c r="AE94" s="121"/>
      <c r="AF94" s="120"/>
      <c r="AJ94" s="121"/>
    </row>
    <row r="95" spans="1:36">
      <c r="A95" t="str" cm="1">
        <f t="array" ref="A95">_xlfn.LET(_xlpm.src,TRIM(#REF!), _xlpm.u,_xlfn._xlws.SORT(_xlfn.UNIQUE(_xlfn._xlws.FILTER(_xlpm.src,_xlpm.src&lt;&gt;""))), IFERROR(INDEX(_xlpm.u,ROWS(A$2:A95)),""))</f>
        <v/>
      </c>
      <c r="B95" s="121"/>
      <c r="C95" s="121"/>
      <c r="D95" s="121"/>
      <c r="E95" t="str">
        <f ca="1">IF(D2&lt;&gt;"","Done",IF(C2&lt;&gt;"","In Progress",IF(B2&lt;&gt;"",IF(TODAY()&gt;B2,"Should have started","Planned"),"")))</f>
        <v/>
      </c>
      <c r="F95" s="120" t="str">
        <f ca="1">IF(E2="Done",D2-C2,IF(E2="In Progress",TODAY()-C2,IF(E2="Should have started",TODAY()-B2,"")))</f>
        <v/>
      </c>
      <c r="G95" s="121"/>
      <c r="K95" s="121"/>
      <c r="L95" s="121"/>
      <c r="M95" s="121"/>
      <c r="O95" s="120"/>
      <c r="T95" s="121"/>
      <c r="U95" s="120"/>
      <c r="W95" s="121"/>
      <c r="X95" s="120"/>
      <c r="Z95" s="121"/>
      <c r="AA95" s="121"/>
      <c r="AB95" s="120"/>
      <c r="AD95" s="121"/>
      <c r="AE95" s="121"/>
      <c r="AF95" s="120"/>
      <c r="AJ95" s="121"/>
    </row>
    <row r="96" spans="1:36">
      <c r="A96" t="str" cm="1">
        <f t="array" ref="A96">_xlfn.LET(_xlpm.src,TRIM(#REF!), _xlpm.u,_xlfn._xlws.SORT(_xlfn.UNIQUE(_xlfn._xlws.FILTER(_xlpm.src,_xlpm.src&lt;&gt;""))), IFERROR(INDEX(_xlpm.u,ROWS(A$2:A96)),""))</f>
        <v/>
      </c>
      <c r="B96" s="121"/>
      <c r="C96" s="121"/>
      <c r="D96" s="121"/>
      <c r="E96" t="str">
        <f ca="1">IF(D2&lt;&gt;"","Done",IF(C2&lt;&gt;"","In Progress",IF(B2&lt;&gt;"",IF(TODAY()&gt;B2,"Should have started","Planned"),"")))</f>
        <v/>
      </c>
      <c r="F96" s="120" t="str">
        <f ca="1">IF(E2="Done",D2-C2,IF(E2="In Progress",TODAY()-C2,IF(E2="Should have started",TODAY()-B2,"")))</f>
        <v/>
      </c>
      <c r="G96" s="121"/>
      <c r="K96" s="121"/>
      <c r="L96" s="121"/>
      <c r="M96" s="121"/>
      <c r="O96" s="120"/>
      <c r="T96" s="121"/>
      <c r="U96" s="120"/>
      <c r="W96" s="121"/>
      <c r="X96" s="120"/>
      <c r="Z96" s="121"/>
      <c r="AA96" s="121"/>
      <c r="AB96" s="120"/>
      <c r="AD96" s="121"/>
      <c r="AE96" s="121"/>
      <c r="AF96" s="120"/>
      <c r="AJ96" s="121"/>
    </row>
    <row r="97" spans="1:36">
      <c r="A97" t="str" cm="1">
        <f t="array" ref="A97">_xlfn.LET(_xlpm.src,TRIM(#REF!), _xlpm.u,_xlfn._xlws.SORT(_xlfn.UNIQUE(_xlfn._xlws.FILTER(_xlpm.src,_xlpm.src&lt;&gt;""))), IFERROR(INDEX(_xlpm.u,ROWS(A$2:A97)),""))</f>
        <v/>
      </c>
      <c r="B97" s="121"/>
      <c r="C97" s="121"/>
      <c r="D97" s="121"/>
      <c r="E97" t="str">
        <f ca="1">IF(D2&lt;&gt;"","Done",IF(C2&lt;&gt;"","In Progress",IF(B2&lt;&gt;"",IF(TODAY()&gt;B2,"Should have started","Planned"),"")))</f>
        <v/>
      </c>
      <c r="F97" s="120" t="str">
        <f ca="1">IF(E2="Done",D2-C2,IF(E2="In Progress",TODAY()-C2,IF(E2="Should have started",TODAY()-B2,"")))</f>
        <v/>
      </c>
      <c r="G97" s="121"/>
      <c r="K97" s="121"/>
      <c r="L97" s="121"/>
      <c r="M97" s="121"/>
      <c r="O97" s="120"/>
      <c r="T97" s="121"/>
      <c r="U97" s="120"/>
      <c r="W97" s="121"/>
      <c r="X97" s="120"/>
      <c r="Z97" s="121"/>
      <c r="AA97" s="121"/>
      <c r="AB97" s="120"/>
      <c r="AD97" s="121"/>
      <c r="AE97" s="121"/>
      <c r="AF97" s="120"/>
      <c r="AJ97" s="121"/>
    </row>
    <row r="98" spans="1:36">
      <c r="A98" t="str" cm="1">
        <f t="array" ref="A98">_xlfn.LET(_xlpm.src,TRIM(#REF!), _xlpm.u,_xlfn._xlws.SORT(_xlfn.UNIQUE(_xlfn._xlws.FILTER(_xlpm.src,_xlpm.src&lt;&gt;""))), IFERROR(INDEX(_xlpm.u,ROWS(A$2:A98)),""))</f>
        <v/>
      </c>
      <c r="B98" s="121"/>
      <c r="C98" s="121"/>
      <c r="D98" s="121"/>
      <c r="E98" t="str">
        <f ca="1">IF(D2&lt;&gt;"","Done",IF(C2&lt;&gt;"","In Progress",IF(B2&lt;&gt;"",IF(TODAY()&gt;B2,"Should have started","Planned"),"")))</f>
        <v/>
      </c>
      <c r="F98" s="120" t="str">
        <f ca="1">IF(E2="Done",D2-C2,IF(E2="In Progress",TODAY()-C2,IF(E2="Should have started",TODAY()-B2,"")))</f>
        <v/>
      </c>
      <c r="G98" s="121"/>
      <c r="K98" s="121"/>
      <c r="L98" s="121"/>
      <c r="M98" s="121"/>
      <c r="O98" s="120"/>
      <c r="T98" s="121"/>
      <c r="U98" s="120"/>
      <c r="W98" s="121"/>
      <c r="X98" s="120"/>
      <c r="Z98" s="121"/>
      <c r="AA98" s="121"/>
      <c r="AB98" s="120"/>
      <c r="AD98" s="121"/>
      <c r="AE98" s="121"/>
      <c r="AF98" s="120"/>
      <c r="AJ98" s="121"/>
    </row>
    <row r="99" spans="1:36">
      <c r="A99" t="str" cm="1">
        <f t="array" ref="A99">_xlfn.LET(_xlpm.src,TRIM(#REF!), _xlpm.u,_xlfn._xlws.SORT(_xlfn.UNIQUE(_xlfn._xlws.FILTER(_xlpm.src,_xlpm.src&lt;&gt;""))), IFERROR(INDEX(_xlpm.u,ROWS(A$2:A99)),""))</f>
        <v/>
      </c>
      <c r="B99" s="121"/>
      <c r="C99" s="121"/>
      <c r="D99" s="121"/>
      <c r="E99" t="str">
        <f ca="1">IF(D2&lt;&gt;"","Done",IF(C2&lt;&gt;"","In Progress",IF(B2&lt;&gt;"",IF(TODAY()&gt;B2,"Should have started","Planned"),"")))</f>
        <v/>
      </c>
      <c r="F99" s="120" t="str">
        <f ca="1">IF(E2="Done",D2-C2,IF(E2="In Progress",TODAY()-C2,IF(E2="Should have started",TODAY()-B2,"")))</f>
        <v/>
      </c>
      <c r="G99" s="121"/>
      <c r="K99" s="121"/>
      <c r="L99" s="121"/>
      <c r="M99" s="121"/>
      <c r="O99" s="120"/>
      <c r="T99" s="121"/>
      <c r="U99" s="120"/>
      <c r="W99" s="121"/>
      <c r="X99" s="120"/>
      <c r="Z99" s="121"/>
      <c r="AA99" s="121"/>
      <c r="AB99" s="120"/>
      <c r="AD99" s="121"/>
      <c r="AE99" s="121"/>
      <c r="AF99" s="120"/>
      <c r="AJ99" s="121"/>
    </row>
    <row r="100" spans="1:36">
      <c r="A100" t="str" cm="1">
        <f t="array" ref="A100">_xlfn.LET(_xlpm.src,TRIM(#REF!), _xlpm.u,_xlfn._xlws.SORT(_xlfn.UNIQUE(_xlfn._xlws.FILTER(_xlpm.src,_xlpm.src&lt;&gt;""))), IFERROR(INDEX(_xlpm.u,ROWS(A$2:A100)),""))</f>
        <v/>
      </c>
      <c r="B100" s="121"/>
      <c r="C100" s="121"/>
      <c r="D100" s="121"/>
      <c r="E100" t="str">
        <f ca="1">IF(D2&lt;&gt;"","Done",IF(C2&lt;&gt;"","In Progress",IF(B2&lt;&gt;"",IF(TODAY()&gt;B2,"Should have started","Planned"),"")))</f>
        <v/>
      </c>
      <c r="F100" s="120" t="str">
        <f ca="1">IF(E2="Done",D2-C2,IF(E2="In Progress",TODAY()-C2,IF(E2="Should have started",TODAY()-B2,"")))</f>
        <v/>
      </c>
      <c r="G100" s="121"/>
      <c r="K100" s="121"/>
      <c r="L100" s="121"/>
      <c r="M100" s="121"/>
      <c r="O100" s="120"/>
      <c r="T100" s="121"/>
      <c r="U100" s="120"/>
      <c r="W100" s="121"/>
      <c r="X100" s="120"/>
      <c r="Z100" s="121"/>
      <c r="AA100" s="121"/>
      <c r="AB100" s="120"/>
      <c r="AD100" s="121"/>
      <c r="AE100" s="121"/>
      <c r="AF100" s="120"/>
      <c r="AJ100" s="121"/>
    </row>
    <row r="101" spans="1:36">
      <c r="A101" t="str" cm="1">
        <f t="array" ref="A101">_xlfn.LET(_xlpm.src,TRIM(#REF!), _xlpm.u,_xlfn._xlws.SORT(_xlfn.UNIQUE(_xlfn._xlws.FILTER(_xlpm.src,_xlpm.src&lt;&gt;""))), IFERROR(INDEX(_xlpm.u,ROWS(A$2:A101)),""))</f>
        <v/>
      </c>
      <c r="B101" s="121"/>
      <c r="C101" s="121"/>
      <c r="D101" s="121"/>
      <c r="E101" t="str">
        <f ca="1">IF(D2&lt;&gt;"","Done",IF(C2&lt;&gt;"","In Progress",IF(B2&lt;&gt;"",IF(TODAY()&gt;B2,"Should have started","Planned"),"")))</f>
        <v/>
      </c>
      <c r="F101" s="120" t="str">
        <f ca="1">IF(E2="Done",D2-C2,IF(E2="In Progress",TODAY()-C2,IF(E2="Should have started",TODAY()-B2,"")))</f>
        <v/>
      </c>
      <c r="G101" s="121"/>
      <c r="K101" s="121"/>
      <c r="L101" s="121"/>
      <c r="M101" s="121"/>
      <c r="O101" s="120"/>
      <c r="T101" s="121"/>
      <c r="U101" s="120"/>
      <c r="W101" s="121"/>
      <c r="X101" s="120"/>
      <c r="Z101" s="121"/>
      <c r="AA101" s="121"/>
      <c r="AB101" s="120"/>
      <c r="AD101" s="121"/>
      <c r="AE101" s="121"/>
      <c r="AF101" s="120"/>
      <c r="AJ101" s="121"/>
    </row>
    <row r="102" spans="1:36">
      <c r="A102" t="str" cm="1">
        <f t="array" ref="A102">_xlfn.LET(_xlpm.src,TRIM(#REF!), _xlpm.u,_xlfn._xlws.SORT(_xlfn.UNIQUE(_xlfn._xlws.FILTER(_xlpm.src,_xlpm.src&lt;&gt;""))), IFERROR(INDEX(_xlpm.u,ROWS(A$2:A102)),""))</f>
        <v/>
      </c>
      <c r="B102" s="121"/>
      <c r="C102" s="121"/>
      <c r="D102" s="121"/>
      <c r="E102" t="str">
        <f ca="1">IF(D2&lt;&gt;"","Done",IF(C2&lt;&gt;"","In Progress",IF(B2&lt;&gt;"",IF(TODAY()&gt;B2,"Should have started","Planned"),"")))</f>
        <v/>
      </c>
      <c r="F102" s="120" t="str">
        <f ca="1">IF(E2="Done",D2-C2,IF(E2="In Progress",TODAY()-C2,IF(E2="Should have started",TODAY()-B2,"")))</f>
        <v/>
      </c>
      <c r="G102" s="121"/>
      <c r="K102" s="121"/>
      <c r="L102" s="121"/>
      <c r="M102" s="121"/>
      <c r="O102" s="120"/>
      <c r="T102" s="121"/>
      <c r="U102" s="120"/>
      <c r="W102" s="121"/>
      <c r="X102" s="120"/>
      <c r="Z102" s="121"/>
      <c r="AA102" s="121"/>
      <c r="AB102" s="120"/>
      <c r="AD102" s="121"/>
      <c r="AE102" s="121"/>
      <c r="AF102" s="120"/>
      <c r="AJ102" s="121"/>
    </row>
    <row r="103" spans="1:36">
      <c r="A103" t="str" cm="1">
        <f t="array" ref="A103">_xlfn.LET(_xlpm.src,TRIM(#REF!), _xlpm.u,_xlfn._xlws.SORT(_xlfn.UNIQUE(_xlfn._xlws.FILTER(_xlpm.src,_xlpm.src&lt;&gt;""))), IFERROR(INDEX(_xlpm.u,ROWS(A$2:A103)),""))</f>
        <v/>
      </c>
      <c r="B103" s="121"/>
      <c r="C103" s="121"/>
      <c r="D103" s="121"/>
      <c r="E103" t="str">
        <f ca="1">IF(D2&lt;&gt;"","Done",IF(C2&lt;&gt;"","In Progress",IF(B2&lt;&gt;"",IF(TODAY()&gt;B2,"Should have started","Planned"),"")))</f>
        <v/>
      </c>
      <c r="F103" s="120" t="str">
        <f ca="1">IF(E2="Done",D2-C2,IF(E2="In Progress",TODAY()-C2,IF(E2="Should have started",TODAY()-B2,"")))</f>
        <v/>
      </c>
      <c r="G103" s="121"/>
      <c r="K103" s="121"/>
      <c r="L103" s="121"/>
      <c r="M103" s="121"/>
      <c r="O103" s="120"/>
      <c r="T103" s="121"/>
      <c r="U103" s="120"/>
      <c r="W103" s="121"/>
      <c r="X103" s="120"/>
      <c r="Z103" s="121"/>
      <c r="AA103" s="121"/>
      <c r="AB103" s="120"/>
      <c r="AD103" s="121"/>
      <c r="AE103" s="121"/>
      <c r="AF103" s="120"/>
      <c r="AJ103" s="121"/>
    </row>
    <row r="104" spans="1:36">
      <c r="A104" t="str" cm="1">
        <f t="array" ref="A104">_xlfn.LET(_xlpm.src,TRIM(#REF!), _xlpm.u,_xlfn._xlws.SORT(_xlfn.UNIQUE(_xlfn._xlws.FILTER(_xlpm.src,_xlpm.src&lt;&gt;""))), IFERROR(INDEX(_xlpm.u,ROWS(A$2:A104)),""))</f>
        <v/>
      </c>
      <c r="B104" s="121"/>
      <c r="C104" s="121"/>
      <c r="D104" s="121"/>
      <c r="E104" t="str">
        <f ca="1">IF(D2&lt;&gt;"","Done",IF(C2&lt;&gt;"","In Progress",IF(B2&lt;&gt;"",IF(TODAY()&gt;B2,"Should have started","Planned"),"")))</f>
        <v/>
      </c>
      <c r="F104" s="120" t="str">
        <f ca="1">IF(E2="Done",D2-C2,IF(E2="In Progress",TODAY()-C2,IF(E2="Should have started",TODAY()-B2,"")))</f>
        <v/>
      </c>
      <c r="G104" s="121"/>
      <c r="K104" s="121"/>
      <c r="L104" s="121"/>
      <c r="M104" s="121"/>
      <c r="O104" s="120"/>
      <c r="T104" s="121"/>
      <c r="U104" s="120"/>
      <c r="W104" s="121"/>
      <c r="X104" s="120"/>
      <c r="Z104" s="121"/>
      <c r="AA104" s="121"/>
      <c r="AB104" s="120"/>
      <c r="AD104" s="121"/>
      <c r="AE104" s="121"/>
      <c r="AF104" s="120"/>
      <c r="AJ104" s="121"/>
    </row>
    <row r="105" spans="1:36">
      <c r="A105" t="str" cm="1">
        <f t="array" ref="A105">_xlfn.LET(_xlpm.src,TRIM(#REF!), _xlpm.u,_xlfn._xlws.SORT(_xlfn.UNIQUE(_xlfn._xlws.FILTER(_xlpm.src,_xlpm.src&lt;&gt;""))), IFERROR(INDEX(_xlpm.u,ROWS(A$2:A105)),""))</f>
        <v/>
      </c>
      <c r="B105" s="121"/>
      <c r="C105" s="121"/>
      <c r="D105" s="121"/>
      <c r="E105" t="str">
        <f ca="1">IF(D2&lt;&gt;"","Done",IF(C2&lt;&gt;"","In Progress",IF(B2&lt;&gt;"",IF(TODAY()&gt;B2,"Should have started","Planned"),"")))</f>
        <v/>
      </c>
      <c r="F105" s="120" t="str">
        <f ca="1">IF(E2="Done",D2-C2,IF(E2="In Progress",TODAY()-C2,IF(E2="Should have started",TODAY()-B2,"")))</f>
        <v/>
      </c>
      <c r="G105" s="121"/>
      <c r="K105" s="121"/>
      <c r="L105" s="121"/>
      <c r="M105" s="121"/>
      <c r="O105" s="120"/>
      <c r="T105" s="121"/>
      <c r="U105" s="120"/>
      <c r="W105" s="121"/>
      <c r="X105" s="120"/>
      <c r="Z105" s="121"/>
      <c r="AA105" s="121"/>
      <c r="AB105" s="120"/>
      <c r="AD105" s="121"/>
      <c r="AE105" s="121"/>
      <c r="AF105" s="120"/>
      <c r="AJ105" s="121"/>
    </row>
    <row r="106" spans="1:36">
      <c r="A106" t="str" cm="1">
        <f t="array" ref="A106">_xlfn.LET(_xlpm.src,TRIM(#REF!), _xlpm.u,_xlfn._xlws.SORT(_xlfn.UNIQUE(_xlfn._xlws.FILTER(_xlpm.src,_xlpm.src&lt;&gt;""))), IFERROR(INDEX(_xlpm.u,ROWS(A$2:A106)),""))</f>
        <v/>
      </c>
      <c r="B106" s="121"/>
      <c r="C106" s="121"/>
      <c r="D106" s="121"/>
      <c r="E106" t="str">
        <f ca="1">IF(D2&lt;&gt;"","Done",IF(C2&lt;&gt;"","In Progress",IF(B2&lt;&gt;"",IF(TODAY()&gt;B2,"Should have started","Planned"),"")))</f>
        <v/>
      </c>
      <c r="F106" s="120" t="str">
        <f ca="1">IF(E2="Done",D2-C2,IF(E2="In Progress",TODAY()-C2,IF(E2="Should have started",TODAY()-B2,"")))</f>
        <v/>
      </c>
      <c r="G106" s="121"/>
      <c r="K106" s="121"/>
      <c r="L106" s="121"/>
      <c r="M106" s="121"/>
      <c r="O106" s="120"/>
      <c r="T106" s="121"/>
      <c r="U106" s="120"/>
      <c r="W106" s="121"/>
      <c r="X106" s="120"/>
      <c r="Z106" s="121"/>
      <c r="AA106" s="121"/>
      <c r="AB106" s="120"/>
      <c r="AD106" s="121"/>
      <c r="AE106" s="121"/>
      <c r="AF106" s="120"/>
      <c r="AJ106" s="121"/>
    </row>
    <row r="107" spans="1:36">
      <c r="A107" t="str" cm="1">
        <f t="array" ref="A107">_xlfn.LET(_xlpm.src,TRIM(#REF!), _xlpm.u,_xlfn._xlws.SORT(_xlfn.UNIQUE(_xlfn._xlws.FILTER(_xlpm.src,_xlpm.src&lt;&gt;""))), IFERROR(INDEX(_xlpm.u,ROWS(A$2:A107)),""))</f>
        <v/>
      </c>
      <c r="B107" s="121"/>
      <c r="C107" s="121"/>
      <c r="D107" s="121"/>
      <c r="E107" t="str">
        <f ca="1">IF(D2&lt;&gt;"","Done",IF(C2&lt;&gt;"","In Progress",IF(B2&lt;&gt;"",IF(TODAY()&gt;B2,"Should have started","Planned"),"")))</f>
        <v/>
      </c>
      <c r="F107" s="120" t="str">
        <f ca="1">IF(E2="Done",D2-C2,IF(E2="In Progress",TODAY()-C2,IF(E2="Should have started",TODAY()-B2,"")))</f>
        <v/>
      </c>
      <c r="G107" s="121"/>
      <c r="K107" s="121"/>
      <c r="L107" s="121"/>
      <c r="M107" s="121"/>
      <c r="O107" s="120"/>
      <c r="T107" s="121"/>
      <c r="U107" s="120"/>
      <c r="W107" s="121"/>
      <c r="X107" s="120"/>
      <c r="Z107" s="121"/>
      <c r="AA107" s="121"/>
      <c r="AB107" s="120"/>
      <c r="AD107" s="121"/>
      <c r="AE107" s="121"/>
      <c r="AF107" s="120"/>
      <c r="AJ107" s="121"/>
    </row>
    <row r="108" spans="1:36">
      <c r="A108" t="str" cm="1">
        <f t="array" ref="A108">_xlfn.LET(_xlpm.src,TRIM(#REF!), _xlpm.u,_xlfn._xlws.SORT(_xlfn.UNIQUE(_xlfn._xlws.FILTER(_xlpm.src,_xlpm.src&lt;&gt;""))), IFERROR(INDEX(_xlpm.u,ROWS(A$2:A108)),""))</f>
        <v/>
      </c>
      <c r="B108" s="121"/>
      <c r="C108" s="121"/>
      <c r="D108" s="121"/>
      <c r="E108" t="str">
        <f ca="1">IF(D2&lt;&gt;"","Done",IF(C2&lt;&gt;"","In Progress",IF(B2&lt;&gt;"",IF(TODAY()&gt;B2,"Should have started","Planned"),"")))</f>
        <v/>
      </c>
      <c r="F108" s="120" t="str">
        <f ca="1">IF(E2="Done",D2-C2,IF(E2="In Progress",TODAY()-C2,IF(E2="Should have started",TODAY()-B2,"")))</f>
        <v/>
      </c>
      <c r="G108" s="121"/>
      <c r="K108" s="121"/>
      <c r="L108" s="121"/>
      <c r="M108" s="121"/>
      <c r="O108" s="120"/>
      <c r="T108" s="121"/>
      <c r="U108" s="120"/>
      <c r="W108" s="121"/>
      <c r="X108" s="120"/>
      <c r="Z108" s="121"/>
      <c r="AA108" s="121"/>
      <c r="AB108" s="120"/>
      <c r="AD108" s="121"/>
      <c r="AE108" s="121"/>
      <c r="AF108" s="120"/>
      <c r="AJ108" s="121"/>
    </row>
    <row r="109" spans="1:36">
      <c r="A109" t="str" cm="1">
        <f t="array" ref="A109">_xlfn.LET(_xlpm.src,TRIM(#REF!), _xlpm.u,_xlfn._xlws.SORT(_xlfn.UNIQUE(_xlfn._xlws.FILTER(_xlpm.src,_xlpm.src&lt;&gt;""))), IFERROR(INDEX(_xlpm.u,ROWS(A$2:A109)),""))</f>
        <v/>
      </c>
      <c r="B109" s="121"/>
      <c r="C109" s="121"/>
      <c r="D109" s="121"/>
      <c r="E109" t="str">
        <f ca="1">IF(D2&lt;&gt;"","Done",IF(C2&lt;&gt;"","In Progress",IF(B2&lt;&gt;"",IF(TODAY()&gt;B2,"Should have started","Planned"),"")))</f>
        <v/>
      </c>
      <c r="F109" s="120" t="str">
        <f ca="1">IF(E2="Done",D2-C2,IF(E2="In Progress",TODAY()-C2,IF(E2="Should have started",TODAY()-B2,"")))</f>
        <v/>
      </c>
      <c r="G109" s="121"/>
      <c r="K109" s="121"/>
      <c r="L109" s="121"/>
      <c r="M109" s="121"/>
      <c r="O109" s="120"/>
      <c r="T109" s="121"/>
      <c r="U109" s="120"/>
      <c r="W109" s="121"/>
      <c r="X109" s="120"/>
      <c r="Z109" s="121"/>
      <c r="AA109" s="121"/>
      <c r="AB109" s="120"/>
      <c r="AD109" s="121"/>
      <c r="AE109" s="121"/>
      <c r="AF109" s="120"/>
      <c r="AJ109" s="121"/>
    </row>
    <row r="110" spans="1:36">
      <c r="A110" t="str" cm="1">
        <f t="array" ref="A110">_xlfn.LET(_xlpm.src,TRIM(#REF!), _xlpm.u,_xlfn._xlws.SORT(_xlfn.UNIQUE(_xlfn._xlws.FILTER(_xlpm.src,_xlpm.src&lt;&gt;""))), IFERROR(INDEX(_xlpm.u,ROWS(A$2:A110)),""))</f>
        <v/>
      </c>
      <c r="B110" s="121"/>
      <c r="C110" s="121"/>
      <c r="D110" s="121"/>
      <c r="E110" t="str">
        <f ca="1">IF(D2&lt;&gt;"","Done",IF(C2&lt;&gt;"","In Progress",IF(B2&lt;&gt;"",IF(TODAY()&gt;B2,"Should have started","Planned"),"")))</f>
        <v/>
      </c>
      <c r="F110" s="120" t="str">
        <f ca="1">IF(E2="Done",D2-C2,IF(E2="In Progress",TODAY()-C2,IF(E2="Should have started",TODAY()-B2,"")))</f>
        <v/>
      </c>
      <c r="G110" s="121"/>
      <c r="K110" s="121"/>
      <c r="L110" s="121"/>
      <c r="M110" s="121"/>
      <c r="O110" s="120"/>
      <c r="T110" s="121"/>
      <c r="U110" s="120"/>
      <c r="W110" s="121"/>
      <c r="X110" s="120"/>
      <c r="Z110" s="121"/>
      <c r="AA110" s="121"/>
      <c r="AB110" s="120"/>
      <c r="AD110" s="121"/>
      <c r="AE110" s="121"/>
      <c r="AF110" s="120"/>
      <c r="AJ110" s="121"/>
    </row>
    <row r="111" spans="1:36">
      <c r="A111" t="str" cm="1">
        <f t="array" ref="A111">_xlfn.LET(_xlpm.src,TRIM(#REF!), _xlpm.u,_xlfn._xlws.SORT(_xlfn.UNIQUE(_xlfn._xlws.FILTER(_xlpm.src,_xlpm.src&lt;&gt;""))), IFERROR(INDEX(_xlpm.u,ROWS(A$2:A111)),""))</f>
        <v/>
      </c>
      <c r="B111" s="121"/>
      <c r="C111" s="121"/>
      <c r="D111" s="121"/>
      <c r="E111" t="str">
        <f ca="1">IF(D2&lt;&gt;"","Done",IF(C2&lt;&gt;"","In Progress",IF(B2&lt;&gt;"",IF(TODAY()&gt;B2,"Should have started","Planned"),"")))</f>
        <v/>
      </c>
      <c r="F111" s="120" t="str">
        <f ca="1">IF(E2="Done",D2-C2,IF(E2="In Progress",TODAY()-C2,IF(E2="Should have started",TODAY()-B2,"")))</f>
        <v/>
      </c>
      <c r="G111" s="121"/>
      <c r="K111" s="121"/>
      <c r="L111" s="121"/>
      <c r="M111" s="121"/>
      <c r="O111" s="120"/>
      <c r="T111" s="121"/>
      <c r="U111" s="120"/>
      <c r="W111" s="121"/>
      <c r="X111" s="120"/>
      <c r="Z111" s="121"/>
      <c r="AA111" s="121"/>
      <c r="AB111" s="120"/>
      <c r="AD111" s="121"/>
      <c r="AE111" s="121"/>
      <c r="AF111" s="120"/>
      <c r="AJ111" s="121"/>
    </row>
    <row r="112" spans="1:36">
      <c r="A112" t="str" cm="1">
        <f t="array" ref="A112">_xlfn.LET(_xlpm.src,TRIM(#REF!), _xlpm.u,_xlfn._xlws.SORT(_xlfn.UNIQUE(_xlfn._xlws.FILTER(_xlpm.src,_xlpm.src&lt;&gt;""))), IFERROR(INDEX(_xlpm.u,ROWS(A$2:A112)),""))</f>
        <v/>
      </c>
      <c r="B112" s="121"/>
      <c r="C112" s="121"/>
      <c r="D112" s="121"/>
      <c r="E112" t="str">
        <f ca="1">IF(D2&lt;&gt;"","Done",IF(C2&lt;&gt;"","In Progress",IF(B2&lt;&gt;"",IF(TODAY()&gt;B2,"Should have started","Planned"),"")))</f>
        <v/>
      </c>
      <c r="F112" s="120" t="str">
        <f ca="1">IF(E2="Done",D2-C2,IF(E2="In Progress",TODAY()-C2,IF(E2="Should have started",TODAY()-B2,"")))</f>
        <v/>
      </c>
      <c r="G112" s="121"/>
      <c r="K112" s="121"/>
      <c r="L112" s="121"/>
      <c r="M112" s="121"/>
      <c r="O112" s="120"/>
      <c r="T112" s="121"/>
      <c r="U112" s="120"/>
      <c r="W112" s="121"/>
      <c r="X112" s="120"/>
      <c r="Z112" s="121"/>
      <c r="AA112" s="121"/>
      <c r="AB112" s="120"/>
      <c r="AD112" s="121"/>
      <c r="AE112" s="121"/>
      <c r="AF112" s="120"/>
      <c r="AJ112" s="121"/>
    </row>
    <row r="113" spans="1:36">
      <c r="A113" t="str" cm="1">
        <f t="array" ref="A113">_xlfn.LET(_xlpm.src,TRIM(#REF!), _xlpm.u,_xlfn._xlws.SORT(_xlfn.UNIQUE(_xlfn._xlws.FILTER(_xlpm.src,_xlpm.src&lt;&gt;""))), IFERROR(INDEX(_xlpm.u,ROWS(A$2:A113)),""))</f>
        <v/>
      </c>
      <c r="B113" s="121"/>
      <c r="C113" s="121"/>
      <c r="D113" s="121"/>
      <c r="E113" t="str">
        <f ca="1">IF(D2&lt;&gt;"","Done",IF(C2&lt;&gt;"","In Progress",IF(B2&lt;&gt;"",IF(TODAY()&gt;B2,"Should have started","Planned"),"")))</f>
        <v/>
      </c>
      <c r="F113" s="120" t="str">
        <f ca="1">IF(E2="Done",D2-C2,IF(E2="In Progress",TODAY()-C2,IF(E2="Should have started",TODAY()-B2,"")))</f>
        <v/>
      </c>
      <c r="G113" s="121"/>
      <c r="K113" s="121"/>
      <c r="L113" s="121"/>
      <c r="M113" s="121"/>
      <c r="O113" s="120"/>
      <c r="T113" s="121"/>
      <c r="U113" s="120"/>
      <c r="W113" s="121"/>
      <c r="X113" s="120"/>
      <c r="Z113" s="121"/>
      <c r="AA113" s="121"/>
      <c r="AB113" s="120"/>
      <c r="AD113" s="121"/>
      <c r="AE113" s="121"/>
      <c r="AF113" s="120"/>
      <c r="AJ113" s="121"/>
    </row>
    <row r="114" spans="1:36">
      <c r="A114" t="str" cm="1">
        <f t="array" ref="A114">_xlfn.LET(_xlpm.src,TRIM(#REF!), _xlpm.u,_xlfn._xlws.SORT(_xlfn.UNIQUE(_xlfn._xlws.FILTER(_xlpm.src,_xlpm.src&lt;&gt;""))), IFERROR(INDEX(_xlpm.u,ROWS(A$2:A114)),""))</f>
        <v/>
      </c>
      <c r="B114" s="121"/>
      <c r="C114" s="121"/>
      <c r="D114" s="121"/>
      <c r="E114" t="str">
        <f ca="1">IF(D2&lt;&gt;"","Done",IF(C2&lt;&gt;"","In Progress",IF(B2&lt;&gt;"",IF(TODAY()&gt;B2,"Should have started","Planned"),"")))</f>
        <v/>
      </c>
      <c r="F114" s="120" t="str">
        <f ca="1">IF(E2="Done",D2-C2,IF(E2="In Progress",TODAY()-C2,IF(E2="Should have started",TODAY()-B2,"")))</f>
        <v/>
      </c>
      <c r="G114" s="121"/>
      <c r="K114" s="121"/>
      <c r="L114" s="121"/>
      <c r="M114" s="121"/>
      <c r="O114" s="120"/>
      <c r="T114" s="121"/>
      <c r="U114" s="120"/>
      <c r="W114" s="121"/>
      <c r="X114" s="120"/>
      <c r="Z114" s="121"/>
      <c r="AA114" s="121"/>
      <c r="AB114" s="120"/>
      <c r="AD114" s="121"/>
      <c r="AE114" s="121"/>
      <c r="AF114" s="120"/>
      <c r="AJ114" s="121"/>
    </row>
    <row r="115" spans="1:36">
      <c r="A115" t="str" cm="1">
        <f t="array" ref="A115">_xlfn.LET(_xlpm.src,TRIM(#REF!), _xlpm.u,_xlfn._xlws.SORT(_xlfn.UNIQUE(_xlfn._xlws.FILTER(_xlpm.src,_xlpm.src&lt;&gt;""))), IFERROR(INDEX(_xlpm.u,ROWS(A$2:A115)),""))</f>
        <v/>
      </c>
      <c r="B115" s="121"/>
      <c r="C115" s="121"/>
      <c r="D115" s="121"/>
      <c r="E115" t="str">
        <f ca="1">IF(D2&lt;&gt;"","Done",IF(C2&lt;&gt;"","In Progress",IF(B2&lt;&gt;"",IF(TODAY()&gt;B2,"Should have started","Planned"),"")))</f>
        <v/>
      </c>
      <c r="F115" s="120" t="str">
        <f ca="1">IF(E2="Done",D2-C2,IF(E2="In Progress",TODAY()-C2,IF(E2="Should have started",TODAY()-B2,"")))</f>
        <v/>
      </c>
      <c r="G115" s="121"/>
      <c r="K115" s="121"/>
      <c r="L115" s="121"/>
      <c r="M115" s="121"/>
      <c r="O115" s="120"/>
      <c r="T115" s="121"/>
      <c r="U115" s="120"/>
      <c r="W115" s="121"/>
      <c r="X115" s="120"/>
      <c r="Z115" s="121"/>
      <c r="AA115" s="121"/>
      <c r="AB115" s="120"/>
      <c r="AD115" s="121"/>
      <c r="AE115" s="121"/>
      <c r="AF115" s="120"/>
      <c r="AJ115" s="121"/>
    </row>
    <row r="116" spans="1:36">
      <c r="A116" t="str" cm="1">
        <f t="array" ref="A116">_xlfn.LET(_xlpm.src,TRIM(#REF!), _xlpm.u,_xlfn._xlws.SORT(_xlfn.UNIQUE(_xlfn._xlws.FILTER(_xlpm.src,_xlpm.src&lt;&gt;""))), IFERROR(INDEX(_xlpm.u,ROWS(A$2:A116)),""))</f>
        <v/>
      </c>
      <c r="B116" s="121"/>
      <c r="C116" s="121"/>
      <c r="D116" s="121"/>
      <c r="E116" t="str">
        <f ca="1">IF(D2&lt;&gt;"","Done",IF(C2&lt;&gt;"","In Progress",IF(B2&lt;&gt;"",IF(TODAY()&gt;B2,"Should have started","Planned"),"")))</f>
        <v/>
      </c>
      <c r="F116" s="120" t="str">
        <f ca="1">IF(E2="Done",D2-C2,IF(E2="In Progress",TODAY()-C2,IF(E2="Should have started",TODAY()-B2,"")))</f>
        <v/>
      </c>
      <c r="G116" s="121"/>
      <c r="K116" s="121"/>
      <c r="L116" s="121"/>
      <c r="M116" s="121"/>
      <c r="O116" s="120"/>
      <c r="T116" s="121"/>
      <c r="U116" s="120"/>
      <c r="W116" s="121"/>
      <c r="X116" s="120"/>
      <c r="Z116" s="121"/>
      <c r="AA116" s="121"/>
      <c r="AB116" s="120"/>
      <c r="AD116" s="121"/>
      <c r="AE116" s="121"/>
      <c r="AF116" s="120"/>
      <c r="AJ116" s="121"/>
    </row>
    <row r="117" spans="1:36">
      <c r="A117" t="str" cm="1">
        <f t="array" ref="A117">_xlfn.LET(_xlpm.src,TRIM(#REF!), _xlpm.u,_xlfn._xlws.SORT(_xlfn.UNIQUE(_xlfn._xlws.FILTER(_xlpm.src,_xlpm.src&lt;&gt;""))), IFERROR(INDEX(_xlpm.u,ROWS(A$2:A117)),""))</f>
        <v/>
      </c>
      <c r="B117" s="121"/>
      <c r="C117" s="121"/>
      <c r="D117" s="121"/>
      <c r="E117" t="str">
        <f ca="1">IF(D2&lt;&gt;"","Done",IF(C2&lt;&gt;"","In Progress",IF(B2&lt;&gt;"",IF(TODAY()&gt;B2,"Should have started","Planned"),"")))</f>
        <v/>
      </c>
      <c r="F117" s="120" t="str">
        <f ca="1">IF(E2="Done",D2-C2,IF(E2="In Progress",TODAY()-C2,IF(E2="Should have started",TODAY()-B2,"")))</f>
        <v/>
      </c>
      <c r="G117" s="121"/>
      <c r="K117" s="121"/>
      <c r="L117" s="121"/>
      <c r="M117" s="121"/>
      <c r="O117" s="120"/>
      <c r="T117" s="121"/>
      <c r="U117" s="120"/>
      <c r="W117" s="121"/>
      <c r="X117" s="120"/>
      <c r="Z117" s="121"/>
      <c r="AA117" s="121"/>
      <c r="AB117" s="120"/>
      <c r="AD117" s="121"/>
      <c r="AE117" s="121"/>
      <c r="AF117" s="120"/>
      <c r="AJ117" s="121"/>
    </row>
    <row r="118" spans="1:36">
      <c r="A118" t="str" cm="1">
        <f t="array" ref="A118">_xlfn.LET(_xlpm.src,TRIM(#REF!), _xlpm.u,_xlfn._xlws.SORT(_xlfn.UNIQUE(_xlfn._xlws.FILTER(_xlpm.src,_xlpm.src&lt;&gt;""))), IFERROR(INDEX(_xlpm.u,ROWS(A$2:A118)),""))</f>
        <v/>
      </c>
      <c r="B118" s="121"/>
      <c r="C118" s="121"/>
      <c r="D118" s="121"/>
      <c r="E118" t="str">
        <f ca="1">IF(D2&lt;&gt;"","Done",IF(C2&lt;&gt;"","In Progress",IF(B2&lt;&gt;"",IF(TODAY()&gt;B2,"Should have started","Planned"),"")))</f>
        <v/>
      </c>
      <c r="F118" s="120" t="str">
        <f ca="1">IF(E2="Done",D2-C2,IF(E2="In Progress",TODAY()-C2,IF(E2="Should have started",TODAY()-B2,"")))</f>
        <v/>
      </c>
      <c r="G118" s="121"/>
      <c r="K118" s="121"/>
      <c r="L118" s="121"/>
      <c r="M118" s="121"/>
      <c r="O118" s="120"/>
      <c r="T118" s="121"/>
      <c r="U118" s="120"/>
      <c r="W118" s="121"/>
      <c r="X118" s="120"/>
      <c r="Z118" s="121"/>
      <c r="AA118" s="121"/>
      <c r="AB118" s="120"/>
      <c r="AD118" s="121"/>
      <c r="AE118" s="121"/>
      <c r="AF118" s="120"/>
      <c r="AJ118" s="121"/>
    </row>
    <row r="119" spans="1:36">
      <c r="A119" t="str" cm="1">
        <f t="array" ref="A119">_xlfn.LET(_xlpm.src,TRIM(#REF!), _xlpm.u,_xlfn._xlws.SORT(_xlfn.UNIQUE(_xlfn._xlws.FILTER(_xlpm.src,_xlpm.src&lt;&gt;""))), IFERROR(INDEX(_xlpm.u,ROWS(A$2:A119)),""))</f>
        <v/>
      </c>
      <c r="B119" s="121"/>
      <c r="C119" s="121"/>
      <c r="D119" s="121"/>
      <c r="E119" t="str">
        <f ca="1">IF(D2&lt;&gt;"","Done",IF(C2&lt;&gt;"","In Progress",IF(B2&lt;&gt;"",IF(TODAY()&gt;B2,"Should have started","Planned"),"")))</f>
        <v/>
      </c>
      <c r="F119" s="120" t="str">
        <f ca="1">IF(E2="Done",D2-C2,IF(E2="In Progress",TODAY()-C2,IF(E2="Should have started",TODAY()-B2,"")))</f>
        <v/>
      </c>
      <c r="G119" s="121"/>
      <c r="K119" s="121"/>
      <c r="L119" s="121"/>
      <c r="M119" s="121"/>
      <c r="O119" s="120"/>
      <c r="T119" s="121"/>
      <c r="U119" s="120"/>
      <c r="W119" s="121"/>
      <c r="X119" s="120"/>
      <c r="Z119" s="121"/>
      <c r="AA119" s="121"/>
      <c r="AB119" s="120"/>
      <c r="AD119" s="121"/>
      <c r="AE119" s="121"/>
      <c r="AF119" s="120"/>
      <c r="AJ119" s="121"/>
    </row>
    <row r="120" spans="1:36">
      <c r="A120" t="str" cm="1">
        <f t="array" ref="A120">_xlfn.LET(_xlpm.src,TRIM(#REF!), _xlpm.u,_xlfn._xlws.SORT(_xlfn.UNIQUE(_xlfn._xlws.FILTER(_xlpm.src,_xlpm.src&lt;&gt;""))), IFERROR(INDEX(_xlpm.u,ROWS(A$2:A120)),""))</f>
        <v/>
      </c>
      <c r="B120" s="121"/>
      <c r="C120" s="121"/>
      <c r="D120" s="121"/>
      <c r="E120" t="str">
        <f ca="1">IF(D2&lt;&gt;"","Done",IF(C2&lt;&gt;"","In Progress",IF(B2&lt;&gt;"",IF(TODAY()&gt;B2,"Should have started","Planned"),"")))</f>
        <v/>
      </c>
      <c r="F120" s="120" t="str">
        <f ca="1">IF(E2="Done",D2-C2,IF(E2="In Progress",TODAY()-C2,IF(E2="Should have started",TODAY()-B2,"")))</f>
        <v/>
      </c>
      <c r="G120" s="121"/>
      <c r="K120" s="121"/>
      <c r="L120" s="121"/>
      <c r="M120" s="121"/>
      <c r="O120" s="120"/>
      <c r="T120" s="121"/>
      <c r="U120" s="120"/>
      <c r="W120" s="121"/>
      <c r="X120" s="120"/>
      <c r="Z120" s="121"/>
      <c r="AA120" s="121"/>
      <c r="AB120" s="120"/>
      <c r="AD120" s="121"/>
      <c r="AE120" s="121"/>
      <c r="AF120" s="120"/>
      <c r="AJ120" s="121"/>
    </row>
    <row r="121" spans="1:36">
      <c r="A121" t="str" cm="1">
        <f t="array" ref="A121">_xlfn.LET(_xlpm.src,TRIM(#REF!), _xlpm.u,_xlfn._xlws.SORT(_xlfn.UNIQUE(_xlfn._xlws.FILTER(_xlpm.src,_xlpm.src&lt;&gt;""))), IFERROR(INDEX(_xlpm.u,ROWS(A$2:A121)),""))</f>
        <v/>
      </c>
      <c r="B121" s="121"/>
      <c r="C121" s="121"/>
      <c r="D121" s="121"/>
      <c r="E121" t="str">
        <f ca="1">IF(D2&lt;&gt;"","Done",IF(C2&lt;&gt;"","In Progress",IF(B2&lt;&gt;"",IF(TODAY()&gt;B2,"Should have started","Planned"),"")))</f>
        <v/>
      </c>
      <c r="F121" s="120" t="str">
        <f ca="1">IF(E2="Done",D2-C2,IF(E2="In Progress",TODAY()-C2,IF(E2="Should have started",TODAY()-B2,"")))</f>
        <v/>
      </c>
      <c r="G121" s="121"/>
      <c r="K121" s="121"/>
      <c r="L121" s="121"/>
      <c r="M121" s="121"/>
      <c r="O121" s="120"/>
      <c r="T121" s="121"/>
      <c r="U121" s="120"/>
      <c r="W121" s="121"/>
      <c r="X121" s="120"/>
      <c r="Z121" s="121"/>
      <c r="AA121" s="121"/>
      <c r="AB121" s="120"/>
      <c r="AD121" s="121"/>
      <c r="AE121" s="121"/>
      <c r="AF121" s="120"/>
      <c r="AJ121" s="121"/>
    </row>
    <row r="122" spans="1:36">
      <c r="A122" t="str" cm="1">
        <f t="array" ref="A122">_xlfn.LET(_xlpm.src,TRIM(#REF!), _xlpm.u,_xlfn._xlws.SORT(_xlfn.UNIQUE(_xlfn._xlws.FILTER(_xlpm.src,_xlpm.src&lt;&gt;""))), IFERROR(INDEX(_xlpm.u,ROWS(A$2:A122)),""))</f>
        <v/>
      </c>
      <c r="B122" s="121"/>
      <c r="C122" s="121"/>
      <c r="D122" s="121"/>
      <c r="E122" t="str">
        <f ca="1">IF(D2&lt;&gt;"","Done",IF(C2&lt;&gt;"","In Progress",IF(B2&lt;&gt;"",IF(TODAY()&gt;B2,"Should have started","Planned"),"")))</f>
        <v/>
      </c>
      <c r="F122" s="120" t="str">
        <f ca="1">IF(E2="Done",D2-C2,IF(E2="In Progress",TODAY()-C2,IF(E2="Should have started",TODAY()-B2,"")))</f>
        <v/>
      </c>
      <c r="G122" s="121"/>
      <c r="K122" s="121"/>
      <c r="L122" s="121"/>
      <c r="M122" s="121"/>
      <c r="O122" s="120"/>
      <c r="T122" s="121"/>
      <c r="U122" s="120"/>
      <c r="W122" s="121"/>
      <c r="X122" s="120"/>
      <c r="Z122" s="121"/>
      <c r="AA122" s="121"/>
      <c r="AB122" s="120"/>
      <c r="AD122" s="121"/>
      <c r="AE122" s="121"/>
      <c r="AF122" s="120"/>
      <c r="AJ122" s="121"/>
    </row>
    <row r="123" spans="1:36">
      <c r="A123" t="str" cm="1">
        <f t="array" ref="A123">_xlfn.LET(_xlpm.src,TRIM(#REF!), _xlpm.u,_xlfn._xlws.SORT(_xlfn.UNIQUE(_xlfn._xlws.FILTER(_xlpm.src,_xlpm.src&lt;&gt;""))), IFERROR(INDEX(_xlpm.u,ROWS(A$2:A123)),""))</f>
        <v/>
      </c>
      <c r="B123" s="121"/>
      <c r="C123" s="121"/>
      <c r="D123" s="121"/>
      <c r="E123" t="str">
        <f ca="1">IF(D2&lt;&gt;"","Done",IF(C2&lt;&gt;"","In Progress",IF(B2&lt;&gt;"",IF(TODAY()&gt;B2,"Should have started","Planned"),"")))</f>
        <v/>
      </c>
      <c r="F123" s="120" t="str">
        <f ca="1">IF(E2="Done",D2-C2,IF(E2="In Progress",TODAY()-C2,IF(E2="Should have started",TODAY()-B2,"")))</f>
        <v/>
      </c>
      <c r="G123" s="121"/>
      <c r="K123" s="121"/>
      <c r="L123" s="121"/>
      <c r="M123" s="121"/>
      <c r="O123" s="120"/>
      <c r="T123" s="121"/>
      <c r="U123" s="120"/>
      <c r="W123" s="121"/>
      <c r="X123" s="120"/>
      <c r="Z123" s="121"/>
      <c r="AA123" s="121"/>
      <c r="AB123" s="120"/>
      <c r="AD123" s="121"/>
      <c r="AE123" s="121"/>
      <c r="AF123" s="120"/>
      <c r="AJ123" s="121"/>
    </row>
    <row r="124" spans="1:36">
      <c r="A124" t="str" cm="1">
        <f t="array" ref="A124">_xlfn.LET(_xlpm.src,TRIM(#REF!), _xlpm.u,_xlfn._xlws.SORT(_xlfn.UNIQUE(_xlfn._xlws.FILTER(_xlpm.src,_xlpm.src&lt;&gt;""))), IFERROR(INDEX(_xlpm.u,ROWS(A$2:A124)),""))</f>
        <v/>
      </c>
      <c r="B124" s="121"/>
      <c r="C124" s="121"/>
      <c r="D124" s="121"/>
      <c r="E124" t="str">
        <f ca="1">IF(D2&lt;&gt;"","Done",IF(C2&lt;&gt;"","In Progress",IF(B2&lt;&gt;"",IF(TODAY()&gt;B2,"Should have started","Planned"),"")))</f>
        <v/>
      </c>
      <c r="F124" s="120" t="str">
        <f ca="1">IF(E2="Done",D2-C2,IF(E2="In Progress",TODAY()-C2,IF(E2="Should have started",TODAY()-B2,"")))</f>
        <v/>
      </c>
      <c r="G124" s="121"/>
      <c r="K124" s="121"/>
      <c r="L124" s="121"/>
      <c r="M124" s="121"/>
      <c r="O124" s="120"/>
      <c r="T124" s="121"/>
      <c r="U124" s="120"/>
      <c r="W124" s="121"/>
      <c r="X124" s="120"/>
      <c r="Z124" s="121"/>
      <c r="AA124" s="121"/>
      <c r="AB124" s="120"/>
      <c r="AD124" s="121"/>
      <c r="AE124" s="121"/>
      <c r="AF124" s="120"/>
      <c r="AJ124" s="121"/>
    </row>
    <row r="125" spans="1:36">
      <c r="A125" t="str" cm="1">
        <f t="array" ref="A125">_xlfn.LET(_xlpm.src,TRIM(#REF!), _xlpm.u,_xlfn._xlws.SORT(_xlfn.UNIQUE(_xlfn._xlws.FILTER(_xlpm.src,_xlpm.src&lt;&gt;""))), IFERROR(INDEX(_xlpm.u,ROWS(A$2:A125)),""))</f>
        <v/>
      </c>
      <c r="B125" s="121"/>
      <c r="C125" s="121"/>
      <c r="D125" s="121"/>
      <c r="E125" t="str">
        <f ca="1">IF(D2&lt;&gt;"","Done",IF(C2&lt;&gt;"","In Progress",IF(B2&lt;&gt;"",IF(TODAY()&gt;B2,"Should have started","Planned"),"")))</f>
        <v/>
      </c>
      <c r="F125" s="120" t="str">
        <f ca="1">IF(E2="Done",D2-C2,IF(E2="In Progress",TODAY()-C2,IF(E2="Should have started",TODAY()-B2,"")))</f>
        <v/>
      </c>
      <c r="G125" s="121"/>
      <c r="K125" s="121"/>
      <c r="L125" s="121"/>
      <c r="M125" s="121"/>
      <c r="O125" s="120"/>
      <c r="T125" s="121"/>
      <c r="U125" s="120"/>
      <c r="W125" s="121"/>
      <c r="X125" s="120"/>
      <c r="Z125" s="121"/>
      <c r="AA125" s="121"/>
      <c r="AB125" s="120"/>
      <c r="AD125" s="121"/>
      <c r="AE125" s="121"/>
      <c r="AF125" s="120"/>
      <c r="AJ125" s="121"/>
    </row>
    <row r="126" spans="1:36">
      <c r="A126" t="str" cm="1">
        <f t="array" ref="A126">_xlfn.LET(_xlpm.src,TRIM(#REF!), _xlpm.u,_xlfn._xlws.SORT(_xlfn.UNIQUE(_xlfn._xlws.FILTER(_xlpm.src,_xlpm.src&lt;&gt;""))), IFERROR(INDEX(_xlpm.u,ROWS(A$2:A126)),""))</f>
        <v/>
      </c>
      <c r="B126" s="121"/>
      <c r="C126" s="121"/>
      <c r="D126" s="121"/>
      <c r="E126" t="str">
        <f ca="1">IF(D2&lt;&gt;"","Done",IF(C2&lt;&gt;"","In Progress",IF(B2&lt;&gt;"",IF(TODAY()&gt;B2,"Should have started","Planned"),"")))</f>
        <v/>
      </c>
      <c r="F126" s="120" t="str">
        <f ca="1">IF(E2="Done",D2-C2,IF(E2="In Progress",TODAY()-C2,IF(E2="Should have started",TODAY()-B2,"")))</f>
        <v/>
      </c>
      <c r="G126" s="121"/>
      <c r="K126" s="121"/>
      <c r="L126" s="121"/>
      <c r="M126" s="121"/>
      <c r="O126" s="120"/>
      <c r="T126" s="121"/>
      <c r="U126" s="120"/>
      <c r="W126" s="121"/>
      <c r="X126" s="120"/>
      <c r="Z126" s="121"/>
      <c r="AA126" s="121"/>
      <c r="AB126" s="120"/>
      <c r="AD126" s="121"/>
      <c r="AE126" s="121"/>
      <c r="AF126" s="120"/>
      <c r="AJ126" s="121"/>
    </row>
    <row r="127" spans="1:36">
      <c r="A127" t="str" cm="1">
        <f t="array" ref="A127">_xlfn.LET(_xlpm.src,TRIM(#REF!), _xlpm.u,_xlfn._xlws.SORT(_xlfn.UNIQUE(_xlfn._xlws.FILTER(_xlpm.src,_xlpm.src&lt;&gt;""))), IFERROR(INDEX(_xlpm.u,ROWS(A$2:A127)),""))</f>
        <v/>
      </c>
      <c r="B127" s="121"/>
      <c r="C127" s="121"/>
      <c r="D127" s="121"/>
      <c r="E127" t="str">
        <f ca="1">IF(D2&lt;&gt;"","Done",IF(C2&lt;&gt;"","In Progress",IF(B2&lt;&gt;"",IF(TODAY()&gt;B2,"Should have started","Planned"),"")))</f>
        <v/>
      </c>
      <c r="F127" s="120" t="str">
        <f ca="1">IF(E2="Done",D2-C2,IF(E2="In Progress",TODAY()-C2,IF(E2="Should have started",TODAY()-B2,"")))</f>
        <v/>
      </c>
      <c r="G127" s="121"/>
      <c r="K127" s="121"/>
      <c r="L127" s="121"/>
      <c r="M127" s="121"/>
      <c r="O127" s="120"/>
      <c r="T127" s="121"/>
      <c r="U127" s="120"/>
      <c r="W127" s="121"/>
      <c r="X127" s="120"/>
      <c r="Z127" s="121"/>
      <c r="AA127" s="121"/>
      <c r="AB127" s="120"/>
      <c r="AD127" s="121"/>
      <c r="AE127" s="121"/>
      <c r="AF127" s="120"/>
      <c r="AJ127" s="121"/>
    </row>
    <row r="128" spans="1:36">
      <c r="A128" t="str" cm="1">
        <f t="array" ref="A128">_xlfn.LET(_xlpm.src,TRIM(#REF!), _xlpm.u,_xlfn._xlws.SORT(_xlfn.UNIQUE(_xlfn._xlws.FILTER(_xlpm.src,_xlpm.src&lt;&gt;""))), IFERROR(INDEX(_xlpm.u,ROWS(A$2:A128)),""))</f>
        <v/>
      </c>
      <c r="B128" s="121"/>
      <c r="C128" s="121"/>
      <c r="D128" s="121"/>
      <c r="E128" t="str">
        <f ca="1">IF(D2&lt;&gt;"","Done",IF(C2&lt;&gt;"","In Progress",IF(B2&lt;&gt;"",IF(TODAY()&gt;B2,"Should have started","Planned"),"")))</f>
        <v/>
      </c>
      <c r="F128" s="120" t="str">
        <f ca="1">IF(E2="Done",D2-C2,IF(E2="In Progress",TODAY()-C2,IF(E2="Should have started",TODAY()-B2,"")))</f>
        <v/>
      </c>
      <c r="G128" s="121"/>
      <c r="K128" s="121"/>
      <c r="L128" s="121"/>
      <c r="M128" s="121"/>
      <c r="O128" s="120"/>
      <c r="T128" s="121"/>
      <c r="U128" s="120"/>
      <c r="W128" s="121"/>
      <c r="X128" s="120"/>
      <c r="Z128" s="121"/>
      <c r="AA128" s="121"/>
      <c r="AB128" s="120"/>
      <c r="AD128" s="121"/>
      <c r="AE128" s="121"/>
      <c r="AF128" s="120"/>
      <c r="AJ128" s="121"/>
    </row>
    <row r="129" spans="1:36">
      <c r="A129" t="str" cm="1">
        <f t="array" ref="A129">_xlfn.LET(_xlpm.src,TRIM(#REF!), _xlpm.u,_xlfn._xlws.SORT(_xlfn.UNIQUE(_xlfn._xlws.FILTER(_xlpm.src,_xlpm.src&lt;&gt;""))), IFERROR(INDEX(_xlpm.u,ROWS(A$2:A129)),""))</f>
        <v/>
      </c>
      <c r="B129" s="121"/>
      <c r="C129" s="121"/>
      <c r="D129" s="121"/>
      <c r="E129" t="str">
        <f ca="1">IF(D2&lt;&gt;"","Done",IF(C2&lt;&gt;"","In Progress",IF(B2&lt;&gt;"",IF(TODAY()&gt;B2,"Should have started","Planned"),"")))</f>
        <v/>
      </c>
      <c r="F129" s="120" t="str">
        <f ca="1">IF(E2="Done",D2-C2,IF(E2="In Progress",TODAY()-C2,IF(E2="Should have started",TODAY()-B2,"")))</f>
        <v/>
      </c>
      <c r="G129" s="121"/>
      <c r="K129" s="121"/>
      <c r="L129" s="121"/>
      <c r="M129" s="121"/>
      <c r="O129" s="120"/>
      <c r="T129" s="121"/>
      <c r="U129" s="120"/>
      <c r="W129" s="121"/>
      <c r="X129" s="120"/>
      <c r="Z129" s="121"/>
      <c r="AA129" s="121"/>
      <c r="AB129" s="120"/>
      <c r="AD129" s="121"/>
      <c r="AE129" s="121"/>
      <c r="AF129" s="120"/>
      <c r="AJ129" s="121"/>
    </row>
    <row r="130" spans="1:36">
      <c r="A130" t="str" cm="1">
        <f t="array" ref="A130">_xlfn.LET(_xlpm.src,TRIM(#REF!), _xlpm.u,_xlfn._xlws.SORT(_xlfn.UNIQUE(_xlfn._xlws.FILTER(_xlpm.src,_xlpm.src&lt;&gt;""))), IFERROR(INDEX(_xlpm.u,ROWS(A$2:A130)),""))</f>
        <v/>
      </c>
      <c r="B130" s="121"/>
      <c r="C130" s="121"/>
      <c r="D130" s="121"/>
      <c r="E130" t="str">
        <f ca="1">IF(D2&lt;&gt;"","Done",IF(C2&lt;&gt;"","In Progress",IF(B2&lt;&gt;"",IF(TODAY()&gt;B2,"Should have started","Planned"),"")))</f>
        <v/>
      </c>
      <c r="F130" s="120" t="str">
        <f ca="1">IF(E2="Done",D2-C2,IF(E2="In Progress",TODAY()-C2,IF(E2="Should have started",TODAY()-B2,"")))</f>
        <v/>
      </c>
      <c r="G130" s="121"/>
      <c r="K130" s="121"/>
      <c r="L130" s="121"/>
      <c r="M130" s="121"/>
      <c r="O130" s="120"/>
      <c r="T130" s="121"/>
      <c r="U130" s="120"/>
      <c r="W130" s="121"/>
      <c r="X130" s="120"/>
      <c r="Z130" s="121"/>
      <c r="AA130" s="121"/>
      <c r="AB130" s="120"/>
      <c r="AD130" s="121"/>
      <c r="AE130" s="121"/>
      <c r="AF130" s="120"/>
      <c r="AJ130" s="121"/>
    </row>
    <row r="131" spans="1:36">
      <c r="A131" t="str" cm="1">
        <f t="array" ref="A131">_xlfn.LET(_xlpm.src,TRIM(#REF!), _xlpm.u,_xlfn._xlws.SORT(_xlfn.UNIQUE(_xlfn._xlws.FILTER(_xlpm.src,_xlpm.src&lt;&gt;""))), IFERROR(INDEX(_xlpm.u,ROWS(A$2:A131)),""))</f>
        <v/>
      </c>
      <c r="B131" s="121"/>
      <c r="C131" s="121"/>
      <c r="D131" s="121"/>
      <c r="E131" t="str">
        <f ca="1">IF(D2&lt;&gt;"","Done",IF(C2&lt;&gt;"","In Progress",IF(B2&lt;&gt;"",IF(TODAY()&gt;B2,"Should have started","Planned"),"")))</f>
        <v/>
      </c>
      <c r="F131" s="120" t="str">
        <f ca="1">IF(E2="Done",D2-C2,IF(E2="In Progress",TODAY()-C2,IF(E2="Should have started",TODAY()-B2,"")))</f>
        <v/>
      </c>
      <c r="G131" s="121"/>
      <c r="K131" s="121"/>
      <c r="L131" s="121"/>
      <c r="M131" s="121"/>
      <c r="O131" s="120"/>
      <c r="T131" s="121"/>
      <c r="U131" s="120"/>
      <c r="W131" s="121"/>
      <c r="X131" s="120"/>
      <c r="Z131" s="121"/>
      <c r="AA131" s="121"/>
      <c r="AB131" s="120"/>
      <c r="AD131" s="121"/>
      <c r="AE131" s="121"/>
      <c r="AF131" s="120"/>
      <c r="AJ131" s="121"/>
    </row>
    <row r="132" spans="1:36">
      <c r="A132" t="str" cm="1">
        <f t="array" ref="A132">_xlfn.LET(_xlpm.src,TRIM(#REF!), _xlpm.u,_xlfn._xlws.SORT(_xlfn.UNIQUE(_xlfn._xlws.FILTER(_xlpm.src,_xlpm.src&lt;&gt;""))), IFERROR(INDEX(_xlpm.u,ROWS(A$2:A132)),""))</f>
        <v/>
      </c>
      <c r="B132" s="121"/>
      <c r="C132" s="121"/>
      <c r="D132" s="121"/>
      <c r="E132" t="str">
        <f ca="1">IF(D2&lt;&gt;"","Done",IF(C2&lt;&gt;"","In Progress",IF(B2&lt;&gt;"",IF(TODAY()&gt;B2,"Should have started","Planned"),"")))</f>
        <v/>
      </c>
      <c r="F132" s="120" t="str">
        <f ca="1">IF(E2="Done",D2-C2,IF(E2="In Progress",TODAY()-C2,IF(E2="Should have started",TODAY()-B2,"")))</f>
        <v/>
      </c>
      <c r="G132" s="121"/>
      <c r="K132" s="121"/>
      <c r="L132" s="121"/>
      <c r="M132" s="121"/>
      <c r="O132" s="120"/>
      <c r="T132" s="121"/>
      <c r="U132" s="120"/>
      <c r="W132" s="121"/>
      <c r="X132" s="120"/>
      <c r="Z132" s="121"/>
      <c r="AA132" s="121"/>
      <c r="AB132" s="120"/>
      <c r="AD132" s="121"/>
      <c r="AE132" s="121"/>
      <c r="AF132" s="120"/>
      <c r="AJ132" s="121"/>
    </row>
    <row r="133" spans="1:36">
      <c r="A133" t="str" cm="1">
        <f t="array" ref="A133">_xlfn.LET(_xlpm.src,TRIM(#REF!), _xlpm.u,_xlfn._xlws.SORT(_xlfn.UNIQUE(_xlfn._xlws.FILTER(_xlpm.src,_xlpm.src&lt;&gt;""))), IFERROR(INDEX(_xlpm.u,ROWS(A$2:A133)),""))</f>
        <v/>
      </c>
      <c r="B133" s="121"/>
      <c r="C133" s="121"/>
      <c r="D133" s="121"/>
      <c r="E133" t="str">
        <f ca="1">IF(D2&lt;&gt;"","Done",IF(C2&lt;&gt;"","In Progress",IF(B2&lt;&gt;"",IF(TODAY()&gt;B2,"Should have started","Planned"),"")))</f>
        <v/>
      </c>
      <c r="F133" s="120" t="str">
        <f ca="1">IF(E2="Done",D2-C2,IF(E2="In Progress",TODAY()-C2,IF(E2="Should have started",TODAY()-B2,"")))</f>
        <v/>
      </c>
      <c r="G133" s="121"/>
      <c r="K133" s="121"/>
      <c r="L133" s="121"/>
      <c r="M133" s="121"/>
      <c r="O133" s="120"/>
      <c r="T133" s="121"/>
      <c r="U133" s="120"/>
      <c r="W133" s="121"/>
      <c r="X133" s="120"/>
      <c r="Z133" s="121"/>
      <c r="AA133" s="121"/>
      <c r="AB133" s="120"/>
      <c r="AD133" s="121"/>
      <c r="AE133" s="121"/>
      <c r="AF133" s="120"/>
      <c r="AJ133" s="121"/>
    </row>
    <row r="134" spans="1:36">
      <c r="A134" t="str" cm="1">
        <f t="array" ref="A134">_xlfn.LET(_xlpm.src,TRIM(#REF!), _xlpm.u,_xlfn._xlws.SORT(_xlfn.UNIQUE(_xlfn._xlws.FILTER(_xlpm.src,_xlpm.src&lt;&gt;""))), IFERROR(INDEX(_xlpm.u,ROWS(A$2:A134)),""))</f>
        <v/>
      </c>
      <c r="B134" s="121"/>
      <c r="C134" s="121"/>
      <c r="D134" s="121"/>
      <c r="E134" t="str">
        <f ca="1">IF(D2&lt;&gt;"","Done",IF(C2&lt;&gt;"","In Progress",IF(B2&lt;&gt;"",IF(TODAY()&gt;B2,"Should have started","Planned"),"")))</f>
        <v/>
      </c>
      <c r="F134" s="120" t="str">
        <f ca="1">IF(E2="Done",D2-C2,IF(E2="In Progress",TODAY()-C2,IF(E2="Should have started",TODAY()-B2,"")))</f>
        <v/>
      </c>
      <c r="G134" s="121"/>
      <c r="K134" s="121"/>
      <c r="L134" s="121"/>
      <c r="M134" s="121"/>
      <c r="O134" s="120"/>
      <c r="T134" s="121"/>
      <c r="U134" s="120"/>
      <c r="W134" s="121"/>
      <c r="X134" s="120"/>
      <c r="Z134" s="121"/>
      <c r="AA134" s="121"/>
      <c r="AB134" s="120"/>
      <c r="AD134" s="121"/>
      <c r="AE134" s="121"/>
      <c r="AF134" s="120"/>
      <c r="AJ134" s="121"/>
    </row>
    <row r="135" spans="1:36">
      <c r="A135" t="str" cm="1">
        <f t="array" ref="A135">_xlfn.LET(_xlpm.src,TRIM(#REF!), _xlpm.u,_xlfn._xlws.SORT(_xlfn.UNIQUE(_xlfn._xlws.FILTER(_xlpm.src,_xlpm.src&lt;&gt;""))), IFERROR(INDEX(_xlpm.u,ROWS(A$2:A135)),""))</f>
        <v/>
      </c>
      <c r="B135" s="121"/>
      <c r="C135" s="121"/>
      <c r="D135" s="121"/>
      <c r="E135" t="str">
        <f ca="1">IF(D2&lt;&gt;"","Done",IF(C2&lt;&gt;"","In Progress",IF(B2&lt;&gt;"",IF(TODAY()&gt;B2,"Should have started","Planned"),"")))</f>
        <v/>
      </c>
      <c r="F135" s="120" t="str">
        <f ca="1">IF(E2="Done",D2-C2,IF(E2="In Progress",TODAY()-C2,IF(E2="Should have started",TODAY()-B2,"")))</f>
        <v/>
      </c>
      <c r="G135" s="121"/>
      <c r="K135" s="121"/>
      <c r="L135" s="121"/>
      <c r="M135" s="121"/>
      <c r="O135" s="120"/>
      <c r="T135" s="121"/>
      <c r="U135" s="120"/>
      <c r="W135" s="121"/>
      <c r="X135" s="120"/>
      <c r="Z135" s="121"/>
      <c r="AA135" s="121"/>
      <c r="AB135" s="120"/>
      <c r="AD135" s="121"/>
      <c r="AE135" s="121"/>
      <c r="AF135" s="120"/>
      <c r="AJ135" s="121"/>
    </row>
    <row r="136" spans="1:36">
      <c r="A136" t="str" cm="1">
        <f t="array" ref="A136">_xlfn.LET(_xlpm.src,TRIM(#REF!), _xlpm.u,_xlfn._xlws.SORT(_xlfn.UNIQUE(_xlfn._xlws.FILTER(_xlpm.src,_xlpm.src&lt;&gt;""))), IFERROR(INDEX(_xlpm.u,ROWS(A$2:A136)),""))</f>
        <v/>
      </c>
      <c r="B136" s="121"/>
      <c r="C136" s="121"/>
      <c r="D136" s="121"/>
      <c r="E136" t="str">
        <f ca="1">IF(D2&lt;&gt;"","Done",IF(C2&lt;&gt;"","In Progress",IF(B2&lt;&gt;"",IF(TODAY()&gt;B2,"Should have started","Planned"),"")))</f>
        <v/>
      </c>
      <c r="F136" s="120" t="str">
        <f ca="1">IF(E2="Done",D2-C2,IF(E2="In Progress",TODAY()-C2,IF(E2="Should have started",TODAY()-B2,"")))</f>
        <v/>
      </c>
      <c r="G136" s="121"/>
      <c r="K136" s="121"/>
      <c r="L136" s="121"/>
      <c r="M136" s="121"/>
      <c r="O136" s="120"/>
      <c r="T136" s="121"/>
      <c r="U136" s="120"/>
      <c r="W136" s="121"/>
      <c r="X136" s="120"/>
      <c r="Z136" s="121"/>
      <c r="AA136" s="121"/>
      <c r="AB136" s="120"/>
      <c r="AD136" s="121"/>
      <c r="AE136" s="121"/>
      <c r="AF136" s="120"/>
      <c r="AJ136" s="121"/>
    </row>
    <row r="137" spans="1:36">
      <c r="A137" t="str" cm="1">
        <f t="array" ref="A137">_xlfn.LET(_xlpm.src,TRIM(#REF!), _xlpm.u,_xlfn._xlws.SORT(_xlfn.UNIQUE(_xlfn._xlws.FILTER(_xlpm.src,_xlpm.src&lt;&gt;""))), IFERROR(INDEX(_xlpm.u,ROWS(A$2:A137)),""))</f>
        <v/>
      </c>
      <c r="B137" s="121"/>
      <c r="C137" s="121"/>
      <c r="D137" s="121"/>
      <c r="E137" t="str">
        <f ca="1">IF(D2&lt;&gt;"","Done",IF(C2&lt;&gt;"","In Progress",IF(B2&lt;&gt;"",IF(TODAY()&gt;B2,"Should have started","Planned"),"")))</f>
        <v/>
      </c>
      <c r="F137" s="120" t="str">
        <f ca="1">IF(E2="Done",D2-C2,IF(E2="In Progress",TODAY()-C2,IF(E2="Should have started",TODAY()-B2,"")))</f>
        <v/>
      </c>
      <c r="G137" s="121"/>
      <c r="K137" s="121"/>
      <c r="L137" s="121"/>
      <c r="M137" s="121"/>
      <c r="O137" s="120"/>
      <c r="T137" s="121"/>
      <c r="U137" s="120"/>
      <c r="W137" s="121"/>
      <c r="X137" s="120"/>
      <c r="Z137" s="121"/>
      <c r="AA137" s="121"/>
      <c r="AB137" s="120"/>
      <c r="AD137" s="121"/>
      <c r="AE137" s="121"/>
      <c r="AF137" s="120"/>
      <c r="AJ137" s="121"/>
    </row>
    <row r="138" spans="1:36">
      <c r="A138" t="str" cm="1">
        <f t="array" ref="A138">_xlfn.LET(_xlpm.src,TRIM(#REF!), _xlpm.u,_xlfn._xlws.SORT(_xlfn.UNIQUE(_xlfn._xlws.FILTER(_xlpm.src,_xlpm.src&lt;&gt;""))), IFERROR(INDEX(_xlpm.u,ROWS(A$2:A138)),""))</f>
        <v/>
      </c>
      <c r="B138" s="121"/>
      <c r="C138" s="121"/>
      <c r="D138" s="121"/>
      <c r="E138" t="str">
        <f ca="1">IF(D2&lt;&gt;"","Done",IF(C2&lt;&gt;"","In Progress",IF(B2&lt;&gt;"",IF(TODAY()&gt;B2,"Should have started","Planned"),"")))</f>
        <v/>
      </c>
      <c r="F138" s="120" t="str">
        <f ca="1">IF(E2="Done",D2-C2,IF(E2="In Progress",TODAY()-C2,IF(E2="Should have started",TODAY()-B2,"")))</f>
        <v/>
      </c>
      <c r="G138" s="121"/>
      <c r="K138" s="121"/>
      <c r="L138" s="121"/>
      <c r="M138" s="121"/>
      <c r="O138" s="120"/>
      <c r="T138" s="121"/>
      <c r="U138" s="120"/>
      <c r="W138" s="121"/>
      <c r="X138" s="120"/>
      <c r="Z138" s="121"/>
      <c r="AA138" s="121"/>
      <c r="AB138" s="120"/>
      <c r="AD138" s="121"/>
      <c r="AE138" s="121"/>
      <c r="AF138" s="120"/>
      <c r="AJ138" s="121"/>
    </row>
    <row r="139" spans="1:36">
      <c r="A139" t="str" cm="1">
        <f t="array" ref="A139">_xlfn.LET(_xlpm.src,TRIM(#REF!), _xlpm.u,_xlfn._xlws.SORT(_xlfn.UNIQUE(_xlfn._xlws.FILTER(_xlpm.src,_xlpm.src&lt;&gt;""))), IFERROR(INDEX(_xlpm.u,ROWS(A$2:A139)),""))</f>
        <v/>
      </c>
      <c r="B139" s="121"/>
      <c r="C139" s="121"/>
      <c r="D139" s="121"/>
      <c r="E139" t="str">
        <f ca="1">IF(D2&lt;&gt;"","Done",IF(C2&lt;&gt;"","In Progress",IF(B2&lt;&gt;"",IF(TODAY()&gt;B2,"Should have started","Planned"),"")))</f>
        <v/>
      </c>
      <c r="F139" s="120" t="str">
        <f ca="1">IF(E2="Done",D2-C2,IF(E2="In Progress",TODAY()-C2,IF(E2="Should have started",TODAY()-B2,"")))</f>
        <v/>
      </c>
      <c r="G139" s="121"/>
      <c r="K139" s="121"/>
      <c r="L139" s="121"/>
      <c r="M139" s="121"/>
      <c r="O139" s="120"/>
      <c r="T139" s="121"/>
      <c r="U139" s="120"/>
      <c r="W139" s="121"/>
      <c r="X139" s="120"/>
      <c r="Z139" s="121"/>
      <c r="AA139" s="121"/>
      <c r="AB139" s="120"/>
      <c r="AD139" s="121"/>
      <c r="AE139" s="121"/>
      <c r="AF139" s="120"/>
      <c r="AJ139" s="121"/>
    </row>
    <row r="140" spans="1:36">
      <c r="A140" t="str" cm="1">
        <f t="array" ref="A140">_xlfn.LET(_xlpm.src,TRIM(#REF!), _xlpm.u,_xlfn._xlws.SORT(_xlfn.UNIQUE(_xlfn._xlws.FILTER(_xlpm.src,_xlpm.src&lt;&gt;""))), IFERROR(INDEX(_xlpm.u,ROWS(A$2:A140)),""))</f>
        <v/>
      </c>
      <c r="B140" s="121"/>
      <c r="C140" s="121"/>
      <c r="D140" s="121"/>
      <c r="E140" t="str">
        <f ca="1">IF(D2&lt;&gt;"","Done",IF(C2&lt;&gt;"","In Progress",IF(B2&lt;&gt;"",IF(TODAY()&gt;B2,"Should have started","Planned"),"")))</f>
        <v/>
      </c>
      <c r="F140" s="120" t="str">
        <f ca="1">IF(E2="Done",D2-C2,IF(E2="In Progress",TODAY()-C2,IF(E2="Should have started",TODAY()-B2,"")))</f>
        <v/>
      </c>
      <c r="G140" s="121"/>
      <c r="K140" s="121"/>
      <c r="L140" s="121"/>
      <c r="M140" s="121"/>
      <c r="O140" s="120"/>
      <c r="T140" s="121"/>
      <c r="U140" s="120"/>
      <c r="W140" s="121"/>
      <c r="X140" s="120"/>
      <c r="Z140" s="121"/>
      <c r="AA140" s="121"/>
      <c r="AB140" s="120"/>
      <c r="AD140" s="121"/>
      <c r="AE140" s="121"/>
      <c r="AF140" s="120"/>
      <c r="AJ140" s="121"/>
    </row>
    <row r="141" spans="1:36">
      <c r="A141" t="str" cm="1">
        <f t="array" ref="A141">_xlfn.LET(_xlpm.src,TRIM(#REF!), _xlpm.u,_xlfn._xlws.SORT(_xlfn.UNIQUE(_xlfn._xlws.FILTER(_xlpm.src,_xlpm.src&lt;&gt;""))), IFERROR(INDEX(_xlpm.u,ROWS(A$2:A141)),""))</f>
        <v/>
      </c>
      <c r="B141" s="121"/>
      <c r="C141" s="121"/>
      <c r="D141" s="121"/>
      <c r="E141" t="str">
        <f ca="1">IF(D2&lt;&gt;"","Done",IF(C2&lt;&gt;"","In Progress",IF(B2&lt;&gt;"",IF(TODAY()&gt;B2,"Should have started","Planned"),"")))</f>
        <v/>
      </c>
      <c r="F141" s="120" t="str">
        <f ca="1">IF(E2="Done",D2-C2,IF(E2="In Progress",TODAY()-C2,IF(E2="Should have started",TODAY()-B2,"")))</f>
        <v/>
      </c>
      <c r="G141" s="121"/>
      <c r="K141" s="121"/>
      <c r="L141" s="121"/>
      <c r="M141" s="121"/>
      <c r="O141" s="120"/>
      <c r="T141" s="121"/>
      <c r="U141" s="120"/>
      <c r="W141" s="121"/>
      <c r="X141" s="120"/>
      <c r="Z141" s="121"/>
      <c r="AA141" s="121"/>
      <c r="AB141" s="120"/>
      <c r="AD141" s="121"/>
      <c r="AE141" s="121"/>
      <c r="AF141" s="120"/>
      <c r="AJ141" s="121"/>
    </row>
    <row r="142" spans="1:36">
      <c r="A142" t="str" cm="1">
        <f t="array" ref="A142">_xlfn.LET(_xlpm.src,TRIM(#REF!), _xlpm.u,_xlfn._xlws.SORT(_xlfn.UNIQUE(_xlfn._xlws.FILTER(_xlpm.src,_xlpm.src&lt;&gt;""))), IFERROR(INDEX(_xlpm.u,ROWS(A$2:A142)),""))</f>
        <v/>
      </c>
      <c r="B142" s="121"/>
      <c r="C142" s="121"/>
      <c r="D142" s="121"/>
      <c r="E142" t="str">
        <f ca="1">IF(D2&lt;&gt;"","Done",IF(C2&lt;&gt;"","In Progress",IF(B2&lt;&gt;"",IF(TODAY()&gt;B2,"Should have started","Planned"),"")))</f>
        <v/>
      </c>
      <c r="F142" s="120" t="str">
        <f ca="1">IF(E2="Done",D2-C2,IF(E2="In Progress",TODAY()-C2,IF(E2="Should have started",TODAY()-B2,"")))</f>
        <v/>
      </c>
      <c r="G142" s="121"/>
      <c r="K142" s="121"/>
      <c r="L142" s="121"/>
      <c r="M142" s="121"/>
      <c r="O142" s="120"/>
      <c r="T142" s="121"/>
      <c r="U142" s="120"/>
      <c r="W142" s="121"/>
      <c r="X142" s="120"/>
      <c r="Z142" s="121"/>
      <c r="AA142" s="121"/>
      <c r="AB142" s="120"/>
      <c r="AD142" s="121"/>
      <c r="AE142" s="121"/>
      <c r="AF142" s="120"/>
      <c r="AJ142" s="121"/>
    </row>
    <row r="143" spans="1:36">
      <c r="A143" t="str" cm="1">
        <f t="array" ref="A143">_xlfn.LET(_xlpm.src,TRIM(#REF!), _xlpm.u,_xlfn._xlws.SORT(_xlfn.UNIQUE(_xlfn._xlws.FILTER(_xlpm.src,_xlpm.src&lt;&gt;""))), IFERROR(INDEX(_xlpm.u,ROWS(A$2:A143)),""))</f>
        <v/>
      </c>
      <c r="B143" s="121"/>
      <c r="C143" s="121"/>
      <c r="D143" s="121"/>
      <c r="E143" t="str">
        <f ca="1">IF(D2&lt;&gt;"","Done",IF(C2&lt;&gt;"","In Progress",IF(B2&lt;&gt;"",IF(TODAY()&gt;B2,"Should have started","Planned"),"")))</f>
        <v/>
      </c>
      <c r="F143" s="120" t="str">
        <f ca="1">IF(E2="Done",D2-C2,IF(E2="In Progress",TODAY()-C2,IF(E2="Should have started",TODAY()-B2,"")))</f>
        <v/>
      </c>
      <c r="G143" s="121"/>
      <c r="K143" s="121"/>
      <c r="L143" s="121"/>
      <c r="M143" s="121"/>
      <c r="O143" s="120"/>
      <c r="T143" s="121"/>
      <c r="U143" s="120"/>
      <c r="W143" s="121"/>
      <c r="X143" s="120"/>
      <c r="Z143" s="121"/>
      <c r="AA143" s="121"/>
      <c r="AB143" s="120"/>
      <c r="AD143" s="121"/>
      <c r="AE143" s="121"/>
      <c r="AF143" s="120"/>
      <c r="AJ143" s="121"/>
    </row>
    <row r="144" spans="1:36">
      <c r="A144" t="str" cm="1">
        <f t="array" ref="A144">_xlfn.LET(_xlpm.src,TRIM(#REF!), _xlpm.u,_xlfn._xlws.SORT(_xlfn.UNIQUE(_xlfn._xlws.FILTER(_xlpm.src,_xlpm.src&lt;&gt;""))), IFERROR(INDEX(_xlpm.u,ROWS(A$2:A144)),""))</f>
        <v/>
      </c>
      <c r="B144" s="121"/>
      <c r="C144" s="121"/>
      <c r="D144" s="121"/>
      <c r="E144" t="str">
        <f ca="1">IF(D2&lt;&gt;"","Done",IF(C2&lt;&gt;"","In Progress",IF(B2&lt;&gt;"",IF(TODAY()&gt;B2,"Should have started","Planned"),"")))</f>
        <v/>
      </c>
      <c r="F144" s="120" t="str">
        <f ca="1">IF(E2="Done",D2-C2,IF(E2="In Progress",TODAY()-C2,IF(E2="Should have started",TODAY()-B2,"")))</f>
        <v/>
      </c>
      <c r="G144" s="121"/>
      <c r="K144" s="121"/>
      <c r="L144" s="121"/>
      <c r="M144" s="121"/>
      <c r="O144" s="120"/>
      <c r="T144" s="121"/>
      <c r="U144" s="120"/>
      <c r="W144" s="121"/>
      <c r="X144" s="120"/>
      <c r="Z144" s="121"/>
      <c r="AA144" s="121"/>
      <c r="AB144" s="120"/>
      <c r="AD144" s="121"/>
      <c r="AE144" s="121"/>
      <c r="AF144" s="120"/>
      <c r="AJ144" s="121"/>
    </row>
    <row r="145" spans="1:36">
      <c r="A145" t="str" cm="1">
        <f t="array" ref="A145">_xlfn.LET(_xlpm.src,TRIM(#REF!), _xlpm.u,_xlfn._xlws.SORT(_xlfn.UNIQUE(_xlfn._xlws.FILTER(_xlpm.src,_xlpm.src&lt;&gt;""))), IFERROR(INDEX(_xlpm.u,ROWS(A$2:A145)),""))</f>
        <v/>
      </c>
      <c r="B145" s="121"/>
      <c r="C145" s="121"/>
      <c r="D145" s="121"/>
      <c r="E145" t="str">
        <f ca="1">IF(D2&lt;&gt;"","Done",IF(C2&lt;&gt;"","In Progress",IF(B2&lt;&gt;"",IF(TODAY()&gt;B2,"Should have started","Planned"),"")))</f>
        <v/>
      </c>
      <c r="F145" s="120" t="str">
        <f ca="1">IF(E2="Done",D2-C2,IF(E2="In Progress",TODAY()-C2,IF(E2="Should have started",TODAY()-B2,"")))</f>
        <v/>
      </c>
      <c r="G145" s="121"/>
      <c r="K145" s="121"/>
      <c r="L145" s="121"/>
      <c r="M145" s="121"/>
      <c r="O145" s="120"/>
      <c r="T145" s="121"/>
      <c r="U145" s="120"/>
      <c r="W145" s="121"/>
      <c r="X145" s="120"/>
      <c r="Z145" s="121"/>
      <c r="AA145" s="121"/>
      <c r="AB145" s="120"/>
      <c r="AD145" s="121"/>
      <c r="AE145" s="121"/>
      <c r="AF145" s="120"/>
      <c r="AJ145" s="121"/>
    </row>
    <row r="146" spans="1:36">
      <c r="A146" t="str" cm="1">
        <f t="array" ref="A146">_xlfn.LET(_xlpm.src,TRIM(#REF!), _xlpm.u,_xlfn._xlws.SORT(_xlfn.UNIQUE(_xlfn._xlws.FILTER(_xlpm.src,_xlpm.src&lt;&gt;""))), IFERROR(INDEX(_xlpm.u,ROWS(A$2:A146)),""))</f>
        <v/>
      </c>
      <c r="B146" s="121"/>
      <c r="C146" s="121"/>
      <c r="D146" s="121"/>
      <c r="E146" t="str">
        <f ca="1">IF(D2&lt;&gt;"","Done",IF(C2&lt;&gt;"","In Progress",IF(B2&lt;&gt;"",IF(TODAY()&gt;B2,"Should have started","Planned"),"")))</f>
        <v/>
      </c>
      <c r="F146" s="120" t="str">
        <f ca="1">IF(E2="Done",D2-C2,IF(E2="In Progress",TODAY()-C2,IF(E2="Should have started",TODAY()-B2,"")))</f>
        <v/>
      </c>
      <c r="G146" s="121"/>
      <c r="K146" s="121"/>
      <c r="L146" s="121"/>
      <c r="M146" s="121"/>
      <c r="O146" s="120"/>
      <c r="T146" s="121"/>
      <c r="U146" s="120"/>
      <c r="W146" s="121"/>
      <c r="X146" s="120"/>
      <c r="Z146" s="121"/>
      <c r="AA146" s="121"/>
      <c r="AB146" s="120"/>
      <c r="AD146" s="121"/>
      <c r="AE146" s="121"/>
      <c r="AF146" s="120"/>
      <c r="AJ146" s="121"/>
    </row>
    <row r="147" spans="1:36">
      <c r="A147" t="str" cm="1">
        <f t="array" ref="A147">_xlfn.LET(_xlpm.src,TRIM(#REF!), _xlpm.u,_xlfn._xlws.SORT(_xlfn.UNIQUE(_xlfn._xlws.FILTER(_xlpm.src,_xlpm.src&lt;&gt;""))), IFERROR(INDEX(_xlpm.u,ROWS(A$2:A147)),""))</f>
        <v/>
      </c>
      <c r="B147" s="121"/>
      <c r="C147" s="121"/>
      <c r="D147" s="121"/>
      <c r="E147" t="str">
        <f ca="1">IF(D2&lt;&gt;"","Done",IF(C2&lt;&gt;"","In Progress",IF(B2&lt;&gt;"",IF(TODAY()&gt;B2,"Should have started","Planned"),"")))</f>
        <v/>
      </c>
      <c r="F147" s="120" t="str">
        <f ca="1">IF(E2="Done",D2-C2,IF(E2="In Progress",TODAY()-C2,IF(E2="Should have started",TODAY()-B2,"")))</f>
        <v/>
      </c>
      <c r="G147" s="121"/>
      <c r="K147" s="121"/>
      <c r="L147" s="121"/>
      <c r="M147" s="121"/>
      <c r="O147" s="120"/>
      <c r="T147" s="121"/>
      <c r="U147" s="120"/>
      <c r="W147" s="121"/>
      <c r="X147" s="120"/>
      <c r="Z147" s="121"/>
      <c r="AA147" s="121"/>
      <c r="AB147" s="120"/>
      <c r="AD147" s="121"/>
      <c r="AE147" s="121"/>
      <c r="AF147" s="120"/>
      <c r="AJ147" s="121"/>
    </row>
    <row r="148" spans="1:36">
      <c r="A148" t="str" cm="1">
        <f t="array" ref="A148">_xlfn.LET(_xlpm.src,TRIM(#REF!), _xlpm.u,_xlfn._xlws.SORT(_xlfn.UNIQUE(_xlfn._xlws.FILTER(_xlpm.src,_xlpm.src&lt;&gt;""))), IFERROR(INDEX(_xlpm.u,ROWS(A$2:A148)),""))</f>
        <v/>
      </c>
      <c r="B148" s="121"/>
      <c r="C148" s="121"/>
      <c r="D148" s="121"/>
      <c r="E148" t="str">
        <f ca="1">IF(D2&lt;&gt;"","Done",IF(C2&lt;&gt;"","In Progress",IF(B2&lt;&gt;"",IF(TODAY()&gt;B2,"Should have started","Planned"),"")))</f>
        <v/>
      </c>
      <c r="F148" s="120" t="str">
        <f ca="1">IF(E2="Done",D2-C2,IF(E2="In Progress",TODAY()-C2,IF(E2="Should have started",TODAY()-B2,"")))</f>
        <v/>
      </c>
      <c r="G148" s="121"/>
      <c r="K148" s="121"/>
      <c r="L148" s="121"/>
      <c r="M148" s="121"/>
      <c r="O148" s="120"/>
      <c r="T148" s="121"/>
      <c r="U148" s="120"/>
      <c r="W148" s="121"/>
      <c r="X148" s="120"/>
      <c r="Z148" s="121"/>
      <c r="AA148" s="121"/>
      <c r="AB148" s="120"/>
      <c r="AD148" s="121"/>
      <c r="AE148" s="121"/>
      <c r="AF148" s="120"/>
      <c r="AJ148" s="121"/>
    </row>
    <row r="149" spans="1:36">
      <c r="A149" t="str" cm="1">
        <f t="array" ref="A149">_xlfn.LET(_xlpm.src,TRIM(#REF!), _xlpm.u,_xlfn._xlws.SORT(_xlfn.UNIQUE(_xlfn._xlws.FILTER(_xlpm.src,_xlpm.src&lt;&gt;""))), IFERROR(INDEX(_xlpm.u,ROWS(A$2:A149)),""))</f>
        <v/>
      </c>
      <c r="B149" s="121"/>
      <c r="C149" s="121"/>
      <c r="D149" s="121"/>
      <c r="E149" t="str">
        <f ca="1">IF(D2&lt;&gt;"","Done",IF(C2&lt;&gt;"","In Progress",IF(B2&lt;&gt;"",IF(TODAY()&gt;B2,"Should have started","Planned"),"")))</f>
        <v/>
      </c>
      <c r="F149" s="120" t="str">
        <f ca="1">IF(E2="Done",D2-C2,IF(E2="In Progress",TODAY()-C2,IF(E2="Should have started",TODAY()-B2,"")))</f>
        <v/>
      </c>
      <c r="G149" s="121"/>
      <c r="K149" s="121"/>
      <c r="L149" s="121"/>
      <c r="M149" s="121"/>
      <c r="O149" s="120"/>
      <c r="T149" s="121"/>
      <c r="U149" s="120"/>
      <c r="W149" s="121"/>
      <c r="X149" s="120"/>
      <c r="Z149" s="121"/>
      <c r="AA149" s="121"/>
      <c r="AB149" s="120"/>
      <c r="AD149" s="121"/>
      <c r="AE149" s="121"/>
      <c r="AF149" s="120"/>
      <c r="AJ149" s="121"/>
    </row>
    <row r="150" spans="1:36">
      <c r="A150" t="str" cm="1">
        <f t="array" ref="A150">_xlfn.LET(_xlpm.src,TRIM(#REF!), _xlpm.u,_xlfn._xlws.SORT(_xlfn.UNIQUE(_xlfn._xlws.FILTER(_xlpm.src,_xlpm.src&lt;&gt;""))), IFERROR(INDEX(_xlpm.u,ROWS(A$2:A150)),""))</f>
        <v/>
      </c>
      <c r="B150" s="121"/>
      <c r="C150" s="121"/>
      <c r="D150" s="121"/>
      <c r="E150" t="str">
        <f ca="1">IF(D2&lt;&gt;"","Done",IF(C2&lt;&gt;"","In Progress",IF(B2&lt;&gt;"",IF(TODAY()&gt;B2,"Should have started","Planned"),"")))</f>
        <v/>
      </c>
      <c r="F150" s="120" t="str">
        <f ca="1">IF(E2="Done",D2-C2,IF(E2="In Progress",TODAY()-C2,IF(E2="Should have started",TODAY()-B2,"")))</f>
        <v/>
      </c>
      <c r="G150" s="121"/>
      <c r="K150" s="121"/>
      <c r="L150" s="121"/>
      <c r="M150" s="121"/>
      <c r="O150" s="120"/>
      <c r="T150" s="121"/>
      <c r="U150" s="120"/>
      <c r="W150" s="121"/>
      <c r="X150" s="120"/>
      <c r="Z150" s="121"/>
      <c r="AA150" s="121"/>
      <c r="AB150" s="120"/>
      <c r="AD150" s="121"/>
      <c r="AE150" s="121"/>
      <c r="AF150" s="120"/>
      <c r="AJ150" s="121"/>
    </row>
    <row r="151" spans="1:36">
      <c r="A151" t="str" cm="1">
        <f t="array" ref="A151">_xlfn.LET(_xlpm.src,TRIM(#REF!), _xlpm.u,_xlfn._xlws.SORT(_xlfn.UNIQUE(_xlfn._xlws.FILTER(_xlpm.src,_xlpm.src&lt;&gt;""))), IFERROR(INDEX(_xlpm.u,ROWS(A$2:A151)),""))</f>
        <v/>
      </c>
      <c r="B151" s="121"/>
      <c r="C151" s="121"/>
      <c r="D151" s="121"/>
      <c r="E151" t="str">
        <f ca="1">IF(D2&lt;&gt;"","Done",IF(C2&lt;&gt;"","In Progress",IF(B2&lt;&gt;"",IF(TODAY()&gt;B2,"Should have started","Planned"),"")))</f>
        <v/>
      </c>
      <c r="F151" s="120" t="str">
        <f ca="1">IF(E2="Done",D2-C2,IF(E2="In Progress",TODAY()-C2,IF(E2="Should have started",TODAY()-B2,"")))</f>
        <v/>
      </c>
      <c r="G151" s="121"/>
      <c r="K151" s="121"/>
      <c r="L151" s="121"/>
      <c r="M151" s="121"/>
      <c r="O151" s="120"/>
      <c r="T151" s="121"/>
      <c r="U151" s="120"/>
      <c r="W151" s="121"/>
      <c r="X151" s="120"/>
      <c r="Z151" s="121"/>
      <c r="AA151" s="121"/>
      <c r="AB151" s="120"/>
      <c r="AD151" s="121"/>
      <c r="AE151" s="121"/>
      <c r="AF151" s="120"/>
      <c r="AJ151" s="121"/>
    </row>
    <row r="152" spans="1:36">
      <c r="A152" t="str" cm="1">
        <f t="array" ref="A152">_xlfn.LET(_xlpm.src,TRIM(#REF!), _xlpm.u,_xlfn._xlws.SORT(_xlfn.UNIQUE(_xlfn._xlws.FILTER(_xlpm.src,_xlpm.src&lt;&gt;""))), IFERROR(INDEX(_xlpm.u,ROWS(A$2:A152)),""))</f>
        <v/>
      </c>
      <c r="B152" s="121"/>
      <c r="C152" s="121"/>
      <c r="D152" s="121"/>
      <c r="E152" t="str">
        <f ca="1">IF(D2&lt;&gt;"","Done",IF(C2&lt;&gt;"","In Progress",IF(B2&lt;&gt;"",IF(TODAY()&gt;B2,"Should have started","Planned"),"")))</f>
        <v/>
      </c>
      <c r="F152" s="120" t="str">
        <f ca="1">IF(E2="Done",D2-C2,IF(E2="In Progress",TODAY()-C2,IF(E2="Should have started",TODAY()-B2,"")))</f>
        <v/>
      </c>
      <c r="G152" s="121"/>
      <c r="K152" s="121"/>
      <c r="L152" s="121"/>
      <c r="M152" s="121"/>
      <c r="O152" s="120"/>
      <c r="T152" s="121"/>
      <c r="U152" s="120"/>
      <c r="W152" s="121"/>
      <c r="X152" s="120"/>
      <c r="Z152" s="121"/>
      <c r="AA152" s="121"/>
      <c r="AB152" s="120"/>
      <c r="AD152" s="121"/>
      <c r="AE152" s="121"/>
      <c r="AF152" s="120"/>
      <c r="AJ152" s="121"/>
    </row>
    <row r="153" spans="1:36">
      <c r="A153" t="str" cm="1">
        <f t="array" ref="A153">_xlfn.LET(_xlpm.src,TRIM(#REF!), _xlpm.u,_xlfn._xlws.SORT(_xlfn.UNIQUE(_xlfn._xlws.FILTER(_xlpm.src,_xlpm.src&lt;&gt;""))), IFERROR(INDEX(_xlpm.u,ROWS(A$2:A153)),""))</f>
        <v/>
      </c>
      <c r="B153" s="121"/>
      <c r="C153" s="121"/>
      <c r="D153" s="121"/>
      <c r="E153" t="str">
        <f ca="1">IF(D2&lt;&gt;"","Done",IF(C2&lt;&gt;"","In Progress",IF(B2&lt;&gt;"",IF(TODAY()&gt;B2,"Should have started","Planned"),"")))</f>
        <v/>
      </c>
      <c r="F153" s="120" t="str">
        <f ca="1">IF(E2="Done",D2-C2,IF(E2="In Progress",TODAY()-C2,IF(E2="Should have started",TODAY()-B2,"")))</f>
        <v/>
      </c>
      <c r="G153" s="121"/>
      <c r="K153" s="121"/>
      <c r="L153" s="121"/>
      <c r="M153" s="121"/>
      <c r="O153" s="120"/>
      <c r="T153" s="121"/>
      <c r="U153" s="120"/>
      <c r="W153" s="121"/>
      <c r="X153" s="120"/>
      <c r="Z153" s="121"/>
      <c r="AA153" s="121"/>
      <c r="AB153" s="120"/>
      <c r="AD153" s="121"/>
      <c r="AE153" s="121"/>
      <c r="AF153" s="120"/>
      <c r="AJ153" s="121"/>
    </row>
    <row r="154" spans="1:36">
      <c r="A154" t="str" cm="1">
        <f t="array" ref="A154">_xlfn.LET(_xlpm.src,TRIM(#REF!), _xlpm.u,_xlfn._xlws.SORT(_xlfn.UNIQUE(_xlfn._xlws.FILTER(_xlpm.src,_xlpm.src&lt;&gt;""))), IFERROR(INDEX(_xlpm.u,ROWS(A$2:A154)),""))</f>
        <v/>
      </c>
      <c r="B154" s="121"/>
      <c r="C154" s="121"/>
      <c r="D154" s="121"/>
      <c r="E154" t="str">
        <f ca="1">IF(D2&lt;&gt;"","Done",IF(C2&lt;&gt;"","In Progress",IF(B2&lt;&gt;"",IF(TODAY()&gt;B2,"Should have started","Planned"),"")))</f>
        <v/>
      </c>
      <c r="F154" s="120" t="str">
        <f ca="1">IF(E2="Done",D2-C2,IF(E2="In Progress",TODAY()-C2,IF(E2="Should have started",TODAY()-B2,"")))</f>
        <v/>
      </c>
      <c r="G154" s="121"/>
      <c r="K154" s="121"/>
      <c r="L154" s="121"/>
      <c r="M154" s="121"/>
      <c r="O154" s="120"/>
      <c r="T154" s="121"/>
      <c r="U154" s="120"/>
      <c r="W154" s="121"/>
      <c r="X154" s="120"/>
      <c r="Z154" s="121"/>
      <c r="AA154" s="121"/>
      <c r="AB154" s="120"/>
      <c r="AD154" s="121"/>
      <c r="AE154" s="121"/>
      <c r="AF154" s="120"/>
      <c r="AJ154" s="121"/>
    </row>
    <row r="155" spans="1:36">
      <c r="A155" t="str" cm="1">
        <f t="array" ref="A155">_xlfn.LET(_xlpm.src,TRIM(#REF!), _xlpm.u,_xlfn._xlws.SORT(_xlfn.UNIQUE(_xlfn._xlws.FILTER(_xlpm.src,_xlpm.src&lt;&gt;""))), IFERROR(INDEX(_xlpm.u,ROWS(A$2:A155)),""))</f>
        <v/>
      </c>
      <c r="B155" s="121"/>
      <c r="C155" s="121"/>
      <c r="D155" s="121"/>
      <c r="E155" t="str">
        <f ca="1">IF(D2&lt;&gt;"","Done",IF(C2&lt;&gt;"","In Progress",IF(B2&lt;&gt;"",IF(TODAY()&gt;B2,"Should have started","Planned"),"")))</f>
        <v/>
      </c>
      <c r="F155" s="120" t="str">
        <f ca="1">IF(E2="Done",D2-C2,IF(E2="In Progress",TODAY()-C2,IF(E2="Should have started",TODAY()-B2,"")))</f>
        <v/>
      </c>
      <c r="G155" s="121"/>
      <c r="K155" s="121"/>
      <c r="L155" s="121"/>
      <c r="M155" s="121"/>
      <c r="O155" s="120"/>
      <c r="T155" s="121"/>
      <c r="U155" s="120"/>
      <c r="W155" s="121"/>
      <c r="X155" s="120"/>
      <c r="Z155" s="121"/>
      <c r="AA155" s="121"/>
      <c r="AB155" s="120"/>
      <c r="AD155" s="121"/>
      <c r="AE155" s="121"/>
      <c r="AF155" s="120"/>
      <c r="AJ155" s="121"/>
    </row>
    <row r="156" spans="1:36">
      <c r="A156" t="str" cm="1">
        <f t="array" ref="A156">_xlfn.LET(_xlpm.src,TRIM(#REF!), _xlpm.u,_xlfn._xlws.SORT(_xlfn.UNIQUE(_xlfn._xlws.FILTER(_xlpm.src,_xlpm.src&lt;&gt;""))), IFERROR(INDEX(_xlpm.u,ROWS(A$2:A156)),""))</f>
        <v/>
      </c>
      <c r="B156" s="121"/>
      <c r="C156" s="121"/>
      <c r="D156" s="121"/>
      <c r="E156" t="str">
        <f ca="1">IF(D2&lt;&gt;"","Done",IF(C2&lt;&gt;"","In Progress",IF(B2&lt;&gt;"",IF(TODAY()&gt;B2,"Should have started","Planned"),"")))</f>
        <v/>
      </c>
      <c r="F156" s="120" t="str">
        <f ca="1">IF(E2="Done",D2-C2,IF(E2="In Progress",TODAY()-C2,IF(E2="Should have started",TODAY()-B2,"")))</f>
        <v/>
      </c>
      <c r="G156" s="121"/>
      <c r="K156" s="121"/>
      <c r="L156" s="121"/>
      <c r="M156" s="121"/>
      <c r="O156" s="120"/>
      <c r="T156" s="121"/>
      <c r="U156" s="120"/>
      <c r="W156" s="121"/>
      <c r="X156" s="120"/>
      <c r="Z156" s="121"/>
      <c r="AA156" s="121"/>
      <c r="AB156" s="120"/>
      <c r="AD156" s="121"/>
      <c r="AE156" s="121"/>
      <c r="AF156" s="120"/>
      <c r="AJ156" s="121"/>
    </row>
    <row r="157" spans="1:36">
      <c r="A157" t="str" cm="1">
        <f t="array" ref="A157">_xlfn.LET(_xlpm.src,TRIM(#REF!), _xlpm.u,_xlfn._xlws.SORT(_xlfn.UNIQUE(_xlfn._xlws.FILTER(_xlpm.src,_xlpm.src&lt;&gt;""))), IFERROR(INDEX(_xlpm.u,ROWS(A$2:A157)),""))</f>
        <v/>
      </c>
      <c r="B157" s="121"/>
      <c r="C157" s="121"/>
      <c r="D157" s="121"/>
      <c r="E157" t="str">
        <f ca="1">IF(D2&lt;&gt;"","Done",IF(C2&lt;&gt;"","In Progress",IF(B2&lt;&gt;"",IF(TODAY()&gt;B2,"Should have started","Planned"),"")))</f>
        <v/>
      </c>
      <c r="F157" s="120" t="str">
        <f ca="1">IF(E2="Done",D2-C2,IF(E2="In Progress",TODAY()-C2,IF(E2="Should have started",TODAY()-B2,"")))</f>
        <v/>
      </c>
      <c r="G157" s="121"/>
      <c r="K157" s="121"/>
      <c r="L157" s="121"/>
      <c r="M157" s="121"/>
      <c r="O157" s="120"/>
      <c r="T157" s="121"/>
      <c r="U157" s="120"/>
      <c r="W157" s="121"/>
      <c r="X157" s="120"/>
      <c r="Z157" s="121"/>
      <c r="AA157" s="121"/>
      <c r="AB157" s="120"/>
      <c r="AD157" s="121"/>
      <c r="AE157" s="121"/>
      <c r="AF157" s="120"/>
      <c r="AJ157" s="121"/>
    </row>
    <row r="158" spans="1:36">
      <c r="A158" t="str" cm="1">
        <f t="array" ref="A158">_xlfn.LET(_xlpm.src,TRIM(#REF!), _xlpm.u,_xlfn._xlws.SORT(_xlfn.UNIQUE(_xlfn._xlws.FILTER(_xlpm.src,_xlpm.src&lt;&gt;""))), IFERROR(INDEX(_xlpm.u,ROWS(A$2:A158)),""))</f>
        <v/>
      </c>
      <c r="B158" s="121"/>
      <c r="C158" s="121"/>
      <c r="D158" s="121"/>
      <c r="E158" t="str">
        <f ca="1">IF(D2&lt;&gt;"","Done",IF(C2&lt;&gt;"","In Progress",IF(B2&lt;&gt;"",IF(TODAY()&gt;B2,"Should have started","Planned"),"")))</f>
        <v/>
      </c>
      <c r="F158" s="120" t="str">
        <f ca="1">IF(E2="Done",D2-C2,IF(E2="In Progress",TODAY()-C2,IF(E2="Should have started",TODAY()-B2,"")))</f>
        <v/>
      </c>
      <c r="G158" s="121"/>
      <c r="K158" s="121"/>
      <c r="L158" s="121"/>
      <c r="M158" s="121"/>
      <c r="O158" s="120"/>
      <c r="T158" s="121"/>
      <c r="U158" s="120"/>
      <c r="W158" s="121"/>
      <c r="X158" s="120"/>
      <c r="Z158" s="121"/>
      <c r="AA158" s="121"/>
      <c r="AB158" s="120"/>
      <c r="AD158" s="121"/>
      <c r="AE158" s="121"/>
      <c r="AF158" s="120"/>
      <c r="AJ158" s="121"/>
    </row>
    <row r="159" spans="1:36">
      <c r="A159" t="str" cm="1">
        <f t="array" ref="A159">_xlfn.LET(_xlpm.src,TRIM(#REF!), _xlpm.u,_xlfn._xlws.SORT(_xlfn.UNIQUE(_xlfn._xlws.FILTER(_xlpm.src,_xlpm.src&lt;&gt;""))), IFERROR(INDEX(_xlpm.u,ROWS(A$2:A159)),""))</f>
        <v/>
      </c>
      <c r="B159" s="121"/>
      <c r="C159" s="121"/>
      <c r="D159" s="121"/>
      <c r="E159" t="str">
        <f ca="1">IF(D2&lt;&gt;"","Done",IF(C2&lt;&gt;"","In Progress",IF(B2&lt;&gt;"",IF(TODAY()&gt;B2,"Should have started","Planned"),"")))</f>
        <v/>
      </c>
      <c r="F159" s="120" t="str">
        <f ca="1">IF(E2="Done",D2-C2,IF(E2="In Progress",TODAY()-C2,IF(E2="Should have started",TODAY()-B2,"")))</f>
        <v/>
      </c>
      <c r="G159" s="121"/>
      <c r="K159" s="121"/>
      <c r="L159" s="121"/>
      <c r="M159" s="121"/>
      <c r="O159" s="120"/>
      <c r="T159" s="121"/>
      <c r="U159" s="120"/>
      <c r="W159" s="121"/>
      <c r="X159" s="120"/>
      <c r="Z159" s="121"/>
      <c r="AA159" s="121"/>
      <c r="AB159" s="120"/>
      <c r="AD159" s="121"/>
      <c r="AE159" s="121"/>
      <c r="AF159" s="120"/>
      <c r="AJ159" s="121"/>
    </row>
    <row r="160" spans="1:36">
      <c r="A160" t="str" cm="1">
        <f t="array" ref="A160">_xlfn.LET(_xlpm.src,TRIM(#REF!), _xlpm.u,_xlfn._xlws.SORT(_xlfn.UNIQUE(_xlfn._xlws.FILTER(_xlpm.src,_xlpm.src&lt;&gt;""))), IFERROR(INDEX(_xlpm.u,ROWS(A$2:A160)),""))</f>
        <v/>
      </c>
      <c r="B160" s="121"/>
      <c r="C160" s="121"/>
      <c r="D160" s="121"/>
      <c r="E160" t="str">
        <f ca="1">IF(D2&lt;&gt;"","Done",IF(C2&lt;&gt;"","In Progress",IF(B2&lt;&gt;"",IF(TODAY()&gt;B2,"Should have started","Planned"),"")))</f>
        <v/>
      </c>
      <c r="F160" s="120" t="str">
        <f ca="1">IF(E2="Done",D2-C2,IF(E2="In Progress",TODAY()-C2,IF(E2="Should have started",TODAY()-B2,"")))</f>
        <v/>
      </c>
      <c r="G160" s="121"/>
      <c r="K160" s="121"/>
      <c r="L160" s="121"/>
      <c r="M160" s="121"/>
      <c r="O160" s="120"/>
      <c r="T160" s="121"/>
      <c r="U160" s="120"/>
      <c r="W160" s="121"/>
      <c r="X160" s="120"/>
      <c r="Z160" s="121"/>
      <c r="AA160" s="121"/>
      <c r="AB160" s="120"/>
      <c r="AD160" s="121"/>
      <c r="AE160" s="121"/>
      <c r="AF160" s="120"/>
      <c r="AJ160" s="121"/>
    </row>
    <row r="161" spans="1:36">
      <c r="A161" t="str" cm="1">
        <f t="array" ref="A161">_xlfn.LET(_xlpm.src,TRIM(#REF!), _xlpm.u,_xlfn._xlws.SORT(_xlfn.UNIQUE(_xlfn._xlws.FILTER(_xlpm.src,_xlpm.src&lt;&gt;""))), IFERROR(INDEX(_xlpm.u,ROWS(A$2:A161)),""))</f>
        <v/>
      </c>
      <c r="B161" s="121"/>
      <c r="C161" s="121"/>
      <c r="D161" s="121"/>
      <c r="E161" t="str">
        <f ca="1">IF(D2&lt;&gt;"","Done",IF(C2&lt;&gt;"","In Progress",IF(B2&lt;&gt;"",IF(TODAY()&gt;B2,"Should have started","Planned"),"")))</f>
        <v/>
      </c>
      <c r="F161" s="120" t="str">
        <f ca="1">IF(E2="Done",D2-C2,IF(E2="In Progress",TODAY()-C2,IF(E2="Should have started",TODAY()-B2,"")))</f>
        <v/>
      </c>
      <c r="G161" s="121"/>
      <c r="K161" s="121"/>
      <c r="L161" s="121"/>
      <c r="M161" s="121"/>
      <c r="O161" s="120"/>
      <c r="T161" s="121"/>
      <c r="U161" s="120"/>
      <c r="W161" s="121"/>
      <c r="X161" s="120"/>
      <c r="Z161" s="121"/>
      <c r="AA161" s="121"/>
      <c r="AB161" s="120"/>
      <c r="AD161" s="121"/>
      <c r="AE161" s="121"/>
      <c r="AF161" s="120"/>
      <c r="AJ161" s="121"/>
    </row>
    <row r="162" spans="1:36">
      <c r="A162" t="str" cm="1">
        <f t="array" ref="A162">_xlfn.LET(_xlpm.src,TRIM(#REF!), _xlpm.u,_xlfn._xlws.SORT(_xlfn.UNIQUE(_xlfn._xlws.FILTER(_xlpm.src,_xlpm.src&lt;&gt;""))), IFERROR(INDEX(_xlpm.u,ROWS(A$2:A162)),""))</f>
        <v/>
      </c>
      <c r="B162" s="121"/>
      <c r="C162" s="121"/>
      <c r="D162" s="121"/>
      <c r="E162" t="str">
        <f ca="1">IF(D2&lt;&gt;"","Done",IF(C2&lt;&gt;"","In Progress",IF(B2&lt;&gt;"",IF(TODAY()&gt;B2,"Should have started","Planned"),"")))</f>
        <v/>
      </c>
      <c r="F162" s="120" t="str">
        <f ca="1">IF(E2="Done",D2-C2,IF(E2="In Progress",TODAY()-C2,IF(E2="Should have started",TODAY()-B2,"")))</f>
        <v/>
      </c>
      <c r="G162" s="121"/>
      <c r="K162" s="121"/>
      <c r="L162" s="121"/>
      <c r="M162" s="121"/>
      <c r="O162" s="120"/>
      <c r="T162" s="121"/>
      <c r="U162" s="120"/>
      <c r="W162" s="121"/>
      <c r="X162" s="120"/>
      <c r="Z162" s="121"/>
      <c r="AA162" s="121"/>
      <c r="AB162" s="120"/>
      <c r="AD162" s="121"/>
      <c r="AE162" s="121"/>
      <c r="AF162" s="120"/>
      <c r="AJ162" s="121"/>
    </row>
    <row r="163" spans="1:36">
      <c r="A163" t="str" cm="1">
        <f t="array" ref="A163">_xlfn.LET(_xlpm.src,TRIM(#REF!), _xlpm.u,_xlfn._xlws.SORT(_xlfn.UNIQUE(_xlfn._xlws.FILTER(_xlpm.src,_xlpm.src&lt;&gt;""))), IFERROR(INDEX(_xlpm.u,ROWS(A$2:A163)),""))</f>
        <v/>
      </c>
      <c r="B163" s="121"/>
      <c r="C163" s="121"/>
      <c r="D163" s="121"/>
      <c r="E163" t="str">
        <f ca="1">IF(D2&lt;&gt;"","Done",IF(C2&lt;&gt;"","In Progress",IF(B2&lt;&gt;"",IF(TODAY()&gt;B2,"Should have started","Planned"),"")))</f>
        <v/>
      </c>
      <c r="F163" s="120" t="str">
        <f ca="1">IF(E2="Done",D2-C2,IF(E2="In Progress",TODAY()-C2,IF(E2="Should have started",TODAY()-B2,"")))</f>
        <v/>
      </c>
      <c r="G163" s="121"/>
      <c r="K163" s="121"/>
      <c r="L163" s="121"/>
      <c r="M163" s="121"/>
      <c r="O163" s="120"/>
      <c r="T163" s="121"/>
      <c r="U163" s="120"/>
      <c r="W163" s="121"/>
      <c r="X163" s="120"/>
      <c r="Z163" s="121"/>
      <c r="AA163" s="121"/>
      <c r="AB163" s="120"/>
      <c r="AD163" s="121"/>
      <c r="AE163" s="121"/>
      <c r="AF163" s="120"/>
      <c r="AJ163" s="121"/>
    </row>
    <row r="164" spans="1:36">
      <c r="A164" t="str" cm="1">
        <f t="array" ref="A164">_xlfn.LET(_xlpm.src,TRIM(#REF!), _xlpm.u,_xlfn._xlws.SORT(_xlfn.UNIQUE(_xlfn._xlws.FILTER(_xlpm.src,_xlpm.src&lt;&gt;""))), IFERROR(INDEX(_xlpm.u,ROWS(A$2:A164)),""))</f>
        <v/>
      </c>
      <c r="B164" s="121"/>
      <c r="C164" s="121"/>
      <c r="D164" s="121"/>
      <c r="E164" t="str">
        <f ca="1">IF(D2&lt;&gt;"","Done",IF(C2&lt;&gt;"","In Progress",IF(B2&lt;&gt;"",IF(TODAY()&gt;B2,"Should have started","Planned"),"")))</f>
        <v/>
      </c>
      <c r="F164" s="120" t="str">
        <f ca="1">IF(E2="Done",D2-C2,IF(E2="In Progress",TODAY()-C2,IF(E2="Should have started",TODAY()-B2,"")))</f>
        <v/>
      </c>
      <c r="G164" s="121"/>
      <c r="K164" s="121"/>
      <c r="L164" s="121"/>
      <c r="M164" s="121"/>
      <c r="O164" s="120"/>
      <c r="T164" s="121"/>
      <c r="U164" s="120"/>
      <c r="W164" s="121"/>
      <c r="X164" s="120"/>
      <c r="Z164" s="121"/>
      <c r="AA164" s="121"/>
      <c r="AB164" s="120"/>
      <c r="AD164" s="121"/>
      <c r="AE164" s="121"/>
      <c r="AF164" s="120"/>
      <c r="AJ164" s="121"/>
    </row>
    <row r="165" spans="1:36">
      <c r="A165" t="str" cm="1">
        <f t="array" ref="A165">_xlfn.LET(_xlpm.src,TRIM(#REF!), _xlpm.u,_xlfn._xlws.SORT(_xlfn.UNIQUE(_xlfn._xlws.FILTER(_xlpm.src,_xlpm.src&lt;&gt;""))), IFERROR(INDEX(_xlpm.u,ROWS(A$2:A165)),""))</f>
        <v/>
      </c>
      <c r="B165" s="121"/>
      <c r="C165" s="121"/>
      <c r="D165" s="121"/>
      <c r="E165" t="str">
        <f ca="1">IF(D2&lt;&gt;"","Done",IF(C2&lt;&gt;"","In Progress",IF(B2&lt;&gt;"",IF(TODAY()&gt;B2,"Should have started","Planned"),"")))</f>
        <v/>
      </c>
      <c r="F165" s="120" t="str">
        <f ca="1">IF(E2="Done",D2-C2,IF(E2="In Progress",TODAY()-C2,IF(E2="Should have started",TODAY()-B2,"")))</f>
        <v/>
      </c>
      <c r="G165" s="121"/>
      <c r="K165" s="121"/>
      <c r="L165" s="121"/>
      <c r="M165" s="121"/>
      <c r="O165" s="120"/>
      <c r="T165" s="121"/>
      <c r="U165" s="120"/>
      <c r="W165" s="121"/>
      <c r="X165" s="120"/>
      <c r="Z165" s="121"/>
      <c r="AA165" s="121"/>
      <c r="AB165" s="120"/>
      <c r="AD165" s="121"/>
      <c r="AE165" s="121"/>
      <c r="AF165" s="120"/>
      <c r="AJ165" s="121"/>
    </row>
    <row r="166" spans="1:36">
      <c r="A166" t="str" cm="1">
        <f t="array" ref="A166">_xlfn.LET(_xlpm.src,TRIM(#REF!), _xlpm.u,_xlfn._xlws.SORT(_xlfn.UNIQUE(_xlfn._xlws.FILTER(_xlpm.src,_xlpm.src&lt;&gt;""))), IFERROR(INDEX(_xlpm.u,ROWS(A$2:A166)),""))</f>
        <v/>
      </c>
      <c r="B166" s="121"/>
      <c r="C166" s="121"/>
      <c r="D166" s="121"/>
      <c r="E166" t="str">
        <f ca="1">IF(D2&lt;&gt;"","Done",IF(C2&lt;&gt;"","In Progress",IF(B2&lt;&gt;"",IF(TODAY()&gt;B2,"Should have started","Planned"),"")))</f>
        <v/>
      </c>
      <c r="F166" s="120" t="str">
        <f ca="1">IF(E2="Done",D2-C2,IF(E2="In Progress",TODAY()-C2,IF(E2="Should have started",TODAY()-B2,"")))</f>
        <v/>
      </c>
      <c r="G166" s="121"/>
      <c r="K166" s="121"/>
      <c r="L166" s="121"/>
      <c r="M166" s="121"/>
      <c r="O166" s="120"/>
      <c r="T166" s="121"/>
      <c r="U166" s="120"/>
      <c r="W166" s="121"/>
      <c r="X166" s="120"/>
      <c r="Z166" s="121"/>
      <c r="AA166" s="121"/>
      <c r="AB166" s="120"/>
      <c r="AD166" s="121"/>
      <c r="AE166" s="121"/>
      <c r="AF166" s="120"/>
      <c r="AJ166" s="121"/>
    </row>
    <row r="167" spans="1:36">
      <c r="A167" t="str" cm="1">
        <f t="array" ref="A167">_xlfn.LET(_xlpm.src,TRIM(#REF!), _xlpm.u,_xlfn._xlws.SORT(_xlfn.UNIQUE(_xlfn._xlws.FILTER(_xlpm.src,_xlpm.src&lt;&gt;""))), IFERROR(INDEX(_xlpm.u,ROWS(A$2:A167)),""))</f>
        <v/>
      </c>
      <c r="B167" s="121"/>
      <c r="C167" s="121"/>
      <c r="D167" s="121"/>
      <c r="E167" t="str">
        <f ca="1">IF(D2&lt;&gt;"","Done",IF(C2&lt;&gt;"","In Progress",IF(B2&lt;&gt;"",IF(TODAY()&gt;B2,"Should have started","Planned"),"")))</f>
        <v/>
      </c>
      <c r="F167" s="120" t="str">
        <f ca="1">IF(E2="Done",D2-C2,IF(E2="In Progress",TODAY()-C2,IF(E2="Should have started",TODAY()-B2,"")))</f>
        <v/>
      </c>
      <c r="G167" s="121"/>
      <c r="K167" s="121"/>
      <c r="L167" s="121"/>
      <c r="M167" s="121"/>
      <c r="O167" s="120"/>
      <c r="T167" s="121"/>
      <c r="U167" s="120"/>
      <c r="W167" s="121"/>
      <c r="X167" s="120"/>
      <c r="Z167" s="121"/>
      <c r="AA167" s="121"/>
      <c r="AB167" s="120"/>
      <c r="AD167" s="121"/>
      <c r="AE167" s="121"/>
      <c r="AF167" s="120"/>
      <c r="AJ167" s="121"/>
    </row>
    <row r="168" spans="1:36">
      <c r="A168" t="str" cm="1">
        <f t="array" ref="A168">_xlfn.LET(_xlpm.src,TRIM(#REF!), _xlpm.u,_xlfn._xlws.SORT(_xlfn.UNIQUE(_xlfn._xlws.FILTER(_xlpm.src,_xlpm.src&lt;&gt;""))), IFERROR(INDEX(_xlpm.u,ROWS(A$2:A168)),""))</f>
        <v/>
      </c>
      <c r="B168" s="121"/>
      <c r="C168" s="121"/>
      <c r="D168" s="121"/>
      <c r="E168" t="str">
        <f ca="1">IF(D2&lt;&gt;"","Done",IF(C2&lt;&gt;"","In Progress",IF(B2&lt;&gt;"",IF(TODAY()&gt;B2,"Should have started","Planned"),"")))</f>
        <v/>
      </c>
      <c r="F168" s="120" t="str">
        <f ca="1">IF(E2="Done",D2-C2,IF(E2="In Progress",TODAY()-C2,IF(E2="Should have started",TODAY()-B2,"")))</f>
        <v/>
      </c>
      <c r="G168" s="121"/>
      <c r="K168" s="121"/>
      <c r="L168" s="121"/>
      <c r="M168" s="121"/>
      <c r="O168" s="120"/>
      <c r="T168" s="121"/>
      <c r="U168" s="120"/>
      <c r="W168" s="121"/>
      <c r="X168" s="120"/>
      <c r="Z168" s="121"/>
      <c r="AA168" s="121"/>
      <c r="AB168" s="120"/>
      <c r="AD168" s="121"/>
      <c r="AE168" s="121"/>
      <c r="AF168" s="120"/>
      <c r="AJ168" s="121"/>
    </row>
    <row r="169" spans="1:36">
      <c r="A169" t="str" cm="1">
        <f t="array" ref="A169">_xlfn.LET(_xlpm.src,TRIM(#REF!), _xlpm.u,_xlfn._xlws.SORT(_xlfn.UNIQUE(_xlfn._xlws.FILTER(_xlpm.src,_xlpm.src&lt;&gt;""))), IFERROR(INDEX(_xlpm.u,ROWS(A$2:A169)),""))</f>
        <v/>
      </c>
      <c r="B169" s="121"/>
      <c r="C169" s="121"/>
      <c r="D169" s="121"/>
      <c r="E169" t="str">
        <f ca="1">IF(D2&lt;&gt;"","Done",IF(C2&lt;&gt;"","In Progress",IF(B2&lt;&gt;"",IF(TODAY()&gt;B2,"Should have started","Planned"),"")))</f>
        <v/>
      </c>
      <c r="F169" s="120" t="str">
        <f ca="1">IF(E2="Done",D2-C2,IF(E2="In Progress",TODAY()-C2,IF(E2="Should have started",TODAY()-B2,"")))</f>
        <v/>
      </c>
      <c r="G169" s="121"/>
      <c r="K169" s="121"/>
      <c r="L169" s="121"/>
      <c r="M169" s="121"/>
      <c r="O169" s="120"/>
      <c r="T169" s="121"/>
      <c r="U169" s="120"/>
      <c r="W169" s="121"/>
      <c r="X169" s="120"/>
      <c r="Z169" s="121"/>
      <c r="AA169" s="121"/>
      <c r="AB169" s="120"/>
      <c r="AD169" s="121"/>
      <c r="AE169" s="121"/>
      <c r="AF169" s="120"/>
      <c r="AJ169" s="121"/>
    </row>
    <row r="170" spans="1:36">
      <c r="A170" t="str" cm="1">
        <f t="array" ref="A170">_xlfn.LET(_xlpm.src,TRIM(#REF!), _xlpm.u,_xlfn._xlws.SORT(_xlfn.UNIQUE(_xlfn._xlws.FILTER(_xlpm.src,_xlpm.src&lt;&gt;""))), IFERROR(INDEX(_xlpm.u,ROWS(A$2:A170)),""))</f>
        <v/>
      </c>
      <c r="B170" s="121"/>
      <c r="C170" s="121"/>
      <c r="D170" s="121"/>
      <c r="E170" t="str">
        <f ca="1">IF(D2&lt;&gt;"","Done",IF(C2&lt;&gt;"","In Progress",IF(B2&lt;&gt;"",IF(TODAY()&gt;B2,"Should have started","Planned"),"")))</f>
        <v/>
      </c>
      <c r="F170" s="120" t="str">
        <f ca="1">IF(E2="Done",D2-C2,IF(E2="In Progress",TODAY()-C2,IF(E2="Should have started",TODAY()-B2,"")))</f>
        <v/>
      </c>
      <c r="G170" s="121"/>
      <c r="K170" s="121"/>
      <c r="L170" s="121"/>
      <c r="M170" s="121"/>
      <c r="O170" s="120"/>
      <c r="T170" s="121"/>
      <c r="U170" s="120"/>
      <c r="W170" s="121"/>
      <c r="X170" s="120"/>
      <c r="Z170" s="121"/>
      <c r="AA170" s="121"/>
      <c r="AB170" s="120"/>
      <c r="AD170" s="121"/>
      <c r="AE170" s="121"/>
      <c r="AF170" s="120"/>
      <c r="AJ170" s="121"/>
    </row>
    <row r="171" spans="1:36">
      <c r="A171" t="str" cm="1">
        <f t="array" ref="A171">_xlfn.LET(_xlpm.src,TRIM(#REF!), _xlpm.u,_xlfn._xlws.SORT(_xlfn.UNIQUE(_xlfn._xlws.FILTER(_xlpm.src,_xlpm.src&lt;&gt;""))), IFERROR(INDEX(_xlpm.u,ROWS(A$2:A171)),""))</f>
        <v/>
      </c>
      <c r="B171" s="121"/>
      <c r="C171" s="121"/>
      <c r="D171" s="121"/>
      <c r="E171" t="str">
        <f ca="1">IF(D2&lt;&gt;"","Done",IF(C2&lt;&gt;"","In Progress",IF(B2&lt;&gt;"",IF(TODAY()&gt;B2,"Should have started","Planned"),"")))</f>
        <v/>
      </c>
      <c r="F171" s="120" t="str">
        <f ca="1">IF(E2="Done",D2-C2,IF(E2="In Progress",TODAY()-C2,IF(E2="Should have started",TODAY()-B2,"")))</f>
        <v/>
      </c>
      <c r="G171" s="121"/>
      <c r="K171" s="121"/>
      <c r="L171" s="121"/>
      <c r="M171" s="121"/>
      <c r="O171" s="120"/>
      <c r="T171" s="121"/>
      <c r="U171" s="120"/>
      <c r="W171" s="121"/>
      <c r="X171" s="120"/>
      <c r="Z171" s="121"/>
      <c r="AA171" s="121"/>
      <c r="AB171" s="120"/>
      <c r="AD171" s="121"/>
      <c r="AE171" s="121"/>
      <c r="AF171" s="120"/>
      <c r="AJ171" s="121"/>
    </row>
    <row r="172" spans="1:36">
      <c r="A172" t="str" cm="1">
        <f t="array" ref="A172">_xlfn.LET(_xlpm.src,TRIM(#REF!), _xlpm.u,_xlfn._xlws.SORT(_xlfn.UNIQUE(_xlfn._xlws.FILTER(_xlpm.src,_xlpm.src&lt;&gt;""))), IFERROR(INDEX(_xlpm.u,ROWS(A$2:A172)),""))</f>
        <v/>
      </c>
      <c r="B172" s="121"/>
      <c r="C172" s="121"/>
      <c r="D172" s="121"/>
      <c r="E172" t="str">
        <f ca="1">IF(D2&lt;&gt;"","Done",IF(C2&lt;&gt;"","In Progress",IF(B2&lt;&gt;"",IF(TODAY()&gt;B2,"Should have started","Planned"),"")))</f>
        <v/>
      </c>
      <c r="F172" s="120" t="str">
        <f ca="1">IF(E2="Done",D2-C2,IF(E2="In Progress",TODAY()-C2,IF(E2="Should have started",TODAY()-B2,"")))</f>
        <v/>
      </c>
      <c r="G172" s="121"/>
      <c r="K172" s="121"/>
      <c r="L172" s="121"/>
      <c r="M172" s="121"/>
      <c r="O172" s="120"/>
      <c r="T172" s="121"/>
      <c r="U172" s="120"/>
      <c r="W172" s="121"/>
      <c r="X172" s="120"/>
      <c r="Z172" s="121"/>
      <c r="AA172" s="121"/>
      <c r="AB172" s="120"/>
      <c r="AD172" s="121"/>
      <c r="AE172" s="121"/>
      <c r="AF172" s="120"/>
      <c r="AJ172" s="121"/>
    </row>
    <row r="173" spans="1:36">
      <c r="A173" t="str" cm="1">
        <f t="array" ref="A173">_xlfn.LET(_xlpm.src,TRIM(#REF!), _xlpm.u,_xlfn._xlws.SORT(_xlfn.UNIQUE(_xlfn._xlws.FILTER(_xlpm.src,_xlpm.src&lt;&gt;""))), IFERROR(INDEX(_xlpm.u,ROWS(A$2:A173)),""))</f>
        <v/>
      </c>
      <c r="B173" s="121"/>
      <c r="C173" s="121"/>
      <c r="D173" s="121"/>
      <c r="E173" t="str">
        <f ca="1">IF(D2&lt;&gt;"","Done",IF(C2&lt;&gt;"","In Progress",IF(B2&lt;&gt;"",IF(TODAY()&gt;B2,"Should have started","Planned"),"")))</f>
        <v/>
      </c>
      <c r="F173" s="120" t="str">
        <f ca="1">IF(E2="Done",D2-C2,IF(E2="In Progress",TODAY()-C2,IF(E2="Should have started",TODAY()-B2,"")))</f>
        <v/>
      </c>
      <c r="G173" s="121"/>
      <c r="K173" s="121"/>
      <c r="L173" s="121"/>
      <c r="M173" s="121"/>
      <c r="O173" s="120"/>
      <c r="T173" s="121"/>
      <c r="U173" s="120"/>
      <c r="W173" s="121"/>
      <c r="X173" s="120"/>
      <c r="Z173" s="121"/>
      <c r="AA173" s="121"/>
      <c r="AB173" s="120"/>
      <c r="AD173" s="121"/>
      <c r="AE173" s="121"/>
      <c r="AF173" s="120"/>
      <c r="AJ173" s="121"/>
    </row>
    <row r="174" spans="1:36">
      <c r="A174" t="str" cm="1">
        <f t="array" ref="A174">_xlfn.LET(_xlpm.src,TRIM(#REF!), _xlpm.u,_xlfn._xlws.SORT(_xlfn.UNIQUE(_xlfn._xlws.FILTER(_xlpm.src,_xlpm.src&lt;&gt;""))), IFERROR(INDEX(_xlpm.u,ROWS(A$2:A174)),""))</f>
        <v/>
      </c>
      <c r="B174" s="121"/>
      <c r="C174" s="121"/>
      <c r="D174" s="121"/>
      <c r="E174" t="str">
        <f ca="1">IF(D2&lt;&gt;"","Done",IF(C2&lt;&gt;"","In Progress",IF(B2&lt;&gt;"",IF(TODAY()&gt;B2,"Should have started","Planned"),"")))</f>
        <v/>
      </c>
      <c r="F174" s="120" t="str">
        <f ca="1">IF(E2="Done",D2-C2,IF(E2="In Progress",TODAY()-C2,IF(E2="Should have started",TODAY()-B2,"")))</f>
        <v/>
      </c>
      <c r="G174" s="121"/>
      <c r="K174" s="121"/>
      <c r="L174" s="121"/>
      <c r="M174" s="121"/>
      <c r="O174" s="120"/>
      <c r="T174" s="121"/>
      <c r="U174" s="120"/>
      <c r="W174" s="121"/>
      <c r="X174" s="120"/>
      <c r="Z174" s="121"/>
      <c r="AA174" s="121"/>
      <c r="AB174" s="120"/>
      <c r="AD174" s="121"/>
      <c r="AE174" s="121"/>
      <c r="AF174" s="120"/>
      <c r="AJ174" s="121"/>
    </row>
    <row r="175" spans="1:36">
      <c r="A175" t="str" cm="1">
        <f t="array" ref="A175">_xlfn.LET(_xlpm.src,TRIM(#REF!), _xlpm.u,_xlfn._xlws.SORT(_xlfn.UNIQUE(_xlfn._xlws.FILTER(_xlpm.src,_xlpm.src&lt;&gt;""))), IFERROR(INDEX(_xlpm.u,ROWS(A$2:A175)),""))</f>
        <v/>
      </c>
      <c r="B175" s="121"/>
      <c r="C175" s="121"/>
      <c r="D175" s="121"/>
      <c r="E175" t="str">
        <f ca="1">IF(D2&lt;&gt;"","Done",IF(C2&lt;&gt;"","In Progress",IF(B2&lt;&gt;"",IF(TODAY()&gt;B2,"Should have started","Planned"),"")))</f>
        <v/>
      </c>
      <c r="F175" s="120" t="str">
        <f ca="1">IF(E2="Done",D2-C2,IF(E2="In Progress",TODAY()-C2,IF(E2="Should have started",TODAY()-B2,"")))</f>
        <v/>
      </c>
      <c r="G175" s="121"/>
      <c r="K175" s="121"/>
      <c r="L175" s="121"/>
      <c r="M175" s="121"/>
      <c r="O175" s="120"/>
      <c r="T175" s="121"/>
      <c r="U175" s="120"/>
      <c r="W175" s="121"/>
      <c r="X175" s="120"/>
      <c r="Z175" s="121"/>
      <c r="AA175" s="121"/>
      <c r="AB175" s="120"/>
      <c r="AD175" s="121"/>
      <c r="AE175" s="121"/>
      <c r="AF175" s="120"/>
      <c r="AJ175" s="121"/>
    </row>
    <row r="176" spans="1:36">
      <c r="A176" t="str" cm="1">
        <f t="array" ref="A176">_xlfn.LET(_xlpm.src,TRIM(#REF!), _xlpm.u,_xlfn._xlws.SORT(_xlfn.UNIQUE(_xlfn._xlws.FILTER(_xlpm.src,_xlpm.src&lt;&gt;""))), IFERROR(INDEX(_xlpm.u,ROWS(A$2:A176)),""))</f>
        <v/>
      </c>
      <c r="B176" s="121"/>
      <c r="C176" s="121"/>
      <c r="D176" s="121"/>
      <c r="E176" t="str">
        <f ca="1">IF(D2&lt;&gt;"","Done",IF(C2&lt;&gt;"","In Progress",IF(B2&lt;&gt;"",IF(TODAY()&gt;B2,"Should have started","Planned"),"")))</f>
        <v/>
      </c>
      <c r="F176" s="120" t="str">
        <f ca="1">IF(E2="Done",D2-C2,IF(E2="In Progress",TODAY()-C2,IF(E2="Should have started",TODAY()-B2,"")))</f>
        <v/>
      </c>
      <c r="G176" s="121"/>
      <c r="K176" s="121"/>
      <c r="L176" s="121"/>
      <c r="M176" s="121"/>
      <c r="O176" s="120"/>
      <c r="T176" s="121"/>
      <c r="U176" s="120"/>
      <c r="W176" s="121"/>
      <c r="X176" s="120"/>
      <c r="Z176" s="121"/>
      <c r="AA176" s="121"/>
      <c r="AB176" s="120"/>
      <c r="AD176" s="121"/>
      <c r="AE176" s="121"/>
      <c r="AF176" s="120"/>
      <c r="AJ176" s="121"/>
    </row>
    <row r="177" spans="1:36">
      <c r="A177" t="str" cm="1">
        <f t="array" ref="A177">_xlfn.LET(_xlpm.src,TRIM(#REF!), _xlpm.u,_xlfn._xlws.SORT(_xlfn.UNIQUE(_xlfn._xlws.FILTER(_xlpm.src,_xlpm.src&lt;&gt;""))), IFERROR(INDEX(_xlpm.u,ROWS(A$2:A177)),""))</f>
        <v/>
      </c>
      <c r="B177" s="121"/>
      <c r="C177" s="121"/>
      <c r="D177" s="121"/>
      <c r="E177" t="str">
        <f ca="1">IF(D2&lt;&gt;"","Done",IF(C2&lt;&gt;"","In Progress",IF(B2&lt;&gt;"",IF(TODAY()&gt;B2,"Should have started","Planned"),"")))</f>
        <v/>
      </c>
      <c r="F177" s="120" t="str">
        <f ca="1">IF(E2="Done",D2-C2,IF(E2="In Progress",TODAY()-C2,IF(E2="Should have started",TODAY()-B2,"")))</f>
        <v/>
      </c>
      <c r="G177" s="121"/>
      <c r="K177" s="121"/>
      <c r="L177" s="121"/>
      <c r="M177" s="121"/>
      <c r="O177" s="120"/>
      <c r="T177" s="121"/>
      <c r="U177" s="120"/>
      <c r="W177" s="121"/>
      <c r="X177" s="120"/>
      <c r="Z177" s="121"/>
      <c r="AA177" s="121"/>
      <c r="AB177" s="120"/>
      <c r="AD177" s="121"/>
      <c r="AE177" s="121"/>
      <c r="AF177" s="120"/>
      <c r="AJ177" s="121"/>
    </row>
    <row r="178" spans="1:36">
      <c r="A178" t="str" cm="1">
        <f t="array" ref="A178">_xlfn.LET(_xlpm.src,TRIM(#REF!), _xlpm.u,_xlfn._xlws.SORT(_xlfn.UNIQUE(_xlfn._xlws.FILTER(_xlpm.src,_xlpm.src&lt;&gt;""))), IFERROR(INDEX(_xlpm.u,ROWS(A$2:A178)),""))</f>
        <v/>
      </c>
      <c r="B178" s="121"/>
      <c r="C178" s="121"/>
      <c r="D178" s="121"/>
      <c r="E178" t="str">
        <f ca="1">IF(D2&lt;&gt;"","Done",IF(C2&lt;&gt;"","In Progress",IF(B2&lt;&gt;"",IF(TODAY()&gt;B2,"Should have started","Planned"),"")))</f>
        <v/>
      </c>
      <c r="F178" s="120" t="str">
        <f ca="1">IF(E2="Done",D2-C2,IF(E2="In Progress",TODAY()-C2,IF(E2="Should have started",TODAY()-B2,"")))</f>
        <v/>
      </c>
      <c r="G178" s="121"/>
      <c r="K178" s="121"/>
      <c r="L178" s="121"/>
      <c r="M178" s="121"/>
      <c r="O178" s="120"/>
      <c r="T178" s="121"/>
      <c r="U178" s="120"/>
      <c r="W178" s="121"/>
      <c r="X178" s="120"/>
      <c r="Z178" s="121"/>
      <c r="AA178" s="121"/>
      <c r="AB178" s="120"/>
      <c r="AD178" s="121"/>
      <c r="AE178" s="121"/>
      <c r="AF178" s="120"/>
      <c r="AJ178" s="121"/>
    </row>
    <row r="179" spans="1:36">
      <c r="A179" t="str" cm="1">
        <f t="array" ref="A179">_xlfn.LET(_xlpm.src,TRIM(#REF!), _xlpm.u,_xlfn._xlws.SORT(_xlfn.UNIQUE(_xlfn._xlws.FILTER(_xlpm.src,_xlpm.src&lt;&gt;""))), IFERROR(INDEX(_xlpm.u,ROWS(A$2:A179)),""))</f>
        <v/>
      </c>
      <c r="B179" s="121"/>
      <c r="C179" s="121"/>
      <c r="D179" s="121"/>
      <c r="E179" t="str">
        <f ca="1">IF(D2&lt;&gt;"","Done",IF(C2&lt;&gt;"","In Progress",IF(B2&lt;&gt;"",IF(TODAY()&gt;B2,"Should have started","Planned"),"")))</f>
        <v/>
      </c>
      <c r="F179" s="120" t="str">
        <f ca="1">IF(E2="Done",D2-C2,IF(E2="In Progress",TODAY()-C2,IF(E2="Should have started",TODAY()-B2,"")))</f>
        <v/>
      </c>
      <c r="G179" s="121"/>
      <c r="K179" s="121"/>
      <c r="L179" s="121"/>
      <c r="M179" s="121"/>
      <c r="O179" s="120"/>
      <c r="T179" s="121"/>
      <c r="U179" s="120"/>
      <c r="W179" s="121"/>
      <c r="X179" s="120"/>
      <c r="Z179" s="121"/>
      <c r="AA179" s="121"/>
      <c r="AB179" s="120"/>
      <c r="AD179" s="121"/>
      <c r="AE179" s="121"/>
      <c r="AF179" s="120"/>
      <c r="AJ179" s="121"/>
    </row>
    <row r="180" spans="1:36">
      <c r="A180" t="str" cm="1">
        <f t="array" ref="A180">_xlfn.LET(_xlpm.src,TRIM(#REF!), _xlpm.u,_xlfn._xlws.SORT(_xlfn.UNIQUE(_xlfn._xlws.FILTER(_xlpm.src,_xlpm.src&lt;&gt;""))), IFERROR(INDEX(_xlpm.u,ROWS(A$2:A180)),""))</f>
        <v/>
      </c>
      <c r="B180" s="121"/>
      <c r="C180" s="121"/>
      <c r="D180" s="121"/>
      <c r="E180" t="str">
        <f ca="1">IF(D2&lt;&gt;"","Done",IF(C2&lt;&gt;"","In Progress",IF(B2&lt;&gt;"",IF(TODAY()&gt;B2,"Should have started","Planned"),"")))</f>
        <v/>
      </c>
      <c r="F180" s="120" t="str">
        <f ca="1">IF(E2="Done",D2-C2,IF(E2="In Progress",TODAY()-C2,IF(E2="Should have started",TODAY()-B2,"")))</f>
        <v/>
      </c>
      <c r="G180" s="121"/>
      <c r="K180" s="121"/>
      <c r="L180" s="121"/>
      <c r="M180" s="121"/>
      <c r="O180" s="120"/>
      <c r="T180" s="121"/>
      <c r="U180" s="120"/>
      <c r="W180" s="121"/>
      <c r="X180" s="120"/>
      <c r="Z180" s="121"/>
      <c r="AA180" s="121"/>
      <c r="AB180" s="120"/>
      <c r="AD180" s="121"/>
      <c r="AE180" s="121"/>
      <c r="AF180" s="120"/>
      <c r="AJ180" s="121"/>
    </row>
    <row r="181" spans="1:36">
      <c r="A181" t="str" cm="1">
        <f t="array" ref="A181">_xlfn.LET(_xlpm.src,TRIM(#REF!), _xlpm.u,_xlfn._xlws.SORT(_xlfn.UNIQUE(_xlfn._xlws.FILTER(_xlpm.src,_xlpm.src&lt;&gt;""))), IFERROR(INDEX(_xlpm.u,ROWS(A$2:A181)),""))</f>
        <v/>
      </c>
      <c r="B181" s="121"/>
      <c r="C181" s="121"/>
      <c r="D181" s="121"/>
      <c r="E181" t="str">
        <f ca="1">IF(D2&lt;&gt;"","Done",IF(C2&lt;&gt;"","In Progress",IF(B2&lt;&gt;"",IF(TODAY()&gt;B2,"Should have started","Planned"),"")))</f>
        <v/>
      </c>
      <c r="F181" s="120" t="str">
        <f ca="1">IF(E2="Done",D2-C2,IF(E2="In Progress",TODAY()-C2,IF(E2="Should have started",TODAY()-B2,"")))</f>
        <v/>
      </c>
      <c r="G181" s="121"/>
      <c r="K181" s="121"/>
      <c r="L181" s="121"/>
      <c r="M181" s="121"/>
      <c r="O181" s="120"/>
      <c r="T181" s="121"/>
      <c r="U181" s="120"/>
      <c r="W181" s="121"/>
      <c r="X181" s="120"/>
      <c r="Z181" s="121"/>
      <c r="AA181" s="121"/>
      <c r="AB181" s="120"/>
      <c r="AD181" s="121"/>
      <c r="AE181" s="121"/>
      <c r="AF181" s="120"/>
      <c r="AJ181" s="121"/>
    </row>
    <row r="182" spans="1:36">
      <c r="A182" t="str" cm="1">
        <f t="array" ref="A182">_xlfn.LET(_xlpm.src,TRIM(#REF!), _xlpm.u,_xlfn._xlws.SORT(_xlfn.UNIQUE(_xlfn._xlws.FILTER(_xlpm.src,_xlpm.src&lt;&gt;""))), IFERROR(INDEX(_xlpm.u,ROWS(A$2:A182)),""))</f>
        <v/>
      </c>
      <c r="B182" s="121"/>
      <c r="C182" s="121"/>
      <c r="D182" s="121"/>
      <c r="E182" t="str">
        <f ca="1">IF(D2&lt;&gt;"","Done",IF(C2&lt;&gt;"","In Progress",IF(B2&lt;&gt;"",IF(TODAY()&gt;B2,"Should have started","Planned"),"")))</f>
        <v/>
      </c>
      <c r="F182" s="120" t="str">
        <f ca="1">IF(E2="Done",D2-C2,IF(E2="In Progress",TODAY()-C2,IF(E2="Should have started",TODAY()-B2,"")))</f>
        <v/>
      </c>
      <c r="G182" s="121"/>
      <c r="K182" s="121"/>
      <c r="L182" s="121"/>
      <c r="M182" s="121"/>
      <c r="O182" s="120"/>
      <c r="T182" s="121"/>
      <c r="U182" s="120"/>
      <c r="W182" s="121"/>
      <c r="X182" s="120"/>
      <c r="Z182" s="121"/>
      <c r="AA182" s="121"/>
      <c r="AB182" s="120"/>
      <c r="AD182" s="121"/>
      <c r="AE182" s="121"/>
      <c r="AF182" s="120"/>
      <c r="AJ182" s="121"/>
    </row>
    <row r="183" spans="1:36">
      <c r="A183" t="str" cm="1">
        <f t="array" ref="A183">_xlfn.LET(_xlpm.src,TRIM(#REF!), _xlpm.u,_xlfn._xlws.SORT(_xlfn.UNIQUE(_xlfn._xlws.FILTER(_xlpm.src,_xlpm.src&lt;&gt;""))), IFERROR(INDEX(_xlpm.u,ROWS(A$2:A183)),""))</f>
        <v/>
      </c>
      <c r="B183" s="121"/>
      <c r="C183" s="121"/>
      <c r="D183" s="121"/>
      <c r="E183" t="str">
        <f ca="1">IF(D2&lt;&gt;"","Done",IF(C2&lt;&gt;"","In Progress",IF(B2&lt;&gt;"",IF(TODAY()&gt;B2,"Should have started","Planned"),"")))</f>
        <v/>
      </c>
      <c r="F183" s="120" t="str">
        <f ca="1">IF(E2="Done",D2-C2,IF(E2="In Progress",TODAY()-C2,IF(E2="Should have started",TODAY()-B2,"")))</f>
        <v/>
      </c>
      <c r="G183" s="121"/>
      <c r="K183" s="121"/>
      <c r="L183" s="121"/>
      <c r="M183" s="121"/>
      <c r="O183" s="120"/>
      <c r="T183" s="121"/>
      <c r="U183" s="120"/>
      <c r="W183" s="121"/>
      <c r="X183" s="120"/>
      <c r="Z183" s="121"/>
      <c r="AA183" s="121"/>
      <c r="AB183" s="120"/>
      <c r="AD183" s="121"/>
      <c r="AE183" s="121"/>
      <c r="AF183" s="120"/>
      <c r="AJ183" s="121"/>
    </row>
    <row r="184" spans="1:36">
      <c r="A184" t="str" cm="1">
        <f t="array" ref="A184">_xlfn.LET(_xlpm.src,TRIM(#REF!), _xlpm.u,_xlfn._xlws.SORT(_xlfn.UNIQUE(_xlfn._xlws.FILTER(_xlpm.src,_xlpm.src&lt;&gt;""))), IFERROR(INDEX(_xlpm.u,ROWS(A$2:A184)),""))</f>
        <v/>
      </c>
      <c r="B184" s="121"/>
      <c r="C184" s="121"/>
      <c r="D184" s="121"/>
      <c r="E184" t="str">
        <f ca="1">IF(D2&lt;&gt;"","Done",IF(C2&lt;&gt;"","In Progress",IF(B2&lt;&gt;"",IF(TODAY()&gt;B2,"Should have started","Planned"),"")))</f>
        <v/>
      </c>
      <c r="F184" s="120" t="str">
        <f ca="1">IF(E2="Done",D2-C2,IF(E2="In Progress",TODAY()-C2,IF(E2="Should have started",TODAY()-B2,"")))</f>
        <v/>
      </c>
      <c r="G184" s="121"/>
      <c r="K184" s="121"/>
      <c r="L184" s="121"/>
      <c r="M184" s="121"/>
      <c r="O184" s="120"/>
      <c r="T184" s="121"/>
      <c r="U184" s="120"/>
      <c r="W184" s="121"/>
      <c r="X184" s="120"/>
      <c r="Z184" s="121"/>
      <c r="AA184" s="121"/>
      <c r="AB184" s="120"/>
      <c r="AD184" s="121"/>
      <c r="AE184" s="121"/>
      <c r="AF184" s="120"/>
      <c r="AJ184" s="121"/>
    </row>
    <row r="185" spans="1:36">
      <c r="A185" t="str" cm="1">
        <f t="array" ref="A185">_xlfn.LET(_xlpm.src,TRIM(#REF!), _xlpm.u,_xlfn._xlws.SORT(_xlfn.UNIQUE(_xlfn._xlws.FILTER(_xlpm.src,_xlpm.src&lt;&gt;""))), IFERROR(INDEX(_xlpm.u,ROWS(A$2:A185)),""))</f>
        <v/>
      </c>
      <c r="B185" s="121"/>
      <c r="C185" s="121"/>
      <c r="D185" s="121"/>
      <c r="E185" t="str">
        <f ca="1">IF(D2&lt;&gt;"","Done",IF(C2&lt;&gt;"","In Progress",IF(B2&lt;&gt;"",IF(TODAY()&gt;B2,"Should have started","Planned"),"")))</f>
        <v/>
      </c>
      <c r="F185" s="120" t="str">
        <f ca="1">IF(E2="Done",D2-C2,IF(E2="In Progress",TODAY()-C2,IF(E2="Should have started",TODAY()-B2,"")))</f>
        <v/>
      </c>
      <c r="G185" s="121"/>
      <c r="K185" s="121"/>
      <c r="L185" s="121"/>
      <c r="M185" s="121"/>
      <c r="O185" s="120"/>
      <c r="T185" s="121"/>
      <c r="U185" s="120"/>
      <c r="W185" s="121"/>
      <c r="X185" s="120"/>
      <c r="Z185" s="121"/>
      <c r="AA185" s="121"/>
      <c r="AB185" s="120"/>
      <c r="AD185" s="121"/>
      <c r="AE185" s="121"/>
      <c r="AF185" s="120"/>
      <c r="AJ185" s="121"/>
    </row>
    <row r="186" spans="1:36">
      <c r="A186" t="str" cm="1">
        <f t="array" ref="A186">_xlfn.LET(_xlpm.src,TRIM(#REF!), _xlpm.u,_xlfn._xlws.SORT(_xlfn.UNIQUE(_xlfn._xlws.FILTER(_xlpm.src,_xlpm.src&lt;&gt;""))), IFERROR(INDEX(_xlpm.u,ROWS(A$2:A186)),""))</f>
        <v/>
      </c>
      <c r="B186" s="121"/>
      <c r="C186" s="121"/>
      <c r="D186" s="121"/>
      <c r="E186" t="str">
        <f ca="1">IF(D2&lt;&gt;"","Done",IF(C2&lt;&gt;"","In Progress",IF(B2&lt;&gt;"",IF(TODAY()&gt;B2,"Should have started","Planned"),"")))</f>
        <v/>
      </c>
      <c r="F186" s="120" t="str">
        <f ca="1">IF(E2="Done",D2-C2,IF(E2="In Progress",TODAY()-C2,IF(E2="Should have started",TODAY()-B2,"")))</f>
        <v/>
      </c>
      <c r="G186" s="121"/>
      <c r="K186" s="121"/>
      <c r="L186" s="121"/>
      <c r="M186" s="121"/>
      <c r="O186" s="120"/>
      <c r="T186" s="121"/>
      <c r="U186" s="120"/>
      <c r="W186" s="121"/>
      <c r="X186" s="120"/>
      <c r="Z186" s="121"/>
      <c r="AA186" s="121"/>
      <c r="AB186" s="120"/>
      <c r="AD186" s="121"/>
      <c r="AE186" s="121"/>
      <c r="AF186" s="120"/>
      <c r="AJ186" s="121"/>
    </row>
    <row r="187" spans="1:36">
      <c r="A187" t="str" cm="1">
        <f t="array" ref="A187">_xlfn.LET(_xlpm.src,TRIM(#REF!), _xlpm.u,_xlfn._xlws.SORT(_xlfn.UNIQUE(_xlfn._xlws.FILTER(_xlpm.src,_xlpm.src&lt;&gt;""))), IFERROR(INDEX(_xlpm.u,ROWS(A$2:A187)),""))</f>
        <v/>
      </c>
      <c r="B187" s="121"/>
      <c r="C187" s="121"/>
      <c r="D187" s="121"/>
      <c r="E187" t="str">
        <f ca="1">IF(D2&lt;&gt;"","Done",IF(C2&lt;&gt;"","In Progress",IF(B2&lt;&gt;"",IF(TODAY()&gt;B2,"Should have started","Planned"),"")))</f>
        <v/>
      </c>
      <c r="F187" s="120" t="str">
        <f ca="1">IF(E2="Done",D2-C2,IF(E2="In Progress",TODAY()-C2,IF(E2="Should have started",TODAY()-B2,"")))</f>
        <v/>
      </c>
      <c r="G187" s="121"/>
      <c r="K187" s="121"/>
      <c r="L187" s="121"/>
      <c r="M187" s="121"/>
      <c r="O187" s="120"/>
      <c r="T187" s="121"/>
      <c r="U187" s="120"/>
      <c r="W187" s="121"/>
      <c r="X187" s="120"/>
      <c r="Z187" s="121"/>
      <c r="AA187" s="121"/>
      <c r="AB187" s="120"/>
      <c r="AD187" s="121"/>
      <c r="AE187" s="121"/>
      <c r="AF187" s="120"/>
      <c r="AJ187" s="121"/>
    </row>
    <row r="188" spans="1:36">
      <c r="A188" t="str" cm="1">
        <f t="array" ref="A188">_xlfn.LET(_xlpm.src,TRIM(#REF!), _xlpm.u,_xlfn._xlws.SORT(_xlfn.UNIQUE(_xlfn._xlws.FILTER(_xlpm.src,_xlpm.src&lt;&gt;""))), IFERROR(INDEX(_xlpm.u,ROWS(A$2:A188)),""))</f>
        <v/>
      </c>
      <c r="B188" s="121"/>
      <c r="C188" s="121"/>
      <c r="D188" s="121"/>
      <c r="E188" t="str">
        <f ca="1">IF(D2&lt;&gt;"","Done",IF(C2&lt;&gt;"","In Progress",IF(B2&lt;&gt;"",IF(TODAY()&gt;B2,"Should have started","Planned"),"")))</f>
        <v/>
      </c>
      <c r="F188" s="120" t="str">
        <f ca="1">IF(E2="Done",D2-C2,IF(E2="In Progress",TODAY()-C2,IF(E2="Should have started",TODAY()-B2,"")))</f>
        <v/>
      </c>
      <c r="G188" s="121"/>
      <c r="K188" s="121"/>
      <c r="L188" s="121"/>
      <c r="M188" s="121"/>
      <c r="O188" s="120"/>
      <c r="T188" s="121"/>
      <c r="U188" s="120"/>
      <c r="W188" s="121"/>
      <c r="X188" s="120"/>
      <c r="Z188" s="121"/>
      <c r="AA188" s="121"/>
      <c r="AB188" s="120"/>
      <c r="AD188" s="121"/>
      <c r="AE188" s="121"/>
      <c r="AF188" s="120"/>
      <c r="AJ188" s="121"/>
    </row>
    <row r="189" spans="1:36">
      <c r="A189" t="str" cm="1">
        <f t="array" ref="A189">_xlfn.LET(_xlpm.src,TRIM(#REF!), _xlpm.u,_xlfn._xlws.SORT(_xlfn.UNIQUE(_xlfn._xlws.FILTER(_xlpm.src,_xlpm.src&lt;&gt;""))), IFERROR(INDEX(_xlpm.u,ROWS(A$2:A189)),""))</f>
        <v/>
      </c>
      <c r="B189" s="121"/>
      <c r="C189" s="121"/>
      <c r="D189" s="121"/>
      <c r="E189" t="str">
        <f ca="1">IF(D2&lt;&gt;"","Done",IF(C2&lt;&gt;"","In Progress",IF(B2&lt;&gt;"",IF(TODAY()&gt;B2,"Should have started","Planned"),"")))</f>
        <v/>
      </c>
      <c r="F189" s="120" t="str">
        <f ca="1">IF(E2="Done",D2-C2,IF(E2="In Progress",TODAY()-C2,IF(E2="Should have started",TODAY()-B2,"")))</f>
        <v/>
      </c>
      <c r="G189" s="121"/>
      <c r="K189" s="121"/>
      <c r="L189" s="121"/>
      <c r="M189" s="121"/>
      <c r="O189" s="120"/>
      <c r="T189" s="121"/>
      <c r="U189" s="120"/>
      <c r="W189" s="121"/>
      <c r="X189" s="120"/>
      <c r="Z189" s="121"/>
      <c r="AA189" s="121"/>
      <c r="AB189" s="120"/>
      <c r="AD189" s="121"/>
      <c r="AE189" s="121"/>
      <c r="AF189" s="120"/>
      <c r="AJ189" s="121"/>
    </row>
    <row r="190" spans="1:36">
      <c r="A190" t="str" cm="1">
        <f t="array" ref="A190">_xlfn.LET(_xlpm.src,TRIM(#REF!), _xlpm.u,_xlfn._xlws.SORT(_xlfn.UNIQUE(_xlfn._xlws.FILTER(_xlpm.src,_xlpm.src&lt;&gt;""))), IFERROR(INDEX(_xlpm.u,ROWS(A$2:A190)),""))</f>
        <v/>
      </c>
      <c r="B190" s="121"/>
      <c r="C190" s="121"/>
      <c r="D190" s="121"/>
      <c r="E190" t="str">
        <f ca="1">IF(D2&lt;&gt;"","Done",IF(C2&lt;&gt;"","In Progress",IF(B2&lt;&gt;"",IF(TODAY()&gt;B2,"Should have started","Planned"),"")))</f>
        <v/>
      </c>
      <c r="F190" s="120" t="str">
        <f ca="1">IF(E2="Done",D2-C2,IF(E2="In Progress",TODAY()-C2,IF(E2="Should have started",TODAY()-B2,"")))</f>
        <v/>
      </c>
      <c r="G190" s="121"/>
      <c r="K190" s="121"/>
      <c r="L190" s="121"/>
      <c r="M190" s="121"/>
      <c r="O190" s="120"/>
      <c r="T190" s="121"/>
      <c r="U190" s="120"/>
      <c r="W190" s="121"/>
      <c r="X190" s="120"/>
      <c r="Z190" s="121"/>
      <c r="AA190" s="121"/>
      <c r="AB190" s="120"/>
      <c r="AD190" s="121"/>
      <c r="AE190" s="121"/>
      <c r="AF190" s="120"/>
      <c r="AJ190" s="121"/>
    </row>
    <row r="191" spans="1:36">
      <c r="A191" t="str" cm="1">
        <f t="array" ref="A191">_xlfn.LET(_xlpm.src,TRIM(#REF!), _xlpm.u,_xlfn._xlws.SORT(_xlfn.UNIQUE(_xlfn._xlws.FILTER(_xlpm.src,_xlpm.src&lt;&gt;""))), IFERROR(INDEX(_xlpm.u,ROWS(A$2:A191)),""))</f>
        <v/>
      </c>
      <c r="B191" s="121"/>
      <c r="C191" s="121"/>
      <c r="D191" s="121"/>
      <c r="E191" t="str">
        <f ca="1">IF(D2&lt;&gt;"","Done",IF(C2&lt;&gt;"","In Progress",IF(B2&lt;&gt;"",IF(TODAY()&gt;B2,"Should have started","Planned"),"")))</f>
        <v/>
      </c>
      <c r="F191" s="120" t="str">
        <f ca="1">IF(E2="Done",D2-C2,IF(E2="In Progress",TODAY()-C2,IF(E2="Should have started",TODAY()-B2,"")))</f>
        <v/>
      </c>
      <c r="G191" s="121"/>
      <c r="K191" s="121"/>
      <c r="L191" s="121"/>
      <c r="M191" s="121"/>
      <c r="O191" s="120"/>
      <c r="T191" s="121"/>
      <c r="U191" s="120"/>
      <c r="W191" s="121"/>
      <c r="X191" s="120"/>
      <c r="Z191" s="121"/>
      <c r="AA191" s="121"/>
      <c r="AB191" s="120"/>
      <c r="AD191" s="121"/>
      <c r="AE191" s="121"/>
      <c r="AF191" s="120"/>
      <c r="AJ191" s="121"/>
    </row>
    <row r="192" spans="1:36">
      <c r="A192" t="str" cm="1">
        <f t="array" ref="A192">_xlfn.LET(_xlpm.src,TRIM(#REF!), _xlpm.u,_xlfn._xlws.SORT(_xlfn.UNIQUE(_xlfn._xlws.FILTER(_xlpm.src,_xlpm.src&lt;&gt;""))), IFERROR(INDEX(_xlpm.u,ROWS(A$2:A192)),""))</f>
        <v/>
      </c>
      <c r="B192" s="121"/>
      <c r="C192" s="121"/>
      <c r="D192" s="121"/>
      <c r="E192" t="str">
        <f ca="1">IF(D2&lt;&gt;"","Done",IF(C2&lt;&gt;"","In Progress",IF(B2&lt;&gt;"",IF(TODAY()&gt;B2,"Should have started","Planned"),"")))</f>
        <v/>
      </c>
      <c r="F192" s="120" t="str">
        <f ca="1">IF(E2="Done",D2-C2,IF(E2="In Progress",TODAY()-C2,IF(E2="Should have started",TODAY()-B2,"")))</f>
        <v/>
      </c>
      <c r="G192" s="121"/>
      <c r="K192" s="121"/>
      <c r="L192" s="121"/>
      <c r="M192" s="121"/>
      <c r="O192" s="120"/>
      <c r="T192" s="121"/>
      <c r="U192" s="120"/>
      <c r="W192" s="121"/>
      <c r="X192" s="120"/>
      <c r="Z192" s="121"/>
      <c r="AA192" s="121"/>
      <c r="AB192" s="120"/>
      <c r="AD192" s="121"/>
      <c r="AE192" s="121"/>
      <c r="AF192" s="120"/>
      <c r="AJ192" s="121"/>
    </row>
    <row r="193" spans="1:36">
      <c r="A193" t="str" cm="1">
        <f t="array" ref="A193">_xlfn.LET(_xlpm.src,TRIM(#REF!), _xlpm.u,_xlfn._xlws.SORT(_xlfn.UNIQUE(_xlfn._xlws.FILTER(_xlpm.src,_xlpm.src&lt;&gt;""))), IFERROR(INDEX(_xlpm.u,ROWS(A$2:A193)),""))</f>
        <v/>
      </c>
      <c r="B193" s="121"/>
      <c r="C193" s="121"/>
      <c r="D193" s="121"/>
      <c r="E193" t="str">
        <f ca="1">IF(D2&lt;&gt;"","Done",IF(C2&lt;&gt;"","In Progress",IF(B2&lt;&gt;"",IF(TODAY()&gt;B2,"Should have started","Planned"),"")))</f>
        <v/>
      </c>
      <c r="F193" s="120" t="str">
        <f ca="1">IF(E2="Done",D2-C2,IF(E2="In Progress",TODAY()-C2,IF(E2="Should have started",TODAY()-B2,"")))</f>
        <v/>
      </c>
      <c r="G193" s="121"/>
      <c r="K193" s="121"/>
      <c r="L193" s="121"/>
      <c r="M193" s="121"/>
      <c r="O193" s="120"/>
      <c r="T193" s="121"/>
      <c r="U193" s="120"/>
      <c r="W193" s="121"/>
      <c r="X193" s="120"/>
      <c r="Z193" s="121"/>
      <c r="AA193" s="121"/>
      <c r="AB193" s="120"/>
      <c r="AD193" s="121"/>
      <c r="AE193" s="121"/>
      <c r="AF193" s="120"/>
      <c r="AJ193" s="121"/>
    </row>
    <row r="194" spans="1:36">
      <c r="A194" t="str" cm="1">
        <f t="array" ref="A194">_xlfn.LET(_xlpm.src,TRIM(#REF!), _xlpm.u,_xlfn._xlws.SORT(_xlfn.UNIQUE(_xlfn._xlws.FILTER(_xlpm.src,_xlpm.src&lt;&gt;""))), IFERROR(INDEX(_xlpm.u,ROWS(A$2:A194)),""))</f>
        <v/>
      </c>
      <c r="B194" s="121"/>
      <c r="C194" s="121"/>
      <c r="D194" s="121"/>
      <c r="E194" t="str">
        <f ca="1">IF(D2&lt;&gt;"","Done",IF(C2&lt;&gt;"","In Progress",IF(B2&lt;&gt;"",IF(TODAY()&gt;B2,"Should have started","Planned"),"")))</f>
        <v/>
      </c>
      <c r="F194" s="120" t="str">
        <f ca="1">IF(E2="Done",D2-C2,IF(E2="In Progress",TODAY()-C2,IF(E2="Should have started",TODAY()-B2,"")))</f>
        <v/>
      </c>
      <c r="G194" s="121"/>
      <c r="K194" s="121"/>
      <c r="L194" s="121"/>
      <c r="M194" s="121"/>
      <c r="O194" s="120"/>
      <c r="T194" s="121"/>
      <c r="U194" s="120"/>
      <c r="W194" s="121"/>
      <c r="X194" s="120"/>
      <c r="Z194" s="121"/>
      <c r="AA194" s="121"/>
      <c r="AB194" s="120"/>
      <c r="AD194" s="121"/>
      <c r="AE194" s="121"/>
      <c r="AF194" s="120"/>
      <c r="AJ194" s="121"/>
    </row>
    <row r="195" spans="1:36">
      <c r="A195" t="str" cm="1">
        <f t="array" ref="A195">_xlfn.LET(_xlpm.src,TRIM(#REF!), _xlpm.u,_xlfn._xlws.SORT(_xlfn.UNIQUE(_xlfn._xlws.FILTER(_xlpm.src,_xlpm.src&lt;&gt;""))), IFERROR(INDEX(_xlpm.u,ROWS(A$2:A195)),""))</f>
        <v/>
      </c>
      <c r="B195" s="121"/>
      <c r="C195" s="121"/>
      <c r="D195" s="121"/>
      <c r="E195" t="str">
        <f ca="1">IF(D2&lt;&gt;"","Done",IF(C2&lt;&gt;"","In Progress",IF(B2&lt;&gt;"",IF(TODAY()&gt;B2,"Should have started","Planned"),"")))</f>
        <v/>
      </c>
      <c r="F195" s="120" t="str">
        <f ca="1">IF(E2="Done",D2-C2,IF(E2="In Progress",TODAY()-C2,IF(E2="Should have started",TODAY()-B2,"")))</f>
        <v/>
      </c>
      <c r="G195" s="121"/>
      <c r="K195" s="121"/>
      <c r="L195" s="121"/>
      <c r="M195" s="121"/>
      <c r="O195" s="120"/>
      <c r="T195" s="121"/>
      <c r="U195" s="120"/>
      <c r="W195" s="121"/>
      <c r="X195" s="120"/>
      <c r="Z195" s="121"/>
      <c r="AA195" s="121"/>
      <c r="AB195" s="120"/>
      <c r="AD195" s="121"/>
      <c r="AE195" s="121"/>
      <c r="AF195" s="120"/>
      <c r="AJ195" s="121"/>
    </row>
    <row r="196" spans="1:36">
      <c r="A196" t="str" cm="1">
        <f t="array" ref="A196">_xlfn.LET(_xlpm.src,TRIM(#REF!), _xlpm.u,_xlfn._xlws.SORT(_xlfn.UNIQUE(_xlfn._xlws.FILTER(_xlpm.src,_xlpm.src&lt;&gt;""))), IFERROR(INDEX(_xlpm.u,ROWS(A$2:A196)),""))</f>
        <v/>
      </c>
      <c r="B196" s="121"/>
      <c r="C196" s="121"/>
      <c r="D196" s="121"/>
      <c r="E196" t="str">
        <f ca="1">IF(D2&lt;&gt;"","Done",IF(C2&lt;&gt;"","In Progress",IF(B2&lt;&gt;"",IF(TODAY()&gt;B2,"Should have started","Planned"),"")))</f>
        <v/>
      </c>
      <c r="F196" s="120" t="str">
        <f ca="1">IF(E2="Done",D2-C2,IF(E2="In Progress",TODAY()-C2,IF(E2="Should have started",TODAY()-B2,"")))</f>
        <v/>
      </c>
      <c r="G196" s="121"/>
      <c r="K196" s="121"/>
      <c r="L196" s="121"/>
      <c r="M196" s="121"/>
      <c r="O196" s="120"/>
      <c r="T196" s="121"/>
      <c r="U196" s="120"/>
      <c r="W196" s="121"/>
      <c r="X196" s="120"/>
      <c r="Z196" s="121"/>
      <c r="AA196" s="121"/>
      <c r="AB196" s="120"/>
      <c r="AD196" s="121"/>
      <c r="AE196" s="121"/>
      <c r="AF196" s="120"/>
      <c r="AJ196" s="121"/>
    </row>
    <row r="197" spans="1:36">
      <c r="A197" t="str" cm="1">
        <f t="array" ref="A197">_xlfn.LET(_xlpm.src,TRIM(#REF!), _xlpm.u,_xlfn._xlws.SORT(_xlfn.UNIQUE(_xlfn._xlws.FILTER(_xlpm.src,_xlpm.src&lt;&gt;""))), IFERROR(INDEX(_xlpm.u,ROWS(A$2:A197)),""))</f>
        <v/>
      </c>
      <c r="B197" s="121"/>
      <c r="C197" s="121"/>
      <c r="D197" s="121"/>
      <c r="E197" t="str">
        <f ca="1">IF(D2&lt;&gt;"","Done",IF(C2&lt;&gt;"","In Progress",IF(B2&lt;&gt;"",IF(TODAY()&gt;B2,"Should have started","Planned"),"")))</f>
        <v/>
      </c>
      <c r="F197" s="120" t="str">
        <f ca="1">IF(E2="Done",D2-C2,IF(E2="In Progress",TODAY()-C2,IF(E2="Should have started",TODAY()-B2,"")))</f>
        <v/>
      </c>
      <c r="G197" s="121"/>
      <c r="K197" s="121"/>
      <c r="L197" s="121"/>
      <c r="M197" s="121"/>
      <c r="O197" s="120"/>
      <c r="T197" s="121"/>
      <c r="U197" s="120"/>
      <c r="W197" s="121"/>
      <c r="X197" s="120"/>
      <c r="Z197" s="121"/>
      <c r="AA197" s="121"/>
      <c r="AB197" s="120"/>
      <c r="AD197" s="121"/>
      <c r="AE197" s="121"/>
      <c r="AF197" s="120"/>
      <c r="AJ197" s="121"/>
    </row>
    <row r="198" spans="1:36">
      <c r="A198" t="str" cm="1">
        <f t="array" ref="A198">_xlfn.LET(_xlpm.src,TRIM(#REF!), _xlpm.u,_xlfn._xlws.SORT(_xlfn.UNIQUE(_xlfn._xlws.FILTER(_xlpm.src,_xlpm.src&lt;&gt;""))), IFERROR(INDEX(_xlpm.u,ROWS(A$2:A198)),""))</f>
        <v/>
      </c>
      <c r="B198" s="121"/>
      <c r="C198" s="121"/>
      <c r="D198" s="121"/>
      <c r="E198" t="str">
        <f ca="1">IF(D2&lt;&gt;"","Done",IF(C2&lt;&gt;"","In Progress",IF(B2&lt;&gt;"",IF(TODAY()&gt;B2,"Should have started","Planned"),"")))</f>
        <v/>
      </c>
      <c r="F198" s="120" t="str">
        <f ca="1">IF(E2="Done",D2-C2,IF(E2="In Progress",TODAY()-C2,IF(E2="Should have started",TODAY()-B2,"")))</f>
        <v/>
      </c>
      <c r="G198" s="121"/>
      <c r="K198" s="121"/>
      <c r="L198" s="121"/>
      <c r="M198" s="121"/>
      <c r="O198" s="120"/>
      <c r="T198" s="121"/>
      <c r="U198" s="120"/>
      <c r="W198" s="121"/>
      <c r="X198" s="120"/>
      <c r="Z198" s="121"/>
      <c r="AA198" s="121"/>
      <c r="AB198" s="120"/>
      <c r="AD198" s="121"/>
      <c r="AE198" s="121"/>
      <c r="AF198" s="120"/>
      <c r="AJ198" s="121"/>
    </row>
    <row r="199" spans="1:36">
      <c r="A199" t="str" cm="1">
        <f t="array" ref="A199">_xlfn.LET(_xlpm.src,TRIM(#REF!), _xlpm.u,_xlfn._xlws.SORT(_xlfn.UNIQUE(_xlfn._xlws.FILTER(_xlpm.src,_xlpm.src&lt;&gt;""))), IFERROR(INDEX(_xlpm.u,ROWS(A$2:A199)),""))</f>
        <v/>
      </c>
      <c r="B199" s="121"/>
      <c r="C199" s="121"/>
      <c r="D199" s="121"/>
      <c r="E199" t="str">
        <f ca="1">IF(D2&lt;&gt;"","Done",IF(C2&lt;&gt;"","In Progress",IF(B2&lt;&gt;"",IF(TODAY()&gt;B2,"Should have started","Planned"),"")))</f>
        <v/>
      </c>
      <c r="F199" s="120" t="str">
        <f ca="1">IF(E2="Done",D2-C2,IF(E2="In Progress",TODAY()-C2,IF(E2="Should have started",TODAY()-B2,"")))</f>
        <v/>
      </c>
      <c r="G199" s="121"/>
      <c r="K199" s="121"/>
      <c r="L199" s="121"/>
      <c r="M199" s="121"/>
      <c r="O199" s="120"/>
      <c r="T199" s="121"/>
      <c r="U199" s="120"/>
      <c r="W199" s="121"/>
      <c r="X199" s="120"/>
      <c r="Z199" s="121"/>
      <c r="AA199" s="121"/>
      <c r="AB199" s="120"/>
      <c r="AD199" s="121"/>
      <c r="AE199" s="121"/>
      <c r="AF199" s="120"/>
      <c r="AJ199" s="121"/>
    </row>
    <row r="200" spans="1:36">
      <c r="A200" t="str" cm="1">
        <f t="array" ref="A200">_xlfn.LET(_xlpm.src,TRIM(#REF!), _xlpm.u,_xlfn._xlws.SORT(_xlfn.UNIQUE(_xlfn._xlws.FILTER(_xlpm.src,_xlpm.src&lt;&gt;""))), IFERROR(INDEX(_xlpm.u,ROWS(A$2:A200)),""))</f>
        <v/>
      </c>
      <c r="B200" s="121"/>
      <c r="C200" s="121"/>
      <c r="D200" s="121"/>
      <c r="E200" t="str">
        <f ca="1">IF(D2&lt;&gt;"","Done",IF(C2&lt;&gt;"","In Progress",IF(B2&lt;&gt;"",IF(TODAY()&gt;B2,"Should have started","Planned"),"")))</f>
        <v/>
      </c>
      <c r="F200" s="120" t="str">
        <f ca="1">IF(E2="Done",D2-C2,IF(E2="In Progress",TODAY()-C2,IF(E2="Should have started",TODAY()-B2,"")))</f>
        <v/>
      </c>
      <c r="G200" s="121"/>
      <c r="K200" s="121"/>
      <c r="L200" s="121"/>
      <c r="M200" s="121"/>
      <c r="O200" s="120"/>
      <c r="T200" s="121"/>
      <c r="U200" s="120"/>
      <c r="W200" s="121"/>
      <c r="X200" s="120"/>
      <c r="Z200" s="121"/>
      <c r="AA200" s="121"/>
      <c r="AB200" s="120"/>
      <c r="AD200" s="121"/>
      <c r="AE200" s="121"/>
      <c r="AF200" s="120"/>
      <c r="AJ200" s="121"/>
    </row>
    <row r="201" spans="1:36">
      <c r="A201" t="str" cm="1">
        <f t="array" ref="A201">_xlfn.LET(_xlpm.src,TRIM(#REF!), _xlpm.u,_xlfn._xlws.SORT(_xlfn.UNIQUE(_xlfn._xlws.FILTER(_xlpm.src,_xlpm.src&lt;&gt;""))), IFERROR(INDEX(_xlpm.u,ROWS(A$2:A201)),""))</f>
        <v/>
      </c>
      <c r="B201" s="121"/>
      <c r="C201" s="121"/>
      <c r="D201" s="121"/>
      <c r="E201" t="str">
        <f ca="1">IF(D2&lt;&gt;"","Done",IF(C2&lt;&gt;"","In Progress",IF(B2&lt;&gt;"",IF(TODAY()&gt;B2,"Should have started","Planned"),"")))</f>
        <v/>
      </c>
      <c r="F201" s="120" t="str">
        <f ca="1">IF(E2="Done",D2-C2,IF(E2="In Progress",TODAY()-C2,IF(E2="Should have started",TODAY()-B2,"")))</f>
        <v/>
      </c>
      <c r="G201" s="121"/>
      <c r="K201" s="121"/>
      <c r="L201" s="121"/>
      <c r="M201" s="121"/>
      <c r="O201" s="120"/>
      <c r="T201" s="121"/>
      <c r="U201" s="120"/>
      <c r="W201" s="121"/>
      <c r="X201" s="120"/>
      <c r="Z201" s="121"/>
      <c r="AA201" s="121"/>
      <c r="AB201" s="120"/>
      <c r="AD201" s="121"/>
      <c r="AE201" s="121"/>
      <c r="AF201" s="120"/>
      <c r="AJ201" s="121"/>
    </row>
    <row r="202" spans="1:36">
      <c r="A202" t="str" cm="1">
        <f t="array" ref="A202">_xlfn.LET(_xlpm.src,TRIM(#REF!), _xlpm.u,_xlfn._xlws.SORT(_xlfn.UNIQUE(_xlfn._xlws.FILTER(_xlpm.src,_xlpm.src&lt;&gt;""))), IFERROR(INDEX(_xlpm.u,ROWS(A$2:A202)),""))</f>
        <v/>
      </c>
      <c r="B202" s="121"/>
      <c r="C202" s="121"/>
      <c r="D202" s="121"/>
      <c r="E202" t="str">
        <f ca="1">IF(D2&lt;&gt;"","Done",IF(C2&lt;&gt;"","In Progress",IF(B2&lt;&gt;"",IF(TODAY()&gt;B2,"Should have started","Planned"),"")))</f>
        <v/>
      </c>
      <c r="F202" s="120" t="str">
        <f ca="1">IF(E2="Done",D2-C2,IF(E2="In Progress",TODAY()-C2,IF(E2="Should have started",TODAY()-B2,"")))</f>
        <v/>
      </c>
      <c r="G202" s="121"/>
      <c r="K202" s="121"/>
      <c r="L202" s="121"/>
      <c r="M202" s="121"/>
      <c r="O202" s="120"/>
      <c r="T202" s="121"/>
      <c r="U202" s="120"/>
      <c r="W202" s="121"/>
      <c r="X202" s="120"/>
      <c r="Z202" s="121"/>
      <c r="AA202" s="121"/>
      <c r="AB202" s="120"/>
      <c r="AD202" s="121"/>
      <c r="AE202" s="121"/>
      <c r="AF202" s="120"/>
      <c r="AJ202" s="121"/>
    </row>
    <row r="203" spans="1:36">
      <c r="A203" t="str" cm="1">
        <f t="array" ref="A203">_xlfn.LET(_xlpm.src,TRIM(#REF!), _xlpm.u,_xlfn._xlws.SORT(_xlfn.UNIQUE(_xlfn._xlws.FILTER(_xlpm.src,_xlpm.src&lt;&gt;""))), IFERROR(INDEX(_xlpm.u,ROWS(A$2:A203)),""))</f>
        <v/>
      </c>
      <c r="B203" s="121"/>
      <c r="C203" s="121"/>
      <c r="D203" s="121"/>
      <c r="E203" t="str">
        <f ca="1">IF(D2&lt;&gt;"","Done",IF(C2&lt;&gt;"","In Progress",IF(B2&lt;&gt;"",IF(TODAY()&gt;B2,"Should have started","Planned"),"")))</f>
        <v/>
      </c>
      <c r="F203" s="120" t="str">
        <f ca="1">IF(E2="Done",D2-C2,IF(E2="In Progress",TODAY()-C2,IF(E2="Should have started",TODAY()-B2,"")))</f>
        <v/>
      </c>
      <c r="G203" s="121"/>
      <c r="K203" s="121"/>
      <c r="L203" s="121"/>
      <c r="M203" s="121"/>
      <c r="O203" s="120"/>
      <c r="T203" s="121"/>
      <c r="U203" s="120"/>
      <c r="W203" s="121"/>
      <c r="X203" s="120"/>
      <c r="Z203" s="121"/>
      <c r="AA203" s="121"/>
      <c r="AB203" s="120"/>
      <c r="AD203" s="121"/>
      <c r="AE203" s="121"/>
      <c r="AF203" s="120"/>
      <c r="AJ203" s="121"/>
    </row>
    <row r="204" spans="1:36">
      <c r="A204" t="str" cm="1">
        <f t="array" ref="A204">_xlfn.LET(_xlpm.src,TRIM(#REF!), _xlpm.u,_xlfn._xlws.SORT(_xlfn.UNIQUE(_xlfn._xlws.FILTER(_xlpm.src,_xlpm.src&lt;&gt;""))), IFERROR(INDEX(_xlpm.u,ROWS(A$2:A204)),""))</f>
        <v/>
      </c>
      <c r="B204" s="121"/>
      <c r="C204" s="121"/>
      <c r="D204" s="121"/>
      <c r="E204" t="str">
        <f ca="1">IF(D2&lt;&gt;"","Done",IF(C2&lt;&gt;"","In Progress",IF(B2&lt;&gt;"",IF(TODAY()&gt;B2,"Should have started","Planned"),"")))</f>
        <v/>
      </c>
      <c r="F204" s="120" t="str">
        <f ca="1">IF(E2="Done",D2-C2,IF(E2="In Progress",TODAY()-C2,IF(E2="Should have started",TODAY()-B2,"")))</f>
        <v/>
      </c>
      <c r="G204" s="121"/>
      <c r="K204" s="121"/>
      <c r="L204" s="121"/>
      <c r="M204" s="121"/>
      <c r="O204" s="120"/>
      <c r="T204" s="121"/>
      <c r="U204" s="120"/>
      <c r="W204" s="121"/>
      <c r="X204" s="120"/>
      <c r="Z204" s="121"/>
      <c r="AA204" s="121"/>
      <c r="AB204" s="120"/>
      <c r="AD204" s="121"/>
      <c r="AE204" s="121"/>
      <c r="AF204" s="120"/>
      <c r="AJ204" s="121"/>
    </row>
    <row r="205" spans="1:36">
      <c r="A205" t="str" cm="1">
        <f t="array" ref="A205">_xlfn.LET(_xlpm.src,TRIM(#REF!), _xlpm.u,_xlfn._xlws.SORT(_xlfn.UNIQUE(_xlfn._xlws.FILTER(_xlpm.src,_xlpm.src&lt;&gt;""))), IFERROR(INDEX(_xlpm.u,ROWS(A$2:A205)),""))</f>
        <v/>
      </c>
      <c r="B205" s="121"/>
      <c r="C205" s="121"/>
      <c r="D205" s="121"/>
      <c r="E205" t="str">
        <f ca="1">IF(D2&lt;&gt;"","Done",IF(C2&lt;&gt;"","In Progress",IF(B2&lt;&gt;"",IF(TODAY()&gt;B2,"Should have started","Planned"),"")))</f>
        <v/>
      </c>
      <c r="F205" s="120" t="str">
        <f ca="1">IF(E2="Done",D2-C2,IF(E2="In Progress",TODAY()-C2,IF(E2="Should have started",TODAY()-B2,"")))</f>
        <v/>
      </c>
      <c r="G205" s="121"/>
      <c r="K205" s="121"/>
      <c r="L205" s="121"/>
      <c r="M205" s="121"/>
      <c r="O205" s="120"/>
      <c r="T205" s="121"/>
      <c r="U205" s="120"/>
      <c r="W205" s="121"/>
      <c r="X205" s="120"/>
      <c r="Z205" s="121"/>
      <c r="AA205" s="121"/>
      <c r="AB205" s="120"/>
      <c r="AD205" s="121"/>
      <c r="AE205" s="121"/>
      <c r="AF205" s="120"/>
      <c r="AJ205" s="121"/>
    </row>
    <row r="206" spans="1:36">
      <c r="A206" t="str" cm="1">
        <f t="array" ref="A206">_xlfn.LET(_xlpm.src,TRIM(#REF!), _xlpm.u,_xlfn._xlws.SORT(_xlfn.UNIQUE(_xlfn._xlws.FILTER(_xlpm.src,_xlpm.src&lt;&gt;""))), IFERROR(INDEX(_xlpm.u,ROWS(A$2:A206)),""))</f>
        <v/>
      </c>
      <c r="B206" s="121"/>
      <c r="C206" s="121"/>
      <c r="D206" s="121"/>
      <c r="E206" t="str">
        <f ca="1">IF(D2&lt;&gt;"","Done",IF(C2&lt;&gt;"","In Progress",IF(B2&lt;&gt;"",IF(TODAY()&gt;B2,"Should have started","Planned"),"")))</f>
        <v/>
      </c>
      <c r="F206" s="120" t="str">
        <f ca="1">IF(E2="Done",D2-C2,IF(E2="In Progress",TODAY()-C2,IF(E2="Should have started",TODAY()-B2,"")))</f>
        <v/>
      </c>
      <c r="G206" s="121"/>
      <c r="K206" s="121"/>
      <c r="L206" s="121"/>
      <c r="M206" s="121"/>
      <c r="O206" s="120"/>
      <c r="T206" s="121"/>
      <c r="U206" s="120"/>
      <c r="W206" s="121"/>
      <c r="X206" s="120"/>
      <c r="Z206" s="121"/>
      <c r="AA206" s="121"/>
      <c r="AB206" s="120"/>
      <c r="AD206" s="121"/>
      <c r="AE206" s="121"/>
      <c r="AF206" s="120"/>
      <c r="AJ206" s="121"/>
    </row>
    <row r="207" spans="1:36">
      <c r="A207" t="str" cm="1">
        <f t="array" ref="A207">_xlfn.LET(_xlpm.src,TRIM(#REF!), _xlpm.u,_xlfn._xlws.SORT(_xlfn.UNIQUE(_xlfn._xlws.FILTER(_xlpm.src,_xlpm.src&lt;&gt;""))), IFERROR(INDEX(_xlpm.u,ROWS(A$2:A207)),""))</f>
        <v/>
      </c>
      <c r="B207" s="121"/>
      <c r="C207" s="121"/>
      <c r="D207" s="121"/>
      <c r="E207" t="str">
        <f ca="1">IF(D2&lt;&gt;"","Done",IF(C2&lt;&gt;"","In Progress",IF(B2&lt;&gt;"",IF(TODAY()&gt;B2,"Should have started","Planned"),"")))</f>
        <v/>
      </c>
      <c r="F207" s="120" t="str">
        <f ca="1">IF(E2="Done",D2-C2,IF(E2="In Progress",TODAY()-C2,IF(E2="Should have started",TODAY()-B2,"")))</f>
        <v/>
      </c>
      <c r="G207" s="121"/>
      <c r="K207" s="121"/>
      <c r="L207" s="121"/>
      <c r="M207" s="121"/>
      <c r="O207" s="120"/>
      <c r="T207" s="121"/>
      <c r="U207" s="120"/>
      <c r="W207" s="121"/>
      <c r="X207" s="120"/>
      <c r="Z207" s="121"/>
      <c r="AA207" s="121"/>
      <c r="AB207" s="120"/>
      <c r="AD207" s="121"/>
      <c r="AE207" s="121"/>
      <c r="AF207" s="120"/>
      <c r="AJ207" s="121"/>
    </row>
    <row r="208" spans="1:36">
      <c r="A208" t="str" cm="1">
        <f t="array" ref="A208">_xlfn.LET(_xlpm.src,TRIM(#REF!), _xlpm.u,_xlfn._xlws.SORT(_xlfn.UNIQUE(_xlfn._xlws.FILTER(_xlpm.src,_xlpm.src&lt;&gt;""))), IFERROR(INDEX(_xlpm.u,ROWS(A$2:A208)),""))</f>
        <v/>
      </c>
      <c r="B208" s="121"/>
      <c r="C208" s="121"/>
      <c r="D208" s="121"/>
      <c r="E208" t="str">
        <f ca="1">IF(D2&lt;&gt;"","Done",IF(C2&lt;&gt;"","In Progress",IF(B2&lt;&gt;"",IF(TODAY()&gt;B2,"Should have started","Planned"),"")))</f>
        <v/>
      </c>
      <c r="F208" s="120" t="str">
        <f ca="1">IF(E2="Done",D2-C2,IF(E2="In Progress",TODAY()-C2,IF(E2="Should have started",TODAY()-B2,"")))</f>
        <v/>
      </c>
      <c r="G208" s="121"/>
      <c r="K208" s="121"/>
      <c r="L208" s="121"/>
      <c r="M208" s="121"/>
      <c r="O208" s="120"/>
      <c r="T208" s="121"/>
      <c r="U208" s="120"/>
      <c r="W208" s="121"/>
      <c r="X208" s="120"/>
      <c r="Z208" s="121"/>
      <c r="AA208" s="121"/>
      <c r="AB208" s="120"/>
      <c r="AD208" s="121"/>
      <c r="AE208" s="121"/>
      <c r="AF208" s="120"/>
      <c r="AJ208" s="121"/>
    </row>
    <row r="209" spans="1:36">
      <c r="A209" t="str" cm="1">
        <f t="array" ref="A209">_xlfn.LET(_xlpm.src,TRIM(#REF!), _xlpm.u,_xlfn._xlws.SORT(_xlfn.UNIQUE(_xlfn._xlws.FILTER(_xlpm.src,_xlpm.src&lt;&gt;""))), IFERROR(INDEX(_xlpm.u,ROWS(A$2:A209)),""))</f>
        <v/>
      </c>
      <c r="B209" s="121"/>
      <c r="C209" s="121"/>
      <c r="D209" s="121"/>
      <c r="E209" t="str">
        <f ca="1">IF(D2&lt;&gt;"","Done",IF(C2&lt;&gt;"","In Progress",IF(B2&lt;&gt;"",IF(TODAY()&gt;B2,"Should have started","Planned"),"")))</f>
        <v/>
      </c>
      <c r="F209" s="120" t="str">
        <f ca="1">IF(E2="Done",D2-C2,IF(E2="In Progress",TODAY()-C2,IF(E2="Should have started",TODAY()-B2,"")))</f>
        <v/>
      </c>
      <c r="G209" s="121"/>
      <c r="K209" s="121"/>
      <c r="L209" s="121"/>
      <c r="M209" s="121"/>
      <c r="O209" s="120"/>
      <c r="T209" s="121"/>
      <c r="U209" s="120"/>
      <c r="W209" s="121"/>
      <c r="X209" s="120"/>
      <c r="Z209" s="121"/>
      <c r="AA209" s="121"/>
      <c r="AB209" s="120"/>
      <c r="AD209" s="121"/>
      <c r="AE209" s="121"/>
      <c r="AF209" s="120"/>
      <c r="AJ209" s="121"/>
    </row>
    <row r="210" spans="1:36">
      <c r="A210" t="str" cm="1">
        <f t="array" ref="A210">_xlfn.LET(_xlpm.src,TRIM(#REF!), _xlpm.u,_xlfn._xlws.SORT(_xlfn.UNIQUE(_xlfn._xlws.FILTER(_xlpm.src,_xlpm.src&lt;&gt;""))), IFERROR(INDEX(_xlpm.u,ROWS(A$2:A210)),""))</f>
        <v/>
      </c>
      <c r="B210" s="121"/>
      <c r="C210" s="121"/>
      <c r="D210" s="121"/>
      <c r="E210" t="str">
        <f ca="1">IF(D2&lt;&gt;"","Done",IF(C2&lt;&gt;"","In Progress",IF(B2&lt;&gt;"",IF(TODAY()&gt;B2,"Should have started","Planned"),"")))</f>
        <v/>
      </c>
      <c r="F210" s="120" t="str">
        <f ca="1">IF(E2="Done",D2-C2,IF(E2="In Progress",TODAY()-C2,IF(E2="Should have started",TODAY()-B2,"")))</f>
        <v/>
      </c>
      <c r="G210" s="121"/>
      <c r="K210" s="121"/>
      <c r="L210" s="121"/>
      <c r="M210" s="121"/>
      <c r="O210" s="120"/>
      <c r="T210" s="121"/>
      <c r="U210" s="120"/>
      <c r="W210" s="121"/>
      <c r="X210" s="120"/>
      <c r="Z210" s="121"/>
      <c r="AA210" s="121"/>
      <c r="AB210" s="120"/>
      <c r="AD210" s="121"/>
      <c r="AE210" s="121"/>
      <c r="AF210" s="120"/>
      <c r="AJ210" s="121"/>
    </row>
    <row r="211" spans="1:36">
      <c r="A211" t="str" cm="1">
        <f t="array" ref="A211">_xlfn.LET(_xlpm.src,TRIM(#REF!), _xlpm.u,_xlfn._xlws.SORT(_xlfn.UNIQUE(_xlfn._xlws.FILTER(_xlpm.src,_xlpm.src&lt;&gt;""))), IFERROR(INDEX(_xlpm.u,ROWS(A$2:A211)),""))</f>
        <v/>
      </c>
      <c r="B211" s="121"/>
      <c r="C211" s="121"/>
      <c r="D211" s="121"/>
      <c r="E211" t="str">
        <f ca="1">IF(D2&lt;&gt;"","Done",IF(C2&lt;&gt;"","In Progress",IF(B2&lt;&gt;"",IF(TODAY()&gt;B2,"Should have started","Planned"),"")))</f>
        <v/>
      </c>
      <c r="F211" s="120" t="str">
        <f ca="1">IF(E2="Done",D2-C2,IF(E2="In Progress",TODAY()-C2,IF(E2="Should have started",TODAY()-B2,"")))</f>
        <v/>
      </c>
      <c r="G211" s="121"/>
      <c r="K211" s="121"/>
      <c r="L211" s="121"/>
      <c r="M211" s="121"/>
      <c r="O211" s="120"/>
      <c r="T211" s="121"/>
      <c r="U211" s="120"/>
      <c r="W211" s="121"/>
      <c r="X211" s="120"/>
      <c r="Z211" s="121"/>
      <c r="AA211" s="121"/>
      <c r="AB211" s="120"/>
      <c r="AD211" s="121"/>
      <c r="AE211" s="121"/>
      <c r="AF211" s="120"/>
      <c r="AJ211" s="121"/>
    </row>
    <row r="212" spans="1:36">
      <c r="A212" t="str" cm="1">
        <f t="array" ref="A212">_xlfn.LET(_xlpm.src,TRIM(#REF!), _xlpm.u,_xlfn._xlws.SORT(_xlfn.UNIQUE(_xlfn._xlws.FILTER(_xlpm.src,_xlpm.src&lt;&gt;""))), IFERROR(INDEX(_xlpm.u,ROWS(A$2:A212)),""))</f>
        <v/>
      </c>
      <c r="B212" s="121"/>
      <c r="C212" s="121"/>
      <c r="D212" s="121"/>
      <c r="E212" t="str">
        <f ca="1">IF(D2&lt;&gt;"","Done",IF(C2&lt;&gt;"","In Progress",IF(B2&lt;&gt;"",IF(TODAY()&gt;B2,"Should have started","Planned"),"")))</f>
        <v/>
      </c>
      <c r="F212" s="120" t="str">
        <f ca="1">IF(E2="Done",D2-C2,IF(E2="In Progress",TODAY()-C2,IF(E2="Should have started",TODAY()-B2,"")))</f>
        <v/>
      </c>
      <c r="G212" s="121"/>
      <c r="K212" s="121"/>
      <c r="L212" s="121"/>
      <c r="M212" s="121"/>
      <c r="O212" s="120"/>
      <c r="T212" s="121"/>
      <c r="U212" s="120"/>
      <c r="W212" s="121"/>
      <c r="X212" s="120"/>
      <c r="Z212" s="121"/>
      <c r="AA212" s="121"/>
      <c r="AB212" s="120"/>
      <c r="AD212" s="121"/>
      <c r="AE212" s="121"/>
      <c r="AF212" s="120"/>
      <c r="AJ212" s="121"/>
    </row>
    <row r="213" spans="1:36">
      <c r="A213" t="str" cm="1">
        <f t="array" ref="A213">_xlfn.LET(_xlpm.src,TRIM(#REF!), _xlpm.u,_xlfn._xlws.SORT(_xlfn.UNIQUE(_xlfn._xlws.FILTER(_xlpm.src,_xlpm.src&lt;&gt;""))), IFERROR(INDEX(_xlpm.u,ROWS(A$2:A213)),""))</f>
        <v/>
      </c>
      <c r="B213" s="121"/>
      <c r="C213" s="121"/>
      <c r="D213" s="121"/>
      <c r="E213" t="str">
        <f ca="1">IF(D2&lt;&gt;"","Done",IF(C2&lt;&gt;"","In Progress",IF(B2&lt;&gt;"",IF(TODAY()&gt;B2,"Should have started","Planned"),"")))</f>
        <v/>
      </c>
      <c r="F213" s="120" t="str">
        <f ca="1">IF(E2="Done",D2-C2,IF(E2="In Progress",TODAY()-C2,IF(E2="Should have started",TODAY()-B2,"")))</f>
        <v/>
      </c>
      <c r="G213" s="121"/>
      <c r="K213" s="121"/>
      <c r="L213" s="121"/>
      <c r="M213" s="121"/>
      <c r="O213" s="120"/>
      <c r="T213" s="121"/>
      <c r="U213" s="120"/>
      <c r="W213" s="121"/>
      <c r="X213" s="120"/>
      <c r="Z213" s="121"/>
      <c r="AA213" s="121"/>
      <c r="AB213" s="120"/>
      <c r="AD213" s="121"/>
      <c r="AE213" s="121"/>
      <c r="AF213" s="120"/>
      <c r="AJ213" s="121"/>
    </row>
    <row r="214" spans="1:36">
      <c r="A214" t="str" cm="1">
        <f t="array" ref="A214">_xlfn.LET(_xlpm.src,TRIM(#REF!), _xlpm.u,_xlfn._xlws.SORT(_xlfn.UNIQUE(_xlfn._xlws.FILTER(_xlpm.src,_xlpm.src&lt;&gt;""))), IFERROR(INDEX(_xlpm.u,ROWS(A$2:A214)),""))</f>
        <v/>
      </c>
      <c r="B214" s="121"/>
      <c r="C214" s="121"/>
      <c r="D214" s="121"/>
      <c r="E214" t="str">
        <f ca="1">IF(D2&lt;&gt;"","Done",IF(C2&lt;&gt;"","In Progress",IF(B2&lt;&gt;"",IF(TODAY()&gt;B2,"Should have started","Planned"),"")))</f>
        <v/>
      </c>
      <c r="F214" s="120" t="str">
        <f ca="1">IF(E2="Done",D2-C2,IF(E2="In Progress",TODAY()-C2,IF(E2="Should have started",TODAY()-B2,"")))</f>
        <v/>
      </c>
      <c r="G214" s="121"/>
      <c r="K214" s="121"/>
      <c r="L214" s="121"/>
      <c r="M214" s="121"/>
      <c r="O214" s="120"/>
      <c r="T214" s="121"/>
      <c r="U214" s="120"/>
      <c r="W214" s="121"/>
      <c r="X214" s="120"/>
      <c r="Z214" s="121"/>
      <c r="AA214" s="121"/>
      <c r="AB214" s="120"/>
      <c r="AD214" s="121"/>
      <c r="AE214" s="121"/>
      <c r="AF214" s="120"/>
      <c r="AJ214" s="121"/>
    </row>
    <row r="215" spans="1:36">
      <c r="A215" t="str" cm="1">
        <f t="array" ref="A215">_xlfn.LET(_xlpm.src,TRIM(#REF!), _xlpm.u,_xlfn._xlws.SORT(_xlfn.UNIQUE(_xlfn._xlws.FILTER(_xlpm.src,_xlpm.src&lt;&gt;""))), IFERROR(INDEX(_xlpm.u,ROWS(A$2:A215)),""))</f>
        <v/>
      </c>
      <c r="B215" s="121"/>
      <c r="C215" s="121"/>
      <c r="D215" s="121"/>
      <c r="E215" t="str">
        <f ca="1">IF(D2&lt;&gt;"","Done",IF(C2&lt;&gt;"","In Progress",IF(B2&lt;&gt;"",IF(TODAY()&gt;B2,"Should have started","Planned"),"")))</f>
        <v/>
      </c>
      <c r="F215" s="120" t="str">
        <f ca="1">IF(E2="Done",D2-C2,IF(E2="In Progress",TODAY()-C2,IF(E2="Should have started",TODAY()-B2,"")))</f>
        <v/>
      </c>
      <c r="G215" s="121"/>
      <c r="K215" s="121"/>
      <c r="L215" s="121"/>
      <c r="M215" s="121"/>
      <c r="O215" s="120"/>
      <c r="T215" s="121"/>
      <c r="U215" s="120"/>
      <c r="W215" s="121"/>
      <c r="X215" s="120"/>
      <c r="Z215" s="121"/>
      <c r="AA215" s="121"/>
      <c r="AB215" s="120"/>
      <c r="AD215" s="121"/>
      <c r="AE215" s="121"/>
      <c r="AF215" s="120"/>
      <c r="AJ215" s="121"/>
    </row>
    <row r="216" spans="1:36">
      <c r="A216" t="str" cm="1">
        <f t="array" ref="A216">_xlfn.LET(_xlpm.src,TRIM(#REF!), _xlpm.u,_xlfn._xlws.SORT(_xlfn.UNIQUE(_xlfn._xlws.FILTER(_xlpm.src,_xlpm.src&lt;&gt;""))), IFERROR(INDEX(_xlpm.u,ROWS(A$2:A216)),""))</f>
        <v/>
      </c>
      <c r="B216" s="121"/>
      <c r="C216" s="121"/>
      <c r="D216" s="121"/>
      <c r="E216" t="str">
        <f ca="1">IF(D2&lt;&gt;"","Done",IF(C2&lt;&gt;"","In Progress",IF(B2&lt;&gt;"",IF(TODAY()&gt;B2,"Should have started","Planned"),"")))</f>
        <v/>
      </c>
      <c r="F216" s="120" t="str">
        <f ca="1">IF(E2="Done",D2-C2,IF(E2="In Progress",TODAY()-C2,IF(E2="Should have started",TODAY()-B2,"")))</f>
        <v/>
      </c>
      <c r="G216" s="121"/>
      <c r="K216" s="121"/>
      <c r="L216" s="121"/>
      <c r="M216" s="121"/>
      <c r="O216" s="120"/>
      <c r="T216" s="121"/>
      <c r="U216" s="120"/>
      <c r="W216" s="121"/>
      <c r="X216" s="120"/>
      <c r="Z216" s="121"/>
      <c r="AA216" s="121"/>
      <c r="AB216" s="120"/>
      <c r="AD216" s="121"/>
      <c r="AE216" s="121"/>
      <c r="AF216" s="120"/>
      <c r="AJ216" s="121"/>
    </row>
    <row r="217" spans="1:36">
      <c r="A217" t="str" cm="1">
        <f t="array" ref="A217">_xlfn.LET(_xlpm.src,TRIM(#REF!), _xlpm.u,_xlfn._xlws.SORT(_xlfn.UNIQUE(_xlfn._xlws.FILTER(_xlpm.src,_xlpm.src&lt;&gt;""))), IFERROR(INDEX(_xlpm.u,ROWS(A$2:A217)),""))</f>
        <v/>
      </c>
      <c r="B217" s="121"/>
      <c r="C217" s="121"/>
      <c r="D217" s="121"/>
      <c r="E217" t="str">
        <f ca="1">IF(D2&lt;&gt;"","Done",IF(C2&lt;&gt;"","In Progress",IF(B2&lt;&gt;"",IF(TODAY()&gt;B2,"Should have started","Planned"),"")))</f>
        <v/>
      </c>
      <c r="F217" s="120" t="str">
        <f ca="1">IF(E2="Done",D2-C2,IF(E2="In Progress",TODAY()-C2,IF(E2="Should have started",TODAY()-B2,"")))</f>
        <v/>
      </c>
      <c r="G217" s="121"/>
      <c r="K217" s="121"/>
      <c r="L217" s="121"/>
      <c r="M217" s="121"/>
      <c r="O217" s="120"/>
      <c r="T217" s="121"/>
      <c r="U217" s="120"/>
      <c r="W217" s="121"/>
      <c r="X217" s="120"/>
      <c r="Z217" s="121"/>
      <c r="AA217" s="121"/>
      <c r="AB217" s="120"/>
      <c r="AD217" s="121"/>
      <c r="AE217" s="121"/>
      <c r="AF217" s="120"/>
      <c r="AJ217" s="121"/>
    </row>
    <row r="218" spans="1:36">
      <c r="A218" t="str" cm="1">
        <f t="array" ref="A218">_xlfn.LET(_xlpm.src,TRIM(#REF!), _xlpm.u,_xlfn._xlws.SORT(_xlfn.UNIQUE(_xlfn._xlws.FILTER(_xlpm.src,_xlpm.src&lt;&gt;""))), IFERROR(INDEX(_xlpm.u,ROWS(A$2:A218)),""))</f>
        <v/>
      </c>
      <c r="B218" s="121"/>
      <c r="C218" s="121"/>
      <c r="D218" s="121"/>
      <c r="E218" t="str">
        <f ca="1">IF(D2&lt;&gt;"","Done",IF(C2&lt;&gt;"","In Progress",IF(B2&lt;&gt;"",IF(TODAY()&gt;B2,"Should have started","Planned"),"")))</f>
        <v/>
      </c>
      <c r="F218" s="120" t="str">
        <f ca="1">IF(E2="Done",D2-C2,IF(E2="In Progress",TODAY()-C2,IF(E2="Should have started",TODAY()-B2,"")))</f>
        <v/>
      </c>
      <c r="G218" s="121"/>
      <c r="K218" s="121"/>
      <c r="L218" s="121"/>
      <c r="M218" s="121"/>
      <c r="O218" s="120"/>
      <c r="T218" s="121"/>
      <c r="U218" s="120"/>
      <c r="W218" s="121"/>
      <c r="X218" s="120"/>
      <c r="Z218" s="121"/>
      <c r="AA218" s="121"/>
      <c r="AB218" s="120"/>
      <c r="AD218" s="121"/>
      <c r="AE218" s="121"/>
      <c r="AF218" s="120"/>
      <c r="AJ218" s="121"/>
    </row>
    <row r="219" spans="1:36">
      <c r="A219" t="str" cm="1">
        <f t="array" ref="A219">_xlfn.LET(_xlpm.src,TRIM(#REF!), _xlpm.u,_xlfn._xlws.SORT(_xlfn.UNIQUE(_xlfn._xlws.FILTER(_xlpm.src,_xlpm.src&lt;&gt;""))), IFERROR(INDEX(_xlpm.u,ROWS(A$2:A219)),""))</f>
        <v/>
      </c>
      <c r="B219" s="121"/>
      <c r="C219" s="121"/>
      <c r="D219" s="121"/>
      <c r="E219" t="str">
        <f ca="1">IF(D2&lt;&gt;"","Done",IF(C2&lt;&gt;"","In Progress",IF(B2&lt;&gt;"",IF(TODAY()&gt;B2,"Should have started","Planned"),"")))</f>
        <v/>
      </c>
      <c r="F219" s="120" t="str">
        <f ca="1">IF(E2="Done",D2-C2,IF(E2="In Progress",TODAY()-C2,IF(E2="Should have started",TODAY()-B2,"")))</f>
        <v/>
      </c>
      <c r="G219" s="121"/>
      <c r="K219" s="121"/>
      <c r="L219" s="121"/>
      <c r="M219" s="121"/>
      <c r="O219" s="120"/>
      <c r="T219" s="121"/>
      <c r="U219" s="120"/>
      <c r="W219" s="121"/>
      <c r="X219" s="120"/>
      <c r="Z219" s="121"/>
      <c r="AA219" s="121"/>
      <c r="AB219" s="120"/>
      <c r="AD219" s="121"/>
      <c r="AE219" s="121"/>
      <c r="AF219" s="120"/>
      <c r="AJ219" s="121"/>
    </row>
    <row r="220" spans="1:36">
      <c r="A220" t="str" cm="1">
        <f t="array" ref="A220">_xlfn.LET(_xlpm.src,TRIM(#REF!), _xlpm.u,_xlfn._xlws.SORT(_xlfn.UNIQUE(_xlfn._xlws.FILTER(_xlpm.src,_xlpm.src&lt;&gt;""))), IFERROR(INDEX(_xlpm.u,ROWS(A$2:A220)),""))</f>
        <v/>
      </c>
      <c r="B220" s="121"/>
      <c r="C220" s="121"/>
      <c r="D220" s="121"/>
      <c r="E220" t="str">
        <f ca="1">IF(D2&lt;&gt;"","Done",IF(C2&lt;&gt;"","In Progress",IF(B2&lt;&gt;"",IF(TODAY()&gt;B2,"Should have started","Planned"),"")))</f>
        <v/>
      </c>
      <c r="F220" s="120" t="str">
        <f ca="1">IF(E2="Done",D2-C2,IF(E2="In Progress",TODAY()-C2,IF(E2="Should have started",TODAY()-B2,"")))</f>
        <v/>
      </c>
      <c r="G220" s="121"/>
      <c r="K220" s="121"/>
      <c r="L220" s="121"/>
      <c r="M220" s="121"/>
      <c r="O220" s="120"/>
      <c r="T220" s="121"/>
      <c r="U220" s="120"/>
      <c r="W220" s="121"/>
      <c r="X220" s="120"/>
      <c r="Z220" s="121"/>
      <c r="AA220" s="121"/>
      <c r="AB220" s="120"/>
      <c r="AD220" s="121"/>
      <c r="AE220" s="121"/>
      <c r="AF220" s="120"/>
      <c r="AJ220" s="121"/>
    </row>
    <row r="221" spans="1:36">
      <c r="A221" t="str" cm="1">
        <f t="array" ref="A221">_xlfn.LET(_xlpm.src,TRIM(#REF!), _xlpm.u,_xlfn._xlws.SORT(_xlfn.UNIQUE(_xlfn._xlws.FILTER(_xlpm.src,_xlpm.src&lt;&gt;""))), IFERROR(INDEX(_xlpm.u,ROWS(A$2:A221)),""))</f>
        <v/>
      </c>
      <c r="B221" s="121"/>
      <c r="C221" s="121"/>
      <c r="D221" s="121"/>
      <c r="E221" t="str">
        <f ca="1">IF(D2&lt;&gt;"","Done",IF(C2&lt;&gt;"","In Progress",IF(B2&lt;&gt;"",IF(TODAY()&gt;B2,"Should have started","Planned"),"")))</f>
        <v/>
      </c>
      <c r="F221" s="120" t="str">
        <f ca="1">IF(E2="Done",D2-C2,IF(E2="In Progress",TODAY()-C2,IF(E2="Should have started",TODAY()-B2,"")))</f>
        <v/>
      </c>
      <c r="G221" s="121"/>
      <c r="K221" s="121"/>
      <c r="L221" s="121"/>
      <c r="M221" s="121"/>
      <c r="O221" s="120"/>
      <c r="T221" s="121"/>
      <c r="U221" s="120"/>
      <c r="W221" s="121"/>
      <c r="X221" s="120"/>
      <c r="Z221" s="121"/>
      <c r="AA221" s="121"/>
      <c r="AB221" s="120"/>
      <c r="AD221" s="121"/>
      <c r="AE221" s="121"/>
      <c r="AF221" s="120"/>
      <c r="AJ221" s="121"/>
    </row>
    <row r="222" spans="1:36">
      <c r="A222" t="str" cm="1">
        <f t="array" ref="A222">_xlfn.LET(_xlpm.src,TRIM(#REF!), _xlpm.u,_xlfn._xlws.SORT(_xlfn.UNIQUE(_xlfn._xlws.FILTER(_xlpm.src,_xlpm.src&lt;&gt;""))), IFERROR(INDEX(_xlpm.u,ROWS(A$2:A222)),""))</f>
        <v/>
      </c>
      <c r="B222" s="121"/>
      <c r="C222" s="121"/>
      <c r="D222" s="121"/>
      <c r="E222" t="str">
        <f ca="1">IF(D2&lt;&gt;"","Done",IF(C2&lt;&gt;"","In Progress",IF(B2&lt;&gt;"",IF(TODAY()&gt;B2,"Should have started","Planned"),"")))</f>
        <v/>
      </c>
      <c r="F222" s="120" t="str">
        <f ca="1">IF(E2="Done",D2-C2,IF(E2="In Progress",TODAY()-C2,IF(E2="Should have started",TODAY()-B2,"")))</f>
        <v/>
      </c>
      <c r="G222" s="121"/>
      <c r="K222" s="121"/>
      <c r="L222" s="121"/>
      <c r="M222" s="121"/>
      <c r="O222" s="120"/>
      <c r="T222" s="121"/>
      <c r="U222" s="120"/>
      <c r="W222" s="121"/>
      <c r="X222" s="120"/>
      <c r="Z222" s="121"/>
      <c r="AA222" s="121"/>
      <c r="AB222" s="120"/>
      <c r="AD222" s="121"/>
      <c r="AE222" s="121"/>
      <c r="AF222" s="120"/>
      <c r="AJ222" s="121"/>
    </row>
    <row r="223" spans="1:36">
      <c r="A223" t="str" cm="1">
        <f t="array" ref="A223">_xlfn.LET(_xlpm.src,TRIM(#REF!), _xlpm.u,_xlfn._xlws.SORT(_xlfn.UNIQUE(_xlfn._xlws.FILTER(_xlpm.src,_xlpm.src&lt;&gt;""))), IFERROR(INDEX(_xlpm.u,ROWS(A$2:A223)),""))</f>
        <v/>
      </c>
      <c r="B223" s="121"/>
      <c r="C223" s="121"/>
      <c r="D223" s="121"/>
      <c r="E223" t="str">
        <f ca="1">IF(D2&lt;&gt;"","Done",IF(C2&lt;&gt;"","In Progress",IF(B2&lt;&gt;"",IF(TODAY()&gt;B2,"Should have started","Planned"),"")))</f>
        <v/>
      </c>
      <c r="F223" s="120" t="str">
        <f ca="1">IF(E2="Done",D2-C2,IF(E2="In Progress",TODAY()-C2,IF(E2="Should have started",TODAY()-B2,"")))</f>
        <v/>
      </c>
      <c r="G223" s="121"/>
      <c r="K223" s="121"/>
      <c r="L223" s="121"/>
      <c r="M223" s="121"/>
      <c r="O223" s="120"/>
      <c r="T223" s="121"/>
      <c r="U223" s="120"/>
      <c r="W223" s="121"/>
      <c r="X223" s="120"/>
      <c r="Z223" s="121"/>
      <c r="AA223" s="121"/>
      <c r="AB223" s="120"/>
      <c r="AD223" s="121"/>
      <c r="AE223" s="121"/>
      <c r="AF223" s="120"/>
      <c r="AJ223" s="121"/>
    </row>
    <row r="224" spans="1:36">
      <c r="A224" t="str" cm="1">
        <f t="array" ref="A224">_xlfn.LET(_xlpm.src,TRIM(#REF!), _xlpm.u,_xlfn._xlws.SORT(_xlfn.UNIQUE(_xlfn._xlws.FILTER(_xlpm.src,_xlpm.src&lt;&gt;""))), IFERROR(INDEX(_xlpm.u,ROWS(A$2:A224)),""))</f>
        <v/>
      </c>
      <c r="B224" s="121"/>
      <c r="C224" s="121"/>
      <c r="D224" s="121"/>
      <c r="E224" t="str">
        <f ca="1">IF(D2&lt;&gt;"","Done",IF(C2&lt;&gt;"","In Progress",IF(B2&lt;&gt;"",IF(TODAY()&gt;B2,"Should have started","Planned"),"")))</f>
        <v/>
      </c>
      <c r="F224" s="120" t="str">
        <f ca="1">IF(E2="Done",D2-C2,IF(E2="In Progress",TODAY()-C2,IF(E2="Should have started",TODAY()-B2,"")))</f>
        <v/>
      </c>
      <c r="G224" s="121"/>
      <c r="K224" s="121"/>
      <c r="L224" s="121"/>
      <c r="M224" s="121"/>
      <c r="O224" s="120"/>
      <c r="T224" s="121"/>
      <c r="U224" s="120"/>
      <c r="W224" s="121"/>
      <c r="X224" s="120"/>
      <c r="Z224" s="121"/>
      <c r="AA224" s="121"/>
      <c r="AB224" s="120"/>
      <c r="AD224" s="121"/>
      <c r="AE224" s="121"/>
      <c r="AF224" s="120"/>
      <c r="AJ224" s="121"/>
    </row>
    <row r="225" spans="1:36">
      <c r="A225" t="str" cm="1">
        <f t="array" ref="A225">_xlfn.LET(_xlpm.src,TRIM(#REF!), _xlpm.u,_xlfn._xlws.SORT(_xlfn.UNIQUE(_xlfn._xlws.FILTER(_xlpm.src,_xlpm.src&lt;&gt;""))), IFERROR(INDEX(_xlpm.u,ROWS(A$2:A225)),""))</f>
        <v/>
      </c>
      <c r="B225" s="121"/>
      <c r="C225" s="121"/>
      <c r="D225" s="121"/>
      <c r="E225" t="str">
        <f ca="1">IF(D2&lt;&gt;"","Done",IF(C2&lt;&gt;"","In Progress",IF(B2&lt;&gt;"",IF(TODAY()&gt;B2,"Should have started","Planned"),"")))</f>
        <v/>
      </c>
      <c r="F225" s="120" t="str">
        <f ca="1">IF(E2="Done",D2-C2,IF(E2="In Progress",TODAY()-C2,IF(E2="Should have started",TODAY()-B2,"")))</f>
        <v/>
      </c>
      <c r="G225" s="121"/>
      <c r="K225" s="121"/>
      <c r="L225" s="121"/>
      <c r="M225" s="121"/>
      <c r="O225" s="120"/>
      <c r="T225" s="121"/>
      <c r="U225" s="120"/>
      <c r="W225" s="121"/>
      <c r="X225" s="120"/>
      <c r="Z225" s="121"/>
      <c r="AA225" s="121"/>
      <c r="AB225" s="120"/>
      <c r="AD225" s="121"/>
      <c r="AE225" s="121"/>
      <c r="AF225" s="120"/>
      <c r="AJ225" s="121"/>
    </row>
    <row r="226" spans="1:36">
      <c r="A226" t="str" cm="1">
        <f t="array" ref="A226">_xlfn.LET(_xlpm.src,TRIM(#REF!), _xlpm.u,_xlfn._xlws.SORT(_xlfn.UNIQUE(_xlfn._xlws.FILTER(_xlpm.src,_xlpm.src&lt;&gt;""))), IFERROR(INDEX(_xlpm.u,ROWS(A$2:A226)),""))</f>
        <v/>
      </c>
      <c r="B226" s="121"/>
      <c r="C226" s="121"/>
      <c r="D226" s="121"/>
      <c r="E226" t="str">
        <f ca="1">IF(D2&lt;&gt;"","Done",IF(C2&lt;&gt;"","In Progress",IF(B2&lt;&gt;"",IF(TODAY()&gt;B2,"Should have started","Planned"),"")))</f>
        <v/>
      </c>
      <c r="F226" s="120" t="str">
        <f ca="1">IF(E2="Done",D2-C2,IF(E2="In Progress",TODAY()-C2,IF(E2="Should have started",TODAY()-B2,"")))</f>
        <v/>
      </c>
      <c r="G226" s="121"/>
      <c r="K226" s="121"/>
      <c r="L226" s="121"/>
      <c r="M226" s="121"/>
      <c r="O226" s="120"/>
      <c r="T226" s="121"/>
      <c r="U226" s="120"/>
      <c r="W226" s="121"/>
      <c r="X226" s="120"/>
      <c r="Z226" s="121"/>
      <c r="AA226" s="121"/>
      <c r="AB226" s="120"/>
      <c r="AD226" s="121"/>
      <c r="AE226" s="121"/>
      <c r="AF226" s="120"/>
      <c r="AJ226" s="121"/>
    </row>
    <row r="227" spans="1:36">
      <c r="A227" t="str" cm="1">
        <f t="array" ref="A227">_xlfn.LET(_xlpm.src,TRIM(#REF!), _xlpm.u,_xlfn._xlws.SORT(_xlfn.UNIQUE(_xlfn._xlws.FILTER(_xlpm.src,_xlpm.src&lt;&gt;""))), IFERROR(INDEX(_xlpm.u,ROWS(A$2:A227)),""))</f>
        <v/>
      </c>
      <c r="B227" s="121"/>
      <c r="C227" s="121"/>
      <c r="D227" s="121"/>
      <c r="E227" t="str">
        <f ca="1">IF(D2&lt;&gt;"","Done",IF(C2&lt;&gt;"","In Progress",IF(B2&lt;&gt;"",IF(TODAY()&gt;B2,"Should have started","Planned"),"")))</f>
        <v/>
      </c>
      <c r="F227" s="120" t="str">
        <f ca="1">IF(E2="Done",D2-C2,IF(E2="In Progress",TODAY()-C2,IF(E2="Should have started",TODAY()-B2,"")))</f>
        <v/>
      </c>
      <c r="G227" s="121"/>
      <c r="K227" s="121"/>
      <c r="L227" s="121"/>
      <c r="M227" s="121"/>
      <c r="O227" s="120"/>
      <c r="T227" s="121"/>
      <c r="U227" s="120"/>
      <c r="W227" s="121"/>
      <c r="X227" s="120"/>
      <c r="Z227" s="121"/>
      <c r="AA227" s="121"/>
      <c r="AB227" s="120"/>
      <c r="AD227" s="121"/>
      <c r="AE227" s="121"/>
      <c r="AF227" s="120"/>
      <c r="AJ227" s="121"/>
    </row>
    <row r="228" spans="1:36">
      <c r="A228" t="str" cm="1">
        <f t="array" ref="A228">_xlfn.LET(_xlpm.src,TRIM(#REF!), _xlpm.u,_xlfn._xlws.SORT(_xlfn.UNIQUE(_xlfn._xlws.FILTER(_xlpm.src,_xlpm.src&lt;&gt;""))), IFERROR(INDEX(_xlpm.u,ROWS(A$2:A228)),""))</f>
        <v/>
      </c>
      <c r="B228" s="121"/>
      <c r="C228" s="121"/>
      <c r="D228" s="121"/>
      <c r="E228" t="str">
        <f ca="1">IF(D2&lt;&gt;"","Done",IF(C2&lt;&gt;"","In Progress",IF(B2&lt;&gt;"",IF(TODAY()&gt;B2,"Should have started","Planned"),"")))</f>
        <v/>
      </c>
      <c r="F228" s="120" t="str">
        <f ca="1">IF(E2="Done",D2-C2,IF(E2="In Progress",TODAY()-C2,IF(E2="Should have started",TODAY()-B2,"")))</f>
        <v/>
      </c>
      <c r="G228" s="121"/>
      <c r="K228" s="121"/>
      <c r="L228" s="121"/>
      <c r="M228" s="121"/>
      <c r="O228" s="120"/>
      <c r="T228" s="121"/>
      <c r="U228" s="120"/>
      <c r="W228" s="121"/>
      <c r="X228" s="120"/>
      <c r="Z228" s="121"/>
      <c r="AA228" s="121"/>
      <c r="AB228" s="120"/>
      <c r="AD228" s="121"/>
      <c r="AE228" s="121"/>
      <c r="AF228" s="120"/>
      <c r="AJ228" s="121"/>
    </row>
    <row r="229" spans="1:36">
      <c r="A229" t="str" cm="1">
        <f t="array" ref="A229">_xlfn.LET(_xlpm.src,TRIM(#REF!), _xlpm.u,_xlfn._xlws.SORT(_xlfn.UNIQUE(_xlfn._xlws.FILTER(_xlpm.src,_xlpm.src&lt;&gt;""))), IFERROR(INDEX(_xlpm.u,ROWS(A$2:A229)),""))</f>
        <v/>
      </c>
      <c r="B229" s="121"/>
      <c r="C229" s="121"/>
      <c r="D229" s="121"/>
      <c r="E229" t="str">
        <f ca="1">IF(D2&lt;&gt;"","Done",IF(C2&lt;&gt;"","In Progress",IF(B2&lt;&gt;"",IF(TODAY()&gt;B2,"Should have started","Planned"),"")))</f>
        <v/>
      </c>
      <c r="F229" s="120" t="str">
        <f ca="1">IF(E2="Done",D2-C2,IF(E2="In Progress",TODAY()-C2,IF(E2="Should have started",TODAY()-B2,"")))</f>
        <v/>
      </c>
      <c r="G229" s="121"/>
      <c r="K229" s="121"/>
      <c r="L229" s="121"/>
      <c r="M229" s="121"/>
      <c r="O229" s="120"/>
      <c r="T229" s="121"/>
      <c r="U229" s="120"/>
      <c r="W229" s="121"/>
      <c r="X229" s="120"/>
      <c r="Z229" s="121"/>
      <c r="AA229" s="121"/>
      <c r="AB229" s="120"/>
      <c r="AD229" s="121"/>
      <c r="AE229" s="121"/>
      <c r="AF229" s="120"/>
      <c r="AJ229" s="121"/>
    </row>
    <row r="230" spans="1:36">
      <c r="A230" t="str" cm="1">
        <f t="array" ref="A230">_xlfn.LET(_xlpm.src,TRIM(#REF!), _xlpm.u,_xlfn._xlws.SORT(_xlfn.UNIQUE(_xlfn._xlws.FILTER(_xlpm.src,_xlpm.src&lt;&gt;""))), IFERROR(INDEX(_xlpm.u,ROWS(A$2:A230)),""))</f>
        <v/>
      </c>
      <c r="B230" s="121"/>
      <c r="C230" s="121"/>
      <c r="D230" s="121"/>
      <c r="E230" t="str">
        <f ca="1">IF(D2&lt;&gt;"","Done",IF(C2&lt;&gt;"","In Progress",IF(B2&lt;&gt;"",IF(TODAY()&gt;B2,"Should have started","Planned"),"")))</f>
        <v/>
      </c>
      <c r="F230" s="120" t="str">
        <f ca="1">IF(E2="Done",D2-C2,IF(E2="In Progress",TODAY()-C2,IF(E2="Should have started",TODAY()-B2,"")))</f>
        <v/>
      </c>
      <c r="G230" s="121"/>
      <c r="K230" s="121"/>
      <c r="L230" s="121"/>
      <c r="M230" s="121"/>
      <c r="O230" s="120"/>
      <c r="T230" s="121"/>
      <c r="U230" s="120"/>
      <c r="W230" s="121"/>
      <c r="X230" s="120"/>
      <c r="Z230" s="121"/>
      <c r="AA230" s="121"/>
      <c r="AB230" s="120"/>
      <c r="AD230" s="121"/>
      <c r="AE230" s="121"/>
      <c r="AF230" s="120"/>
      <c r="AJ230" s="121"/>
    </row>
    <row r="231" spans="1:36">
      <c r="A231" t="str" cm="1">
        <f t="array" ref="A231">_xlfn.LET(_xlpm.src,TRIM(#REF!), _xlpm.u,_xlfn._xlws.SORT(_xlfn.UNIQUE(_xlfn._xlws.FILTER(_xlpm.src,_xlpm.src&lt;&gt;""))), IFERROR(INDEX(_xlpm.u,ROWS(A$2:A231)),""))</f>
        <v/>
      </c>
      <c r="B231" s="121"/>
      <c r="C231" s="121"/>
      <c r="D231" s="121"/>
      <c r="E231" t="str">
        <f ca="1">IF(D2&lt;&gt;"","Done",IF(C2&lt;&gt;"","In Progress",IF(B2&lt;&gt;"",IF(TODAY()&gt;B2,"Should have started","Planned"),"")))</f>
        <v/>
      </c>
      <c r="F231" s="120" t="str">
        <f ca="1">IF(E2="Done",D2-C2,IF(E2="In Progress",TODAY()-C2,IF(E2="Should have started",TODAY()-B2,"")))</f>
        <v/>
      </c>
      <c r="G231" s="121"/>
      <c r="K231" s="121"/>
      <c r="L231" s="121"/>
      <c r="M231" s="121"/>
      <c r="O231" s="120"/>
      <c r="T231" s="121"/>
      <c r="U231" s="120"/>
      <c r="W231" s="121"/>
      <c r="X231" s="120"/>
      <c r="Z231" s="121"/>
      <c r="AA231" s="121"/>
      <c r="AB231" s="120"/>
      <c r="AD231" s="121"/>
      <c r="AE231" s="121"/>
      <c r="AF231" s="120"/>
      <c r="AJ231" s="121"/>
    </row>
    <row r="232" spans="1:36">
      <c r="A232" t="str" cm="1">
        <f t="array" ref="A232">_xlfn.LET(_xlpm.src,TRIM(#REF!), _xlpm.u,_xlfn._xlws.SORT(_xlfn.UNIQUE(_xlfn._xlws.FILTER(_xlpm.src,_xlpm.src&lt;&gt;""))), IFERROR(INDEX(_xlpm.u,ROWS(A$2:A232)),""))</f>
        <v/>
      </c>
      <c r="B232" s="121"/>
      <c r="C232" s="121"/>
      <c r="D232" s="121"/>
      <c r="E232" t="str">
        <f ca="1">IF(D2&lt;&gt;"","Done",IF(C2&lt;&gt;"","In Progress",IF(B2&lt;&gt;"",IF(TODAY()&gt;B2,"Should have started","Planned"),"")))</f>
        <v/>
      </c>
      <c r="F232" s="120" t="str">
        <f ca="1">IF(E2="Done",D2-C2,IF(E2="In Progress",TODAY()-C2,IF(E2="Should have started",TODAY()-B2,"")))</f>
        <v/>
      </c>
      <c r="G232" s="121"/>
      <c r="K232" s="121"/>
      <c r="L232" s="121"/>
      <c r="M232" s="121"/>
      <c r="O232" s="120"/>
      <c r="T232" s="121"/>
      <c r="U232" s="120"/>
      <c r="W232" s="121"/>
      <c r="X232" s="120"/>
      <c r="Z232" s="121"/>
      <c r="AA232" s="121"/>
      <c r="AB232" s="120"/>
      <c r="AD232" s="121"/>
      <c r="AE232" s="121"/>
      <c r="AF232" s="120"/>
      <c r="AJ232" s="121"/>
    </row>
    <row r="233" spans="1:36">
      <c r="A233" t="str" cm="1">
        <f t="array" ref="A233">_xlfn.LET(_xlpm.src,TRIM(#REF!), _xlpm.u,_xlfn._xlws.SORT(_xlfn.UNIQUE(_xlfn._xlws.FILTER(_xlpm.src,_xlpm.src&lt;&gt;""))), IFERROR(INDEX(_xlpm.u,ROWS(A$2:A233)),""))</f>
        <v/>
      </c>
      <c r="B233" s="121"/>
      <c r="C233" s="121"/>
      <c r="D233" s="121"/>
      <c r="E233" t="str">
        <f ca="1">IF(D2&lt;&gt;"","Done",IF(C2&lt;&gt;"","In Progress",IF(B2&lt;&gt;"",IF(TODAY()&gt;B2,"Should have started","Planned"),"")))</f>
        <v/>
      </c>
      <c r="F233" s="120" t="str">
        <f ca="1">IF(E2="Done",D2-C2,IF(E2="In Progress",TODAY()-C2,IF(E2="Should have started",TODAY()-B2,"")))</f>
        <v/>
      </c>
      <c r="G233" s="121"/>
      <c r="K233" s="121"/>
      <c r="L233" s="121"/>
      <c r="M233" s="121"/>
      <c r="O233" s="120"/>
      <c r="T233" s="121"/>
      <c r="U233" s="120"/>
      <c r="W233" s="121"/>
      <c r="X233" s="120"/>
      <c r="Z233" s="121"/>
      <c r="AA233" s="121"/>
      <c r="AB233" s="120"/>
      <c r="AD233" s="121"/>
      <c r="AE233" s="121"/>
      <c r="AF233" s="120"/>
      <c r="AJ233" s="121"/>
    </row>
    <row r="234" spans="1:36">
      <c r="A234" t="str" cm="1">
        <f t="array" ref="A234">_xlfn.LET(_xlpm.src,TRIM(#REF!), _xlpm.u,_xlfn._xlws.SORT(_xlfn.UNIQUE(_xlfn._xlws.FILTER(_xlpm.src,_xlpm.src&lt;&gt;""))), IFERROR(INDEX(_xlpm.u,ROWS(A$2:A234)),""))</f>
        <v/>
      </c>
      <c r="B234" s="121"/>
      <c r="C234" s="121"/>
      <c r="D234" s="121"/>
      <c r="E234" t="str">
        <f ca="1">IF(D2&lt;&gt;"","Done",IF(C2&lt;&gt;"","In Progress",IF(B2&lt;&gt;"",IF(TODAY()&gt;B2,"Should have started","Planned"),"")))</f>
        <v/>
      </c>
      <c r="F234" s="120" t="str">
        <f ca="1">IF(E2="Done",D2-C2,IF(E2="In Progress",TODAY()-C2,IF(E2="Should have started",TODAY()-B2,"")))</f>
        <v/>
      </c>
      <c r="G234" s="121"/>
      <c r="K234" s="121"/>
      <c r="L234" s="121"/>
      <c r="M234" s="121"/>
      <c r="O234" s="120"/>
      <c r="T234" s="121"/>
      <c r="U234" s="120"/>
      <c r="W234" s="121"/>
      <c r="X234" s="120"/>
      <c r="Z234" s="121"/>
      <c r="AA234" s="121"/>
      <c r="AB234" s="120"/>
      <c r="AD234" s="121"/>
      <c r="AE234" s="121"/>
      <c r="AF234" s="120"/>
      <c r="AJ234" s="121"/>
    </row>
    <row r="235" spans="1:36">
      <c r="A235" t="str" cm="1">
        <f t="array" ref="A235">_xlfn.LET(_xlpm.src,TRIM(#REF!), _xlpm.u,_xlfn._xlws.SORT(_xlfn.UNIQUE(_xlfn._xlws.FILTER(_xlpm.src,_xlpm.src&lt;&gt;""))), IFERROR(INDEX(_xlpm.u,ROWS(A$2:A235)),""))</f>
        <v/>
      </c>
      <c r="B235" s="121"/>
      <c r="C235" s="121"/>
      <c r="D235" s="121"/>
      <c r="E235" t="str">
        <f ca="1">IF(D2&lt;&gt;"","Done",IF(C2&lt;&gt;"","In Progress",IF(B2&lt;&gt;"",IF(TODAY()&gt;B2,"Should have started","Planned"),"")))</f>
        <v/>
      </c>
      <c r="F235" s="120" t="str">
        <f ca="1">IF(E2="Done",D2-C2,IF(E2="In Progress",TODAY()-C2,IF(E2="Should have started",TODAY()-B2,"")))</f>
        <v/>
      </c>
      <c r="G235" s="121"/>
      <c r="K235" s="121"/>
      <c r="L235" s="121"/>
      <c r="M235" s="121"/>
      <c r="O235" s="120"/>
      <c r="T235" s="121"/>
      <c r="U235" s="120"/>
      <c r="W235" s="121"/>
      <c r="X235" s="120"/>
      <c r="Z235" s="121"/>
      <c r="AA235" s="121"/>
      <c r="AB235" s="120"/>
      <c r="AD235" s="121"/>
      <c r="AE235" s="121"/>
      <c r="AF235" s="120"/>
      <c r="AJ235" s="121"/>
    </row>
    <row r="236" spans="1:36">
      <c r="A236" t="str" cm="1">
        <f t="array" ref="A236">_xlfn.LET(_xlpm.src,TRIM(#REF!), _xlpm.u,_xlfn._xlws.SORT(_xlfn.UNIQUE(_xlfn._xlws.FILTER(_xlpm.src,_xlpm.src&lt;&gt;""))), IFERROR(INDEX(_xlpm.u,ROWS(A$2:A236)),""))</f>
        <v/>
      </c>
      <c r="B236" s="121"/>
      <c r="C236" s="121"/>
      <c r="D236" s="121"/>
      <c r="E236" t="str">
        <f ca="1">IF(D2&lt;&gt;"","Done",IF(C2&lt;&gt;"","In Progress",IF(B2&lt;&gt;"",IF(TODAY()&gt;B2,"Should have started","Planned"),"")))</f>
        <v/>
      </c>
      <c r="F236" s="120" t="str">
        <f ca="1">IF(E2="Done",D2-C2,IF(E2="In Progress",TODAY()-C2,IF(E2="Should have started",TODAY()-B2,"")))</f>
        <v/>
      </c>
      <c r="G236" s="121"/>
      <c r="K236" s="121"/>
      <c r="L236" s="121"/>
      <c r="M236" s="121"/>
      <c r="O236" s="120"/>
      <c r="T236" s="121"/>
      <c r="U236" s="120"/>
      <c r="W236" s="121"/>
      <c r="X236" s="120"/>
      <c r="Z236" s="121"/>
      <c r="AA236" s="121"/>
      <c r="AB236" s="120"/>
      <c r="AD236" s="121"/>
      <c r="AE236" s="121"/>
      <c r="AF236" s="120"/>
      <c r="AJ236" s="121"/>
    </row>
    <row r="237" spans="1:36">
      <c r="A237" t="str" cm="1">
        <f t="array" ref="A237">_xlfn.LET(_xlpm.src,TRIM(#REF!), _xlpm.u,_xlfn._xlws.SORT(_xlfn.UNIQUE(_xlfn._xlws.FILTER(_xlpm.src,_xlpm.src&lt;&gt;""))), IFERROR(INDEX(_xlpm.u,ROWS(A$2:A237)),""))</f>
        <v/>
      </c>
      <c r="B237" s="121"/>
      <c r="C237" s="121"/>
      <c r="D237" s="121"/>
      <c r="E237" t="str">
        <f ca="1">IF(D2&lt;&gt;"","Done",IF(C2&lt;&gt;"","In Progress",IF(B2&lt;&gt;"",IF(TODAY()&gt;B2,"Should have started","Planned"),"")))</f>
        <v/>
      </c>
      <c r="F237" s="120" t="str">
        <f ca="1">IF(E2="Done",D2-C2,IF(E2="In Progress",TODAY()-C2,IF(E2="Should have started",TODAY()-B2,"")))</f>
        <v/>
      </c>
      <c r="G237" s="121"/>
      <c r="K237" s="121"/>
      <c r="L237" s="121"/>
      <c r="M237" s="121"/>
      <c r="O237" s="120"/>
      <c r="T237" s="121"/>
      <c r="U237" s="120"/>
      <c r="W237" s="121"/>
      <c r="X237" s="120"/>
      <c r="Z237" s="121"/>
      <c r="AA237" s="121"/>
      <c r="AB237" s="120"/>
      <c r="AD237" s="121"/>
      <c r="AE237" s="121"/>
      <c r="AF237" s="120"/>
      <c r="AJ237" s="121"/>
    </row>
    <row r="238" spans="1:36">
      <c r="A238" t="str" cm="1">
        <f t="array" ref="A238">_xlfn.LET(_xlpm.src,TRIM(#REF!), _xlpm.u,_xlfn._xlws.SORT(_xlfn.UNIQUE(_xlfn._xlws.FILTER(_xlpm.src,_xlpm.src&lt;&gt;""))), IFERROR(INDEX(_xlpm.u,ROWS(A$2:A238)),""))</f>
        <v/>
      </c>
      <c r="B238" s="121"/>
      <c r="C238" s="121"/>
      <c r="D238" s="121"/>
      <c r="E238" t="str">
        <f ca="1">IF(D2&lt;&gt;"","Done",IF(C2&lt;&gt;"","In Progress",IF(B2&lt;&gt;"",IF(TODAY()&gt;B2,"Should have started","Planned"),"")))</f>
        <v/>
      </c>
      <c r="F238" s="120" t="str">
        <f ca="1">IF(E2="Done",D2-C2,IF(E2="In Progress",TODAY()-C2,IF(E2="Should have started",TODAY()-B2,"")))</f>
        <v/>
      </c>
      <c r="G238" s="121"/>
      <c r="K238" s="121"/>
      <c r="L238" s="121"/>
      <c r="M238" s="121"/>
      <c r="O238" s="120"/>
      <c r="T238" s="121"/>
      <c r="U238" s="120"/>
      <c r="W238" s="121"/>
      <c r="X238" s="120"/>
      <c r="Z238" s="121"/>
      <c r="AA238" s="121"/>
      <c r="AB238" s="120"/>
      <c r="AD238" s="121"/>
      <c r="AE238" s="121"/>
      <c r="AF238" s="120"/>
      <c r="AJ238" s="121"/>
    </row>
    <row r="239" spans="1:36">
      <c r="A239" t="str" cm="1">
        <f t="array" ref="A239">_xlfn.LET(_xlpm.src,TRIM(#REF!), _xlpm.u,_xlfn._xlws.SORT(_xlfn.UNIQUE(_xlfn._xlws.FILTER(_xlpm.src,_xlpm.src&lt;&gt;""))), IFERROR(INDEX(_xlpm.u,ROWS(A$2:A239)),""))</f>
        <v/>
      </c>
      <c r="B239" s="121"/>
      <c r="C239" s="121"/>
      <c r="D239" s="121"/>
      <c r="E239" t="str">
        <f ca="1">IF(D2&lt;&gt;"","Done",IF(C2&lt;&gt;"","In Progress",IF(B2&lt;&gt;"",IF(TODAY()&gt;B2,"Should have started","Planned"),"")))</f>
        <v/>
      </c>
      <c r="F239" s="120" t="str">
        <f ca="1">IF(E2="Done",D2-C2,IF(E2="In Progress",TODAY()-C2,IF(E2="Should have started",TODAY()-B2,"")))</f>
        <v/>
      </c>
      <c r="G239" s="121"/>
      <c r="K239" s="121"/>
      <c r="L239" s="121"/>
      <c r="M239" s="121"/>
      <c r="O239" s="120"/>
      <c r="T239" s="121"/>
      <c r="U239" s="120"/>
      <c r="W239" s="121"/>
      <c r="X239" s="120"/>
      <c r="Z239" s="121"/>
      <c r="AA239" s="121"/>
      <c r="AB239" s="120"/>
      <c r="AD239" s="121"/>
      <c r="AE239" s="121"/>
      <c r="AF239" s="120"/>
      <c r="AJ239" s="121"/>
    </row>
    <row r="240" spans="1:36">
      <c r="A240" t="str" cm="1">
        <f t="array" ref="A240">_xlfn.LET(_xlpm.src,TRIM(#REF!), _xlpm.u,_xlfn._xlws.SORT(_xlfn.UNIQUE(_xlfn._xlws.FILTER(_xlpm.src,_xlpm.src&lt;&gt;""))), IFERROR(INDEX(_xlpm.u,ROWS(A$2:A240)),""))</f>
        <v/>
      </c>
      <c r="B240" s="121"/>
      <c r="C240" s="121"/>
      <c r="D240" s="121"/>
      <c r="E240" t="str">
        <f ca="1">IF(D2&lt;&gt;"","Done",IF(C2&lt;&gt;"","In Progress",IF(B2&lt;&gt;"",IF(TODAY()&gt;B2,"Should have started","Planned"),"")))</f>
        <v/>
      </c>
      <c r="F240" s="120" t="str">
        <f ca="1">IF(E2="Done",D2-C2,IF(E2="In Progress",TODAY()-C2,IF(E2="Should have started",TODAY()-B2,"")))</f>
        <v/>
      </c>
      <c r="G240" s="121"/>
      <c r="K240" s="121"/>
      <c r="L240" s="121"/>
      <c r="M240" s="121"/>
      <c r="O240" s="120"/>
      <c r="T240" s="121"/>
      <c r="U240" s="120"/>
      <c r="W240" s="121"/>
      <c r="X240" s="120"/>
      <c r="Z240" s="121"/>
      <c r="AA240" s="121"/>
      <c r="AB240" s="120"/>
      <c r="AD240" s="121"/>
      <c r="AE240" s="121"/>
      <c r="AF240" s="120"/>
      <c r="AJ240" s="121"/>
    </row>
    <row r="241" spans="1:36">
      <c r="A241" t="str" cm="1">
        <f t="array" ref="A241">_xlfn.LET(_xlpm.src,TRIM(#REF!), _xlpm.u,_xlfn._xlws.SORT(_xlfn.UNIQUE(_xlfn._xlws.FILTER(_xlpm.src,_xlpm.src&lt;&gt;""))), IFERROR(INDEX(_xlpm.u,ROWS(A$2:A241)),""))</f>
        <v/>
      </c>
      <c r="B241" s="121"/>
      <c r="C241" s="121"/>
      <c r="D241" s="121"/>
      <c r="E241" t="str">
        <f ca="1">IF(D2&lt;&gt;"","Done",IF(C2&lt;&gt;"","In Progress",IF(B2&lt;&gt;"",IF(TODAY()&gt;B2,"Should have started","Planned"),"")))</f>
        <v/>
      </c>
      <c r="F241" s="120" t="str">
        <f ca="1">IF(E2="Done",D2-C2,IF(E2="In Progress",TODAY()-C2,IF(E2="Should have started",TODAY()-B2,"")))</f>
        <v/>
      </c>
      <c r="G241" s="121"/>
      <c r="K241" s="121"/>
      <c r="L241" s="121"/>
      <c r="M241" s="121"/>
      <c r="O241" s="120"/>
      <c r="T241" s="121"/>
      <c r="U241" s="120"/>
      <c r="W241" s="121"/>
      <c r="X241" s="120"/>
      <c r="Z241" s="121"/>
      <c r="AA241" s="121"/>
      <c r="AB241" s="120"/>
      <c r="AD241" s="121"/>
      <c r="AE241" s="121"/>
      <c r="AF241" s="120"/>
      <c r="AJ241" s="121"/>
    </row>
    <row r="242" spans="1:36">
      <c r="A242" t="str" cm="1">
        <f t="array" ref="A242">_xlfn.LET(_xlpm.src,TRIM(#REF!), _xlpm.u,_xlfn._xlws.SORT(_xlfn.UNIQUE(_xlfn._xlws.FILTER(_xlpm.src,_xlpm.src&lt;&gt;""))), IFERROR(INDEX(_xlpm.u,ROWS(A$2:A242)),""))</f>
        <v/>
      </c>
      <c r="B242" s="121"/>
      <c r="C242" s="121"/>
      <c r="D242" s="121"/>
      <c r="E242" t="str">
        <f ca="1">IF(D2&lt;&gt;"","Done",IF(C2&lt;&gt;"","In Progress",IF(B2&lt;&gt;"",IF(TODAY()&gt;B2,"Should have started","Planned"),"")))</f>
        <v/>
      </c>
      <c r="F242" s="120" t="str">
        <f ca="1">IF(E2="Done",D2-C2,IF(E2="In Progress",TODAY()-C2,IF(E2="Should have started",TODAY()-B2,"")))</f>
        <v/>
      </c>
      <c r="G242" s="121"/>
      <c r="K242" s="121"/>
      <c r="L242" s="121"/>
      <c r="M242" s="121"/>
      <c r="O242" s="120"/>
      <c r="T242" s="121"/>
      <c r="U242" s="120"/>
      <c r="W242" s="121"/>
      <c r="X242" s="120"/>
      <c r="Z242" s="121"/>
      <c r="AA242" s="121"/>
      <c r="AB242" s="120"/>
      <c r="AD242" s="121"/>
      <c r="AE242" s="121"/>
      <c r="AF242" s="120"/>
      <c r="AJ242" s="121"/>
    </row>
    <row r="243" spans="1:36">
      <c r="A243" t="str" cm="1">
        <f t="array" ref="A243">_xlfn.LET(_xlpm.src,TRIM(#REF!), _xlpm.u,_xlfn._xlws.SORT(_xlfn.UNIQUE(_xlfn._xlws.FILTER(_xlpm.src,_xlpm.src&lt;&gt;""))), IFERROR(INDEX(_xlpm.u,ROWS(A$2:A243)),""))</f>
        <v/>
      </c>
      <c r="B243" s="121"/>
      <c r="C243" s="121"/>
      <c r="D243" s="121"/>
      <c r="E243" t="str">
        <f ca="1">IF(D2&lt;&gt;"","Done",IF(C2&lt;&gt;"","In Progress",IF(B2&lt;&gt;"",IF(TODAY()&gt;B2,"Should have started","Planned"),"")))</f>
        <v/>
      </c>
      <c r="F243" s="120" t="str">
        <f ca="1">IF(E2="Done",D2-C2,IF(E2="In Progress",TODAY()-C2,IF(E2="Should have started",TODAY()-B2,"")))</f>
        <v/>
      </c>
      <c r="G243" s="121"/>
      <c r="K243" s="121"/>
      <c r="L243" s="121"/>
      <c r="M243" s="121"/>
      <c r="O243" s="120"/>
      <c r="T243" s="121"/>
      <c r="U243" s="120"/>
      <c r="W243" s="121"/>
      <c r="X243" s="120"/>
      <c r="Z243" s="121"/>
      <c r="AA243" s="121"/>
      <c r="AB243" s="120"/>
      <c r="AD243" s="121"/>
      <c r="AE243" s="121"/>
      <c r="AF243" s="120"/>
      <c r="AJ243" s="121"/>
    </row>
    <row r="244" spans="1:36">
      <c r="A244" t="str" cm="1">
        <f t="array" ref="A244">_xlfn.LET(_xlpm.src,TRIM(#REF!), _xlpm.u,_xlfn._xlws.SORT(_xlfn.UNIQUE(_xlfn._xlws.FILTER(_xlpm.src,_xlpm.src&lt;&gt;""))), IFERROR(INDEX(_xlpm.u,ROWS(A$2:A244)),""))</f>
        <v/>
      </c>
      <c r="B244" s="121"/>
      <c r="C244" s="121"/>
      <c r="D244" s="121"/>
      <c r="E244" t="str">
        <f ca="1">IF(D2&lt;&gt;"","Done",IF(C2&lt;&gt;"","In Progress",IF(B2&lt;&gt;"",IF(TODAY()&gt;B2,"Should have started","Planned"),"")))</f>
        <v/>
      </c>
      <c r="F244" s="120" t="str">
        <f ca="1">IF(E2="Done",D2-C2,IF(E2="In Progress",TODAY()-C2,IF(E2="Should have started",TODAY()-B2,"")))</f>
        <v/>
      </c>
      <c r="G244" s="121"/>
      <c r="K244" s="121"/>
      <c r="L244" s="121"/>
      <c r="M244" s="121"/>
      <c r="O244" s="120"/>
      <c r="T244" s="121"/>
      <c r="U244" s="120"/>
      <c r="W244" s="121"/>
      <c r="X244" s="120"/>
      <c r="Z244" s="121"/>
      <c r="AA244" s="121"/>
      <c r="AB244" s="120"/>
      <c r="AD244" s="121"/>
      <c r="AE244" s="121"/>
      <c r="AF244" s="120"/>
      <c r="AJ244" s="121"/>
    </row>
    <row r="245" spans="1:36">
      <c r="A245" t="str" cm="1">
        <f t="array" ref="A245">_xlfn.LET(_xlpm.src,TRIM(#REF!), _xlpm.u,_xlfn._xlws.SORT(_xlfn.UNIQUE(_xlfn._xlws.FILTER(_xlpm.src,_xlpm.src&lt;&gt;""))), IFERROR(INDEX(_xlpm.u,ROWS(A$2:A245)),""))</f>
        <v/>
      </c>
      <c r="B245" s="121"/>
      <c r="C245" s="121"/>
      <c r="D245" s="121"/>
      <c r="E245" t="str">
        <f ca="1">IF(D2&lt;&gt;"","Done",IF(C2&lt;&gt;"","In Progress",IF(B2&lt;&gt;"",IF(TODAY()&gt;B2,"Should have started","Planned"),"")))</f>
        <v/>
      </c>
      <c r="F245" s="120" t="str">
        <f ca="1">IF(E2="Done",D2-C2,IF(E2="In Progress",TODAY()-C2,IF(E2="Should have started",TODAY()-B2,"")))</f>
        <v/>
      </c>
      <c r="G245" s="121"/>
      <c r="K245" s="121"/>
      <c r="L245" s="121"/>
      <c r="M245" s="121"/>
      <c r="O245" s="120"/>
      <c r="T245" s="121"/>
      <c r="U245" s="120"/>
      <c r="W245" s="121"/>
      <c r="X245" s="120"/>
      <c r="Z245" s="121"/>
      <c r="AA245" s="121"/>
      <c r="AB245" s="120"/>
      <c r="AD245" s="121"/>
      <c r="AE245" s="121"/>
      <c r="AF245" s="120"/>
      <c r="AJ245" s="121"/>
    </row>
    <row r="246" spans="1:36">
      <c r="A246" t="str" cm="1">
        <f t="array" ref="A246">_xlfn.LET(_xlpm.src,TRIM(#REF!), _xlpm.u,_xlfn._xlws.SORT(_xlfn.UNIQUE(_xlfn._xlws.FILTER(_xlpm.src,_xlpm.src&lt;&gt;""))), IFERROR(INDEX(_xlpm.u,ROWS(A$2:A246)),""))</f>
        <v/>
      </c>
      <c r="B246" s="121"/>
      <c r="C246" s="121"/>
      <c r="D246" s="121"/>
      <c r="E246" t="str">
        <f ca="1">IF(D2&lt;&gt;"","Done",IF(C2&lt;&gt;"","In Progress",IF(B2&lt;&gt;"",IF(TODAY()&gt;B2,"Should have started","Planned"),"")))</f>
        <v/>
      </c>
      <c r="F246" s="120" t="str">
        <f ca="1">IF(E2="Done",D2-C2,IF(E2="In Progress",TODAY()-C2,IF(E2="Should have started",TODAY()-B2,"")))</f>
        <v/>
      </c>
      <c r="G246" s="121"/>
      <c r="K246" s="121"/>
      <c r="L246" s="121"/>
      <c r="M246" s="121"/>
      <c r="O246" s="120"/>
      <c r="T246" s="121"/>
      <c r="U246" s="120"/>
      <c r="W246" s="121"/>
      <c r="X246" s="120"/>
      <c r="Z246" s="121"/>
      <c r="AA246" s="121"/>
      <c r="AB246" s="120"/>
      <c r="AD246" s="121"/>
      <c r="AE246" s="121"/>
      <c r="AF246" s="120"/>
      <c r="AJ246" s="121"/>
    </row>
    <row r="247" spans="1:36">
      <c r="A247" t="str" cm="1">
        <f t="array" ref="A247">_xlfn.LET(_xlpm.src,TRIM(#REF!), _xlpm.u,_xlfn._xlws.SORT(_xlfn.UNIQUE(_xlfn._xlws.FILTER(_xlpm.src,_xlpm.src&lt;&gt;""))), IFERROR(INDEX(_xlpm.u,ROWS(A$2:A247)),""))</f>
        <v/>
      </c>
      <c r="B247" s="121"/>
      <c r="C247" s="121"/>
      <c r="D247" s="121"/>
      <c r="E247" t="str">
        <f ca="1">IF(D2&lt;&gt;"","Done",IF(C2&lt;&gt;"","In Progress",IF(B2&lt;&gt;"",IF(TODAY()&gt;B2,"Should have started","Planned"),"")))</f>
        <v/>
      </c>
      <c r="F247" s="120" t="str">
        <f ca="1">IF(E2="Done",D2-C2,IF(E2="In Progress",TODAY()-C2,IF(E2="Should have started",TODAY()-B2,"")))</f>
        <v/>
      </c>
      <c r="G247" s="121"/>
      <c r="K247" s="121"/>
      <c r="L247" s="121"/>
      <c r="M247" s="121"/>
      <c r="O247" s="120"/>
      <c r="T247" s="121"/>
      <c r="U247" s="120"/>
      <c r="W247" s="121"/>
      <c r="X247" s="120"/>
      <c r="Z247" s="121"/>
      <c r="AA247" s="121"/>
      <c r="AB247" s="120"/>
      <c r="AD247" s="121"/>
      <c r="AE247" s="121"/>
      <c r="AF247" s="120"/>
      <c r="AJ247" s="121"/>
    </row>
    <row r="248" spans="1:36">
      <c r="A248" t="str" cm="1">
        <f t="array" ref="A248">_xlfn.LET(_xlpm.src,TRIM(#REF!), _xlpm.u,_xlfn._xlws.SORT(_xlfn.UNIQUE(_xlfn._xlws.FILTER(_xlpm.src,_xlpm.src&lt;&gt;""))), IFERROR(INDEX(_xlpm.u,ROWS(A$2:A248)),""))</f>
        <v/>
      </c>
      <c r="B248" s="121"/>
      <c r="C248" s="121"/>
      <c r="D248" s="121"/>
      <c r="E248" t="str">
        <f ca="1">IF(D2&lt;&gt;"","Done",IF(C2&lt;&gt;"","In Progress",IF(B2&lt;&gt;"",IF(TODAY()&gt;B2,"Should have started","Planned"),"")))</f>
        <v/>
      </c>
      <c r="F248" s="120" t="str">
        <f ca="1">IF(E2="Done",D2-C2,IF(E2="In Progress",TODAY()-C2,IF(E2="Should have started",TODAY()-B2,"")))</f>
        <v/>
      </c>
      <c r="G248" s="121"/>
      <c r="K248" s="121"/>
      <c r="L248" s="121"/>
      <c r="M248" s="121"/>
      <c r="O248" s="120"/>
      <c r="T248" s="121"/>
      <c r="U248" s="120"/>
      <c r="W248" s="121"/>
      <c r="X248" s="120"/>
      <c r="Z248" s="121"/>
      <c r="AA248" s="121"/>
      <c r="AB248" s="120"/>
      <c r="AD248" s="121"/>
      <c r="AE248" s="121"/>
      <c r="AF248" s="120"/>
      <c r="AJ248" s="121"/>
    </row>
    <row r="249" spans="1:36">
      <c r="A249" t="str" cm="1">
        <f t="array" ref="A249">_xlfn.LET(_xlpm.src,TRIM(#REF!), _xlpm.u,_xlfn._xlws.SORT(_xlfn.UNIQUE(_xlfn._xlws.FILTER(_xlpm.src,_xlpm.src&lt;&gt;""))), IFERROR(INDEX(_xlpm.u,ROWS(A$2:A249)),""))</f>
        <v/>
      </c>
      <c r="B249" s="121"/>
      <c r="C249" s="121"/>
      <c r="D249" s="121"/>
      <c r="E249" t="str">
        <f ca="1">IF(D2&lt;&gt;"","Done",IF(C2&lt;&gt;"","In Progress",IF(B2&lt;&gt;"",IF(TODAY()&gt;B2,"Should have started","Planned"),"")))</f>
        <v/>
      </c>
      <c r="F249" s="120" t="str">
        <f ca="1">IF(E2="Done",D2-C2,IF(E2="In Progress",TODAY()-C2,IF(E2="Should have started",TODAY()-B2,"")))</f>
        <v/>
      </c>
      <c r="G249" s="121"/>
      <c r="K249" s="121"/>
      <c r="L249" s="121"/>
      <c r="M249" s="121"/>
      <c r="O249" s="120"/>
      <c r="T249" s="121"/>
      <c r="U249" s="120"/>
      <c r="W249" s="121"/>
      <c r="X249" s="120"/>
      <c r="Z249" s="121"/>
      <c r="AA249" s="121"/>
      <c r="AB249" s="120"/>
      <c r="AD249" s="121"/>
      <c r="AE249" s="121"/>
      <c r="AF249" s="120"/>
      <c r="AJ249" s="121"/>
    </row>
    <row r="250" spans="1:36">
      <c r="A250" t="str" cm="1">
        <f t="array" ref="A250">_xlfn.LET(_xlpm.src,TRIM(#REF!), _xlpm.u,_xlfn._xlws.SORT(_xlfn.UNIQUE(_xlfn._xlws.FILTER(_xlpm.src,_xlpm.src&lt;&gt;""))), IFERROR(INDEX(_xlpm.u,ROWS(A$2:A250)),""))</f>
        <v/>
      </c>
      <c r="B250" s="121"/>
      <c r="C250" s="121"/>
      <c r="D250" s="121"/>
      <c r="E250" t="str">
        <f ca="1">IF(D2&lt;&gt;"","Done",IF(C2&lt;&gt;"","In Progress",IF(B2&lt;&gt;"",IF(TODAY()&gt;B2,"Should have started","Planned"),"")))</f>
        <v/>
      </c>
      <c r="F250" s="120" t="str">
        <f ca="1">IF(E2="Done",D2-C2,IF(E2="In Progress",TODAY()-C2,IF(E2="Should have started",TODAY()-B2,"")))</f>
        <v/>
      </c>
      <c r="G250" s="121"/>
      <c r="K250" s="121"/>
      <c r="L250" s="121"/>
      <c r="M250" s="121"/>
      <c r="O250" s="120"/>
      <c r="T250" s="121"/>
      <c r="U250" s="120"/>
      <c r="W250" s="121"/>
      <c r="X250" s="120"/>
      <c r="Z250" s="121"/>
      <c r="AA250" s="121"/>
      <c r="AB250" s="120"/>
      <c r="AD250" s="121"/>
      <c r="AE250" s="121"/>
      <c r="AF250" s="120"/>
      <c r="AJ250" s="121"/>
    </row>
    <row r="251" spans="1:36">
      <c r="A251" t="str" cm="1">
        <f t="array" ref="A251">_xlfn.LET(_xlpm.src,TRIM(#REF!), _xlpm.u,_xlfn._xlws.SORT(_xlfn.UNIQUE(_xlfn._xlws.FILTER(_xlpm.src,_xlpm.src&lt;&gt;""))), IFERROR(INDEX(_xlpm.u,ROWS(A$2:A251)),""))</f>
        <v/>
      </c>
      <c r="B251" s="121"/>
      <c r="C251" s="121"/>
      <c r="D251" s="121"/>
      <c r="E251" t="str">
        <f ca="1">IF(D2&lt;&gt;"","Done",IF(C2&lt;&gt;"","In Progress",IF(B2&lt;&gt;"",IF(TODAY()&gt;B2,"Should have started","Planned"),"")))</f>
        <v/>
      </c>
      <c r="F251" s="120" t="str">
        <f ca="1">IF(E2="Done",D2-C2,IF(E2="In Progress",TODAY()-C2,IF(E2="Should have started",TODAY()-B2,"")))</f>
        <v/>
      </c>
      <c r="G251" s="121"/>
      <c r="K251" s="121"/>
      <c r="L251" s="121"/>
      <c r="M251" s="121"/>
      <c r="O251" s="120"/>
      <c r="T251" s="121"/>
      <c r="U251" s="120"/>
      <c r="W251" s="121"/>
      <c r="X251" s="120"/>
      <c r="Z251" s="121"/>
      <c r="AA251" s="121"/>
      <c r="AB251" s="120"/>
      <c r="AD251" s="121"/>
      <c r="AE251" s="121"/>
      <c r="AF251" s="120"/>
      <c r="AJ251" s="121"/>
    </row>
    <row r="252" spans="1:36">
      <c r="A252" t="str" cm="1">
        <f t="array" ref="A252">_xlfn.LET(_xlpm.src,TRIM(#REF!), _xlpm.u,_xlfn._xlws.SORT(_xlfn.UNIQUE(_xlfn._xlws.FILTER(_xlpm.src,_xlpm.src&lt;&gt;""))), IFERROR(INDEX(_xlpm.u,ROWS(A$2:A252)),""))</f>
        <v/>
      </c>
      <c r="B252" s="121"/>
      <c r="C252" s="121"/>
      <c r="D252" s="121"/>
      <c r="E252" t="str">
        <f ca="1">IF(D2&lt;&gt;"","Done",IF(C2&lt;&gt;"","In Progress",IF(B2&lt;&gt;"",IF(TODAY()&gt;B2,"Should have started","Planned"),"")))</f>
        <v/>
      </c>
      <c r="F252" s="120" t="str">
        <f ca="1">IF(E2="Done",D2-C2,IF(E2="In Progress",TODAY()-C2,IF(E2="Should have started",TODAY()-B2,"")))</f>
        <v/>
      </c>
      <c r="G252" s="121"/>
      <c r="K252" s="121"/>
      <c r="L252" s="121"/>
      <c r="M252" s="121"/>
      <c r="O252" s="120"/>
      <c r="T252" s="121"/>
      <c r="U252" s="120"/>
      <c r="W252" s="121"/>
      <c r="X252" s="120"/>
      <c r="Z252" s="121"/>
      <c r="AA252" s="121"/>
      <c r="AB252" s="120"/>
      <c r="AD252" s="121"/>
      <c r="AE252" s="121"/>
      <c r="AF252" s="120"/>
      <c r="AJ252" s="121"/>
    </row>
    <row r="253" spans="1:36">
      <c r="A253" t="str" cm="1">
        <f t="array" ref="A253">_xlfn.LET(_xlpm.src,TRIM(#REF!), _xlpm.u,_xlfn._xlws.SORT(_xlfn.UNIQUE(_xlfn._xlws.FILTER(_xlpm.src,_xlpm.src&lt;&gt;""))), IFERROR(INDEX(_xlpm.u,ROWS(A$2:A253)),""))</f>
        <v/>
      </c>
      <c r="B253" s="121"/>
      <c r="C253" s="121"/>
      <c r="D253" s="121"/>
      <c r="E253" t="str">
        <f ca="1">IF(D2&lt;&gt;"","Done",IF(C2&lt;&gt;"","In Progress",IF(B2&lt;&gt;"",IF(TODAY()&gt;B2,"Should have started","Planned"),"")))</f>
        <v/>
      </c>
      <c r="F253" s="120" t="str">
        <f ca="1">IF(E2="Done",D2-C2,IF(E2="In Progress",TODAY()-C2,IF(E2="Should have started",TODAY()-B2,"")))</f>
        <v/>
      </c>
      <c r="G253" s="121"/>
      <c r="K253" s="121"/>
      <c r="L253" s="121"/>
      <c r="M253" s="121"/>
      <c r="O253" s="120"/>
      <c r="T253" s="121"/>
      <c r="U253" s="120"/>
      <c r="W253" s="121"/>
      <c r="X253" s="120"/>
      <c r="Z253" s="121"/>
      <c r="AA253" s="121"/>
      <c r="AB253" s="120"/>
      <c r="AD253" s="121"/>
      <c r="AE253" s="121"/>
      <c r="AF253" s="120"/>
      <c r="AJ253" s="121"/>
    </row>
    <row r="254" spans="1:36">
      <c r="A254" t="str" cm="1">
        <f t="array" ref="A254">_xlfn.LET(_xlpm.src,TRIM(#REF!), _xlpm.u,_xlfn._xlws.SORT(_xlfn.UNIQUE(_xlfn._xlws.FILTER(_xlpm.src,_xlpm.src&lt;&gt;""))), IFERROR(INDEX(_xlpm.u,ROWS(A$2:A254)),""))</f>
        <v/>
      </c>
      <c r="B254" s="121"/>
      <c r="C254" s="121"/>
      <c r="D254" s="121"/>
      <c r="E254" t="str">
        <f ca="1">IF(D2&lt;&gt;"","Done",IF(C2&lt;&gt;"","In Progress",IF(B2&lt;&gt;"",IF(TODAY()&gt;B2,"Should have started","Planned"),"")))</f>
        <v/>
      </c>
      <c r="F254" s="120" t="str">
        <f ca="1">IF(E2="Done",D2-C2,IF(E2="In Progress",TODAY()-C2,IF(E2="Should have started",TODAY()-B2,"")))</f>
        <v/>
      </c>
      <c r="G254" s="121"/>
      <c r="K254" s="121"/>
      <c r="L254" s="121"/>
      <c r="M254" s="121"/>
      <c r="O254" s="120"/>
      <c r="T254" s="121"/>
      <c r="U254" s="120"/>
      <c r="W254" s="121"/>
      <c r="X254" s="120"/>
      <c r="Z254" s="121"/>
      <c r="AA254" s="121"/>
      <c r="AB254" s="120"/>
      <c r="AD254" s="121"/>
      <c r="AE254" s="121"/>
      <c r="AF254" s="120"/>
      <c r="AJ254" s="121"/>
    </row>
    <row r="255" spans="1:36">
      <c r="A255" t="str" cm="1">
        <f t="array" ref="A255">_xlfn.LET(_xlpm.src,TRIM(#REF!), _xlpm.u,_xlfn._xlws.SORT(_xlfn.UNIQUE(_xlfn._xlws.FILTER(_xlpm.src,_xlpm.src&lt;&gt;""))), IFERROR(INDEX(_xlpm.u,ROWS(A$2:A255)),""))</f>
        <v/>
      </c>
      <c r="B255" s="121"/>
      <c r="C255" s="121"/>
      <c r="D255" s="121"/>
      <c r="E255" t="str">
        <f ca="1">IF(D2&lt;&gt;"","Done",IF(C2&lt;&gt;"","In Progress",IF(B2&lt;&gt;"",IF(TODAY()&gt;B2,"Should have started","Planned"),"")))</f>
        <v/>
      </c>
      <c r="F255" s="120" t="str">
        <f ca="1">IF(E2="Done",D2-C2,IF(E2="In Progress",TODAY()-C2,IF(E2="Should have started",TODAY()-B2,"")))</f>
        <v/>
      </c>
      <c r="G255" s="121"/>
      <c r="K255" s="121"/>
      <c r="L255" s="121"/>
      <c r="M255" s="121"/>
      <c r="O255" s="120"/>
      <c r="T255" s="121"/>
      <c r="U255" s="120"/>
      <c r="W255" s="121"/>
      <c r="X255" s="120"/>
      <c r="Z255" s="121"/>
      <c r="AA255" s="121"/>
      <c r="AB255" s="120"/>
      <c r="AD255" s="121"/>
      <c r="AE255" s="121"/>
      <c r="AF255" s="120"/>
      <c r="AJ255" s="121"/>
    </row>
    <row r="256" spans="1:36">
      <c r="A256" t="str" cm="1">
        <f t="array" ref="A256">_xlfn.LET(_xlpm.src,TRIM(#REF!), _xlpm.u,_xlfn._xlws.SORT(_xlfn.UNIQUE(_xlfn._xlws.FILTER(_xlpm.src,_xlpm.src&lt;&gt;""))), IFERROR(INDEX(_xlpm.u,ROWS(A$2:A256)),""))</f>
        <v/>
      </c>
      <c r="B256" s="121"/>
      <c r="C256" s="121"/>
      <c r="D256" s="121"/>
      <c r="E256" t="str">
        <f ca="1">IF(D2&lt;&gt;"","Done",IF(C2&lt;&gt;"","In Progress",IF(B2&lt;&gt;"",IF(TODAY()&gt;B2,"Should have started","Planned"),"")))</f>
        <v/>
      </c>
      <c r="F256" s="120" t="str">
        <f ca="1">IF(E2="Done",D2-C2,IF(E2="In Progress",TODAY()-C2,IF(E2="Should have started",TODAY()-B2,"")))</f>
        <v/>
      </c>
      <c r="G256" s="121"/>
      <c r="K256" s="121"/>
      <c r="L256" s="121"/>
      <c r="M256" s="121"/>
      <c r="O256" s="120"/>
      <c r="T256" s="121"/>
      <c r="U256" s="120"/>
      <c r="W256" s="121"/>
      <c r="X256" s="120"/>
      <c r="Z256" s="121"/>
      <c r="AA256" s="121"/>
      <c r="AB256" s="120"/>
      <c r="AD256" s="121"/>
      <c r="AE256" s="121"/>
      <c r="AF256" s="120"/>
      <c r="AJ256" s="121"/>
    </row>
    <row r="257" spans="1:36">
      <c r="A257" t="str" cm="1">
        <f t="array" ref="A257">_xlfn.LET(_xlpm.src,TRIM(#REF!), _xlpm.u,_xlfn._xlws.SORT(_xlfn.UNIQUE(_xlfn._xlws.FILTER(_xlpm.src,_xlpm.src&lt;&gt;""))), IFERROR(INDEX(_xlpm.u,ROWS(A$2:A257)),""))</f>
        <v/>
      </c>
      <c r="B257" s="121"/>
      <c r="C257" s="121"/>
      <c r="D257" s="121"/>
      <c r="E257" t="str">
        <f ca="1">IF(D2&lt;&gt;"","Done",IF(C2&lt;&gt;"","In Progress",IF(B2&lt;&gt;"",IF(TODAY()&gt;B2,"Should have started","Planned"),"")))</f>
        <v/>
      </c>
      <c r="F257" s="120" t="str">
        <f ca="1">IF(E2="Done",D2-C2,IF(E2="In Progress",TODAY()-C2,IF(E2="Should have started",TODAY()-B2,"")))</f>
        <v/>
      </c>
      <c r="G257" s="121"/>
      <c r="K257" s="121"/>
      <c r="L257" s="121"/>
      <c r="M257" s="121"/>
      <c r="O257" s="120"/>
      <c r="T257" s="121"/>
      <c r="U257" s="120"/>
      <c r="W257" s="121"/>
      <c r="X257" s="120"/>
      <c r="Z257" s="121"/>
      <c r="AA257" s="121"/>
      <c r="AB257" s="120"/>
      <c r="AD257" s="121"/>
      <c r="AE257" s="121"/>
      <c r="AF257" s="120"/>
      <c r="AJ257" s="121"/>
    </row>
    <row r="258" spans="1:36">
      <c r="A258" t="str" cm="1">
        <f t="array" ref="A258">_xlfn.LET(_xlpm.src,TRIM(#REF!), _xlpm.u,_xlfn._xlws.SORT(_xlfn.UNIQUE(_xlfn._xlws.FILTER(_xlpm.src,_xlpm.src&lt;&gt;""))), IFERROR(INDEX(_xlpm.u,ROWS(A$2:A258)),""))</f>
        <v/>
      </c>
      <c r="B258" s="121"/>
      <c r="C258" s="121"/>
      <c r="D258" s="121"/>
      <c r="E258" t="str">
        <f ca="1">IF(D2&lt;&gt;"","Done",IF(C2&lt;&gt;"","In Progress",IF(B2&lt;&gt;"",IF(TODAY()&gt;B2,"Should have started","Planned"),"")))</f>
        <v/>
      </c>
      <c r="F258" s="120" t="str">
        <f ca="1">IF(E2="Done",D2-C2,IF(E2="In Progress",TODAY()-C2,IF(E2="Should have started",TODAY()-B2,"")))</f>
        <v/>
      </c>
      <c r="G258" s="121"/>
      <c r="K258" s="121"/>
      <c r="L258" s="121"/>
      <c r="M258" s="121"/>
      <c r="O258" s="120"/>
      <c r="T258" s="121"/>
      <c r="U258" s="120"/>
      <c r="W258" s="121"/>
      <c r="X258" s="120"/>
      <c r="Z258" s="121"/>
      <c r="AA258" s="121"/>
      <c r="AB258" s="120"/>
      <c r="AD258" s="121"/>
      <c r="AE258" s="121"/>
      <c r="AF258" s="120"/>
      <c r="AJ258" s="121"/>
    </row>
    <row r="259" spans="1:36">
      <c r="A259" t="str" cm="1">
        <f t="array" ref="A259">_xlfn.LET(_xlpm.src,TRIM(#REF!), _xlpm.u,_xlfn._xlws.SORT(_xlfn.UNIQUE(_xlfn._xlws.FILTER(_xlpm.src,_xlpm.src&lt;&gt;""))), IFERROR(INDEX(_xlpm.u,ROWS(A$2:A259)),""))</f>
        <v/>
      </c>
      <c r="B259" s="121"/>
      <c r="C259" s="121"/>
      <c r="D259" s="121"/>
      <c r="E259" t="str">
        <f ca="1">IF(D2&lt;&gt;"","Done",IF(C2&lt;&gt;"","In Progress",IF(B2&lt;&gt;"",IF(TODAY()&gt;B2,"Should have started","Planned"),"")))</f>
        <v/>
      </c>
      <c r="F259" s="120" t="str">
        <f ca="1">IF(E2="Done",D2-C2,IF(E2="In Progress",TODAY()-C2,IF(E2="Should have started",TODAY()-B2,"")))</f>
        <v/>
      </c>
      <c r="G259" s="121"/>
      <c r="K259" s="121"/>
      <c r="L259" s="121"/>
      <c r="M259" s="121"/>
      <c r="O259" s="120"/>
      <c r="T259" s="121"/>
      <c r="U259" s="120"/>
      <c r="W259" s="121"/>
      <c r="X259" s="120"/>
      <c r="Z259" s="121"/>
      <c r="AA259" s="121"/>
      <c r="AB259" s="120"/>
      <c r="AD259" s="121"/>
      <c r="AE259" s="121"/>
      <c r="AF259" s="120"/>
      <c r="AJ259" s="121"/>
    </row>
    <row r="260" spans="1:36">
      <c r="A260" t="str" cm="1">
        <f t="array" ref="A260">_xlfn.LET(_xlpm.src,TRIM(#REF!), _xlpm.u,_xlfn._xlws.SORT(_xlfn.UNIQUE(_xlfn._xlws.FILTER(_xlpm.src,_xlpm.src&lt;&gt;""))), IFERROR(INDEX(_xlpm.u,ROWS(A$2:A260)),""))</f>
        <v/>
      </c>
      <c r="B260" s="121"/>
      <c r="C260" s="121"/>
      <c r="D260" s="121"/>
      <c r="E260" t="str">
        <f ca="1">IF(D2&lt;&gt;"","Done",IF(C2&lt;&gt;"","In Progress",IF(B2&lt;&gt;"",IF(TODAY()&gt;B2,"Should have started","Planned"),"")))</f>
        <v/>
      </c>
      <c r="F260" s="120" t="str">
        <f ca="1">IF(E2="Done",D2-C2,IF(E2="In Progress",TODAY()-C2,IF(E2="Should have started",TODAY()-B2,"")))</f>
        <v/>
      </c>
      <c r="G260" s="121"/>
      <c r="K260" s="121"/>
      <c r="L260" s="121"/>
      <c r="M260" s="121"/>
      <c r="O260" s="120"/>
      <c r="T260" s="121"/>
      <c r="U260" s="120"/>
      <c r="W260" s="121"/>
      <c r="X260" s="120"/>
      <c r="Z260" s="121"/>
      <c r="AA260" s="121"/>
      <c r="AB260" s="120"/>
      <c r="AD260" s="121"/>
      <c r="AE260" s="121"/>
      <c r="AF260" s="120"/>
      <c r="AJ260" s="121"/>
    </row>
    <row r="261" spans="1:36">
      <c r="A261" t="str" cm="1">
        <f t="array" ref="A261">_xlfn.LET(_xlpm.src,TRIM(#REF!), _xlpm.u,_xlfn._xlws.SORT(_xlfn.UNIQUE(_xlfn._xlws.FILTER(_xlpm.src,_xlpm.src&lt;&gt;""))), IFERROR(INDEX(_xlpm.u,ROWS(A$2:A261)),""))</f>
        <v/>
      </c>
      <c r="B261" s="121"/>
      <c r="C261" s="121"/>
      <c r="D261" s="121"/>
      <c r="E261" t="str">
        <f ca="1">IF(D2&lt;&gt;"","Done",IF(C2&lt;&gt;"","In Progress",IF(B2&lt;&gt;"",IF(TODAY()&gt;B2,"Should have started","Planned"),"")))</f>
        <v/>
      </c>
      <c r="F261" s="120" t="str">
        <f ca="1">IF(E2="Done",D2-C2,IF(E2="In Progress",TODAY()-C2,IF(E2="Should have started",TODAY()-B2,"")))</f>
        <v/>
      </c>
      <c r="G261" s="121"/>
      <c r="K261" s="121"/>
      <c r="L261" s="121"/>
      <c r="M261" s="121"/>
      <c r="O261" s="120"/>
      <c r="T261" s="121"/>
      <c r="U261" s="120"/>
      <c r="W261" s="121"/>
      <c r="X261" s="120"/>
      <c r="Z261" s="121"/>
      <c r="AA261" s="121"/>
      <c r="AB261" s="120"/>
      <c r="AD261" s="121"/>
      <c r="AE261" s="121"/>
      <c r="AF261" s="120"/>
      <c r="AJ261" s="121"/>
    </row>
    <row r="262" spans="1:36">
      <c r="A262" t="str" cm="1">
        <f t="array" ref="A262">_xlfn.LET(_xlpm.src,TRIM(#REF!), _xlpm.u,_xlfn._xlws.SORT(_xlfn.UNIQUE(_xlfn._xlws.FILTER(_xlpm.src,_xlpm.src&lt;&gt;""))), IFERROR(INDEX(_xlpm.u,ROWS(A$2:A262)),""))</f>
        <v/>
      </c>
      <c r="B262" s="121"/>
      <c r="C262" s="121"/>
      <c r="D262" s="121"/>
      <c r="E262" t="str">
        <f ca="1">IF(D2&lt;&gt;"","Done",IF(C2&lt;&gt;"","In Progress",IF(B2&lt;&gt;"",IF(TODAY()&gt;B2,"Should have started","Planned"),"")))</f>
        <v/>
      </c>
      <c r="F262" s="120" t="str">
        <f ca="1">IF(E2="Done",D2-C2,IF(E2="In Progress",TODAY()-C2,IF(E2="Should have started",TODAY()-B2,"")))</f>
        <v/>
      </c>
      <c r="G262" s="121"/>
      <c r="K262" s="121"/>
      <c r="L262" s="121"/>
      <c r="M262" s="121"/>
      <c r="O262" s="120"/>
      <c r="T262" s="121"/>
      <c r="U262" s="120"/>
      <c r="W262" s="121"/>
      <c r="X262" s="120"/>
      <c r="Z262" s="121"/>
      <c r="AA262" s="121"/>
      <c r="AB262" s="120"/>
      <c r="AD262" s="121"/>
      <c r="AE262" s="121"/>
      <c r="AF262" s="120"/>
      <c r="AJ262" s="121"/>
    </row>
    <row r="263" spans="1:36">
      <c r="A263" t="str" cm="1">
        <f t="array" ref="A263">_xlfn.LET(_xlpm.src,TRIM(#REF!), _xlpm.u,_xlfn._xlws.SORT(_xlfn.UNIQUE(_xlfn._xlws.FILTER(_xlpm.src,_xlpm.src&lt;&gt;""))), IFERROR(INDEX(_xlpm.u,ROWS(A$2:A263)),""))</f>
        <v/>
      </c>
      <c r="B263" s="121"/>
      <c r="C263" s="121"/>
      <c r="D263" s="121"/>
      <c r="E263" t="str">
        <f ca="1">IF(D2&lt;&gt;"","Done",IF(C2&lt;&gt;"","In Progress",IF(B2&lt;&gt;"",IF(TODAY()&gt;B2,"Should have started","Planned"),"")))</f>
        <v/>
      </c>
      <c r="F263" s="120" t="str">
        <f ca="1">IF(E2="Done",D2-C2,IF(E2="In Progress",TODAY()-C2,IF(E2="Should have started",TODAY()-B2,"")))</f>
        <v/>
      </c>
      <c r="G263" s="121"/>
      <c r="K263" s="121"/>
      <c r="L263" s="121"/>
      <c r="M263" s="121"/>
      <c r="O263" s="120"/>
      <c r="T263" s="121"/>
      <c r="U263" s="120"/>
      <c r="W263" s="121"/>
      <c r="X263" s="120"/>
      <c r="Z263" s="121"/>
      <c r="AA263" s="121"/>
      <c r="AB263" s="120"/>
      <c r="AD263" s="121"/>
      <c r="AE263" s="121"/>
      <c r="AF263" s="120"/>
      <c r="AJ263" s="121"/>
    </row>
    <row r="264" spans="1:36">
      <c r="A264" t="str" cm="1">
        <f t="array" ref="A264">_xlfn.LET(_xlpm.src,TRIM(#REF!), _xlpm.u,_xlfn._xlws.SORT(_xlfn.UNIQUE(_xlfn._xlws.FILTER(_xlpm.src,_xlpm.src&lt;&gt;""))), IFERROR(INDEX(_xlpm.u,ROWS(A$2:A264)),""))</f>
        <v/>
      </c>
      <c r="B264" s="121"/>
      <c r="C264" s="121"/>
      <c r="D264" s="121"/>
      <c r="E264" t="str">
        <f ca="1">IF(D2&lt;&gt;"","Done",IF(C2&lt;&gt;"","In Progress",IF(B2&lt;&gt;"",IF(TODAY()&gt;B2,"Should have started","Planned"),"")))</f>
        <v/>
      </c>
      <c r="F264" s="120" t="str">
        <f ca="1">IF(E2="Done",D2-C2,IF(E2="In Progress",TODAY()-C2,IF(E2="Should have started",TODAY()-B2,"")))</f>
        <v/>
      </c>
      <c r="G264" s="121"/>
      <c r="K264" s="121"/>
      <c r="L264" s="121"/>
      <c r="M264" s="121"/>
      <c r="O264" s="120"/>
      <c r="T264" s="121"/>
      <c r="U264" s="120"/>
      <c r="W264" s="121"/>
      <c r="X264" s="120"/>
      <c r="Z264" s="121"/>
      <c r="AA264" s="121"/>
      <c r="AB264" s="120"/>
      <c r="AD264" s="121"/>
      <c r="AE264" s="121"/>
      <c r="AF264" s="120"/>
      <c r="AJ264" s="121"/>
    </row>
    <row r="265" spans="1:36">
      <c r="A265" t="str" cm="1">
        <f t="array" ref="A265">_xlfn.LET(_xlpm.src,TRIM(#REF!), _xlpm.u,_xlfn._xlws.SORT(_xlfn.UNIQUE(_xlfn._xlws.FILTER(_xlpm.src,_xlpm.src&lt;&gt;""))), IFERROR(INDEX(_xlpm.u,ROWS(A$2:A265)),""))</f>
        <v/>
      </c>
      <c r="B265" s="121"/>
      <c r="C265" s="121"/>
      <c r="D265" s="121"/>
      <c r="E265" t="str">
        <f ca="1">IF(D2&lt;&gt;"","Done",IF(C2&lt;&gt;"","In Progress",IF(B2&lt;&gt;"",IF(TODAY()&gt;B2,"Should have started","Planned"),"")))</f>
        <v/>
      </c>
      <c r="F265" s="120" t="str">
        <f ca="1">IF(E2="Done",D2-C2,IF(E2="In Progress",TODAY()-C2,IF(E2="Should have started",TODAY()-B2,"")))</f>
        <v/>
      </c>
      <c r="G265" s="121"/>
      <c r="K265" s="121"/>
      <c r="L265" s="121"/>
      <c r="M265" s="121"/>
      <c r="O265" s="120"/>
      <c r="T265" s="121"/>
      <c r="U265" s="120"/>
      <c r="W265" s="121"/>
      <c r="X265" s="120"/>
      <c r="Z265" s="121"/>
      <c r="AA265" s="121"/>
      <c r="AB265" s="120"/>
      <c r="AD265" s="121"/>
      <c r="AE265" s="121"/>
      <c r="AF265" s="120"/>
      <c r="AJ265" s="121"/>
    </row>
    <row r="266" spans="1:36">
      <c r="A266" t="str" cm="1">
        <f t="array" ref="A266">_xlfn.LET(_xlpm.src,TRIM(#REF!), _xlpm.u,_xlfn._xlws.SORT(_xlfn.UNIQUE(_xlfn._xlws.FILTER(_xlpm.src,_xlpm.src&lt;&gt;""))), IFERROR(INDEX(_xlpm.u,ROWS(A$2:A266)),""))</f>
        <v/>
      </c>
      <c r="B266" s="121"/>
      <c r="C266" s="121"/>
      <c r="D266" s="121"/>
      <c r="E266" t="str">
        <f ca="1">IF(D2&lt;&gt;"","Done",IF(C2&lt;&gt;"","In Progress",IF(B2&lt;&gt;"",IF(TODAY()&gt;B2,"Should have started","Planned"),"")))</f>
        <v/>
      </c>
      <c r="F266" s="120" t="str">
        <f ca="1">IF(E2="Done",D2-C2,IF(E2="In Progress",TODAY()-C2,IF(E2="Should have started",TODAY()-B2,"")))</f>
        <v/>
      </c>
      <c r="G266" s="121"/>
      <c r="K266" s="121"/>
      <c r="L266" s="121"/>
      <c r="M266" s="121"/>
      <c r="O266" s="120"/>
      <c r="T266" s="121"/>
      <c r="U266" s="120"/>
      <c r="W266" s="121"/>
      <c r="X266" s="120"/>
      <c r="Z266" s="121"/>
      <c r="AA266" s="121"/>
      <c r="AB266" s="120"/>
      <c r="AD266" s="121"/>
      <c r="AE266" s="121"/>
      <c r="AF266" s="120"/>
      <c r="AJ266" s="121"/>
    </row>
    <row r="267" spans="1:36">
      <c r="A267" t="str" cm="1">
        <f t="array" ref="A267">_xlfn.LET(_xlpm.src,TRIM(#REF!), _xlpm.u,_xlfn._xlws.SORT(_xlfn.UNIQUE(_xlfn._xlws.FILTER(_xlpm.src,_xlpm.src&lt;&gt;""))), IFERROR(INDEX(_xlpm.u,ROWS(A$2:A267)),""))</f>
        <v/>
      </c>
      <c r="B267" s="121"/>
      <c r="C267" s="121"/>
      <c r="D267" s="121"/>
      <c r="E267" t="str">
        <f ca="1">IF(D2&lt;&gt;"","Done",IF(C2&lt;&gt;"","In Progress",IF(B2&lt;&gt;"",IF(TODAY()&gt;B2,"Should have started","Planned"),"")))</f>
        <v/>
      </c>
      <c r="F267" s="120" t="str">
        <f ca="1">IF(E2="Done",D2-C2,IF(E2="In Progress",TODAY()-C2,IF(E2="Should have started",TODAY()-B2,"")))</f>
        <v/>
      </c>
      <c r="G267" s="121"/>
      <c r="K267" s="121"/>
      <c r="L267" s="121"/>
      <c r="M267" s="121"/>
      <c r="O267" s="120"/>
      <c r="T267" s="121"/>
      <c r="U267" s="120"/>
      <c r="W267" s="121"/>
      <c r="X267" s="120"/>
      <c r="Z267" s="121"/>
      <c r="AA267" s="121"/>
      <c r="AB267" s="120"/>
      <c r="AD267" s="121"/>
      <c r="AE267" s="121"/>
      <c r="AF267" s="120"/>
      <c r="AJ267" s="121"/>
    </row>
    <row r="268" spans="1:36">
      <c r="A268" t="str" cm="1">
        <f t="array" ref="A268">_xlfn.LET(_xlpm.src,TRIM(#REF!), _xlpm.u,_xlfn._xlws.SORT(_xlfn.UNIQUE(_xlfn._xlws.FILTER(_xlpm.src,_xlpm.src&lt;&gt;""))), IFERROR(INDEX(_xlpm.u,ROWS(A$2:A268)),""))</f>
        <v/>
      </c>
      <c r="B268" s="121"/>
      <c r="C268" s="121"/>
      <c r="D268" s="121"/>
      <c r="E268" t="str">
        <f ca="1">IF(D2&lt;&gt;"","Done",IF(C2&lt;&gt;"","In Progress",IF(B2&lt;&gt;"",IF(TODAY()&gt;B2,"Should have started","Planned"),"")))</f>
        <v/>
      </c>
      <c r="F268" s="120" t="str">
        <f ca="1">IF(E2="Done",D2-C2,IF(E2="In Progress",TODAY()-C2,IF(E2="Should have started",TODAY()-B2,"")))</f>
        <v/>
      </c>
      <c r="G268" s="121"/>
      <c r="K268" s="121"/>
      <c r="L268" s="121"/>
      <c r="M268" s="121"/>
      <c r="O268" s="120"/>
      <c r="T268" s="121"/>
      <c r="U268" s="120"/>
      <c r="W268" s="121"/>
      <c r="X268" s="120"/>
      <c r="Z268" s="121"/>
      <c r="AA268" s="121"/>
      <c r="AB268" s="120"/>
      <c r="AD268" s="121"/>
      <c r="AE268" s="121"/>
      <c r="AF268" s="120"/>
      <c r="AJ268" s="121"/>
    </row>
    <row r="269" spans="1:36">
      <c r="A269" t="str" cm="1">
        <f t="array" ref="A269">_xlfn.LET(_xlpm.src,TRIM(#REF!), _xlpm.u,_xlfn._xlws.SORT(_xlfn.UNIQUE(_xlfn._xlws.FILTER(_xlpm.src,_xlpm.src&lt;&gt;""))), IFERROR(INDEX(_xlpm.u,ROWS(A$2:A269)),""))</f>
        <v/>
      </c>
      <c r="B269" s="121"/>
      <c r="C269" s="121"/>
      <c r="D269" s="121"/>
      <c r="E269" t="str">
        <f ca="1">IF(D2&lt;&gt;"","Done",IF(C2&lt;&gt;"","In Progress",IF(B2&lt;&gt;"",IF(TODAY()&gt;B2,"Should have started","Planned"),"")))</f>
        <v/>
      </c>
      <c r="F269" s="120" t="str">
        <f ca="1">IF(E2="Done",D2-C2,IF(E2="In Progress",TODAY()-C2,IF(E2="Should have started",TODAY()-B2,"")))</f>
        <v/>
      </c>
      <c r="G269" s="121"/>
      <c r="K269" s="121"/>
      <c r="L269" s="121"/>
      <c r="M269" s="121"/>
      <c r="O269" s="120"/>
      <c r="T269" s="121"/>
      <c r="U269" s="120"/>
      <c r="W269" s="121"/>
      <c r="X269" s="120"/>
      <c r="Z269" s="121"/>
      <c r="AA269" s="121"/>
      <c r="AB269" s="120"/>
      <c r="AD269" s="121"/>
      <c r="AE269" s="121"/>
      <c r="AF269" s="120"/>
      <c r="AJ269" s="121"/>
    </row>
    <row r="270" spans="1:36">
      <c r="A270" t="str" cm="1">
        <f t="array" ref="A270">_xlfn.LET(_xlpm.src,TRIM(#REF!), _xlpm.u,_xlfn._xlws.SORT(_xlfn.UNIQUE(_xlfn._xlws.FILTER(_xlpm.src,_xlpm.src&lt;&gt;""))), IFERROR(INDEX(_xlpm.u,ROWS(A$2:A270)),""))</f>
        <v/>
      </c>
      <c r="B270" s="121"/>
      <c r="C270" s="121"/>
      <c r="D270" s="121"/>
      <c r="E270" t="str">
        <f ca="1">IF(D2&lt;&gt;"","Done",IF(C2&lt;&gt;"","In Progress",IF(B2&lt;&gt;"",IF(TODAY()&gt;B2,"Should have started","Planned"),"")))</f>
        <v/>
      </c>
      <c r="F270" s="120" t="str">
        <f ca="1">IF(E2="Done",D2-C2,IF(E2="In Progress",TODAY()-C2,IF(E2="Should have started",TODAY()-B2,"")))</f>
        <v/>
      </c>
      <c r="G270" s="121"/>
      <c r="K270" s="121"/>
      <c r="L270" s="121"/>
      <c r="M270" s="121"/>
      <c r="O270" s="120"/>
      <c r="T270" s="121"/>
      <c r="U270" s="120"/>
      <c r="W270" s="121"/>
      <c r="X270" s="120"/>
      <c r="Z270" s="121"/>
      <c r="AA270" s="121"/>
      <c r="AB270" s="120"/>
      <c r="AD270" s="121"/>
      <c r="AE270" s="121"/>
      <c r="AF270" s="120"/>
      <c r="AJ270" s="121"/>
    </row>
    <row r="271" spans="1:36">
      <c r="A271" t="str" cm="1">
        <f t="array" ref="A271">_xlfn.LET(_xlpm.src,TRIM(#REF!), _xlpm.u,_xlfn._xlws.SORT(_xlfn.UNIQUE(_xlfn._xlws.FILTER(_xlpm.src,_xlpm.src&lt;&gt;""))), IFERROR(INDEX(_xlpm.u,ROWS(A$2:A271)),""))</f>
        <v/>
      </c>
      <c r="B271" s="121"/>
      <c r="C271" s="121"/>
      <c r="D271" s="121"/>
      <c r="E271" t="str">
        <f ca="1">IF(D2&lt;&gt;"","Done",IF(C2&lt;&gt;"","In Progress",IF(B2&lt;&gt;"",IF(TODAY()&gt;B2,"Should have started","Planned"),"")))</f>
        <v/>
      </c>
      <c r="F271" s="120" t="str">
        <f ca="1">IF(E2="Done",D2-C2,IF(E2="In Progress",TODAY()-C2,IF(E2="Should have started",TODAY()-B2,"")))</f>
        <v/>
      </c>
      <c r="G271" s="121"/>
      <c r="K271" s="121"/>
      <c r="L271" s="121"/>
      <c r="M271" s="121"/>
      <c r="O271" s="120"/>
      <c r="T271" s="121"/>
      <c r="U271" s="120"/>
      <c r="W271" s="121"/>
      <c r="X271" s="120"/>
      <c r="Z271" s="121"/>
      <c r="AA271" s="121"/>
      <c r="AB271" s="120"/>
      <c r="AD271" s="121"/>
      <c r="AE271" s="121"/>
      <c r="AF271" s="120"/>
      <c r="AJ271" s="121"/>
    </row>
    <row r="272" spans="1:36">
      <c r="A272" t="str" cm="1">
        <f t="array" ref="A272">_xlfn.LET(_xlpm.src,TRIM(#REF!), _xlpm.u,_xlfn._xlws.SORT(_xlfn.UNIQUE(_xlfn._xlws.FILTER(_xlpm.src,_xlpm.src&lt;&gt;""))), IFERROR(INDEX(_xlpm.u,ROWS(A$2:A272)),""))</f>
        <v/>
      </c>
      <c r="B272" s="121"/>
      <c r="C272" s="121"/>
      <c r="D272" s="121"/>
      <c r="E272" t="str">
        <f ca="1">IF(D2&lt;&gt;"","Done",IF(C2&lt;&gt;"","In Progress",IF(B2&lt;&gt;"",IF(TODAY()&gt;B2,"Should have started","Planned"),"")))</f>
        <v/>
      </c>
      <c r="F272" s="120" t="str">
        <f ca="1">IF(E2="Done",D2-C2,IF(E2="In Progress",TODAY()-C2,IF(E2="Should have started",TODAY()-B2,"")))</f>
        <v/>
      </c>
      <c r="G272" s="121"/>
      <c r="K272" s="121"/>
      <c r="L272" s="121"/>
      <c r="M272" s="121"/>
      <c r="O272" s="120"/>
      <c r="T272" s="121"/>
      <c r="U272" s="120"/>
      <c r="W272" s="121"/>
      <c r="X272" s="120"/>
      <c r="Z272" s="121"/>
      <c r="AA272" s="121"/>
      <c r="AB272" s="120"/>
      <c r="AD272" s="121"/>
      <c r="AE272" s="121"/>
      <c r="AF272" s="120"/>
      <c r="AJ272" s="121"/>
    </row>
    <row r="273" spans="1:36">
      <c r="A273" t="str" cm="1">
        <f t="array" ref="A273">_xlfn.LET(_xlpm.src,TRIM(#REF!), _xlpm.u,_xlfn._xlws.SORT(_xlfn.UNIQUE(_xlfn._xlws.FILTER(_xlpm.src,_xlpm.src&lt;&gt;""))), IFERROR(INDEX(_xlpm.u,ROWS(A$2:A273)),""))</f>
        <v/>
      </c>
      <c r="B273" s="121"/>
      <c r="C273" s="121"/>
      <c r="D273" s="121"/>
      <c r="E273" t="str">
        <f ca="1">IF(D2&lt;&gt;"","Done",IF(C2&lt;&gt;"","In Progress",IF(B2&lt;&gt;"",IF(TODAY()&gt;B2,"Should have started","Planned"),"")))</f>
        <v/>
      </c>
      <c r="F273" s="120" t="str">
        <f ca="1">IF(E2="Done",D2-C2,IF(E2="In Progress",TODAY()-C2,IF(E2="Should have started",TODAY()-B2,"")))</f>
        <v/>
      </c>
      <c r="G273" s="121"/>
      <c r="K273" s="121"/>
      <c r="L273" s="121"/>
      <c r="M273" s="121"/>
      <c r="O273" s="120"/>
      <c r="T273" s="121"/>
      <c r="U273" s="120"/>
      <c r="W273" s="121"/>
      <c r="X273" s="120"/>
      <c r="Z273" s="121"/>
      <c r="AA273" s="121"/>
      <c r="AB273" s="120"/>
      <c r="AD273" s="121"/>
      <c r="AE273" s="121"/>
      <c r="AF273" s="120"/>
      <c r="AJ273" s="121"/>
    </row>
    <row r="274" spans="1:36">
      <c r="A274" t="str" cm="1">
        <f t="array" ref="A274">_xlfn.LET(_xlpm.src,TRIM(#REF!), _xlpm.u,_xlfn._xlws.SORT(_xlfn.UNIQUE(_xlfn._xlws.FILTER(_xlpm.src,_xlpm.src&lt;&gt;""))), IFERROR(INDEX(_xlpm.u,ROWS(A$2:A274)),""))</f>
        <v/>
      </c>
      <c r="B274" s="121"/>
      <c r="C274" s="121"/>
      <c r="D274" s="121"/>
      <c r="E274" t="str">
        <f ca="1">IF(D2&lt;&gt;"","Done",IF(C2&lt;&gt;"","In Progress",IF(B2&lt;&gt;"",IF(TODAY()&gt;B2,"Should have started","Planned"),"")))</f>
        <v/>
      </c>
      <c r="F274" s="120" t="str">
        <f ca="1">IF(E2="Done",D2-C2,IF(E2="In Progress",TODAY()-C2,IF(E2="Should have started",TODAY()-B2,"")))</f>
        <v/>
      </c>
      <c r="G274" s="121"/>
      <c r="K274" s="121"/>
      <c r="L274" s="121"/>
      <c r="M274" s="121"/>
      <c r="O274" s="120"/>
      <c r="T274" s="121"/>
      <c r="U274" s="120"/>
      <c r="W274" s="121"/>
      <c r="X274" s="120"/>
      <c r="Z274" s="121"/>
      <c r="AA274" s="121"/>
      <c r="AB274" s="120"/>
      <c r="AD274" s="121"/>
      <c r="AE274" s="121"/>
      <c r="AF274" s="120"/>
      <c r="AJ274" s="121"/>
    </row>
    <row r="275" spans="1:36">
      <c r="A275" t="str" cm="1">
        <f t="array" ref="A275">_xlfn.LET(_xlpm.src,TRIM(#REF!), _xlpm.u,_xlfn._xlws.SORT(_xlfn.UNIQUE(_xlfn._xlws.FILTER(_xlpm.src,_xlpm.src&lt;&gt;""))), IFERROR(INDEX(_xlpm.u,ROWS(A$2:A275)),""))</f>
        <v/>
      </c>
      <c r="B275" s="121"/>
      <c r="C275" s="121"/>
      <c r="D275" s="121"/>
      <c r="E275" t="str">
        <f ca="1">IF(D2&lt;&gt;"","Done",IF(C2&lt;&gt;"","In Progress",IF(B2&lt;&gt;"",IF(TODAY()&gt;B2,"Should have started","Planned"),"")))</f>
        <v/>
      </c>
      <c r="F275" s="120" t="str">
        <f ca="1">IF(E2="Done",D2-C2,IF(E2="In Progress",TODAY()-C2,IF(E2="Should have started",TODAY()-B2,"")))</f>
        <v/>
      </c>
      <c r="G275" s="121"/>
      <c r="K275" s="121"/>
      <c r="L275" s="121"/>
      <c r="M275" s="121"/>
      <c r="O275" s="120"/>
      <c r="T275" s="121"/>
      <c r="U275" s="120"/>
      <c r="W275" s="121"/>
      <c r="X275" s="120"/>
      <c r="Z275" s="121"/>
      <c r="AA275" s="121"/>
      <c r="AB275" s="120"/>
      <c r="AD275" s="121"/>
      <c r="AE275" s="121"/>
      <c r="AF275" s="120"/>
      <c r="AJ275" s="121"/>
    </row>
    <row r="276" spans="1:36">
      <c r="A276" t="str" cm="1">
        <f t="array" ref="A276">_xlfn.LET(_xlpm.src,TRIM(#REF!), _xlpm.u,_xlfn._xlws.SORT(_xlfn.UNIQUE(_xlfn._xlws.FILTER(_xlpm.src,_xlpm.src&lt;&gt;""))), IFERROR(INDEX(_xlpm.u,ROWS(A$2:A276)),""))</f>
        <v/>
      </c>
      <c r="B276" s="121"/>
      <c r="C276" s="121"/>
      <c r="D276" s="121"/>
      <c r="E276" t="str">
        <f ca="1">IF(D2&lt;&gt;"","Done",IF(C2&lt;&gt;"","In Progress",IF(B2&lt;&gt;"",IF(TODAY()&gt;B2,"Should have started","Planned"),"")))</f>
        <v/>
      </c>
      <c r="F276" s="120" t="str">
        <f ca="1">IF(E2="Done",D2-C2,IF(E2="In Progress",TODAY()-C2,IF(E2="Should have started",TODAY()-B2,"")))</f>
        <v/>
      </c>
      <c r="G276" s="121"/>
      <c r="K276" s="121"/>
      <c r="L276" s="121"/>
      <c r="M276" s="121"/>
      <c r="O276" s="120"/>
      <c r="T276" s="121"/>
      <c r="U276" s="120"/>
      <c r="W276" s="121"/>
      <c r="X276" s="120"/>
      <c r="Z276" s="121"/>
      <c r="AA276" s="121"/>
      <c r="AB276" s="120"/>
      <c r="AD276" s="121"/>
      <c r="AE276" s="121"/>
      <c r="AF276" s="120"/>
      <c r="AJ276" s="121"/>
    </row>
    <row r="277" spans="1:36">
      <c r="A277" t="str" cm="1">
        <f t="array" ref="A277">_xlfn.LET(_xlpm.src,TRIM(#REF!), _xlpm.u,_xlfn._xlws.SORT(_xlfn.UNIQUE(_xlfn._xlws.FILTER(_xlpm.src,_xlpm.src&lt;&gt;""))), IFERROR(INDEX(_xlpm.u,ROWS(A$2:A277)),""))</f>
        <v/>
      </c>
      <c r="B277" s="121"/>
      <c r="C277" s="121"/>
      <c r="D277" s="121"/>
      <c r="E277" t="str">
        <f ca="1">IF(D2&lt;&gt;"","Done",IF(C2&lt;&gt;"","In Progress",IF(B2&lt;&gt;"",IF(TODAY()&gt;B2,"Should have started","Planned"),"")))</f>
        <v/>
      </c>
      <c r="F277" s="120" t="str">
        <f ca="1">IF(E2="Done",D2-C2,IF(E2="In Progress",TODAY()-C2,IF(E2="Should have started",TODAY()-B2,"")))</f>
        <v/>
      </c>
      <c r="G277" s="121"/>
      <c r="K277" s="121"/>
      <c r="L277" s="121"/>
      <c r="M277" s="121"/>
      <c r="O277" s="120"/>
      <c r="T277" s="121"/>
      <c r="U277" s="120"/>
      <c r="W277" s="121"/>
      <c r="X277" s="120"/>
      <c r="Z277" s="121"/>
      <c r="AA277" s="121"/>
      <c r="AB277" s="120"/>
      <c r="AD277" s="121"/>
      <c r="AE277" s="121"/>
      <c r="AF277" s="120"/>
      <c r="AJ277" s="121"/>
    </row>
    <row r="278" spans="1:36">
      <c r="A278" t="str" cm="1">
        <f t="array" ref="A278">_xlfn.LET(_xlpm.src,TRIM(#REF!), _xlpm.u,_xlfn._xlws.SORT(_xlfn.UNIQUE(_xlfn._xlws.FILTER(_xlpm.src,_xlpm.src&lt;&gt;""))), IFERROR(INDEX(_xlpm.u,ROWS(A$2:A278)),""))</f>
        <v/>
      </c>
      <c r="B278" s="121"/>
      <c r="C278" s="121"/>
      <c r="D278" s="121"/>
      <c r="E278" t="str">
        <f ca="1">IF(D2&lt;&gt;"","Done",IF(C2&lt;&gt;"","In Progress",IF(B2&lt;&gt;"",IF(TODAY()&gt;B2,"Should have started","Planned"),"")))</f>
        <v/>
      </c>
      <c r="F278" s="120" t="str">
        <f ca="1">IF(E2="Done",D2-C2,IF(E2="In Progress",TODAY()-C2,IF(E2="Should have started",TODAY()-B2,"")))</f>
        <v/>
      </c>
      <c r="G278" s="121"/>
      <c r="K278" s="121"/>
      <c r="L278" s="121"/>
      <c r="M278" s="121"/>
      <c r="O278" s="120"/>
      <c r="T278" s="121"/>
      <c r="U278" s="120"/>
      <c r="W278" s="121"/>
      <c r="X278" s="120"/>
      <c r="Z278" s="121"/>
      <c r="AA278" s="121"/>
      <c r="AB278" s="120"/>
      <c r="AD278" s="121"/>
      <c r="AE278" s="121"/>
      <c r="AF278" s="120"/>
      <c r="AJ278" s="121"/>
    </row>
    <row r="279" spans="1:36">
      <c r="A279" t="str" cm="1">
        <f t="array" ref="A279">_xlfn.LET(_xlpm.src,TRIM(#REF!), _xlpm.u,_xlfn._xlws.SORT(_xlfn.UNIQUE(_xlfn._xlws.FILTER(_xlpm.src,_xlpm.src&lt;&gt;""))), IFERROR(INDEX(_xlpm.u,ROWS(A$2:A279)),""))</f>
        <v/>
      </c>
      <c r="B279" s="121"/>
      <c r="C279" s="121"/>
      <c r="D279" s="121"/>
      <c r="E279" t="str">
        <f ca="1">IF(D2&lt;&gt;"","Done",IF(C2&lt;&gt;"","In Progress",IF(B2&lt;&gt;"",IF(TODAY()&gt;B2,"Should have started","Planned"),"")))</f>
        <v/>
      </c>
      <c r="F279" s="120" t="str">
        <f ca="1">IF(E2="Done",D2-C2,IF(E2="In Progress",TODAY()-C2,IF(E2="Should have started",TODAY()-B2,"")))</f>
        <v/>
      </c>
      <c r="G279" s="121"/>
      <c r="K279" s="121"/>
      <c r="L279" s="121"/>
      <c r="M279" s="121"/>
      <c r="O279" s="120"/>
      <c r="T279" s="121"/>
      <c r="U279" s="120"/>
      <c r="W279" s="121"/>
      <c r="X279" s="120"/>
      <c r="Z279" s="121"/>
      <c r="AA279" s="121"/>
      <c r="AB279" s="120"/>
      <c r="AD279" s="121"/>
      <c r="AE279" s="121"/>
      <c r="AF279" s="120"/>
      <c r="AJ279" s="121"/>
    </row>
    <row r="280" spans="1:36">
      <c r="A280" t="str" cm="1">
        <f t="array" ref="A280">_xlfn.LET(_xlpm.src,TRIM(#REF!), _xlpm.u,_xlfn._xlws.SORT(_xlfn.UNIQUE(_xlfn._xlws.FILTER(_xlpm.src,_xlpm.src&lt;&gt;""))), IFERROR(INDEX(_xlpm.u,ROWS(A$2:A280)),""))</f>
        <v/>
      </c>
      <c r="B280" s="121"/>
      <c r="C280" s="121"/>
      <c r="D280" s="121"/>
      <c r="E280" t="str">
        <f ca="1">IF(D2&lt;&gt;"","Done",IF(C2&lt;&gt;"","In Progress",IF(B2&lt;&gt;"",IF(TODAY()&gt;B2,"Should have started","Planned"),"")))</f>
        <v/>
      </c>
      <c r="F280" s="120" t="str">
        <f ca="1">IF(E2="Done",D2-C2,IF(E2="In Progress",TODAY()-C2,IF(E2="Should have started",TODAY()-B2,"")))</f>
        <v/>
      </c>
      <c r="G280" s="121"/>
      <c r="K280" s="121"/>
      <c r="L280" s="121"/>
      <c r="M280" s="121"/>
      <c r="O280" s="120"/>
      <c r="T280" s="121"/>
      <c r="U280" s="120"/>
      <c r="W280" s="121"/>
      <c r="X280" s="120"/>
      <c r="Z280" s="121"/>
      <c r="AA280" s="121"/>
      <c r="AB280" s="120"/>
      <c r="AD280" s="121"/>
      <c r="AE280" s="121"/>
      <c r="AF280" s="120"/>
      <c r="AJ280" s="121"/>
    </row>
    <row r="281" spans="1:36">
      <c r="A281" t="str" cm="1">
        <f t="array" ref="A281">_xlfn.LET(_xlpm.src,TRIM(#REF!), _xlpm.u,_xlfn._xlws.SORT(_xlfn.UNIQUE(_xlfn._xlws.FILTER(_xlpm.src,_xlpm.src&lt;&gt;""))), IFERROR(INDEX(_xlpm.u,ROWS(A$2:A281)),""))</f>
        <v/>
      </c>
      <c r="B281" s="121"/>
      <c r="C281" s="121"/>
      <c r="D281" s="121"/>
      <c r="E281" t="str">
        <f ca="1">IF(D2&lt;&gt;"","Done",IF(C2&lt;&gt;"","In Progress",IF(B2&lt;&gt;"",IF(TODAY()&gt;B2,"Should have started","Planned"),"")))</f>
        <v/>
      </c>
      <c r="F281" s="120" t="str">
        <f ca="1">IF(E2="Done",D2-C2,IF(E2="In Progress",TODAY()-C2,IF(E2="Should have started",TODAY()-B2,"")))</f>
        <v/>
      </c>
      <c r="G281" s="121"/>
      <c r="K281" s="121"/>
      <c r="L281" s="121"/>
      <c r="M281" s="121"/>
      <c r="O281" s="120"/>
      <c r="T281" s="121"/>
      <c r="U281" s="120"/>
      <c r="W281" s="121"/>
      <c r="X281" s="120"/>
      <c r="Z281" s="121"/>
      <c r="AA281" s="121"/>
      <c r="AB281" s="120"/>
      <c r="AD281" s="121"/>
      <c r="AE281" s="121"/>
      <c r="AF281" s="120"/>
      <c r="AJ281" s="121"/>
    </row>
    <row r="282" spans="1:36">
      <c r="A282" t="str" cm="1">
        <f t="array" ref="A282">_xlfn.LET(_xlpm.src,TRIM(#REF!), _xlpm.u,_xlfn._xlws.SORT(_xlfn.UNIQUE(_xlfn._xlws.FILTER(_xlpm.src,_xlpm.src&lt;&gt;""))), IFERROR(INDEX(_xlpm.u,ROWS(A$2:A282)),""))</f>
        <v/>
      </c>
      <c r="B282" s="121"/>
      <c r="C282" s="121"/>
      <c r="D282" s="121"/>
      <c r="E282" t="str">
        <f ca="1">IF(D2&lt;&gt;"","Done",IF(C2&lt;&gt;"","In Progress",IF(B2&lt;&gt;"",IF(TODAY()&gt;B2,"Should have started","Planned"),"")))</f>
        <v/>
      </c>
      <c r="F282" s="120" t="str">
        <f ca="1">IF(E2="Done",D2-C2,IF(E2="In Progress",TODAY()-C2,IF(E2="Should have started",TODAY()-B2,"")))</f>
        <v/>
      </c>
      <c r="G282" s="121"/>
      <c r="K282" s="121"/>
      <c r="L282" s="121"/>
      <c r="M282" s="121"/>
      <c r="O282" s="120"/>
      <c r="T282" s="121"/>
      <c r="U282" s="120"/>
      <c r="W282" s="121"/>
      <c r="X282" s="120"/>
      <c r="Z282" s="121"/>
      <c r="AA282" s="121"/>
      <c r="AB282" s="120"/>
      <c r="AD282" s="121"/>
      <c r="AE282" s="121"/>
      <c r="AF282" s="120"/>
      <c r="AJ282" s="121"/>
    </row>
    <row r="283" spans="1:36">
      <c r="A283" t="str" cm="1">
        <f t="array" ref="A283">_xlfn.LET(_xlpm.src,TRIM(#REF!), _xlpm.u,_xlfn._xlws.SORT(_xlfn.UNIQUE(_xlfn._xlws.FILTER(_xlpm.src,_xlpm.src&lt;&gt;""))), IFERROR(INDEX(_xlpm.u,ROWS(A$2:A283)),""))</f>
        <v/>
      </c>
      <c r="B283" s="121"/>
      <c r="C283" s="121"/>
      <c r="D283" s="121"/>
      <c r="E283" t="str">
        <f ca="1">IF(D2&lt;&gt;"","Done",IF(C2&lt;&gt;"","In Progress",IF(B2&lt;&gt;"",IF(TODAY()&gt;B2,"Should have started","Planned"),"")))</f>
        <v/>
      </c>
      <c r="F283" s="120" t="str">
        <f ca="1">IF(E2="Done",D2-C2,IF(E2="In Progress",TODAY()-C2,IF(E2="Should have started",TODAY()-B2,"")))</f>
        <v/>
      </c>
      <c r="G283" s="121"/>
      <c r="K283" s="121"/>
      <c r="L283" s="121"/>
      <c r="M283" s="121"/>
      <c r="O283" s="120"/>
      <c r="T283" s="121"/>
      <c r="U283" s="120"/>
      <c r="W283" s="121"/>
      <c r="X283" s="120"/>
      <c r="Z283" s="121"/>
      <c r="AA283" s="121"/>
      <c r="AB283" s="120"/>
      <c r="AD283" s="121"/>
      <c r="AE283" s="121"/>
      <c r="AF283" s="120"/>
      <c r="AJ283" s="121"/>
    </row>
    <row r="284" spans="1:36">
      <c r="A284" t="str" cm="1">
        <f t="array" ref="A284">_xlfn.LET(_xlpm.src,TRIM(#REF!), _xlpm.u,_xlfn._xlws.SORT(_xlfn.UNIQUE(_xlfn._xlws.FILTER(_xlpm.src,_xlpm.src&lt;&gt;""))), IFERROR(INDEX(_xlpm.u,ROWS(A$2:A284)),""))</f>
        <v/>
      </c>
      <c r="B284" s="121"/>
      <c r="C284" s="121"/>
      <c r="D284" s="121"/>
      <c r="E284" t="str">
        <f ca="1">IF(D2&lt;&gt;"","Done",IF(C2&lt;&gt;"","In Progress",IF(B2&lt;&gt;"",IF(TODAY()&gt;B2,"Should have started","Planned"),"")))</f>
        <v/>
      </c>
      <c r="F284" s="120" t="str">
        <f ca="1">IF(E2="Done",D2-C2,IF(E2="In Progress",TODAY()-C2,IF(E2="Should have started",TODAY()-B2,"")))</f>
        <v/>
      </c>
      <c r="G284" s="121"/>
      <c r="K284" s="121"/>
      <c r="L284" s="121"/>
      <c r="M284" s="121"/>
      <c r="O284" s="120"/>
      <c r="T284" s="121"/>
      <c r="U284" s="120"/>
      <c r="W284" s="121"/>
      <c r="X284" s="120"/>
      <c r="Z284" s="121"/>
      <c r="AA284" s="121"/>
      <c r="AB284" s="120"/>
      <c r="AD284" s="121"/>
      <c r="AE284" s="121"/>
      <c r="AF284" s="120"/>
      <c r="AJ284" s="121"/>
    </row>
    <row r="285" spans="1:36">
      <c r="A285" t="str" cm="1">
        <f t="array" ref="A285">_xlfn.LET(_xlpm.src,TRIM(#REF!), _xlpm.u,_xlfn._xlws.SORT(_xlfn.UNIQUE(_xlfn._xlws.FILTER(_xlpm.src,_xlpm.src&lt;&gt;""))), IFERROR(INDEX(_xlpm.u,ROWS(A$2:A285)),""))</f>
        <v/>
      </c>
      <c r="B285" s="121"/>
      <c r="C285" s="121"/>
      <c r="D285" s="121"/>
      <c r="E285" t="str">
        <f ca="1">IF(D2&lt;&gt;"","Done",IF(C2&lt;&gt;"","In Progress",IF(B2&lt;&gt;"",IF(TODAY()&gt;B2,"Should have started","Planned"),"")))</f>
        <v/>
      </c>
      <c r="F285" s="120" t="str">
        <f ca="1">IF(E2="Done",D2-C2,IF(E2="In Progress",TODAY()-C2,IF(E2="Should have started",TODAY()-B2,"")))</f>
        <v/>
      </c>
      <c r="G285" s="121"/>
      <c r="K285" s="121"/>
      <c r="L285" s="121"/>
      <c r="M285" s="121"/>
      <c r="O285" s="120"/>
      <c r="T285" s="121"/>
      <c r="U285" s="120"/>
      <c r="W285" s="121"/>
      <c r="X285" s="120"/>
      <c r="Z285" s="121"/>
      <c r="AA285" s="121"/>
      <c r="AB285" s="120"/>
      <c r="AD285" s="121"/>
      <c r="AE285" s="121"/>
      <c r="AF285" s="120"/>
      <c r="AJ285" s="121"/>
    </row>
    <row r="286" spans="1:36">
      <c r="A286" t="str" cm="1">
        <f t="array" ref="A286">_xlfn.LET(_xlpm.src,TRIM(#REF!), _xlpm.u,_xlfn._xlws.SORT(_xlfn.UNIQUE(_xlfn._xlws.FILTER(_xlpm.src,_xlpm.src&lt;&gt;""))), IFERROR(INDEX(_xlpm.u,ROWS(A$2:A286)),""))</f>
        <v/>
      </c>
      <c r="B286" s="121"/>
      <c r="C286" s="121"/>
      <c r="D286" s="121"/>
      <c r="E286" t="str">
        <f ca="1">IF(D2&lt;&gt;"","Done",IF(C2&lt;&gt;"","In Progress",IF(B2&lt;&gt;"",IF(TODAY()&gt;B2,"Should have started","Planned"),"")))</f>
        <v/>
      </c>
      <c r="F286" s="120" t="str">
        <f ca="1">IF(E2="Done",D2-C2,IF(E2="In Progress",TODAY()-C2,IF(E2="Should have started",TODAY()-B2,"")))</f>
        <v/>
      </c>
      <c r="G286" s="121"/>
      <c r="K286" s="121"/>
      <c r="L286" s="121"/>
      <c r="M286" s="121"/>
      <c r="O286" s="120"/>
      <c r="T286" s="121"/>
      <c r="U286" s="120"/>
      <c r="W286" s="121"/>
      <c r="X286" s="120"/>
      <c r="Z286" s="121"/>
      <c r="AA286" s="121"/>
      <c r="AB286" s="120"/>
      <c r="AD286" s="121"/>
      <c r="AE286" s="121"/>
      <c r="AF286" s="120"/>
      <c r="AJ286" s="121"/>
    </row>
    <row r="287" spans="1:36">
      <c r="A287" t="str" cm="1">
        <f t="array" ref="A287">_xlfn.LET(_xlpm.src,TRIM(#REF!), _xlpm.u,_xlfn._xlws.SORT(_xlfn.UNIQUE(_xlfn._xlws.FILTER(_xlpm.src,_xlpm.src&lt;&gt;""))), IFERROR(INDEX(_xlpm.u,ROWS(A$2:A287)),""))</f>
        <v/>
      </c>
      <c r="B287" s="121"/>
      <c r="C287" s="121"/>
      <c r="D287" s="121"/>
      <c r="E287" t="str">
        <f ca="1">IF(D2&lt;&gt;"","Done",IF(C2&lt;&gt;"","In Progress",IF(B2&lt;&gt;"",IF(TODAY()&gt;B2,"Should have started","Planned"),"")))</f>
        <v/>
      </c>
      <c r="F287" s="120" t="str">
        <f ca="1">IF(E2="Done",D2-C2,IF(E2="In Progress",TODAY()-C2,IF(E2="Should have started",TODAY()-B2,"")))</f>
        <v/>
      </c>
      <c r="G287" s="121"/>
      <c r="K287" s="121"/>
      <c r="L287" s="121"/>
      <c r="M287" s="121"/>
      <c r="O287" s="120"/>
      <c r="T287" s="121"/>
      <c r="U287" s="120"/>
      <c r="W287" s="121"/>
      <c r="X287" s="120"/>
      <c r="Z287" s="121"/>
      <c r="AA287" s="121"/>
      <c r="AB287" s="120"/>
      <c r="AD287" s="121"/>
      <c r="AE287" s="121"/>
      <c r="AF287" s="120"/>
      <c r="AJ287" s="121"/>
    </row>
    <row r="288" spans="1:36">
      <c r="A288" t="str" cm="1">
        <f t="array" ref="A288">_xlfn.LET(_xlpm.src,TRIM(#REF!), _xlpm.u,_xlfn._xlws.SORT(_xlfn.UNIQUE(_xlfn._xlws.FILTER(_xlpm.src,_xlpm.src&lt;&gt;""))), IFERROR(INDEX(_xlpm.u,ROWS(A$2:A288)),""))</f>
        <v/>
      </c>
      <c r="B288" s="121"/>
      <c r="C288" s="121"/>
      <c r="D288" s="121"/>
      <c r="E288" t="str">
        <f ca="1">IF(D2&lt;&gt;"","Done",IF(C2&lt;&gt;"","In Progress",IF(B2&lt;&gt;"",IF(TODAY()&gt;B2,"Should have started","Planned"),"")))</f>
        <v/>
      </c>
      <c r="F288" s="120" t="str">
        <f ca="1">IF(E2="Done",D2-C2,IF(E2="In Progress",TODAY()-C2,IF(E2="Should have started",TODAY()-B2,"")))</f>
        <v/>
      </c>
      <c r="G288" s="121"/>
      <c r="K288" s="121"/>
      <c r="L288" s="121"/>
      <c r="M288" s="121"/>
      <c r="O288" s="120"/>
      <c r="T288" s="121"/>
      <c r="U288" s="120"/>
      <c r="W288" s="121"/>
      <c r="X288" s="120"/>
      <c r="Z288" s="121"/>
      <c r="AA288" s="121"/>
      <c r="AB288" s="120"/>
      <c r="AD288" s="121"/>
      <c r="AE288" s="121"/>
      <c r="AF288" s="120"/>
      <c r="AJ288" s="121"/>
    </row>
    <row r="289" spans="1:36">
      <c r="A289" t="str" cm="1">
        <f t="array" ref="A289">_xlfn.LET(_xlpm.src,TRIM(#REF!), _xlpm.u,_xlfn._xlws.SORT(_xlfn.UNIQUE(_xlfn._xlws.FILTER(_xlpm.src,_xlpm.src&lt;&gt;""))), IFERROR(INDEX(_xlpm.u,ROWS(A$2:A289)),""))</f>
        <v/>
      </c>
      <c r="B289" s="121"/>
      <c r="C289" s="121"/>
      <c r="D289" s="121"/>
      <c r="E289" t="str">
        <f ca="1">IF(D2&lt;&gt;"","Done",IF(C2&lt;&gt;"","In Progress",IF(B2&lt;&gt;"",IF(TODAY()&gt;B2,"Should have started","Planned"),"")))</f>
        <v/>
      </c>
      <c r="F289" s="120" t="str">
        <f ca="1">IF(E2="Done",D2-C2,IF(E2="In Progress",TODAY()-C2,IF(E2="Should have started",TODAY()-B2,"")))</f>
        <v/>
      </c>
      <c r="G289" s="121"/>
      <c r="K289" s="121"/>
      <c r="L289" s="121"/>
      <c r="M289" s="121"/>
      <c r="O289" s="120"/>
      <c r="T289" s="121"/>
      <c r="U289" s="120"/>
      <c r="W289" s="121"/>
      <c r="X289" s="120"/>
      <c r="Z289" s="121"/>
      <c r="AA289" s="121"/>
      <c r="AB289" s="120"/>
      <c r="AD289" s="121"/>
      <c r="AE289" s="121"/>
      <c r="AF289" s="120"/>
      <c r="AJ289" s="121"/>
    </row>
    <row r="290" spans="1:36">
      <c r="A290" t="str" cm="1">
        <f t="array" ref="A290">_xlfn.LET(_xlpm.src,TRIM(#REF!), _xlpm.u,_xlfn._xlws.SORT(_xlfn.UNIQUE(_xlfn._xlws.FILTER(_xlpm.src,_xlpm.src&lt;&gt;""))), IFERROR(INDEX(_xlpm.u,ROWS(A$2:A290)),""))</f>
        <v/>
      </c>
      <c r="B290" s="121"/>
      <c r="C290" s="121"/>
      <c r="D290" s="121"/>
      <c r="E290" t="str">
        <f ca="1">IF(D2&lt;&gt;"","Done",IF(C2&lt;&gt;"","In Progress",IF(B2&lt;&gt;"",IF(TODAY()&gt;B2,"Should have started","Planned"),"")))</f>
        <v/>
      </c>
      <c r="F290" s="120" t="str">
        <f ca="1">IF(E2="Done",D2-C2,IF(E2="In Progress",TODAY()-C2,IF(E2="Should have started",TODAY()-B2,"")))</f>
        <v/>
      </c>
      <c r="G290" s="121"/>
      <c r="K290" s="121"/>
      <c r="L290" s="121"/>
      <c r="M290" s="121"/>
      <c r="O290" s="120"/>
      <c r="T290" s="121"/>
      <c r="U290" s="120"/>
      <c r="W290" s="121"/>
      <c r="X290" s="120"/>
      <c r="Z290" s="121"/>
      <c r="AA290" s="121"/>
      <c r="AB290" s="120"/>
      <c r="AD290" s="121"/>
      <c r="AE290" s="121"/>
      <c r="AF290" s="120"/>
      <c r="AJ290" s="121"/>
    </row>
    <row r="291" spans="1:36">
      <c r="A291" t="str" cm="1">
        <f t="array" ref="A291">_xlfn.LET(_xlpm.src,TRIM(#REF!), _xlpm.u,_xlfn._xlws.SORT(_xlfn.UNIQUE(_xlfn._xlws.FILTER(_xlpm.src,_xlpm.src&lt;&gt;""))), IFERROR(INDEX(_xlpm.u,ROWS(A$2:A291)),""))</f>
        <v/>
      </c>
      <c r="B291" s="121"/>
      <c r="C291" s="121"/>
      <c r="D291" s="121"/>
      <c r="E291" t="str">
        <f ca="1">IF(D2&lt;&gt;"","Done",IF(C2&lt;&gt;"","In Progress",IF(B2&lt;&gt;"",IF(TODAY()&gt;B2,"Should have started","Planned"),"")))</f>
        <v/>
      </c>
      <c r="F291" s="120" t="str">
        <f ca="1">IF(E2="Done",D2-C2,IF(E2="In Progress",TODAY()-C2,IF(E2="Should have started",TODAY()-B2,"")))</f>
        <v/>
      </c>
      <c r="G291" s="121"/>
      <c r="K291" s="121"/>
      <c r="L291" s="121"/>
      <c r="M291" s="121"/>
      <c r="O291" s="120"/>
      <c r="T291" s="121"/>
      <c r="U291" s="120"/>
      <c r="W291" s="121"/>
      <c r="X291" s="120"/>
      <c r="Z291" s="121"/>
      <c r="AA291" s="121"/>
      <c r="AB291" s="120"/>
      <c r="AD291" s="121"/>
      <c r="AE291" s="121"/>
      <c r="AF291" s="120"/>
      <c r="AJ291" s="121"/>
    </row>
    <row r="292" spans="1:36">
      <c r="A292" t="str" cm="1">
        <f t="array" ref="A292">_xlfn.LET(_xlpm.src,TRIM(#REF!), _xlpm.u,_xlfn._xlws.SORT(_xlfn.UNIQUE(_xlfn._xlws.FILTER(_xlpm.src,_xlpm.src&lt;&gt;""))), IFERROR(INDEX(_xlpm.u,ROWS(A$2:A292)),""))</f>
        <v/>
      </c>
      <c r="B292" s="121"/>
      <c r="C292" s="121"/>
      <c r="D292" s="121"/>
      <c r="E292" t="str">
        <f ca="1">IF(D2&lt;&gt;"","Done",IF(C2&lt;&gt;"","In Progress",IF(B2&lt;&gt;"",IF(TODAY()&gt;B2,"Should have started","Planned"),"")))</f>
        <v/>
      </c>
      <c r="F292" s="120" t="str">
        <f ca="1">IF(E2="Done",D2-C2,IF(E2="In Progress",TODAY()-C2,IF(E2="Should have started",TODAY()-B2,"")))</f>
        <v/>
      </c>
      <c r="G292" s="121"/>
      <c r="K292" s="121"/>
      <c r="L292" s="121"/>
      <c r="M292" s="121"/>
      <c r="O292" s="120"/>
      <c r="T292" s="121"/>
      <c r="U292" s="120"/>
      <c r="W292" s="121"/>
      <c r="X292" s="120"/>
      <c r="Z292" s="121"/>
      <c r="AA292" s="121"/>
      <c r="AB292" s="120"/>
      <c r="AD292" s="121"/>
      <c r="AE292" s="121"/>
      <c r="AF292" s="120"/>
      <c r="AJ292" s="121"/>
    </row>
    <row r="293" spans="1:36">
      <c r="A293" t="str" cm="1">
        <f t="array" ref="A293">_xlfn.LET(_xlpm.src,TRIM(#REF!), _xlpm.u,_xlfn._xlws.SORT(_xlfn.UNIQUE(_xlfn._xlws.FILTER(_xlpm.src,_xlpm.src&lt;&gt;""))), IFERROR(INDEX(_xlpm.u,ROWS(A$2:A293)),""))</f>
        <v/>
      </c>
      <c r="B293" s="121"/>
      <c r="C293" s="121"/>
      <c r="D293" s="121"/>
      <c r="E293" t="str">
        <f ca="1">IF(D2&lt;&gt;"","Done",IF(C2&lt;&gt;"","In Progress",IF(B2&lt;&gt;"",IF(TODAY()&gt;B2,"Should have started","Planned"),"")))</f>
        <v/>
      </c>
      <c r="F293" s="120" t="str">
        <f ca="1">IF(E2="Done",D2-C2,IF(E2="In Progress",TODAY()-C2,IF(E2="Should have started",TODAY()-B2,"")))</f>
        <v/>
      </c>
      <c r="G293" s="121"/>
      <c r="K293" s="121"/>
      <c r="L293" s="121"/>
      <c r="M293" s="121"/>
      <c r="O293" s="120"/>
      <c r="T293" s="121"/>
      <c r="U293" s="120"/>
      <c r="W293" s="121"/>
      <c r="X293" s="120"/>
      <c r="Z293" s="121"/>
      <c r="AA293" s="121"/>
      <c r="AB293" s="120"/>
      <c r="AD293" s="121"/>
      <c r="AE293" s="121"/>
      <c r="AF293" s="120"/>
      <c r="AJ293" s="121"/>
    </row>
    <row r="294" spans="1:36">
      <c r="A294" t="str" cm="1">
        <f t="array" ref="A294">_xlfn.LET(_xlpm.src,TRIM(#REF!), _xlpm.u,_xlfn._xlws.SORT(_xlfn.UNIQUE(_xlfn._xlws.FILTER(_xlpm.src,_xlpm.src&lt;&gt;""))), IFERROR(INDEX(_xlpm.u,ROWS(A$2:A294)),""))</f>
        <v/>
      </c>
      <c r="B294" s="121"/>
      <c r="C294" s="121"/>
      <c r="D294" s="121"/>
      <c r="E294" t="str">
        <f ca="1">IF(D2&lt;&gt;"","Done",IF(C2&lt;&gt;"","In Progress",IF(B2&lt;&gt;"",IF(TODAY()&gt;B2,"Should have started","Planned"),"")))</f>
        <v/>
      </c>
      <c r="F294" s="120" t="str">
        <f ca="1">IF(E2="Done",D2-C2,IF(E2="In Progress",TODAY()-C2,IF(E2="Should have started",TODAY()-B2,"")))</f>
        <v/>
      </c>
      <c r="G294" s="121"/>
      <c r="K294" s="121"/>
      <c r="L294" s="121"/>
      <c r="M294" s="121"/>
      <c r="O294" s="120"/>
      <c r="T294" s="121"/>
      <c r="U294" s="120"/>
      <c r="W294" s="121"/>
      <c r="X294" s="120"/>
      <c r="Z294" s="121"/>
      <c r="AA294" s="121"/>
      <c r="AB294" s="120"/>
      <c r="AD294" s="121"/>
      <c r="AE294" s="121"/>
      <c r="AF294" s="120"/>
      <c r="AJ294" s="121"/>
    </row>
    <row r="295" spans="1:36">
      <c r="A295" t="str" cm="1">
        <f t="array" ref="A295">_xlfn.LET(_xlpm.src,TRIM(#REF!), _xlpm.u,_xlfn._xlws.SORT(_xlfn.UNIQUE(_xlfn._xlws.FILTER(_xlpm.src,_xlpm.src&lt;&gt;""))), IFERROR(INDEX(_xlpm.u,ROWS(A$2:A295)),""))</f>
        <v/>
      </c>
      <c r="B295" s="121"/>
      <c r="C295" s="121"/>
      <c r="D295" s="121"/>
      <c r="E295" t="str">
        <f ca="1">IF(D2&lt;&gt;"","Done",IF(C2&lt;&gt;"","In Progress",IF(B2&lt;&gt;"",IF(TODAY()&gt;B2,"Should have started","Planned"),"")))</f>
        <v/>
      </c>
      <c r="F295" s="120" t="str">
        <f ca="1">IF(E2="Done",D2-C2,IF(E2="In Progress",TODAY()-C2,IF(E2="Should have started",TODAY()-B2,"")))</f>
        <v/>
      </c>
      <c r="G295" s="121"/>
      <c r="K295" s="121"/>
      <c r="L295" s="121"/>
      <c r="M295" s="121"/>
      <c r="O295" s="120"/>
      <c r="T295" s="121"/>
      <c r="U295" s="120"/>
      <c r="W295" s="121"/>
      <c r="X295" s="120"/>
      <c r="Z295" s="121"/>
      <c r="AA295" s="121"/>
      <c r="AB295" s="120"/>
      <c r="AD295" s="121"/>
      <c r="AE295" s="121"/>
      <c r="AF295" s="120"/>
      <c r="AJ295" s="121"/>
    </row>
    <row r="296" spans="1:36">
      <c r="A296" t="str" cm="1">
        <f t="array" ref="A296">_xlfn.LET(_xlpm.src,TRIM(#REF!), _xlpm.u,_xlfn._xlws.SORT(_xlfn.UNIQUE(_xlfn._xlws.FILTER(_xlpm.src,_xlpm.src&lt;&gt;""))), IFERROR(INDEX(_xlpm.u,ROWS(A$2:A296)),""))</f>
        <v/>
      </c>
      <c r="B296" s="121"/>
      <c r="C296" s="121"/>
      <c r="D296" s="121"/>
      <c r="E296" t="str">
        <f ca="1">IF(D2&lt;&gt;"","Done",IF(C2&lt;&gt;"","In Progress",IF(B2&lt;&gt;"",IF(TODAY()&gt;B2,"Should have started","Planned"),"")))</f>
        <v/>
      </c>
      <c r="F296" s="120" t="str">
        <f ca="1">IF(E2="Done",D2-C2,IF(E2="In Progress",TODAY()-C2,IF(E2="Should have started",TODAY()-B2,"")))</f>
        <v/>
      </c>
      <c r="G296" s="121"/>
      <c r="K296" s="121"/>
      <c r="L296" s="121"/>
      <c r="M296" s="121"/>
      <c r="O296" s="120"/>
      <c r="T296" s="121"/>
      <c r="U296" s="120"/>
      <c r="W296" s="121"/>
      <c r="X296" s="120"/>
      <c r="Z296" s="121"/>
      <c r="AA296" s="121"/>
      <c r="AB296" s="120"/>
      <c r="AD296" s="121"/>
      <c r="AE296" s="121"/>
      <c r="AF296" s="120"/>
      <c r="AJ296" s="121"/>
    </row>
    <row r="297" spans="1:36">
      <c r="A297" t="str" cm="1">
        <f t="array" ref="A297">_xlfn.LET(_xlpm.src,TRIM(#REF!), _xlpm.u,_xlfn._xlws.SORT(_xlfn.UNIQUE(_xlfn._xlws.FILTER(_xlpm.src,_xlpm.src&lt;&gt;""))), IFERROR(INDEX(_xlpm.u,ROWS(A$2:A297)),""))</f>
        <v/>
      </c>
      <c r="B297" s="121"/>
      <c r="C297" s="121"/>
      <c r="D297" s="121"/>
      <c r="E297" t="str">
        <f ca="1">IF(D2&lt;&gt;"","Done",IF(C2&lt;&gt;"","In Progress",IF(B2&lt;&gt;"",IF(TODAY()&gt;B2,"Should have started","Planned"),"")))</f>
        <v/>
      </c>
      <c r="F297" s="120" t="str">
        <f ca="1">IF(E2="Done",D2-C2,IF(E2="In Progress",TODAY()-C2,IF(E2="Should have started",TODAY()-B2,"")))</f>
        <v/>
      </c>
      <c r="G297" s="121"/>
      <c r="K297" s="121"/>
      <c r="L297" s="121"/>
      <c r="M297" s="121"/>
      <c r="O297" s="120"/>
      <c r="T297" s="121"/>
      <c r="U297" s="120"/>
      <c r="W297" s="121"/>
      <c r="X297" s="120"/>
      <c r="Z297" s="121"/>
      <c r="AA297" s="121"/>
      <c r="AB297" s="120"/>
      <c r="AD297" s="121"/>
      <c r="AE297" s="121"/>
      <c r="AF297" s="120"/>
      <c r="AJ297" s="121"/>
    </row>
    <row r="298" spans="1:36">
      <c r="A298" t="str" cm="1">
        <f t="array" ref="A298">_xlfn.LET(_xlpm.src,TRIM(#REF!), _xlpm.u,_xlfn._xlws.SORT(_xlfn.UNIQUE(_xlfn._xlws.FILTER(_xlpm.src,_xlpm.src&lt;&gt;""))), IFERROR(INDEX(_xlpm.u,ROWS(A$2:A298)),""))</f>
        <v/>
      </c>
      <c r="B298" s="121"/>
      <c r="C298" s="121"/>
      <c r="D298" s="121"/>
      <c r="E298" t="str">
        <f ca="1">IF(D2&lt;&gt;"","Done",IF(C2&lt;&gt;"","In Progress",IF(B2&lt;&gt;"",IF(TODAY()&gt;B2,"Should have started","Planned"),"")))</f>
        <v/>
      </c>
      <c r="F298" s="120" t="str">
        <f ca="1">IF(E2="Done",D2-C2,IF(E2="In Progress",TODAY()-C2,IF(E2="Should have started",TODAY()-B2,"")))</f>
        <v/>
      </c>
      <c r="G298" s="121"/>
      <c r="K298" s="121"/>
      <c r="L298" s="121"/>
      <c r="M298" s="121"/>
      <c r="O298" s="120"/>
      <c r="T298" s="121"/>
      <c r="U298" s="120"/>
      <c r="W298" s="121"/>
      <c r="X298" s="120"/>
      <c r="Z298" s="121"/>
      <c r="AA298" s="121"/>
      <c r="AB298" s="120"/>
      <c r="AD298" s="121"/>
      <c r="AE298" s="121"/>
      <c r="AF298" s="120"/>
      <c r="AJ298" s="121"/>
    </row>
    <row r="299" spans="1:36">
      <c r="A299" t="str" cm="1">
        <f t="array" ref="A299">_xlfn.LET(_xlpm.src,TRIM(#REF!), _xlpm.u,_xlfn._xlws.SORT(_xlfn.UNIQUE(_xlfn._xlws.FILTER(_xlpm.src,_xlpm.src&lt;&gt;""))), IFERROR(INDEX(_xlpm.u,ROWS(A$2:A299)),""))</f>
        <v/>
      </c>
      <c r="B299" s="121"/>
      <c r="C299" s="121"/>
      <c r="D299" s="121"/>
      <c r="E299" t="str">
        <f ca="1">IF(D2&lt;&gt;"","Done",IF(C2&lt;&gt;"","In Progress",IF(B2&lt;&gt;"",IF(TODAY()&gt;B2,"Should have started","Planned"),"")))</f>
        <v/>
      </c>
      <c r="F299" s="120" t="str">
        <f ca="1">IF(E2="Done",D2-C2,IF(E2="In Progress",TODAY()-C2,IF(E2="Should have started",TODAY()-B2,"")))</f>
        <v/>
      </c>
      <c r="G299" s="121"/>
      <c r="K299" s="121"/>
      <c r="L299" s="121"/>
      <c r="M299" s="121"/>
      <c r="O299" s="120"/>
      <c r="T299" s="121"/>
      <c r="U299" s="120"/>
      <c r="W299" s="121"/>
      <c r="X299" s="120"/>
      <c r="Z299" s="121"/>
      <c r="AA299" s="121"/>
      <c r="AB299" s="120"/>
      <c r="AD299" s="121"/>
      <c r="AE299" s="121"/>
      <c r="AF299" s="120"/>
      <c r="AJ299" s="121"/>
    </row>
    <row r="300" spans="1:36">
      <c r="A300" t="str" cm="1">
        <f t="array" ref="A300">_xlfn.LET(_xlpm.src,TRIM(#REF!), _xlpm.u,_xlfn._xlws.SORT(_xlfn.UNIQUE(_xlfn._xlws.FILTER(_xlpm.src,_xlpm.src&lt;&gt;""))), IFERROR(INDEX(_xlpm.u,ROWS(A$2:A300)),""))</f>
        <v/>
      </c>
      <c r="B300" s="121"/>
      <c r="C300" s="121"/>
      <c r="D300" s="121"/>
      <c r="E300" t="str">
        <f ca="1">IF(D2&lt;&gt;"","Done",IF(C2&lt;&gt;"","In Progress",IF(B2&lt;&gt;"",IF(TODAY()&gt;B2,"Should have started","Planned"),"")))</f>
        <v/>
      </c>
      <c r="F300" s="120" t="str">
        <f ca="1">IF(E2="Done",D2-C2,IF(E2="In Progress",TODAY()-C2,IF(E2="Should have started",TODAY()-B2,"")))</f>
        <v/>
      </c>
      <c r="G300" s="121"/>
      <c r="K300" s="121"/>
      <c r="L300" s="121"/>
      <c r="M300" s="121"/>
      <c r="O300" s="120"/>
      <c r="T300" s="121"/>
      <c r="U300" s="120"/>
      <c r="W300" s="121"/>
      <c r="X300" s="120"/>
      <c r="Z300" s="121"/>
      <c r="AA300" s="121"/>
      <c r="AB300" s="120"/>
      <c r="AD300" s="121"/>
      <c r="AE300" s="121"/>
      <c r="AF300" s="120"/>
      <c r="AJ300" s="121"/>
    </row>
    <row r="301" spans="1:36">
      <c r="A301" t="str" cm="1">
        <f t="array" ref="A301">_xlfn.LET(_xlpm.src,TRIM(#REF!), _xlpm.u,_xlfn._xlws.SORT(_xlfn.UNIQUE(_xlfn._xlws.FILTER(_xlpm.src,_xlpm.src&lt;&gt;""))), IFERROR(INDEX(_xlpm.u,ROWS(A$2:A301)),""))</f>
        <v/>
      </c>
      <c r="B301" s="121"/>
      <c r="C301" s="121"/>
      <c r="D301" s="121"/>
      <c r="E301" t="str">
        <f ca="1">IF(D2&lt;&gt;"","Done",IF(C2&lt;&gt;"","In Progress",IF(B2&lt;&gt;"",IF(TODAY()&gt;B2,"Should have started","Planned"),"")))</f>
        <v/>
      </c>
      <c r="F301" s="120" t="str">
        <f ca="1">IF(E2="Done",D2-C2,IF(E2="In Progress",TODAY()-C2,IF(E2="Should have started",TODAY()-B2,"")))</f>
        <v/>
      </c>
      <c r="G301" s="121"/>
      <c r="K301" s="121"/>
      <c r="L301" s="121"/>
      <c r="M301" s="121"/>
      <c r="O301" s="120"/>
      <c r="T301" s="121"/>
      <c r="U301" s="120"/>
      <c r="W301" s="121"/>
      <c r="X301" s="120"/>
      <c r="Z301" s="121"/>
      <c r="AA301" s="121"/>
      <c r="AB301" s="120"/>
      <c r="AD301" s="121"/>
      <c r="AE301" s="121"/>
      <c r="AF301" s="120"/>
      <c r="AJ301" s="121"/>
    </row>
    <row r="302" spans="1:36">
      <c r="A302" t="str" cm="1">
        <f t="array" ref="A302">_xlfn.LET(_xlpm.src,TRIM(#REF!), _xlpm.u,_xlfn._xlws.SORT(_xlfn.UNIQUE(_xlfn._xlws.FILTER(_xlpm.src,_xlpm.src&lt;&gt;""))), IFERROR(INDEX(_xlpm.u,ROWS(A$2:A302)),""))</f>
        <v/>
      </c>
      <c r="B302" s="121"/>
      <c r="C302" s="121"/>
      <c r="D302" s="121"/>
      <c r="E302" t="str">
        <f ca="1">IF(D2&lt;&gt;"","Done",IF(C2&lt;&gt;"","In Progress",IF(B2&lt;&gt;"",IF(TODAY()&gt;B2,"Should have started","Planned"),"")))</f>
        <v/>
      </c>
      <c r="F302" s="120" t="str">
        <f ca="1">IF(E2="Done",D2-C2,IF(E2="In Progress",TODAY()-C2,IF(E2="Should have started",TODAY()-B2,"")))</f>
        <v/>
      </c>
      <c r="G302" s="121"/>
      <c r="K302" s="121"/>
      <c r="L302" s="121"/>
      <c r="M302" s="121"/>
      <c r="O302" s="120"/>
      <c r="T302" s="121"/>
      <c r="U302" s="120"/>
      <c r="W302" s="121"/>
      <c r="X302" s="120"/>
      <c r="Z302" s="121"/>
      <c r="AA302" s="121"/>
      <c r="AB302" s="120"/>
      <c r="AD302" s="121"/>
      <c r="AE302" s="121"/>
      <c r="AF302" s="120"/>
      <c r="AJ302" s="121"/>
    </row>
    <row r="303" spans="1:36">
      <c r="A303" t="str" cm="1">
        <f t="array" ref="A303">_xlfn.LET(_xlpm.src,TRIM(#REF!), _xlpm.u,_xlfn._xlws.SORT(_xlfn.UNIQUE(_xlfn._xlws.FILTER(_xlpm.src,_xlpm.src&lt;&gt;""))), IFERROR(INDEX(_xlpm.u,ROWS(A$2:A303)),""))</f>
        <v/>
      </c>
      <c r="B303" s="121"/>
      <c r="C303" s="121"/>
      <c r="D303" s="121"/>
      <c r="E303" t="str">
        <f ca="1">IF(D2&lt;&gt;"","Done",IF(C2&lt;&gt;"","In Progress",IF(B2&lt;&gt;"",IF(TODAY()&gt;B2,"Should have started","Planned"),"")))</f>
        <v/>
      </c>
      <c r="F303" s="120" t="str">
        <f ca="1">IF(E2="Done",D2-C2,IF(E2="In Progress",TODAY()-C2,IF(E2="Should have started",TODAY()-B2,"")))</f>
        <v/>
      </c>
      <c r="G303" s="121"/>
      <c r="K303" s="121"/>
      <c r="L303" s="121"/>
      <c r="M303" s="121"/>
      <c r="O303" s="120"/>
      <c r="T303" s="121"/>
      <c r="U303" s="120"/>
      <c r="W303" s="121"/>
      <c r="X303" s="120"/>
      <c r="Z303" s="121"/>
      <c r="AA303" s="121"/>
      <c r="AB303" s="120"/>
      <c r="AD303" s="121"/>
      <c r="AE303" s="121"/>
      <c r="AF303" s="120"/>
      <c r="AJ303" s="121"/>
    </row>
    <row r="304" spans="1:36">
      <c r="A304" t="str" cm="1">
        <f t="array" ref="A304">_xlfn.LET(_xlpm.src,TRIM(#REF!), _xlpm.u,_xlfn._xlws.SORT(_xlfn.UNIQUE(_xlfn._xlws.FILTER(_xlpm.src,_xlpm.src&lt;&gt;""))), IFERROR(INDEX(_xlpm.u,ROWS(A$2:A304)),""))</f>
        <v/>
      </c>
      <c r="B304" s="121"/>
      <c r="C304" s="121"/>
      <c r="D304" s="121"/>
      <c r="E304" t="str">
        <f ca="1">IF(D2&lt;&gt;"","Done",IF(C2&lt;&gt;"","In Progress",IF(B2&lt;&gt;"",IF(TODAY()&gt;B2,"Should have started","Planned"),"")))</f>
        <v/>
      </c>
      <c r="F304" s="120" t="str">
        <f ca="1">IF(E2="Done",D2-C2,IF(E2="In Progress",TODAY()-C2,IF(E2="Should have started",TODAY()-B2,"")))</f>
        <v/>
      </c>
      <c r="G304" s="121"/>
      <c r="K304" s="121"/>
      <c r="L304" s="121"/>
      <c r="M304" s="121"/>
      <c r="O304" s="120"/>
      <c r="T304" s="121"/>
      <c r="U304" s="120"/>
      <c r="W304" s="121"/>
      <c r="X304" s="120"/>
      <c r="Z304" s="121"/>
      <c r="AA304" s="121"/>
      <c r="AB304" s="120"/>
      <c r="AD304" s="121"/>
      <c r="AE304" s="121"/>
      <c r="AF304" s="120"/>
      <c r="AJ304" s="121"/>
    </row>
    <row r="305" spans="1:36">
      <c r="A305" t="str" cm="1">
        <f t="array" ref="A305">_xlfn.LET(_xlpm.src,TRIM(#REF!), _xlpm.u,_xlfn._xlws.SORT(_xlfn.UNIQUE(_xlfn._xlws.FILTER(_xlpm.src,_xlpm.src&lt;&gt;""))), IFERROR(INDEX(_xlpm.u,ROWS(A$2:A305)),""))</f>
        <v/>
      </c>
      <c r="B305" s="121"/>
      <c r="C305" s="121"/>
      <c r="D305" s="121"/>
      <c r="E305" t="str">
        <f ca="1">IF(D2&lt;&gt;"","Done",IF(C2&lt;&gt;"","In Progress",IF(B2&lt;&gt;"",IF(TODAY()&gt;B2,"Should have started","Planned"),"")))</f>
        <v/>
      </c>
      <c r="F305" s="120" t="str">
        <f ca="1">IF(E2="Done",D2-C2,IF(E2="In Progress",TODAY()-C2,IF(E2="Should have started",TODAY()-B2,"")))</f>
        <v/>
      </c>
      <c r="G305" s="121"/>
      <c r="K305" s="121"/>
      <c r="L305" s="121"/>
      <c r="M305" s="121"/>
      <c r="O305" s="120"/>
      <c r="T305" s="121"/>
      <c r="U305" s="120"/>
      <c r="W305" s="121"/>
      <c r="X305" s="120"/>
      <c r="Z305" s="121"/>
      <c r="AA305" s="121"/>
      <c r="AB305" s="120"/>
      <c r="AD305" s="121"/>
      <c r="AE305" s="121"/>
      <c r="AF305" s="120"/>
      <c r="AJ305" s="121"/>
    </row>
    <row r="306" spans="1:36">
      <c r="A306" t="str" cm="1">
        <f t="array" ref="A306">_xlfn.LET(_xlpm.src,TRIM(#REF!), _xlpm.u,_xlfn._xlws.SORT(_xlfn.UNIQUE(_xlfn._xlws.FILTER(_xlpm.src,_xlpm.src&lt;&gt;""))), IFERROR(INDEX(_xlpm.u,ROWS(A$2:A306)),""))</f>
        <v/>
      </c>
      <c r="B306" s="121"/>
      <c r="C306" s="121"/>
      <c r="D306" s="121"/>
      <c r="E306" t="str">
        <f ca="1">IF(D2&lt;&gt;"","Done",IF(C2&lt;&gt;"","In Progress",IF(B2&lt;&gt;"",IF(TODAY()&gt;B2,"Should have started","Planned"),"")))</f>
        <v/>
      </c>
      <c r="F306" s="120" t="str">
        <f ca="1">IF(E2="Done",D2-C2,IF(E2="In Progress",TODAY()-C2,IF(E2="Should have started",TODAY()-B2,"")))</f>
        <v/>
      </c>
      <c r="G306" s="121"/>
      <c r="K306" s="121"/>
      <c r="L306" s="121"/>
      <c r="M306" s="121"/>
      <c r="O306" s="120"/>
      <c r="T306" s="121"/>
      <c r="U306" s="120"/>
      <c r="W306" s="121"/>
      <c r="X306" s="120"/>
      <c r="Z306" s="121"/>
      <c r="AA306" s="121"/>
      <c r="AB306" s="120"/>
      <c r="AD306" s="121"/>
      <c r="AE306" s="121"/>
      <c r="AF306" s="120"/>
      <c r="AJ306" s="121"/>
    </row>
    <row r="307" spans="1:36">
      <c r="A307" t="str" cm="1">
        <f t="array" ref="A307">_xlfn.LET(_xlpm.src,TRIM(#REF!), _xlpm.u,_xlfn._xlws.SORT(_xlfn.UNIQUE(_xlfn._xlws.FILTER(_xlpm.src,_xlpm.src&lt;&gt;""))), IFERROR(INDEX(_xlpm.u,ROWS(A$2:A307)),""))</f>
        <v/>
      </c>
      <c r="B307" s="121"/>
      <c r="C307" s="121"/>
      <c r="D307" s="121"/>
      <c r="E307" t="str">
        <f ca="1">IF(D2&lt;&gt;"","Done",IF(C2&lt;&gt;"","In Progress",IF(B2&lt;&gt;"",IF(TODAY()&gt;B2,"Should have started","Planned"),"")))</f>
        <v/>
      </c>
      <c r="F307" s="120" t="str">
        <f ca="1">IF(E2="Done",D2-C2,IF(E2="In Progress",TODAY()-C2,IF(E2="Should have started",TODAY()-B2,"")))</f>
        <v/>
      </c>
      <c r="G307" s="121"/>
      <c r="K307" s="121"/>
      <c r="L307" s="121"/>
      <c r="M307" s="121"/>
      <c r="O307" s="120"/>
      <c r="T307" s="121"/>
      <c r="U307" s="120"/>
      <c r="W307" s="121"/>
      <c r="X307" s="120"/>
      <c r="Z307" s="121"/>
      <c r="AA307" s="121"/>
      <c r="AB307" s="120"/>
      <c r="AD307" s="121"/>
      <c r="AE307" s="121"/>
      <c r="AF307" s="120"/>
      <c r="AJ307" s="121"/>
    </row>
    <row r="308" spans="1:36">
      <c r="A308" t="str" cm="1">
        <f t="array" ref="A308">_xlfn.LET(_xlpm.src,TRIM(#REF!), _xlpm.u,_xlfn._xlws.SORT(_xlfn.UNIQUE(_xlfn._xlws.FILTER(_xlpm.src,_xlpm.src&lt;&gt;""))), IFERROR(INDEX(_xlpm.u,ROWS(A$2:A308)),""))</f>
        <v/>
      </c>
      <c r="B308" s="121"/>
      <c r="C308" s="121"/>
      <c r="D308" s="121"/>
      <c r="E308" t="str">
        <f ca="1">IF(D2&lt;&gt;"","Done",IF(C2&lt;&gt;"","In Progress",IF(B2&lt;&gt;"",IF(TODAY()&gt;B2,"Should have started","Planned"),"")))</f>
        <v/>
      </c>
      <c r="F308" s="120" t="str">
        <f ca="1">IF(E2="Done",D2-C2,IF(E2="In Progress",TODAY()-C2,IF(E2="Should have started",TODAY()-B2,"")))</f>
        <v/>
      </c>
      <c r="G308" s="121"/>
      <c r="K308" s="121"/>
      <c r="L308" s="121"/>
      <c r="M308" s="121"/>
      <c r="O308" s="120"/>
      <c r="T308" s="121"/>
      <c r="U308" s="120"/>
      <c r="W308" s="121"/>
      <c r="X308" s="120"/>
      <c r="Z308" s="121"/>
      <c r="AA308" s="121"/>
      <c r="AB308" s="120"/>
      <c r="AD308" s="121"/>
      <c r="AE308" s="121"/>
      <c r="AF308" s="120"/>
      <c r="AJ308" s="121"/>
    </row>
    <row r="309" spans="1:36">
      <c r="A309" t="str" cm="1">
        <f t="array" ref="A309">_xlfn.LET(_xlpm.src,TRIM(#REF!), _xlpm.u,_xlfn._xlws.SORT(_xlfn.UNIQUE(_xlfn._xlws.FILTER(_xlpm.src,_xlpm.src&lt;&gt;""))), IFERROR(INDEX(_xlpm.u,ROWS(A$2:A309)),""))</f>
        <v/>
      </c>
      <c r="B309" s="121"/>
      <c r="C309" s="121"/>
      <c r="D309" s="121"/>
      <c r="E309" t="str">
        <f ca="1">IF(D2&lt;&gt;"","Done",IF(C2&lt;&gt;"","In Progress",IF(B2&lt;&gt;"",IF(TODAY()&gt;B2,"Should have started","Planned"),"")))</f>
        <v/>
      </c>
      <c r="F309" s="120" t="str">
        <f ca="1">IF(E2="Done",D2-C2,IF(E2="In Progress",TODAY()-C2,IF(E2="Should have started",TODAY()-B2,"")))</f>
        <v/>
      </c>
      <c r="G309" s="121"/>
      <c r="K309" s="121"/>
      <c r="L309" s="121"/>
      <c r="M309" s="121"/>
      <c r="O309" s="120"/>
      <c r="T309" s="121"/>
      <c r="U309" s="120"/>
      <c r="W309" s="121"/>
      <c r="X309" s="120"/>
      <c r="Z309" s="121"/>
      <c r="AA309" s="121"/>
      <c r="AB309" s="120"/>
      <c r="AD309" s="121"/>
      <c r="AE309" s="121"/>
      <c r="AF309" s="120"/>
      <c r="AJ309" s="121"/>
    </row>
    <row r="310" spans="1:36">
      <c r="A310" t="str" cm="1">
        <f t="array" ref="A310">_xlfn.LET(_xlpm.src,TRIM(#REF!), _xlpm.u,_xlfn._xlws.SORT(_xlfn.UNIQUE(_xlfn._xlws.FILTER(_xlpm.src,_xlpm.src&lt;&gt;""))), IFERROR(INDEX(_xlpm.u,ROWS(A$2:A310)),""))</f>
        <v/>
      </c>
      <c r="B310" s="121"/>
      <c r="C310" s="121"/>
      <c r="D310" s="121"/>
      <c r="E310" t="str">
        <f ca="1">IF(D2&lt;&gt;"","Done",IF(C2&lt;&gt;"","In Progress",IF(B2&lt;&gt;"",IF(TODAY()&gt;B2,"Should have started","Planned"),"")))</f>
        <v/>
      </c>
      <c r="F310" s="120" t="str">
        <f ca="1">IF(E2="Done",D2-C2,IF(E2="In Progress",TODAY()-C2,IF(E2="Should have started",TODAY()-B2,"")))</f>
        <v/>
      </c>
      <c r="G310" s="121"/>
      <c r="K310" s="121"/>
      <c r="L310" s="121"/>
      <c r="M310" s="121"/>
      <c r="O310" s="120"/>
      <c r="T310" s="121"/>
      <c r="U310" s="120"/>
      <c r="W310" s="121"/>
      <c r="X310" s="120"/>
      <c r="Z310" s="121"/>
      <c r="AA310" s="121"/>
      <c r="AB310" s="120"/>
      <c r="AD310" s="121"/>
      <c r="AE310" s="121"/>
      <c r="AF310" s="120"/>
      <c r="AJ310" s="121"/>
    </row>
    <row r="311" spans="1:36">
      <c r="A311" t="str" cm="1">
        <f t="array" ref="A311">_xlfn.LET(_xlpm.src,TRIM(#REF!), _xlpm.u,_xlfn._xlws.SORT(_xlfn.UNIQUE(_xlfn._xlws.FILTER(_xlpm.src,_xlpm.src&lt;&gt;""))), IFERROR(INDEX(_xlpm.u,ROWS(A$2:A311)),""))</f>
        <v/>
      </c>
      <c r="B311" s="121"/>
      <c r="C311" s="121"/>
      <c r="D311" s="121"/>
      <c r="E311" t="str">
        <f ca="1">IF(D2&lt;&gt;"","Done",IF(C2&lt;&gt;"","In Progress",IF(B2&lt;&gt;"",IF(TODAY()&gt;B2,"Should have started","Planned"),"")))</f>
        <v/>
      </c>
      <c r="F311" s="120" t="str">
        <f ca="1">IF(E2="Done",D2-C2,IF(E2="In Progress",TODAY()-C2,IF(E2="Should have started",TODAY()-B2,"")))</f>
        <v/>
      </c>
      <c r="G311" s="121"/>
      <c r="K311" s="121"/>
      <c r="L311" s="121"/>
      <c r="M311" s="121"/>
      <c r="O311" s="120"/>
      <c r="T311" s="121"/>
      <c r="U311" s="120"/>
      <c r="W311" s="121"/>
      <c r="X311" s="120"/>
      <c r="Z311" s="121"/>
      <c r="AA311" s="121"/>
      <c r="AB311" s="120"/>
      <c r="AD311" s="121"/>
      <c r="AE311" s="121"/>
      <c r="AF311" s="120"/>
      <c r="AJ311" s="121"/>
    </row>
    <row r="312" spans="1:36">
      <c r="A312" t="str" cm="1">
        <f t="array" ref="A312">_xlfn.LET(_xlpm.src,TRIM(#REF!), _xlpm.u,_xlfn._xlws.SORT(_xlfn.UNIQUE(_xlfn._xlws.FILTER(_xlpm.src,_xlpm.src&lt;&gt;""))), IFERROR(INDEX(_xlpm.u,ROWS(A$2:A312)),""))</f>
        <v/>
      </c>
      <c r="B312" s="121"/>
      <c r="C312" s="121"/>
      <c r="D312" s="121"/>
      <c r="E312" t="str">
        <f ca="1">IF(D2&lt;&gt;"","Done",IF(C2&lt;&gt;"","In Progress",IF(B2&lt;&gt;"",IF(TODAY()&gt;B2,"Should have started","Planned"),"")))</f>
        <v/>
      </c>
      <c r="F312" s="120" t="str">
        <f ca="1">IF(E2="Done",D2-C2,IF(E2="In Progress",TODAY()-C2,IF(E2="Should have started",TODAY()-B2,"")))</f>
        <v/>
      </c>
      <c r="G312" s="121"/>
      <c r="K312" s="121"/>
      <c r="L312" s="121"/>
      <c r="M312" s="121"/>
      <c r="O312" s="120"/>
      <c r="T312" s="121"/>
      <c r="U312" s="120"/>
      <c r="W312" s="121"/>
      <c r="X312" s="120"/>
      <c r="Z312" s="121"/>
      <c r="AA312" s="121"/>
      <c r="AB312" s="120"/>
      <c r="AD312" s="121"/>
      <c r="AE312" s="121"/>
      <c r="AF312" s="120"/>
      <c r="AJ312" s="121"/>
    </row>
    <row r="313" spans="1:36">
      <c r="A313" t="str" cm="1">
        <f t="array" ref="A313">_xlfn.LET(_xlpm.src,TRIM(#REF!), _xlpm.u,_xlfn._xlws.SORT(_xlfn.UNIQUE(_xlfn._xlws.FILTER(_xlpm.src,_xlpm.src&lt;&gt;""))), IFERROR(INDEX(_xlpm.u,ROWS(A$2:A313)),""))</f>
        <v/>
      </c>
      <c r="B313" s="121"/>
      <c r="C313" s="121"/>
      <c r="D313" s="121"/>
      <c r="E313" t="str">
        <f ca="1">IF(D2&lt;&gt;"","Done",IF(C2&lt;&gt;"","In Progress",IF(B2&lt;&gt;"",IF(TODAY()&gt;B2,"Should have started","Planned"),"")))</f>
        <v/>
      </c>
      <c r="F313" s="120" t="str">
        <f ca="1">IF(E2="Done",D2-C2,IF(E2="In Progress",TODAY()-C2,IF(E2="Should have started",TODAY()-B2,"")))</f>
        <v/>
      </c>
      <c r="G313" s="121"/>
      <c r="K313" s="121"/>
      <c r="L313" s="121"/>
      <c r="M313" s="121"/>
      <c r="O313" s="120"/>
      <c r="T313" s="121"/>
      <c r="U313" s="120"/>
      <c r="W313" s="121"/>
      <c r="X313" s="120"/>
      <c r="Z313" s="121"/>
      <c r="AA313" s="121"/>
      <c r="AB313" s="120"/>
      <c r="AD313" s="121"/>
      <c r="AE313" s="121"/>
      <c r="AF313" s="120"/>
      <c r="AJ313" s="121"/>
    </row>
    <row r="314" spans="1:36">
      <c r="A314" t="str" cm="1">
        <f t="array" ref="A314">_xlfn.LET(_xlpm.src,TRIM(#REF!), _xlpm.u,_xlfn._xlws.SORT(_xlfn.UNIQUE(_xlfn._xlws.FILTER(_xlpm.src,_xlpm.src&lt;&gt;""))), IFERROR(INDEX(_xlpm.u,ROWS(A$2:A314)),""))</f>
        <v/>
      </c>
      <c r="B314" s="121"/>
      <c r="C314" s="121"/>
      <c r="D314" s="121"/>
      <c r="E314" t="str">
        <f ca="1">IF(D2&lt;&gt;"","Done",IF(C2&lt;&gt;"","In Progress",IF(B2&lt;&gt;"",IF(TODAY()&gt;B2,"Should have started","Planned"),"")))</f>
        <v/>
      </c>
      <c r="F314" s="120" t="str">
        <f ca="1">IF(E2="Done",D2-C2,IF(E2="In Progress",TODAY()-C2,IF(E2="Should have started",TODAY()-B2,"")))</f>
        <v/>
      </c>
      <c r="G314" s="121"/>
      <c r="K314" s="121"/>
      <c r="L314" s="121"/>
      <c r="M314" s="121"/>
      <c r="O314" s="120"/>
      <c r="T314" s="121"/>
      <c r="U314" s="120"/>
      <c r="W314" s="121"/>
      <c r="X314" s="120"/>
      <c r="Z314" s="121"/>
      <c r="AA314" s="121"/>
      <c r="AB314" s="120"/>
      <c r="AD314" s="121"/>
      <c r="AE314" s="121"/>
      <c r="AF314" s="120"/>
      <c r="AJ314" s="121"/>
    </row>
    <row r="315" spans="1:36">
      <c r="A315" t="str" cm="1">
        <f t="array" ref="A315">_xlfn.LET(_xlpm.src,TRIM(#REF!), _xlpm.u,_xlfn._xlws.SORT(_xlfn.UNIQUE(_xlfn._xlws.FILTER(_xlpm.src,_xlpm.src&lt;&gt;""))), IFERROR(INDEX(_xlpm.u,ROWS(A$2:A315)),""))</f>
        <v/>
      </c>
      <c r="B315" s="121"/>
      <c r="C315" s="121"/>
      <c r="D315" s="121"/>
      <c r="E315" t="str">
        <f ca="1">IF(D2&lt;&gt;"","Done",IF(C2&lt;&gt;"","In Progress",IF(B2&lt;&gt;"",IF(TODAY()&gt;B2,"Should have started","Planned"),"")))</f>
        <v/>
      </c>
      <c r="F315" s="120" t="str">
        <f ca="1">IF(E2="Done",D2-C2,IF(E2="In Progress",TODAY()-C2,IF(E2="Should have started",TODAY()-B2,"")))</f>
        <v/>
      </c>
      <c r="G315" s="121"/>
      <c r="K315" s="121"/>
      <c r="L315" s="121"/>
      <c r="M315" s="121"/>
      <c r="O315" s="120"/>
      <c r="T315" s="121"/>
      <c r="U315" s="120"/>
      <c r="W315" s="121"/>
      <c r="X315" s="120"/>
      <c r="Z315" s="121"/>
      <c r="AA315" s="121"/>
      <c r="AB315" s="120"/>
      <c r="AD315" s="121"/>
      <c r="AE315" s="121"/>
      <c r="AF315" s="120"/>
      <c r="AJ315" s="121"/>
    </row>
    <row r="316" spans="1:36">
      <c r="A316" t="str" cm="1">
        <f t="array" ref="A316">_xlfn.LET(_xlpm.src,TRIM(#REF!), _xlpm.u,_xlfn._xlws.SORT(_xlfn.UNIQUE(_xlfn._xlws.FILTER(_xlpm.src,_xlpm.src&lt;&gt;""))), IFERROR(INDEX(_xlpm.u,ROWS(A$2:A316)),""))</f>
        <v/>
      </c>
      <c r="B316" s="121"/>
      <c r="C316" s="121"/>
      <c r="D316" s="121"/>
      <c r="E316" t="str">
        <f ca="1">IF(D2&lt;&gt;"","Done",IF(C2&lt;&gt;"","In Progress",IF(B2&lt;&gt;"",IF(TODAY()&gt;B2,"Should have started","Planned"),"")))</f>
        <v/>
      </c>
      <c r="F316" s="120" t="str">
        <f ca="1">IF(E2="Done",D2-C2,IF(E2="In Progress",TODAY()-C2,IF(E2="Should have started",TODAY()-B2,"")))</f>
        <v/>
      </c>
      <c r="G316" s="121"/>
      <c r="K316" s="121"/>
      <c r="L316" s="121"/>
      <c r="M316" s="121"/>
      <c r="O316" s="120"/>
      <c r="T316" s="121"/>
      <c r="U316" s="120"/>
      <c r="W316" s="121"/>
      <c r="X316" s="120"/>
      <c r="Z316" s="121"/>
      <c r="AA316" s="121"/>
      <c r="AB316" s="120"/>
      <c r="AD316" s="121"/>
      <c r="AE316" s="121"/>
      <c r="AF316" s="120"/>
      <c r="AJ316" s="121"/>
    </row>
    <row r="317" spans="1:36">
      <c r="A317" t="str" cm="1">
        <f t="array" ref="A317">_xlfn.LET(_xlpm.src,TRIM(#REF!), _xlpm.u,_xlfn._xlws.SORT(_xlfn.UNIQUE(_xlfn._xlws.FILTER(_xlpm.src,_xlpm.src&lt;&gt;""))), IFERROR(INDEX(_xlpm.u,ROWS(A$2:A317)),""))</f>
        <v/>
      </c>
      <c r="B317" s="121"/>
      <c r="C317" s="121"/>
      <c r="D317" s="121"/>
      <c r="E317" t="str">
        <f ca="1">IF(D2&lt;&gt;"","Done",IF(C2&lt;&gt;"","In Progress",IF(B2&lt;&gt;"",IF(TODAY()&gt;B2,"Should have started","Planned"),"")))</f>
        <v/>
      </c>
      <c r="F317" s="120" t="str">
        <f ca="1">IF(E2="Done",D2-C2,IF(E2="In Progress",TODAY()-C2,IF(E2="Should have started",TODAY()-B2,"")))</f>
        <v/>
      </c>
      <c r="G317" s="121"/>
      <c r="K317" s="121"/>
      <c r="L317" s="121"/>
      <c r="M317" s="121"/>
      <c r="O317" s="120"/>
      <c r="T317" s="121"/>
      <c r="U317" s="120"/>
      <c r="W317" s="121"/>
      <c r="X317" s="120"/>
      <c r="Z317" s="121"/>
      <c r="AA317" s="121"/>
      <c r="AB317" s="120"/>
      <c r="AD317" s="121"/>
      <c r="AE317" s="121"/>
      <c r="AF317" s="120"/>
      <c r="AJ317" s="121"/>
    </row>
    <row r="318" spans="1:36">
      <c r="A318" t="str" cm="1">
        <f t="array" ref="A318">_xlfn.LET(_xlpm.src,TRIM(#REF!), _xlpm.u,_xlfn._xlws.SORT(_xlfn.UNIQUE(_xlfn._xlws.FILTER(_xlpm.src,_xlpm.src&lt;&gt;""))), IFERROR(INDEX(_xlpm.u,ROWS(A$2:A318)),""))</f>
        <v/>
      </c>
      <c r="B318" s="121"/>
      <c r="C318" s="121"/>
      <c r="D318" s="121"/>
      <c r="E318" t="str">
        <f ca="1">IF(D2&lt;&gt;"","Done",IF(C2&lt;&gt;"","In Progress",IF(B2&lt;&gt;"",IF(TODAY()&gt;B2,"Should have started","Planned"),"")))</f>
        <v/>
      </c>
      <c r="F318" s="120" t="str">
        <f ca="1">IF(E2="Done",D2-C2,IF(E2="In Progress",TODAY()-C2,IF(E2="Should have started",TODAY()-B2,"")))</f>
        <v/>
      </c>
      <c r="G318" s="121"/>
      <c r="K318" s="121"/>
      <c r="L318" s="121"/>
      <c r="M318" s="121"/>
      <c r="O318" s="120"/>
      <c r="T318" s="121"/>
      <c r="U318" s="120"/>
      <c r="W318" s="121"/>
      <c r="X318" s="120"/>
      <c r="Z318" s="121"/>
      <c r="AA318" s="121"/>
      <c r="AB318" s="120"/>
      <c r="AD318" s="121"/>
      <c r="AE318" s="121"/>
      <c r="AF318" s="120"/>
      <c r="AJ318" s="121"/>
    </row>
    <row r="319" spans="1:36">
      <c r="A319" t="str" cm="1">
        <f t="array" ref="A319">_xlfn.LET(_xlpm.src,TRIM(#REF!), _xlpm.u,_xlfn._xlws.SORT(_xlfn.UNIQUE(_xlfn._xlws.FILTER(_xlpm.src,_xlpm.src&lt;&gt;""))), IFERROR(INDEX(_xlpm.u,ROWS(A$2:A319)),""))</f>
        <v/>
      </c>
      <c r="B319" s="121"/>
      <c r="C319" s="121"/>
      <c r="D319" s="121"/>
      <c r="E319" t="str">
        <f ca="1">IF(D2&lt;&gt;"","Done",IF(C2&lt;&gt;"","In Progress",IF(B2&lt;&gt;"",IF(TODAY()&gt;B2,"Should have started","Planned"),"")))</f>
        <v/>
      </c>
      <c r="F319" s="120" t="str">
        <f ca="1">IF(E2="Done",D2-C2,IF(E2="In Progress",TODAY()-C2,IF(E2="Should have started",TODAY()-B2,"")))</f>
        <v/>
      </c>
      <c r="G319" s="121"/>
      <c r="K319" s="121"/>
      <c r="L319" s="121"/>
      <c r="M319" s="121"/>
      <c r="O319" s="120"/>
      <c r="T319" s="121"/>
      <c r="U319" s="120"/>
      <c r="W319" s="121"/>
      <c r="X319" s="120"/>
      <c r="Z319" s="121"/>
      <c r="AA319" s="121"/>
      <c r="AB319" s="120"/>
      <c r="AD319" s="121"/>
      <c r="AE319" s="121"/>
      <c r="AF319" s="120"/>
      <c r="AJ319" s="121"/>
    </row>
    <row r="320" spans="1:36">
      <c r="A320" t="str" cm="1">
        <f t="array" ref="A320">_xlfn.LET(_xlpm.src,TRIM(#REF!), _xlpm.u,_xlfn._xlws.SORT(_xlfn.UNIQUE(_xlfn._xlws.FILTER(_xlpm.src,_xlpm.src&lt;&gt;""))), IFERROR(INDEX(_xlpm.u,ROWS(A$2:A320)),""))</f>
        <v/>
      </c>
      <c r="B320" s="121"/>
      <c r="C320" s="121"/>
      <c r="D320" s="121"/>
      <c r="E320" t="str">
        <f ca="1">IF(D2&lt;&gt;"","Done",IF(C2&lt;&gt;"","In Progress",IF(B2&lt;&gt;"",IF(TODAY()&gt;B2,"Should have started","Planned"),"")))</f>
        <v/>
      </c>
      <c r="F320" s="120" t="str">
        <f ca="1">IF(E2="Done",D2-C2,IF(E2="In Progress",TODAY()-C2,IF(E2="Should have started",TODAY()-B2,"")))</f>
        <v/>
      </c>
      <c r="G320" s="121"/>
      <c r="K320" s="121"/>
      <c r="L320" s="121"/>
      <c r="M320" s="121"/>
      <c r="O320" s="120"/>
      <c r="T320" s="121"/>
      <c r="U320" s="120"/>
      <c r="W320" s="121"/>
      <c r="X320" s="120"/>
      <c r="Z320" s="121"/>
      <c r="AA320" s="121"/>
      <c r="AB320" s="120"/>
      <c r="AD320" s="121"/>
      <c r="AE320" s="121"/>
      <c r="AF320" s="120"/>
      <c r="AJ320" s="121"/>
    </row>
    <row r="321" spans="1:36">
      <c r="A321" t="str" cm="1">
        <f t="array" ref="A321">_xlfn.LET(_xlpm.src,TRIM(#REF!), _xlpm.u,_xlfn._xlws.SORT(_xlfn.UNIQUE(_xlfn._xlws.FILTER(_xlpm.src,_xlpm.src&lt;&gt;""))), IFERROR(INDEX(_xlpm.u,ROWS(A$2:A321)),""))</f>
        <v/>
      </c>
      <c r="B321" s="121"/>
      <c r="C321" s="121"/>
      <c r="D321" s="121"/>
      <c r="E321" t="str">
        <f ca="1">IF(D2&lt;&gt;"","Done",IF(C2&lt;&gt;"","In Progress",IF(B2&lt;&gt;"",IF(TODAY()&gt;B2,"Should have started","Planned"),"")))</f>
        <v/>
      </c>
      <c r="F321" s="120" t="str">
        <f ca="1">IF(E2="Done",D2-C2,IF(E2="In Progress",TODAY()-C2,IF(E2="Should have started",TODAY()-B2,"")))</f>
        <v/>
      </c>
      <c r="G321" s="121"/>
      <c r="K321" s="121"/>
      <c r="L321" s="121"/>
      <c r="M321" s="121"/>
      <c r="O321" s="120"/>
      <c r="T321" s="121"/>
      <c r="U321" s="120"/>
      <c r="W321" s="121"/>
      <c r="X321" s="120"/>
      <c r="Z321" s="121"/>
      <c r="AA321" s="121"/>
      <c r="AB321" s="120"/>
      <c r="AD321" s="121"/>
      <c r="AE321" s="121"/>
      <c r="AF321" s="120"/>
      <c r="AJ321" s="121"/>
    </row>
    <row r="322" spans="1:36">
      <c r="A322" t="str" cm="1">
        <f t="array" ref="A322">_xlfn.LET(_xlpm.src,TRIM(#REF!), _xlpm.u,_xlfn._xlws.SORT(_xlfn.UNIQUE(_xlfn._xlws.FILTER(_xlpm.src,_xlpm.src&lt;&gt;""))), IFERROR(INDEX(_xlpm.u,ROWS(A$2:A322)),""))</f>
        <v/>
      </c>
      <c r="B322" s="121"/>
      <c r="C322" s="121"/>
      <c r="D322" s="121"/>
      <c r="E322" t="str">
        <f ca="1">IF(D2&lt;&gt;"","Done",IF(C2&lt;&gt;"","In Progress",IF(B2&lt;&gt;"",IF(TODAY()&gt;B2,"Should have started","Planned"),"")))</f>
        <v/>
      </c>
      <c r="F322" s="120" t="str">
        <f ca="1">IF(E2="Done",D2-C2,IF(E2="In Progress",TODAY()-C2,IF(E2="Should have started",TODAY()-B2,"")))</f>
        <v/>
      </c>
      <c r="G322" s="121"/>
      <c r="K322" s="121"/>
      <c r="L322" s="121"/>
      <c r="M322" s="121"/>
      <c r="O322" s="120"/>
      <c r="T322" s="121"/>
      <c r="U322" s="120"/>
      <c r="W322" s="121"/>
      <c r="X322" s="120"/>
      <c r="Z322" s="121"/>
      <c r="AA322" s="121"/>
      <c r="AB322" s="120"/>
      <c r="AD322" s="121"/>
      <c r="AE322" s="121"/>
      <c r="AF322" s="120"/>
      <c r="AJ322" s="121"/>
    </row>
    <row r="323" spans="1:36">
      <c r="A323" t="str" cm="1">
        <f t="array" ref="A323">_xlfn.LET(_xlpm.src,TRIM(#REF!), _xlpm.u,_xlfn._xlws.SORT(_xlfn.UNIQUE(_xlfn._xlws.FILTER(_xlpm.src,_xlpm.src&lt;&gt;""))), IFERROR(INDEX(_xlpm.u,ROWS(A$2:A323)),""))</f>
        <v/>
      </c>
      <c r="B323" s="121"/>
      <c r="C323" s="121"/>
      <c r="D323" s="121"/>
      <c r="E323" t="str">
        <f ca="1">IF(D2&lt;&gt;"","Done",IF(C2&lt;&gt;"","In Progress",IF(B2&lt;&gt;"",IF(TODAY()&gt;B2,"Should have started","Planned"),"")))</f>
        <v/>
      </c>
      <c r="F323" s="120" t="str">
        <f ca="1">IF(E2="Done",D2-C2,IF(E2="In Progress",TODAY()-C2,IF(E2="Should have started",TODAY()-B2,"")))</f>
        <v/>
      </c>
      <c r="G323" s="121"/>
      <c r="K323" s="121"/>
      <c r="L323" s="121"/>
      <c r="M323" s="121"/>
      <c r="O323" s="120"/>
      <c r="T323" s="121"/>
      <c r="U323" s="120"/>
      <c r="W323" s="121"/>
      <c r="X323" s="120"/>
      <c r="Z323" s="121"/>
      <c r="AA323" s="121"/>
      <c r="AB323" s="120"/>
      <c r="AD323" s="121"/>
      <c r="AE323" s="121"/>
      <c r="AF323" s="120"/>
      <c r="AJ323" s="121"/>
    </row>
    <row r="324" spans="1:36">
      <c r="A324" t="str" cm="1">
        <f t="array" ref="A324">_xlfn.LET(_xlpm.src,TRIM(#REF!), _xlpm.u,_xlfn._xlws.SORT(_xlfn.UNIQUE(_xlfn._xlws.FILTER(_xlpm.src,_xlpm.src&lt;&gt;""))), IFERROR(INDEX(_xlpm.u,ROWS(A$2:A324)),""))</f>
        <v/>
      </c>
      <c r="B324" s="121"/>
      <c r="C324" s="121"/>
      <c r="D324" s="121"/>
      <c r="E324" t="str">
        <f ca="1">IF(D2&lt;&gt;"","Done",IF(C2&lt;&gt;"","In Progress",IF(B2&lt;&gt;"",IF(TODAY()&gt;B2,"Should have started","Planned"),"")))</f>
        <v/>
      </c>
      <c r="F324" s="120" t="str">
        <f ca="1">IF(E2="Done",D2-C2,IF(E2="In Progress",TODAY()-C2,IF(E2="Should have started",TODAY()-B2,"")))</f>
        <v/>
      </c>
      <c r="G324" s="121"/>
      <c r="K324" s="121"/>
      <c r="L324" s="121"/>
      <c r="M324" s="121"/>
      <c r="O324" s="120"/>
      <c r="T324" s="121"/>
      <c r="U324" s="120"/>
      <c r="W324" s="121"/>
      <c r="X324" s="120"/>
      <c r="Z324" s="121"/>
      <c r="AA324" s="121"/>
      <c r="AB324" s="120"/>
      <c r="AD324" s="121"/>
      <c r="AE324" s="121"/>
      <c r="AF324" s="120"/>
      <c r="AJ324" s="121"/>
    </row>
    <row r="325" spans="1:36">
      <c r="A325" t="str" cm="1">
        <f t="array" ref="A325">_xlfn.LET(_xlpm.src,TRIM(#REF!), _xlpm.u,_xlfn._xlws.SORT(_xlfn.UNIQUE(_xlfn._xlws.FILTER(_xlpm.src,_xlpm.src&lt;&gt;""))), IFERROR(INDEX(_xlpm.u,ROWS(A$2:A325)),""))</f>
        <v/>
      </c>
      <c r="B325" s="121"/>
      <c r="C325" s="121"/>
      <c r="D325" s="121"/>
      <c r="E325" t="str">
        <f ca="1">IF(D2&lt;&gt;"","Done",IF(C2&lt;&gt;"","In Progress",IF(B2&lt;&gt;"",IF(TODAY()&gt;B2,"Should have started","Planned"),"")))</f>
        <v/>
      </c>
      <c r="F325" s="120" t="str">
        <f ca="1">IF(E2="Done",D2-C2,IF(E2="In Progress",TODAY()-C2,IF(E2="Should have started",TODAY()-B2,"")))</f>
        <v/>
      </c>
      <c r="G325" s="121"/>
      <c r="K325" s="121"/>
      <c r="L325" s="121"/>
      <c r="M325" s="121"/>
      <c r="O325" s="120"/>
      <c r="T325" s="121"/>
      <c r="U325" s="120"/>
      <c r="W325" s="121"/>
      <c r="X325" s="120"/>
      <c r="Z325" s="121"/>
      <c r="AA325" s="121"/>
      <c r="AB325" s="120"/>
      <c r="AD325" s="121"/>
      <c r="AE325" s="121"/>
      <c r="AF325" s="120"/>
      <c r="AJ325" s="121"/>
    </row>
    <row r="326" spans="1:36">
      <c r="A326" t="str" cm="1">
        <f t="array" ref="A326">_xlfn.LET(_xlpm.src,TRIM(#REF!), _xlpm.u,_xlfn._xlws.SORT(_xlfn.UNIQUE(_xlfn._xlws.FILTER(_xlpm.src,_xlpm.src&lt;&gt;""))), IFERROR(INDEX(_xlpm.u,ROWS(A$2:A326)),""))</f>
        <v/>
      </c>
      <c r="B326" s="121"/>
      <c r="C326" s="121"/>
      <c r="D326" s="121"/>
      <c r="E326" t="str">
        <f ca="1">IF(D2&lt;&gt;"","Done",IF(C2&lt;&gt;"","In Progress",IF(B2&lt;&gt;"",IF(TODAY()&gt;B2,"Should have started","Planned"),"")))</f>
        <v/>
      </c>
      <c r="F326" s="120" t="str">
        <f ca="1">IF(E2="Done",D2-C2,IF(E2="In Progress",TODAY()-C2,IF(E2="Should have started",TODAY()-B2,"")))</f>
        <v/>
      </c>
      <c r="G326" s="121"/>
      <c r="K326" s="121"/>
      <c r="L326" s="121"/>
      <c r="M326" s="121"/>
      <c r="O326" s="120"/>
      <c r="T326" s="121"/>
      <c r="U326" s="120"/>
      <c r="W326" s="121"/>
      <c r="X326" s="120"/>
      <c r="Z326" s="121"/>
      <c r="AA326" s="121"/>
      <c r="AB326" s="120"/>
      <c r="AD326" s="121"/>
      <c r="AE326" s="121"/>
      <c r="AF326" s="120"/>
      <c r="AJ326" s="121"/>
    </row>
    <row r="327" spans="1:36">
      <c r="A327" t="str" cm="1">
        <f t="array" ref="A327">_xlfn.LET(_xlpm.src,TRIM(#REF!), _xlpm.u,_xlfn._xlws.SORT(_xlfn.UNIQUE(_xlfn._xlws.FILTER(_xlpm.src,_xlpm.src&lt;&gt;""))), IFERROR(INDEX(_xlpm.u,ROWS(A$2:A327)),""))</f>
        <v/>
      </c>
      <c r="B327" s="121"/>
      <c r="C327" s="121"/>
      <c r="D327" s="121"/>
      <c r="E327" t="str">
        <f ca="1">IF(D2&lt;&gt;"","Done",IF(C2&lt;&gt;"","In Progress",IF(B2&lt;&gt;"",IF(TODAY()&gt;B2,"Should have started","Planned"),"")))</f>
        <v/>
      </c>
      <c r="F327" s="120" t="str">
        <f ca="1">IF(E2="Done",D2-C2,IF(E2="In Progress",TODAY()-C2,IF(E2="Should have started",TODAY()-B2,"")))</f>
        <v/>
      </c>
      <c r="G327" s="121"/>
      <c r="K327" s="121"/>
      <c r="L327" s="121"/>
      <c r="M327" s="121"/>
      <c r="O327" s="120"/>
      <c r="T327" s="121"/>
      <c r="U327" s="120"/>
      <c r="W327" s="121"/>
      <c r="X327" s="120"/>
      <c r="Z327" s="121"/>
      <c r="AA327" s="121"/>
      <c r="AB327" s="120"/>
      <c r="AD327" s="121"/>
      <c r="AE327" s="121"/>
      <c r="AF327" s="120"/>
      <c r="AJ327" s="121"/>
    </row>
    <row r="328" spans="1:36">
      <c r="A328" t="str" cm="1">
        <f t="array" ref="A328">_xlfn.LET(_xlpm.src,TRIM(#REF!), _xlpm.u,_xlfn._xlws.SORT(_xlfn.UNIQUE(_xlfn._xlws.FILTER(_xlpm.src,_xlpm.src&lt;&gt;""))), IFERROR(INDEX(_xlpm.u,ROWS(A$2:A328)),""))</f>
        <v/>
      </c>
      <c r="B328" s="121"/>
      <c r="C328" s="121"/>
      <c r="D328" s="121"/>
      <c r="E328" t="str">
        <f ca="1">IF(D2&lt;&gt;"","Done",IF(C2&lt;&gt;"","In Progress",IF(B2&lt;&gt;"",IF(TODAY()&gt;B2,"Should have started","Planned"),"")))</f>
        <v/>
      </c>
      <c r="F328" s="120" t="str">
        <f ca="1">IF(E2="Done",D2-C2,IF(E2="In Progress",TODAY()-C2,IF(E2="Should have started",TODAY()-B2,"")))</f>
        <v/>
      </c>
      <c r="G328" s="121"/>
      <c r="K328" s="121"/>
      <c r="L328" s="121"/>
      <c r="M328" s="121"/>
      <c r="O328" s="120"/>
      <c r="T328" s="121"/>
      <c r="U328" s="120"/>
      <c r="W328" s="121"/>
      <c r="X328" s="120"/>
      <c r="Z328" s="121"/>
      <c r="AA328" s="121"/>
      <c r="AB328" s="120"/>
      <c r="AD328" s="121"/>
      <c r="AE328" s="121"/>
      <c r="AF328" s="120"/>
      <c r="AJ328" s="121"/>
    </row>
    <row r="329" spans="1:36">
      <c r="A329" t="str" cm="1">
        <f t="array" ref="A329">_xlfn.LET(_xlpm.src,TRIM(#REF!), _xlpm.u,_xlfn._xlws.SORT(_xlfn.UNIQUE(_xlfn._xlws.FILTER(_xlpm.src,_xlpm.src&lt;&gt;""))), IFERROR(INDEX(_xlpm.u,ROWS(A$2:A329)),""))</f>
        <v/>
      </c>
      <c r="B329" s="121"/>
      <c r="C329" s="121"/>
      <c r="D329" s="121"/>
      <c r="E329" t="str">
        <f ca="1">IF(D2&lt;&gt;"","Done",IF(C2&lt;&gt;"","In Progress",IF(B2&lt;&gt;"",IF(TODAY()&gt;B2,"Should have started","Planned"),"")))</f>
        <v/>
      </c>
      <c r="F329" s="120" t="str">
        <f ca="1">IF(E2="Done",D2-C2,IF(E2="In Progress",TODAY()-C2,IF(E2="Should have started",TODAY()-B2,"")))</f>
        <v/>
      </c>
      <c r="G329" s="121"/>
      <c r="K329" s="121"/>
      <c r="L329" s="121"/>
      <c r="M329" s="121"/>
      <c r="O329" s="120"/>
      <c r="T329" s="121"/>
      <c r="U329" s="120"/>
      <c r="W329" s="121"/>
      <c r="X329" s="120"/>
      <c r="Z329" s="121"/>
      <c r="AA329" s="121"/>
      <c r="AB329" s="120"/>
      <c r="AD329" s="121"/>
      <c r="AE329" s="121"/>
      <c r="AF329" s="120"/>
      <c r="AJ329" s="121"/>
    </row>
    <row r="330" spans="1:36">
      <c r="A330" t="str" cm="1">
        <f t="array" ref="A330">_xlfn.LET(_xlpm.src,TRIM(#REF!), _xlpm.u,_xlfn._xlws.SORT(_xlfn.UNIQUE(_xlfn._xlws.FILTER(_xlpm.src,_xlpm.src&lt;&gt;""))), IFERROR(INDEX(_xlpm.u,ROWS(A$2:A330)),""))</f>
        <v/>
      </c>
      <c r="B330" s="121"/>
      <c r="C330" s="121"/>
      <c r="D330" s="121"/>
      <c r="E330" t="str">
        <f ca="1">IF(D2&lt;&gt;"","Done",IF(C2&lt;&gt;"","In Progress",IF(B2&lt;&gt;"",IF(TODAY()&gt;B2,"Should have started","Planned"),"")))</f>
        <v/>
      </c>
      <c r="F330" s="120" t="str">
        <f ca="1">IF(E2="Done",D2-C2,IF(E2="In Progress",TODAY()-C2,IF(E2="Should have started",TODAY()-B2,"")))</f>
        <v/>
      </c>
      <c r="G330" s="121"/>
      <c r="K330" s="121"/>
      <c r="L330" s="121"/>
      <c r="M330" s="121"/>
      <c r="O330" s="120"/>
      <c r="T330" s="121"/>
      <c r="U330" s="120"/>
      <c r="W330" s="121"/>
      <c r="X330" s="120"/>
      <c r="Z330" s="121"/>
      <c r="AA330" s="121"/>
      <c r="AB330" s="120"/>
      <c r="AD330" s="121"/>
      <c r="AE330" s="121"/>
      <c r="AF330" s="120"/>
      <c r="AJ330" s="121"/>
    </row>
    <row r="331" spans="1:36">
      <c r="A331" t="str" cm="1">
        <f t="array" ref="A331">_xlfn.LET(_xlpm.src,TRIM(#REF!), _xlpm.u,_xlfn._xlws.SORT(_xlfn.UNIQUE(_xlfn._xlws.FILTER(_xlpm.src,_xlpm.src&lt;&gt;""))), IFERROR(INDEX(_xlpm.u,ROWS(A$2:A331)),""))</f>
        <v/>
      </c>
      <c r="B331" s="121"/>
      <c r="C331" s="121"/>
      <c r="D331" s="121"/>
      <c r="E331" t="str">
        <f ca="1">IF(D2&lt;&gt;"","Done",IF(C2&lt;&gt;"","In Progress",IF(B2&lt;&gt;"",IF(TODAY()&gt;B2,"Should have started","Planned"),"")))</f>
        <v/>
      </c>
      <c r="F331" s="120" t="str">
        <f ca="1">IF(E2="Done",D2-C2,IF(E2="In Progress",TODAY()-C2,IF(E2="Should have started",TODAY()-B2,"")))</f>
        <v/>
      </c>
      <c r="G331" s="121"/>
      <c r="K331" s="121"/>
      <c r="L331" s="121"/>
      <c r="M331" s="121"/>
      <c r="O331" s="120"/>
      <c r="T331" s="121"/>
      <c r="U331" s="120"/>
      <c r="W331" s="121"/>
      <c r="X331" s="120"/>
      <c r="Z331" s="121"/>
      <c r="AA331" s="121"/>
      <c r="AB331" s="120"/>
      <c r="AD331" s="121"/>
      <c r="AE331" s="121"/>
      <c r="AF331" s="120"/>
      <c r="AJ331" s="121"/>
    </row>
    <row r="332" spans="1:36">
      <c r="A332" t="str" cm="1">
        <f t="array" ref="A332">_xlfn.LET(_xlpm.src,TRIM(#REF!), _xlpm.u,_xlfn._xlws.SORT(_xlfn.UNIQUE(_xlfn._xlws.FILTER(_xlpm.src,_xlpm.src&lt;&gt;""))), IFERROR(INDEX(_xlpm.u,ROWS(A$2:A332)),""))</f>
        <v/>
      </c>
      <c r="B332" s="121"/>
      <c r="C332" s="121"/>
      <c r="D332" s="121"/>
      <c r="E332" t="str">
        <f ca="1">IF(D2&lt;&gt;"","Done",IF(C2&lt;&gt;"","In Progress",IF(B2&lt;&gt;"",IF(TODAY()&gt;B2,"Should have started","Planned"),"")))</f>
        <v/>
      </c>
      <c r="F332" s="120" t="str">
        <f ca="1">IF(E2="Done",D2-C2,IF(E2="In Progress",TODAY()-C2,IF(E2="Should have started",TODAY()-B2,"")))</f>
        <v/>
      </c>
      <c r="G332" s="121"/>
      <c r="K332" s="121"/>
      <c r="L332" s="121"/>
      <c r="M332" s="121"/>
      <c r="O332" s="120"/>
      <c r="T332" s="121"/>
      <c r="U332" s="120"/>
      <c r="W332" s="121"/>
      <c r="X332" s="120"/>
      <c r="Z332" s="121"/>
      <c r="AA332" s="121"/>
      <c r="AB332" s="120"/>
      <c r="AD332" s="121"/>
      <c r="AE332" s="121"/>
      <c r="AF332" s="120"/>
      <c r="AJ332" s="121"/>
    </row>
    <row r="333" spans="1:36">
      <c r="A333" t="str" cm="1">
        <f t="array" ref="A333">_xlfn.LET(_xlpm.src,TRIM(#REF!), _xlpm.u,_xlfn._xlws.SORT(_xlfn.UNIQUE(_xlfn._xlws.FILTER(_xlpm.src,_xlpm.src&lt;&gt;""))), IFERROR(INDEX(_xlpm.u,ROWS(A$2:A333)),""))</f>
        <v/>
      </c>
      <c r="B333" s="121"/>
      <c r="C333" s="121"/>
      <c r="D333" s="121"/>
      <c r="E333" t="str">
        <f ca="1">IF(D2&lt;&gt;"","Done",IF(C2&lt;&gt;"","In Progress",IF(B2&lt;&gt;"",IF(TODAY()&gt;B2,"Should have started","Planned"),"")))</f>
        <v/>
      </c>
      <c r="F333" s="120" t="str">
        <f ca="1">IF(E2="Done",D2-C2,IF(E2="In Progress",TODAY()-C2,IF(E2="Should have started",TODAY()-B2,"")))</f>
        <v/>
      </c>
      <c r="G333" s="121"/>
      <c r="K333" s="121"/>
      <c r="L333" s="121"/>
      <c r="M333" s="121"/>
      <c r="O333" s="120"/>
      <c r="T333" s="121"/>
      <c r="U333" s="120"/>
      <c r="W333" s="121"/>
      <c r="X333" s="120"/>
      <c r="Z333" s="121"/>
      <c r="AA333" s="121"/>
      <c r="AB333" s="120"/>
      <c r="AD333" s="121"/>
      <c r="AE333" s="121"/>
      <c r="AF333" s="120"/>
      <c r="AJ333" s="121"/>
    </row>
    <row r="334" spans="1:36">
      <c r="A334" t="str" cm="1">
        <f t="array" ref="A334">_xlfn.LET(_xlpm.src,TRIM(#REF!), _xlpm.u,_xlfn._xlws.SORT(_xlfn.UNIQUE(_xlfn._xlws.FILTER(_xlpm.src,_xlpm.src&lt;&gt;""))), IFERROR(INDEX(_xlpm.u,ROWS(A$2:A334)),""))</f>
        <v/>
      </c>
      <c r="B334" s="121"/>
      <c r="C334" s="121"/>
      <c r="D334" s="121"/>
      <c r="E334" t="str">
        <f ca="1">IF(D2&lt;&gt;"","Done",IF(C2&lt;&gt;"","In Progress",IF(B2&lt;&gt;"",IF(TODAY()&gt;B2,"Should have started","Planned"),"")))</f>
        <v/>
      </c>
      <c r="F334" s="120" t="str">
        <f ca="1">IF(E2="Done",D2-C2,IF(E2="In Progress",TODAY()-C2,IF(E2="Should have started",TODAY()-B2,"")))</f>
        <v/>
      </c>
      <c r="G334" s="121"/>
      <c r="K334" s="121"/>
      <c r="L334" s="121"/>
      <c r="M334" s="121"/>
      <c r="O334" s="120"/>
      <c r="T334" s="121"/>
      <c r="U334" s="120"/>
      <c r="W334" s="121"/>
      <c r="X334" s="120"/>
      <c r="Z334" s="121"/>
      <c r="AA334" s="121"/>
      <c r="AB334" s="120"/>
      <c r="AD334" s="121"/>
      <c r="AE334" s="121"/>
      <c r="AF334" s="120"/>
      <c r="AJ334" s="121"/>
    </row>
    <row r="335" spans="1:36">
      <c r="A335" t="str" cm="1">
        <f t="array" ref="A335">_xlfn.LET(_xlpm.src,TRIM(#REF!), _xlpm.u,_xlfn._xlws.SORT(_xlfn.UNIQUE(_xlfn._xlws.FILTER(_xlpm.src,_xlpm.src&lt;&gt;""))), IFERROR(INDEX(_xlpm.u,ROWS(A$2:A335)),""))</f>
        <v/>
      </c>
      <c r="B335" s="121"/>
      <c r="C335" s="121"/>
      <c r="D335" s="121"/>
      <c r="E335" t="str">
        <f ca="1">IF(D2&lt;&gt;"","Done",IF(C2&lt;&gt;"","In Progress",IF(B2&lt;&gt;"",IF(TODAY()&gt;B2,"Should have started","Planned"),"")))</f>
        <v/>
      </c>
      <c r="F335" s="120" t="str">
        <f ca="1">IF(E2="Done",D2-C2,IF(E2="In Progress",TODAY()-C2,IF(E2="Should have started",TODAY()-B2,"")))</f>
        <v/>
      </c>
      <c r="G335" s="121"/>
      <c r="K335" s="121"/>
      <c r="L335" s="121"/>
      <c r="M335" s="121"/>
      <c r="O335" s="120"/>
      <c r="T335" s="121"/>
      <c r="U335" s="120"/>
      <c r="W335" s="121"/>
      <c r="X335" s="120"/>
      <c r="Z335" s="121"/>
      <c r="AA335" s="121"/>
      <c r="AB335" s="120"/>
      <c r="AD335" s="121"/>
      <c r="AE335" s="121"/>
      <c r="AF335" s="120"/>
      <c r="AJ335" s="121"/>
    </row>
    <row r="336" spans="1:36">
      <c r="A336" t="str" cm="1">
        <f t="array" ref="A336">_xlfn.LET(_xlpm.src,TRIM(#REF!), _xlpm.u,_xlfn._xlws.SORT(_xlfn.UNIQUE(_xlfn._xlws.FILTER(_xlpm.src,_xlpm.src&lt;&gt;""))), IFERROR(INDEX(_xlpm.u,ROWS(A$2:A336)),""))</f>
        <v/>
      </c>
      <c r="B336" s="121"/>
      <c r="C336" s="121"/>
      <c r="D336" s="121"/>
      <c r="E336" t="str">
        <f ca="1">IF(D2&lt;&gt;"","Done",IF(C2&lt;&gt;"","In Progress",IF(B2&lt;&gt;"",IF(TODAY()&gt;B2,"Should have started","Planned"),"")))</f>
        <v/>
      </c>
      <c r="F336" s="120" t="str">
        <f ca="1">IF(E2="Done",D2-C2,IF(E2="In Progress",TODAY()-C2,IF(E2="Should have started",TODAY()-B2,"")))</f>
        <v/>
      </c>
      <c r="G336" s="121"/>
      <c r="K336" s="121"/>
      <c r="L336" s="121"/>
      <c r="M336" s="121"/>
      <c r="O336" s="120"/>
      <c r="T336" s="121"/>
      <c r="U336" s="120"/>
      <c r="W336" s="121"/>
      <c r="X336" s="120"/>
      <c r="Z336" s="121"/>
      <c r="AA336" s="121"/>
      <c r="AB336" s="120"/>
      <c r="AD336" s="121"/>
      <c r="AE336" s="121"/>
      <c r="AF336" s="120"/>
      <c r="AJ336" s="121"/>
    </row>
    <row r="337" spans="1:36">
      <c r="A337" t="str" cm="1">
        <f t="array" ref="A337">_xlfn.LET(_xlpm.src,TRIM(#REF!), _xlpm.u,_xlfn._xlws.SORT(_xlfn.UNIQUE(_xlfn._xlws.FILTER(_xlpm.src,_xlpm.src&lt;&gt;""))), IFERROR(INDEX(_xlpm.u,ROWS(A$2:A337)),""))</f>
        <v/>
      </c>
      <c r="B337" s="121"/>
      <c r="C337" s="121"/>
      <c r="D337" s="121"/>
      <c r="E337" t="str">
        <f ca="1">IF(D2&lt;&gt;"","Done",IF(C2&lt;&gt;"","In Progress",IF(B2&lt;&gt;"",IF(TODAY()&gt;B2,"Should have started","Planned"),"")))</f>
        <v/>
      </c>
      <c r="F337" s="120" t="str">
        <f ca="1">IF(E2="Done",D2-C2,IF(E2="In Progress",TODAY()-C2,IF(E2="Should have started",TODAY()-B2,"")))</f>
        <v/>
      </c>
      <c r="G337" s="121"/>
      <c r="K337" s="121"/>
      <c r="L337" s="121"/>
      <c r="M337" s="121"/>
      <c r="O337" s="120"/>
      <c r="T337" s="121"/>
      <c r="U337" s="120"/>
      <c r="W337" s="121"/>
      <c r="X337" s="120"/>
      <c r="Z337" s="121"/>
      <c r="AA337" s="121"/>
      <c r="AB337" s="120"/>
      <c r="AD337" s="121"/>
      <c r="AE337" s="121"/>
      <c r="AF337" s="120"/>
      <c r="AJ337" s="121"/>
    </row>
    <row r="338" spans="1:36">
      <c r="A338" t="str" cm="1">
        <f t="array" ref="A338">_xlfn.LET(_xlpm.src,TRIM(#REF!), _xlpm.u,_xlfn._xlws.SORT(_xlfn.UNIQUE(_xlfn._xlws.FILTER(_xlpm.src,_xlpm.src&lt;&gt;""))), IFERROR(INDEX(_xlpm.u,ROWS(A$2:A338)),""))</f>
        <v/>
      </c>
      <c r="B338" s="121"/>
      <c r="C338" s="121"/>
      <c r="D338" s="121"/>
      <c r="E338" t="str">
        <f ca="1">IF(D2&lt;&gt;"","Done",IF(C2&lt;&gt;"","In Progress",IF(B2&lt;&gt;"",IF(TODAY()&gt;B2,"Should have started","Planned"),"")))</f>
        <v/>
      </c>
      <c r="F338" s="120" t="str">
        <f ca="1">IF(E2="Done",D2-C2,IF(E2="In Progress",TODAY()-C2,IF(E2="Should have started",TODAY()-B2,"")))</f>
        <v/>
      </c>
      <c r="G338" s="121"/>
      <c r="K338" s="121"/>
      <c r="L338" s="121"/>
      <c r="M338" s="121"/>
      <c r="O338" s="120"/>
      <c r="T338" s="121"/>
      <c r="U338" s="120"/>
      <c r="W338" s="121"/>
      <c r="X338" s="120"/>
      <c r="Z338" s="121"/>
      <c r="AA338" s="121"/>
      <c r="AB338" s="120"/>
      <c r="AD338" s="121"/>
      <c r="AE338" s="121"/>
      <c r="AF338" s="120"/>
      <c r="AJ338" s="121"/>
    </row>
    <row r="339" spans="1:36">
      <c r="A339" t="str" cm="1">
        <f t="array" ref="A339">_xlfn.LET(_xlpm.src,TRIM(#REF!), _xlpm.u,_xlfn._xlws.SORT(_xlfn.UNIQUE(_xlfn._xlws.FILTER(_xlpm.src,_xlpm.src&lt;&gt;""))), IFERROR(INDEX(_xlpm.u,ROWS(A$2:A339)),""))</f>
        <v/>
      </c>
      <c r="B339" s="121"/>
      <c r="C339" s="121"/>
      <c r="D339" s="121"/>
      <c r="E339" t="str">
        <f ca="1">IF(D2&lt;&gt;"","Done",IF(C2&lt;&gt;"","In Progress",IF(B2&lt;&gt;"",IF(TODAY()&gt;B2,"Should have started","Planned"),"")))</f>
        <v/>
      </c>
      <c r="F339" s="120" t="str">
        <f ca="1">IF(E2="Done",D2-C2,IF(E2="In Progress",TODAY()-C2,IF(E2="Should have started",TODAY()-B2,"")))</f>
        <v/>
      </c>
      <c r="G339" s="121"/>
      <c r="K339" s="121"/>
      <c r="L339" s="121"/>
      <c r="M339" s="121"/>
      <c r="O339" s="120"/>
      <c r="T339" s="121"/>
      <c r="U339" s="120"/>
      <c r="W339" s="121"/>
      <c r="X339" s="120"/>
      <c r="Z339" s="121"/>
      <c r="AA339" s="121"/>
      <c r="AB339" s="120"/>
      <c r="AD339" s="121"/>
      <c r="AE339" s="121"/>
      <c r="AF339" s="120"/>
      <c r="AJ339" s="121"/>
    </row>
    <row r="340" spans="1:36">
      <c r="A340" t="str" cm="1">
        <f t="array" ref="A340">_xlfn.LET(_xlpm.src,TRIM(#REF!), _xlpm.u,_xlfn._xlws.SORT(_xlfn.UNIQUE(_xlfn._xlws.FILTER(_xlpm.src,_xlpm.src&lt;&gt;""))), IFERROR(INDEX(_xlpm.u,ROWS(A$2:A340)),""))</f>
        <v/>
      </c>
      <c r="B340" s="121"/>
      <c r="C340" s="121"/>
      <c r="D340" s="121"/>
      <c r="E340" t="str">
        <f ca="1">IF(D2&lt;&gt;"","Done",IF(C2&lt;&gt;"","In Progress",IF(B2&lt;&gt;"",IF(TODAY()&gt;B2,"Should have started","Planned"),"")))</f>
        <v/>
      </c>
      <c r="F340" s="120" t="str">
        <f ca="1">IF(E2="Done",D2-C2,IF(E2="In Progress",TODAY()-C2,IF(E2="Should have started",TODAY()-B2,"")))</f>
        <v/>
      </c>
      <c r="G340" s="121"/>
      <c r="K340" s="121"/>
      <c r="L340" s="121"/>
      <c r="M340" s="121"/>
      <c r="O340" s="120"/>
      <c r="T340" s="121"/>
      <c r="U340" s="120"/>
      <c r="W340" s="121"/>
      <c r="X340" s="120"/>
      <c r="Z340" s="121"/>
      <c r="AA340" s="121"/>
      <c r="AB340" s="120"/>
      <c r="AD340" s="121"/>
      <c r="AE340" s="121"/>
      <c r="AF340" s="120"/>
      <c r="AJ340" s="121"/>
    </row>
    <row r="341" spans="1:36">
      <c r="A341" t="str" cm="1">
        <f t="array" ref="A341">_xlfn.LET(_xlpm.src,TRIM(#REF!), _xlpm.u,_xlfn._xlws.SORT(_xlfn.UNIQUE(_xlfn._xlws.FILTER(_xlpm.src,_xlpm.src&lt;&gt;""))), IFERROR(INDEX(_xlpm.u,ROWS(A$2:A341)),""))</f>
        <v/>
      </c>
      <c r="B341" s="121"/>
      <c r="C341" s="121"/>
      <c r="D341" s="121"/>
      <c r="E341" t="str">
        <f ca="1">IF(D2&lt;&gt;"","Done",IF(C2&lt;&gt;"","In Progress",IF(B2&lt;&gt;"",IF(TODAY()&gt;B2,"Should have started","Planned"),"")))</f>
        <v/>
      </c>
      <c r="F341" s="120" t="str">
        <f ca="1">IF(E2="Done",D2-C2,IF(E2="In Progress",TODAY()-C2,IF(E2="Should have started",TODAY()-B2,"")))</f>
        <v/>
      </c>
      <c r="G341" s="121"/>
      <c r="K341" s="121"/>
      <c r="L341" s="121"/>
      <c r="M341" s="121"/>
      <c r="O341" s="120"/>
      <c r="T341" s="121"/>
      <c r="U341" s="120"/>
      <c r="W341" s="121"/>
      <c r="X341" s="120"/>
      <c r="Z341" s="121"/>
      <c r="AA341" s="121"/>
      <c r="AB341" s="120"/>
      <c r="AD341" s="121"/>
      <c r="AE341" s="121"/>
      <c r="AF341" s="120"/>
      <c r="AJ341" s="121"/>
    </row>
    <row r="342" spans="1:36">
      <c r="A342" t="str" cm="1">
        <f t="array" ref="A342">_xlfn.LET(_xlpm.src,TRIM(#REF!), _xlpm.u,_xlfn._xlws.SORT(_xlfn.UNIQUE(_xlfn._xlws.FILTER(_xlpm.src,_xlpm.src&lt;&gt;""))), IFERROR(INDEX(_xlpm.u,ROWS(A$2:A342)),""))</f>
        <v/>
      </c>
      <c r="B342" s="121"/>
      <c r="C342" s="121"/>
      <c r="D342" s="121"/>
      <c r="E342" t="str">
        <f ca="1">IF(D2&lt;&gt;"","Done",IF(C2&lt;&gt;"","In Progress",IF(B2&lt;&gt;"",IF(TODAY()&gt;B2,"Should have started","Planned"),"")))</f>
        <v/>
      </c>
      <c r="F342" s="120" t="str">
        <f ca="1">IF(E2="Done",D2-C2,IF(E2="In Progress",TODAY()-C2,IF(E2="Should have started",TODAY()-B2,"")))</f>
        <v/>
      </c>
      <c r="G342" s="121"/>
      <c r="K342" s="121"/>
      <c r="L342" s="121"/>
      <c r="M342" s="121"/>
      <c r="O342" s="120"/>
      <c r="T342" s="121"/>
      <c r="U342" s="120"/>
      <c r="W342" s="121"/>
      <c r="X342" s="120"/>
      <c r="Z342" s="121"/>
      <c r="AA342" s="121"/>
      <c r="AB342" s="120"/>
      <c r="AD342" s="121"/>
      <c r="AE342" s="121"/>
      <c r="AF342" s="120"/>
      <c r="AJ342" s="121"/>
    </row>
    <row r="343" spans="1:36">
      <c r="A343" t="str" cm="1">
        <f t="array" ref="A343">_xlfn.LET(_xlpm.src,TRIM(#REF!), _xlpm.u,_xlfn._xlws.SORT(_xlfn.UNIQUE(_xlfn._xlws.FILTER(_xlpm.src,_xlpm.src&lt;&gt;""))), IFERROR(INDEX(_xlpm.u,ROWS(A$2:A343)),""))</f>
        <v/>
      </c>
      <c r="B343" s="121"/>
      <c r="C343" s="121"/>
      <c r="D343" s="121"/>
      <c r="E343" t="str">
        <f ca="1">IF(D2&lt;&gt;"","Done",IF(C2&lt;&gt;"","In Progress",IF(B2&lt;&gt;"",IF(TODAY()&gt;B2,"Should have started","Planned"),"")))</f>
        <v/>
      </c>
      <c r="F343" s="120" t="str">
        <f ca="1">IF(E2="Done",D2-C2,IF(E2="In Progress",TODAY()-C2,IF(E2="Should have started",TODAY()-B2,"")))</f>
        <v/>
      </c>
      <c r="G343" s="121"/>
      <c r="K343" s="121"/>
      <c r="L343" s="121"/>
      <c r="M343" s="121"/>
      <c r="O343" s="120"/>
      <c r="T343" s="121"/>
      <c r="U343" s="120"/>
      <c r="W343" s="121"/>
      <c r="X343" s="120"/>
      <c r="Z343" s="121"/>
      <c r="AA343" s="121"/>
      <c r="AB343" s="120"/>
      <c r="AD343" s="121"/>
      <c r="AE343" s="121"/>
      <c r="AF343" s="120"/>
      <c r="AJ343" s="121"/>
    </row>
    <row r="344" spans="1:36">
      <c r="A344" t="str" cm="1">
        <f t="array" ref="A344">_xlfn.LET(_xlpm.src,TRIM(#REF!), _xlpm.u,_xlfn._xlws.SORT(_xlfn.UNIQUE(_xlfn._xlws.FILTER(_xlpm.src,_xlpm.src&lt;&gt;""))), IFERROR(INDEX(_xlpm.u,ROWS(A$2:A344)),""))</f>
        <v/>
      </c>
      <c r="B344" s="121"/>
      <c r="C344" s="121"/>
      <c r="D344" s="121"/>
      <c r="E344" t="str">
        <f ca="1">IF(D2&lt;&gt;"","Done",IF(C2&lt;&gt;"","In Progress",IF(B2&lt;&gt;"",IF(TODAY()&gt;B2,"Should have started","Planned"),"")))</f>
        <v/>
      </c>
      <c r="F344" s="120" t="str">
        <f ca="1">IF(E2="Done",D2-C2,IF(E2="In Progress",TODAY()-C2,IF(E2="Should have started",TODAY()-B2,"")))</f>
        <v/>
      </c>
      <c r="G344" s="121"/>
      <c r="K344" s="121"/>
      <c r="L344" s="121"/>
      <c r="M344" s="121"/>
      <c r="O344" s="120"/>
      <c r="T344" s="121"/>
      <c r="U344" s="120"/>
      <c r="W344" s="121"/>
      <c r="X344" s="120"/>
      <c r="Z344" s="121"/>
      <c r="AA344" s="121"/>
      <c r="AB344" s="120"/>
      <c r="AD344" s="121"/>
      <c r="AE344" s="121"/>
      <c r="AF344" s="120"/>
      <c r="AJ344" s="121"/>
    </row>
    <row r="345" spans="1:36">
      <c r="A345" t="str" cm="1">
        <f t="array" ref="A345">_xlfn.LET(_xlpm.src,TRIM(#REF!), _xlpm.u,_xlfn._xlws.SORT(_xlfn.UNIQUE(_xlfn._xlws.FILTER(_xlpm.src,_xlpm.src&lt;&gt;""))), IFERROR(INDEX(_xlpm.u,ROWS(A$2:A345)),""))</f>
        <v/>
      </c>
      <c r="B345" s="121"/>
      <c r="C345" s="121"/>
      <c r="D345" s="121"/>
      <c r="E345" t="str">
        <f ca="1">IF(D2&lt;&gt;"","Done",IF(C2&lt;&gt;"","In Progress",IF(B2&lt;&gt;"",IF(TODAY()&gt;B2,"Should have started","Planned"),"")))</f>
        <v/>
      </c>
      <c r="F345" s="120" t="str">
        <f ca="1">IF(E2="Done",D2-C2,IF(E2="In Progress",TODAY()-C2,IF(E2="Should have started",TODAY()-B2,"")))</f>
        <v/>
      </c>
      <c r="G345" s="121"/>
      <c r="K345" s="121"/>
      <c r="L345" s="121"/>
      <c r="M345" s="121"/>
      <c r="O345" s="120"/>
      <c r="T345" s="121"/>
      <c r="U345" s="120"/>
      <c r="W345" s="121"/>
      <c r="X345" s="120"/>
      <c r="Z345" s="121"/>
      <c r="AA345" s="121"/>
      <c r="AB345" s="120"/>
      <c r="AD345" s="121"/>
      <c r="AE345" s="121"/>
      <c r="AF345" s="120"/>
      <c r="AJ345" s="121"/>
    </row>
    <row r="346" spans="1:36">
      <c r="A346" t="str" cm="1">
        <f t="array" ref="A346">_xlfn.LET(_xlpm.src,TRIM(#REF!), _xlpm.u,_xlfn._xlws.SORT(_xlfn.UNIQUE(_xlfn._xlws.FILTER(_xlpm.src,_xlpm.src&lt;&gt;""))), IFERROR(INDEX(_xlpm.u,ROWS(A$2:A346)),""))</f>
        <v/>
      </c>
      <c r="B346" s="121"/>
      <c r="C346" s="121"/>
      <c r="D346" s="121"/>
      <c r="E346" t="str">
        <f ca="1">IF(D2&lt;&gt;"","Done",IF(C2&lt;&gt;"","In Progress",IF(B2&lt;&gt;"",IF(TODAY()&gt;B2,"Should have started","Planned"),"")))</f>
        <v/>
      </c>
      <c r="F346" s="120" t="str">
        <f ca="1">IF(E2="Done",D2-C2,IF(E2="In Progress",TODAY()-C2,IF(E2="Should have started",TODAY()-B2,"")))</f>
        <v/>
      </c>
      <c r="G346" s="121"/>
      <c r="K346" s="121"/>
      <c r="L346" s="121"/>
      <c r="M346" s="121"/>
      <c r="O346" s="120"/>
      <c r="T346" s="121"/>
      <c r="U346" s="120"/>
      <c r="W346" s="121"/>
      <c r="X346" s="120"/>
      <c r="Z346" s="121"/>
      <c r="AA346" s="121"/>
      <c r="AB346" s="120"/>
      <c r="AD346" s="121"/>
      <c r="AE346" s="121"/>
      <c r="AF346" s="120"/>
      <c r="AJ346" s="121"/>
    </row>
    <row r="347" spans="1:36">
      <c r="A347" t="str" cm="1">
        <f t="array" ref="A347">_xlfn.LET(_xlpm.src,TRIM(#REF!), _xlpm.u,_xlfn._xlws.SORT(_xlfn.UNIQUE(_xlfn._xlws.FILTER(_xlpm.src,_xlpm.src&lt;&gt;""))), IFERROR(INDEX(_xlpm.u,ROWS(A$2:A347)),""))</f>
        <v/>
      </c>
      <c r="B347" s="121"/>
      <c r="C347" s="121"/>
      <c r="D347" s="121"/>
      <c r="E347" t="str">
        <f ca="1">IF(D2&lt;&gt;"","Done",IF(C2&lt;&gt;"","In Progress",IF(B2&lt;&gt;"",IF(TODAY()&gt;B2,"Should have started","Planned"),"")))</f>
        <v/>
      </c>
      <c r="F347" s="120" t="str">
        <f ca="1">IF(E2="Done",D2-C2,IF(E2="In Progress",TODAY()-C2,IF(E2="Should have started",TODAY()-B2,"")))</f>
        <v/>
      </c>
      <c r="G347" s="121"/>
      <c r="K347" s="121"/>
      <c r="L347" s="121"/>
      <c r="M347" s="121"/>
      <c r="O347" s="120"/>
      <c r="T347" s="121"/>
      <c r="U347" s="120"/>
      <c r="W347" s="121"/>
      <c r="X347" s="120"/>
      <c r="Z347" s="121"/>
      <c r="AA347" s="121"/>
      <c r="AB347" s="120"/>
      <c r="AD347" s="121"/>
      <c r="AE347" s="121"/>
      <c r="AF347" s="120"/>
      <c r="AJ347" s="121"/>
    </row>
    <row r="348" spans="1:36">
      <c r="A348" t="str" cm="1">
        <f t="array" ref="A348">_xlfn.LET(_xlpm.src,TRIM(#REF!), _xlpm.u,_xlfn._xlws.SORT(_xlfn.UNIQUE(_xlfn._xlws.FILTER(_xlpm.src,_xlpm.src&lt;&gt;""))), IFERROR(INDEX(_xlpm.u,ROWS(A$2:A348)),""))</f>
        <v/>
      </c>
      <c r="B348" s="121"/>
      <c r="C348" s="121"/>
      <c r="D348" s="121"/>
      <c r="E348" t="str">
        <f ca="1">IF(D2&lt;&gt;"","Done",IF(C2&lt;&gt;"","In Progress",IF(B2&lt;&gt;"",IF(TODAY()&gt;B2,"Should have started","Planned"),"")))</f>
        <v/>
      </c>
      <c r="F348" s="120" t="str">
        <f ca="1">IF(E2="Done",D2-C2,IF(E2="In Progress",TODAY()-C2,IF(E2="Should have started",TODAY()-B2,"")))</f>
        <v/>
      </c>
      <c r="G348" s="121"/>
      <c r="K348" s="121"/>
      <c r="L348" s="121"/>
      <c r="M348" s="121"/>
      <c r="O348" s="120"/>
      <c r="T348" s="121"/>
      <c r="U348" s="120"/>
      <c r="W348" s="121"/>
      <c r="X348" s="120"/>
      <c r="Z348" s="121"/>
      <c r="AA348" s="121"/>
      <c r="AB348" s="120"/>
      <c r="AD348" s="121"/>
      <c r="AE348" s="121"/>
      <c r="AF348" s="120"/>
      <c r="AJ348" s="121"/>
    </row>
    <row r="349" spans="1:36">
      <c r="A349" t="str" cm="1">
        <f t="array" ref="A349">_xlfn.LET(_xlpm.src,TRIM(#REF!), _xlpm.u,_xlfn._xlws.SORT(_xlfn.UNIQUE(_xlfn._xlws.FILTER(_xlpm.src,_xlpm.src&lt;&gt;""))), IFERROR(INDEX(_xlpm.u,ROWS(A$2:A349)),""))</f>
        <v/>
      </c>
      <c r="B349" s="121"/>
      <c r="C349" s="121"/>
      <c r="D349" s="121"/>
      <c r="E349" t="str">
        <f ca="1">IF(D2&lt;&gt;"","Done",IF(C2&lt;&gt;"","In Progress",IF(B2&lt;&gt;"",IF(TODAY()&gt;B2,"Should have started","Planned"),"")))</f>
        <v/>
      </c>
      <c r="F349" s="120" t="str">
        <f ca="1">IF(E2="Done",D2-C2,IF(E2="In Progress",TODAY()-C2,IF(E2="Should have started",TODAY()-B2,"")))</f>
        <v/>
      </c>
      <c r="G349" s="121"/>
      <c r="K349" s="121"/>
      <c r="L349" s="121"/>
      <c r="M349" s="121"/>
      <c r="O349" s="120"/>
      <c r="T349" s="121"/>
      <c r="U349" s="120"/>
      <c r="W349" s="121"/>
      <c r="X349" s="120"/>
      <c r="Z349" s="121"/>
      <c r="AA349" s="121"/>
      <c r="AB349" s="120"/>
      <c r="AD349" s="121"/>
      <c r="AE349" s="121"/>
      <c r="AF349" s="120"/>
      <c r="AJ349" s="121"/>
    </row>
    <row r="350" spans="1:36">
      <c r="A350" t="str" cm="1">
        <f t="array" ref="A350">_xlfn.LET(_xlpm.src,TRIM(#REF!), _xlpm.u,_xlfn._xlws.SORT(_xlfn.UNIQUE(_xlfn._xlws.FILTER(_xlpm.src,_xlpm.src&lt;&gt;""))), IFERROR(INDEX(_xlpm.u,ROWS(A$2:A350)),""))</f>
        <v/>
      </c>
      <c r="B350" s="121"/>
      <c r="C350" s="121"/>
      <c r="D350" s="121"/>
      <c r="E350" t="str">
        <f ca="1">IF(D2&lt;&gt;"","Done",IF(C2&lt;&gt;"","In Progress",IF(B2&lt;&gt;"",IF(TODAY()&gt;B2,"Should have started","Planned"),"")))</f>
        <v/>
      </c>
      <c r="F350" s="120" t="str">
        <f ca="1">IF(E2="Done",D2-C2,IF(E2="In Progress",TODAY()-C2,IF(E2="Should have started",TODAY()-B2,"")))</f>
        <v/>
      </c>
      <c r="G350" s="121"/>
      <c r="K350" s="121"/>
      <c r="L350" s="121"/>
      <c r="M350" s="121"/>
      <c r="O350" s="120"/>
      <c r="T350" s="121"/>
      <c r="U350" s="120"/>
      <c r="W350" s="121"/>
      <c r="X350" s="120"/>
      <c r="Z350" s="121"/>
      <c r="AA350" s="121"/>
      <c r="AB350" s="120"/>
      <c r="AD350" s="121"/>
      <c r="AE350" s="121"/>
      <c r="AF350" s="120"/>
      <c r="AJ350" s="121"/>
    </row>
    <row r="351" spans="1:36">
      <c r="A351" t="str" cm="1">
        <f t="array" ref="A351">_xlfn.LET(_xlpm.src,TRIM(#REF!), _xlpm.u,_xlfn._xlws.SORT(_xlfn.UNIQUE(_xlfn._xlws.FILTER(_xlpm.src,_xlpm.src&lt;&gt;""))), IFERROR(INDEX(_xlpm.u,ROWS(A$2:A351)),""))</f>
        <v/>
      </c>
      <c r="B351" s="121"/>
      <c r="C351" s="121"/>
      <c r="D351" s="121"/>
      <c r="E351" t="str">
        <f ca="1">IF(D2&lt;&gt;"","Done",IF(C2&lt;&gt;"","In Progress",IF(B2&lt;&gt;"",IF(TODAY()&gt;B2,"Should have started","Planned"),"")))</f>
        <v/>
      </c>
      <c r="F351" s="120" t="str">
        <f ca="1">IF(E2="Done",D2-C2,IF(E2="In Progress",TODAY()-C2,IF(E2="Should have started",TODAY()-B2,"")))</f>
        <v/>
      </c>
      <c r="G351" s="121"/>
      <c r="K351" s="121"/>
      <c r="L351" s="121"/>
      <c r="M351" s="121"/>
      <c r="O351" s="120"/>
      <c r="T351" s="121"/>
      <c r="U351" s="120"/>
      <c r="W351" s="121"/>
      <c r="X351" s="120"/>
      <c r="Z351" s="121"/>
      <c r="AA351" s="121"/>
      <c r="AB351" s="120"/>
      <c r="AD351" s="121"/>
      <c r="AE351" s="121"/>
      <c r="AF351" s="120"/>
      <c r="AJ351" s="121"/>
    </row>
    <row r="352" spans="1:36">
      <c r="A352" t="str" cm="1">
        <f t="array" ref="A352">_xlfn.LET(_xlpm.src,TRIM(#REF!), _xlpm.u,_xlfn._xlws.SORT(_xlfn.UNIQUE(_xlfn._xlws.FILTER(_xlpm.src,_xlpm.src&lt;&gt;""))), IFERROR(INDEX(_xlpm.u,ROWS(A$2:A352)),""))</f>
        <v/>
      </c>
      <c r="B352" s="121"/>
      <c r="C352" s="121"/>
      <c r="D352" s="121"/>
      <c r="E352" t="str">
        <f ca="1">IF(D2&lt;&gt;"","Done",IF(C2&lt;&gt;"","In Progress",IF(B2&lt;&gt;"",IF(TODAY()&gt;B2,"Should have started","Planned"),"")))</f>
        <v/>
      </c>
      <c r="F352" s="120" t="str">
        <f ca="1">IF(E2="Done",D2-C2,IF(E2="In Progress",TODAY()-C2,IF(E2="Should have started",TODAY()-B2,"")))</f>
        <v/>
      </c>
      <c r="G352" s="121"/>
      <c r="K352" s="121"/>
      <c r="L352" s="121"/>
      <c r="M352" s="121"/>
      <c r="O352" s="120"/>
      <c r="T352" s="121"/>
      <c r="U352" s="120"/>
      <c r="W352" s="121"/>
      <c r="X352" s="120"/>
      <c r="Z352" s="121"/>
      <c r="AA352" s="121"/>
      <c r="AB352" s="120"/>
      <c r="AD352" s="121"/>
      <c r="AE352" s="121"/>
      <c r="AF352" s="120"/>
      <c r="AJ352" s="121"/>
    </row>
    <row r="353" spans="1:36">
      <c r="A353" t="str" cm="1">
        <f t="array" ref="A353">_xlfn.LET(_xlpm.src,TRIM(#REF!), _xlpm.u,_xlfn._xlws.SORT(_xlfn.UNIQUE(_xlfn._xlws.FILTER(_xlpm.src,_xlpm.src&lt;&gt;""))), IFERROR(INDEX(_xlpm.u,ROWS(A$2:A353)),""))</f>
        <v/>
      </c>
      <c r="B353" s="121"/>
      <c r="C353" s="121"/>
      <c r="D353" s="121"/>
      <c r="E353" t="str">
        <f ca="1">IF(D2&lt;&gt;"","Done",IF(C2&lt;&gt;"","In Progress",IF(B2&lt;&gt;"",IF(TODAY()&gt;B2,"Should have started","Planned"),"")))</f>
        <v/>
      </c>
      <c r="F353" s="120" t="str">
        <f ca="1">IF(E2="Done",D2-C2,IF(E2="In Progress",TODAY()-C2,IF(E2="Should have started",TODAY()-B2,"")))</f>
        <v/>
      </c>
      <c r="G353" s="121"/>
      <c r="K353" s="121"/>
      <c r="L353" s="121"/>
      <c r="M353" s="121"/>
      <c r="O353" s="120"/>
      <c r="T353" s="121"/>
      <c r="U353" s="120"/>
      <c r="W353" s="121"/>
      <c r="X353" s="120"/>
      <c r="Z353" s="121"/>
      <c r="AA353" s="121"/>
      <c r="AB353" s="120"/>
      <c r="AD353" s="121"/>
      <c r="AE353" s="121"/>
      <c r="AF353" s="120"/>
      <c r="AJ353" s="121"/>
    </row>
    <row r="354" spans="1:36">
      <c r="A354" t="str" cm="1">
        <f t="array" ref="A354">_xlfn.LET(_xlpm.src,TRIM(#REF!), _xlpm.u,_xlfn._xlws.SORT(_xlfn.UNIQUE(_xlfn._xlws.FILTER(_xlpm.src,_xlpm.src&lt;&gt;""))), IFERROR(INDEX(_xlpm.u,ROWS(A$2:A354)),""))</f>
        <v/>
      </c>
      <c r="B354" s="121"/>
      <c r="C354" s="121"/>
      <c r="D354" s="121"/>
      <c r="E354" t="str">
        <f ca="1">IF(D2&lt;&gt;"","Done",IF(C2&lt;&gt;"","In Progress",IF(B2&lt;&gt;"",IF(TODAY()&gt;B2,"Should have started","Planned"),"")))</f>
        <v/>
      </c>
      <c r="F354" s="120" t="str">
        <f ca="1">IF(E2="Done",D2-C2,IF(E2="In Progress",TODAY()-C2,IF(E2="Should have started",TODAY()-B2,"")))</f>
        <v/>
      </c>
      <c r="G354" s="121"/>
      <c r="K354" s="121"/>
      <c r="L354" s="121"/>
      <c r="M354" s="121"/>
      <c r="O354" s="120"/>
      <c r="T354" s="121"/>
      <c r="U354" s="120"/>
      <c r="W354" s="121"/>
      <c r="X354" s="120"/>
      <c r="Z354" s="121"/>
      <c r="AA354" s="121"/>
      <c r="AB354" s="120"/>
      <c r="AD354" s="121"/>
      <c r="AE354" s="121"/>
      <c r="AF354" s="120"/>
      <c r="AJ354" s="121"/>
    </row>
    <row r="355" spans="1:36">
      <c r="A355" t="str" cm="1">
        <f t="array" ref="A355">_xlfn.LET(_xlpm.src,TRIM(#REF!), _xlpm.u,_xlfn._xlws.SORT(_xlfn.UNIQUE(_xlfn._xlws.FILTER(_xlpm.src,_xlpm.src&lt;&gt;""))), IFERROR(INDEX(_xlpm.u,ROWS(A$2:A355)),""))</f>
        <v/>
      </c>
      <c r="B355" s="121"/>
      <c r="C355" s="121"/>
      <c r="D355" s="121"/>
      <c r="E355" t="str">
        <f ca="1">IF(D2&lt;&gt;"","Done",IF(C2&lt;&gt;"","In Progress",IF(B2&lt;&gt;"",IF(TODAY()&gt;B2,"Should have started","Planned"),"")))</f>
        <v/>
      </c>
      <c r="F355" s="120" t="str">
        <f ca="1">IF(E2="Done",D2-C2,IF(E2="In Progress",TODAY()-C2,IF(E2="Should have started",TODAY()-B2,"")))</f>
        <v/>
      </c>
      <c r="G355" s="121"/>
      <c r="K355" s="121"/>
      <c r="L355" s="121"/>
      <c r="M355" s="121"/>
      <c r="O355" s="120"/>
      <c r="T355" s="121"/>
      <c r="U355" s="120"/>
      <c r="W355" s="121"/>
      <c r="X355" s="120"/>
      <c r="Z355" s="121"/>
      <c r="AA355" s="121"/>
      <c r="AB355" s="120"/>
      <c r="AD355" s="121"/>
      <c r="AE355" s="121"/>
      <c r="AF355" s="120"/>
      <c r="AJ355" s="121"/>
    </row>
    <row r="356" spans="1:36">
      <c r="A356" t="str" cm="1">
        <f t="array" ref="A356">_xlfn.LET(_xlpm.src,TRIM(#REF!), _xlpm.u,_xlfn._xlws.SORT(_xlfn.UNIQUE(_xlfn._xlws.FILTER(_xlpm.src,_xlpm.src&lt;&gt;""))), IFERROR(INDEX(_xlpm.u,ROWS(A$2:A356)),""))</f>
        <v/>
      </c>
      <c r="B356" s="121"/>
      <c r="C356" s="121"/>
      <c r="D356" s="121"/>
      <c r="E356" t="str">
        <f ca="1">IF(D2&lt;&gt;"","Done",IF(C2&lt;&gt;"","In Progress",IF(B2&lt;&gt;"",IF(TODAY()&gt;B2,"Should have started","Planned"),"")))</f>
        <v/>
      </c>
      <c r="F356" s="120" t="str">
        <f ca="1">IF(E2="Done",D2-C2,IF(E2="In Progress",TODAY()-C2,IF(E2="Should have started",TODAY()-B2,"")))</f>
        <v/>
      </c>
      <c r="G356" s="121"/>
      <c r="K356" s="121"/>
      <c r="L356" s="121"/>
      <c r="M356" s="121"/>
      <c r="O356" s="120"/>
      <c r="T356" s="121"/>
      <c r="U356" s="120"/>
      <c r="W356" s="121"/>
      <c r="X356" s="120"/>
      <c r="Z356" s="121"/>
      <c r="AA356" s="121"/>
      <c r="AB356" s="120"/>
      <c r="AD356" s="121"/>
      <c r="AE356" s="121"/>
      <c r="AF356" s="120"/>
      <c r="AJ356" s="121"/>
    </row>
    <row r="357" spans="1:36">
      <c r="A357" t="str" cm="1">
        <f t="array" ref="A357">_xlfn.LET(_xlpm.src,TRIM(#REF!), _xlpm.u,_xlfn._xlws.SORT(_xlfn.UNIQUE(_xlfn._xlws.FILTER(_xlpm.src,_xlpm.src&lt;&gt;""))), IFERROR(INDEX(_xlpm.u,ROWS(A$2:A357)),""))</f>
        <v/>
      </c>
      <c r="B357" s="121"/>
      <c r="C357" s="121"/>
      <c r="D357" s="121"/>
      <c r="E357" t="str">
        <f ca="1">IF(D2&lt;&gt;"","Done",IF(C2&lt;&gt;"","In Progress",IF(B2&lt;&gt;"",IF(TODAY()&gt;B2,"Should have started","Planned"),"")))</f>
        <v/>
      </c>
      <c r="F357" s="120" t="str">
        <f ca="1">IF(E2="Done",D2-C2,IF(E2="In Progress",TODAY()-C2,IF(E2="Should have started",TODAY()-B2,"")))</f>
        <v/>
      </c>
      <c r="G357" s="121"/>
      <c r="K357" s="121"/>
      <c r="L357" s="121"/>
      <c r="M357" s="121"/>
      <c r="O357" s="120"/>
      <c r="T357" s="121"/>
      <c r="U357" s="120"/>
      <c r="W357" s="121"/>
      <c r="X357" s="120"/>
      <c r="Z357" s="121"/>
      <c r="AA357" s="121"/>
      <c r="AB357" s="120"/>
      <c r="AD357" s="121"/>
      <c r="AE357" s="121"/>
      <c r="AF357" s="120"/>
      <c r="AJ357" s="121"/>
    </row>
    <row r="358" spans="1:36">
      <c r="A358" t="str" cm="1">
        <f t="array" ref="A358">_xlfn.LET(_xlpm.src,TRIM(#REF!), _xlpm.u,_xlfn._xlws.SORT(_xlfn.UNIQUE(_xlfn._xlws.FILTER(_xlpm.src,_xlpm.src&lt;&gt;""))), IFERROR(INDEX(_xlpm.u,ROWS(A$2:A358)),""))</f>
        <v/>
      </c>
      <c r="B358" s="121"/>
      <c r="C358" s="121"/>
      <c r="D358" s="121"/>
      <c r="E358" t="str">
        <f ca="1">IF(D2&lt;&gt;"","Done",IF(C2&lt;&gt;"","In Progress",IF(B2&lt;&gt;"",IF(TODAY()&gt;B2,"Should have started","Planned"),"")))</f>
        <v/>
      </c>
      <c r="F358" s="120" t="str">
        <f ca="1">IF(E2="Done",D2-C2,IF(E2="In Progress",TODAY()-C2,IF(E2="Should have started",TODAY()-B2,"")))</f>
        <v/>
      </c>
      <c r="G358" s="121"/>
      <c r="K358" s="121"/>
      <c r="L358" s="121"/>
      <c r="M358" s="121"/>
      <c r="O358" s="120"/>
      <c r="T358" s="121"/>
      <c r="U358" s="120"/>
      <c r="W358" s="121"/>
      <c r="X358" s="120"/>
      <c r="Z358" s="121"/>
      <c r="AA358" s="121"/>
      <c r="AB358" s="120"/>
      <c r="AD358" s="121"/>
      <c r="AE358" s="121"/>
      <c r="AF358" s="120"/>
      <c r="AJ358" s="121"/>
    </row>
    <row r="359" spans="1:36">
      <c r="A359" t="str" cm="1">
        <f t="array" ref="A359">_xlfn.LET(_xlpm.src,TRIM(#REF!), _xlpm.u,_xlfn._xlws.SORT(_xlfn.UNIQUE(_xlfn._xlws.FILTER(_xlpm.src,_xlpm.src&lt;&gt;""))), IFERROR(INDEX(_xlpm.u,ROWS(A$2:A359)),""))</f>
        <v/>
      </c>
      <c r="B359" s="121"/>
      <c r="C359" s="121"/>
      <c r="D359" s="121"/>
      <c r="E359" t="str">
        <f ca="1">IF(D2&lt;&gt;"","Done",IF(C2&lt;&gt;"","In Progress",IF(B2&lt;&gt;"",IF(TODAY()&gt;B2,"Should have started","Planned"),"")))</f>
        <v/>
      </c>
      <c r="F359" s="120" t="str">
        <f ca="1">IF(E2="Done",D2-C2,IF(E2="In Progress",TODAY()-C2,IF(E2="Should have started",TODAY()-B2,"")))</f>
        <v/>
      </c>
      <c r="G359" s="121"/>
      <c r="K359" s="121"/>
      <c r="L359" s="121"/>
      <c r="M359" s="121"/>
      <c r="O359" s="120"/>
      <c r="T359" s="121"/>
      <c r="U359" s="120"/>
      <c r="W359" s="121"/>
      <c r="X359" s="120"/>
      <c r="Z359" s="121"/>
      <c r="AA359" s="121"/>
      <c r="AB359" s="120"/>
      <c r="AD359" s="121"/>
      <c r="AE359" s="121"/>
      <c r="AF359" s="120"/>
      <c r="AJ359" s="121"/>
    </row>
    <row r="360" spans="1:36">
      <c r="A360" t="str" cm="1">
        <f t="array" ref="A360">_xlfn.LET(_xlpm.src,TRIM(#REF!), _xlpm.u,_xlfn._xlws.SORT(_xlfn.UNIQUE(_xlfn._xlws.FILTER(_xlpm.src,_xlpm.src&lt;&gt;""))), IFERROR(INDEX(_xlpm.u,ROWS(A$2:A360)),""))</f>
        <v/>
      </c>
      <c r="B360" s="121"/>
      <c r="C360" s="121"/>
      <c r="D360" s="121"/>
      <c r="E360" t="str">
        <f ca="1">IF(D2&lt;&gt;"","Done",IF(C2&lt;&gt;"","In Progress",IF(B2&lt;&gt;"",IF(TODAY()&gt;B2,"Should have started","Planned"),"")))</f>
        <v/>
      </c>
      <c r="F360" s="120" t="str">
        <f ca="1">IF(E2="Done",D2-C2,IF(E2="In Progress",TODAY()-C2,IF(E2="Should have started",TODAY()-B2,"")))</f>
        <v/>
      </c>
      <c r="G360" s="121"/>
      <c r="K360" s="121"/>
      <c r="L360" s="121"/>
      <c r="M360" s="121"/>
      <c r="O360" s="120"/>
      <c r="T360" s="121"/>
      <c r="U360" s="120"/>
      <c r="W360" s="121"/>
      <c r="X360" s="120"/>
      <c r="Z360" s="121"/>
      <c r="AA360" s="121"/>
      <c r="AB360" s="120"/>
      <c r="AD360" s="121"/>
      <c r="AE360" s="121"/>
      <c r="AF360" s="120"/>
      <c r="AJ360" s="121"/>
    </row>
    <row r="361" spans="1:36">
      <c r="A361" t="str" cm="1">
        <f t="array" ref="A361">_xlfn.LET(_xlpm.src,TRIM(#REF!), _xlpm.u,_xlfn._xlws.SORT(_xlfn.UNIQUE(_xlfn._xlws.FILTER(_xlpm.src,_xlpm.src&lt;&gt;""))), IFERROR(INDEX(_xlpm.u,ROWS(A$2:A361)),""))</f>
        <v/>
      </c>
      <c r="B361" s="121"/>
      <c r="C361" s="121"/>
      <c r="D361" s="121"/>
      <c r="E361" t="str">
        <f ca="1">IF(D2&lt;&gt;"","Done",IF(C2&lt;&gt;"","In Progress",IF(B2&lt;&gt;"",IF(TODAY()&gt;B2,"Should have started","Planned"),"")))</f>
        <v/>
      </c>
      <c r="F361" s="120" t="str">
        <f ca="1">IF(E2="Done",D2-C2,IF(E2="In Progress",TODAY()-C2,IF(E2="Should have started",TODAY()-B2,"")))</f>
        <v/>
      </c>
      <c r="G361" s="121"/>
      <c r="K361" s="121"/>
      <c r="L361" s="121"/>
      <c r="M361" s="121"/>
      <c r="O361" s="120"/>
      <c r="T361" s="121"/>
      <c r="U361" s="120"/>
      <c r="W361" s="121"/>
      <c r="X361" s="120"/>
      <c r="Z361" s="121"/>
      <c r="AA361" s="121"/>
      <c r="AB361" s="120"/>
      <c r="AD361" s="121"/>
      <c r="AE361" s="121"/>
      <c r="AF361" s="120"/>
      <c r="AJ361" s="121"/>
    </row>
    <row r="362" spans="1:36">
      <c r="A362" t="str" cm="1">
        <f t="array" ref="A362">_xlfn.LET(_xlpm.src,TRIM(#REF!), _xlpm.u,_xlfn._xlws.SORT(_xlfn.UNIQUE(_xlfn._xlws.FILTER(_xlpm.src,_xlpm.src&lt;&gt;""))), IFERROR(INDEX(_xlpm.u,ROWS(A$2:A362)),""))</f>
        <v/>
      </c>
      <c r="B362" s="121"/>
      <c r="C362" s="121"/>
      <c r="D362" s="121"/>
      <c r="E362" t="str">
        <f ca="1">IF(D2&lt;&gt;"","Done",IF(C2&lt;&gt;"","In Progress",IF(B2&lt;&gt;"",IF(TODAY()&gt;B2,"Should have started","Planned"),"")))</f>
        <v/>
      </c>
      <c r="F362" s="120" t="str">
        <f ca="1">IF(E2="Done",D2-C2,IF(E2="In Progress",TODAY()-C2,IF(E2="Should have started",TODAY()-B2,"")))</f>
        <v/>
      </c>
      <c r="G362" s="121"/>
      <c r="K362" s="121"/>
      <c r="L362" s="121"/>
      <c r="M362" s="121"/>
      <c r="O362" s="120"/>
      <c r="T362" s="121"/>
      <c r="U362" s="120"/>
      <c r="W362" s="121"/>
      <c r="X362" s="120"/>
      <c r="Z362" s="121"/>
      <c r="AA362" s="121"/>
      <c r="AB362" s="120"/>
      <c r="AD362" s="121"/>
      <c r="AE362" s="121"/>
      <c r="AF362" s="120"/>
      <c r="AJ362" s="121"/>
    </row>
    <row r="363" spans="1:36">
      <c r="A363" t="str" cm="1">
        <f t="array" ref="A363">_xlfn.LET(_xlpm.src,TRIM(#REF!), _xlpm.u,_xlfn._xlws.SORT(_xlfn.UNIQUE(_xlfn._xlws.FILTER(_xlpm.src,_xlpm.src&lt;&gt;""))), IFERROR(INDEX(_xlpm.u,ROWS(A$2:A363)),""))</f>
        <v/>
      </c>
      <c r="B363" s="121"/>
      <c r="C363" s="121"/>
      <c r="D363" s="121"/>
      <c r="E363" t="str">
        <f ca="1">IF(D2&lt;&gt;"","Done",IF(C2&lt;&gt;"","In Progress",IF(B2&lt;&gt;"",IF(TODAY()&gt;B2,"Should have started","Planned"),"")))</f>
        <v/>
      </c>
      <c r="F363" s="120" t="str">
        <f ca="1">IF(E2="Done",D2-C2,IF(E2="In Progress",TODAY()-C2,IF(E2="Should have started",TODAY()-B2,"")))</f>
        <v/>
      </c>
      <c r="G363" s="121"/>
      <c r="K363" s="121"/>
      <c r="L363" s="121"/>
      <c r="M363" s="121"/>
      <c r="O363" s="120"/>
      <c r="T363" s="121"/>
      <c r="U363" s="120"/>
      <c r="W363" s="121"/>
      <c r="X363" s="120"/>
      <c r="Z363" s="121"/>
      <c r="AA363" s="121"/>
      <c r="AB363" s="120"/>
      <c r="AD363" s="121"/>
      <c r="AE363" s="121"/>
      <c r="AF363" s="120"/>
      <c r="AJ363" s="121"/>
    </row>
    <row r="364" spans="1:36">
      <c r="A364" t="str" cm="1">
        <f t="array" ref="A364">_xlfn.LET(_xlpm.src,TRIM(#REF!), _xlpm.u,_xlfn._xlws.SORT(_xlfn.UNIQUE(_xlfn._xlws.FILTER(_xlpm.src,_xlpm.src&lt;&gt;""))), IFERROR(INDEX(_xlpm.u,ROWS(A$2:A364)),""))</f>
        <v/>
      </c>
      <c r="B364" s="121"/>
      <c r="C364" s="121"/>
      <c r="D364" s="121"/>
      <c r="E364" t="str">
        <f ca="1">IF(D2&lt;&gt;"","Done",IF(C2&lt;&gt;"","In Progress",IF(B2&lt;&gt;"",IF(TODAY()&gt;B2,"Should have started","Planned"),"")))</f>
        <v/>
      </c>
      <c r="F364" s="120" t="str">
        <f ca="1">IF(E2="Done",D2-C2,IF(E2="In Progress",TODAY()-C2,IF(E2="Should have started",TODAY()-B2,"")))</f>
        <v/>
      </c>
      <c r="G364" s="121"/>
      <c r="K364" s="121"/>
      <c r="L364" s="121"/>
      <c r="M364" s="121"/>
      <c r="O364" s="120"/>
      <c r="T364" s="121"/>
      <c r="U364" s="120"/>
      <c r="W364" s="121"/>
      <c r="X364" s="120"/>
      <c r="Z364" s="121"/>
      <c r="AA364" s="121"/>
      <c r="AB364" s="120"/>
      <c r="AD364" s="121"/>
      <c r="AE364" s="121"/>
      <c r="AF364" s="120"/>
      <c r="AJ364" s="121"/>
    </row>
    <row r="365" spans="1:36">
      <c r="A365" t="str" cm="1">
        <f t="array" ref="A365">_xlfn.LET(_xlpm.src,TRIM(#REF!), _xlpm.u,_xlfn._xlws.SORT(_xlfn.UNIQUE(_xlfn._xlws.FILTER(_xlpm.src,_xlpm.src&lt;&gt;""))), IFERROR(INDEX(_xlpm.u,ROWS(A$2:A365)),""))</f>
        <v/>
      </c>
      <c r="B365" s="121"/>
      <c r="C365" s="121"/>
      <c r="D365" s="121"/>
      <c r="E365" t="str">
        <f ca="1">IF(D2&lt;&gt;"","Done",IF(C2&lt;&gt;"","In Progress",IF(B2&lt;&gt;"",IF(TODAY()&gt;B2,"Should have started","Planned"),"")))</f>
        <v/>
      </c>
      <c r="F365" s="120" t="str">
        <f ca="1">IF(E2="Done",D2-C2,IF(E2="In Progress",TODAY()-C2,IF(E2="Should have started",TODAY()-B2,"")))</f>
        <v/>
      </c>
      <c r="G365" s="121"/>
      <c r="K365" s="121"/>
      <c r="L365" s="121"/>
      <c r="M365" s="121"/>
      <c r="O365" s="120"/>
      <c r="T365" s="121"/>
      <c r="U365" s="120"/>
      <c r="W365" s="121"/>
      <c r="X365" s="120"/>
      <c r="Z365" s="121"/>
      <c r="AA365" s="121"/>
      <c r="AB365" s="120"/>
      <c r="AD365" s="121"/>
      <c r="AE365" s="121"/>
      <c r="AF365" s="120"/>
      <c r="AJ365" s="121"/>
    </row>
    <row r="366" spans="1:36">
      <c r="A366" t="str" cm="1">
        <f t="array" ref="A366">_xlfn.LET(_xlpm.src,TRIM(#REF!), _xlpm.u,_xlfn._xlws.SORT(_xlfn.UNIQUE(_xlfn._xlws.FILTER(_xlpm.src,_xlpm.src&lt;&gt;""))), IFERROR(INDEX(_xlpm.u,ROWS(A$2:A366)),""))</f>
        <v/>
      </c>
      <c r="B366" s="121"/>
      <c r="C366" s="121"/>
      <c r="D366" s="121"/>
      <c r="E366" t="str">
        <f ca="1">IF(D2&lt;&gt;"","Done",IF(C2&lt;&gt;"","In Progress",IF(B2&lt;&gt;"",IF(TODAY()&gt;B2,"Should have started","Planned"),"")))</f>
        <v/>
      </c>
      <c r="F366" s="120" t="str">
        <f ca="1">IF(E2="Done",D2-C2,IF(E2="In Progress",TODAY()-C2,IF(E2="Should have started",TODAY()-B2,"")))</f>
        <v/>
      </c>
      <c r="G366" s="121"/>
      <c r="K366" s="121"/>
      <c r="L366" s="121"/>
      <c r="M366" s="121"/>
      <c r="O366" s="120"/>
      <c r="T366" s="121"/>
      <c r="U366" s="120"/>
      <c r="W366" s="121"/>
      <c r="X366" s="120"/>
      <c r="Z366" s="121"/>
      <c r="AA366" s="121"/>
      <c r="AB366" s="120"/>
      <c r="AD366" s="121"/>
      <c r="AE366" s="121"/>
      <c r="AF366" s="120"/>
      <c r="AJ366" s="121"/>
    </row>
    <row r="367" spans="1:36">
      <c r="A367" t="str" cm="1">
        <f t="array" ref="A367">_xlfn.LET(_xlpm.src,TRIM(#REF!), _xlpm.u,_xlfn._xlws.SORT(_xlfn.UNIQUE(_xlfn._xlws.FILTER(_xlpm.src,_xlpm.src&lt;&gt;""))), IFERROR(INDEX(_xlpm.u,ROWS(A$2:A367)),""))</f>
        <v/>
      </c>
      <c r="B367" s="121"/>
      <c r="C367" s="121"/>
      <c r="D367" s="121"/>
      <c r="E367" t="str">
        <f ca="1">IF(D2&lt;&gt;"","Done",IF(C2&lt;&gt;"","In Progress",IF(B2&lt;&gt;"",IF(TODAY()&gt;B2,"Should have started","Planned"),"")))</f>
        <v/>
      </c>
      <c r="F367" s="120" t="str">
        <f ca="1">IF(E2="Done",D2-C2,IF(E2="In Progress",TODAY()-C2,IF(E2="Should have started",TODAY()-B2,"")))</f>
        <v/>
      </c>
      <c r="G367" s="121"/>
      <c r="K367" s="121"/>
      <c r="L367" s="121"/>
      <c r="M367" s="121"/>
      <c r="O367" s="120"/>
      <c r="T367" s="121"/>
      <c r="U367" s="120"/>
      <c r="W367" s="121"/>
      <c r="X367" s="120"/>
      <c r="Z367" s="121"/>
      <c r="AA367" s="121"/>
      <c r="AB367" s="120"/>
      <c r="AD367" s="121"/>
      <c r="AE367" s="121"/>
      <c r="AF367" s="120"/>
      <c r="AJ367" s="121"/>
    </row>
    <row r="368" spans="1:36">
      <c r="A368" t="str" cm="1">
        <f t="array" ref="A368">_xlfn.LET(_xlpm.src,TRIM(#REF!), _xlpm.u,_xlfn._xlws.SORT(_xlfn.UNIQUE(_xlfn._xlws.FILTER(_xlpm.src,_xlpm.src&lt;&gt;""))), IFERROR(INDEX(_xlpm.u,ROWS(A$2:A368)),""))</f>
        <v/>
      </c>
      <c r="B368" s="121"/>
      <c r="C368" s="121"/>
      <c r="D368" s="121"/>
      <c r="E368" t="str">
        <f ca="1">IF(D2&lt;&gt;"","Done",IF(C2&lt;&gt;"","In Progress",IF(B2&lt;&gt;"",IF(TODAY()&gt;B2,"Should have started","Planned"),"")))</f>
        <v/>
      </c>
      <c r="F368" s="120" t="str">
        <f ca="1">IF(E2="Done",D2-C2,IF(E2="In Progress",TODAY()-C2,IF(E2="Should have started",TODAY()-B2,"")))</f>
        <v/>
      </c>
      <c r="G368" s="121"/>
      <c r="K368" s="121"/>
      <c r="L368" s="121"/>
      <c r="M368" s="121"/>
      <c r="O368" s="120"/>
      <c r="T368" s="121"/>
      <c r="U368" s="120"/>
      <c r="W368" s="121"/>
      <c r="X368" s="120"/>
      <c r="Z368" s="121"/>
      <c r="AA368" s="121"/>
      <c r="AB368" s="120"/>
      <c r="AD368" s="121"/>
      <c r="AE368" s="121"/>
      <c r="AF368" s="120"/>
      <c r="AJ368" s="121"/>
    </row>
    <row r="369" spans="1:36">
      <c r="A369" t="str" cm="1">
        <f t="array" ref="A369">_xlfn.LET(_xlpm.src,TRIM(#REF!), _xlpm.u,_xlfn._xlws.SORT(_xlfn.UNIQUE(_xlfn._xlws.FILTER(_xlpm.src,_xlpm.src&lt;&gt;""))), IFERROR(INDEX(_xlpm.u,ROWS(A$2:A369)),""))</f>
        <v/>
      </c>
      <c r="B369" s="121"/>
      <c r="C369" s="121"/>
      <c r="D369" s="121"/>
      <c r="E369" t="str">
        <f ca="1">IF(D2&lt;&gt;"","Done",IF(C2&lt;&gt;"","In Progress",IF(B2&lt;&gt;"",IF(TODAY()&gt;B2,"Should have started","Planned"),"")))</f>
        <v/>
      </c>
      <c r="F369" s="120" t="str">
        <f ca="1">IF(E2="Done",D2-C2,IF(E2="In Progress",TODAY()-C2,IF(E2="Should have started",TODAY()-B2,"")))</f>
        <v/>
      </c>
      <c r="G369" s="121"/>
      <c r="K369" s="121"/>
      <c r="L369" s="121"/>
      <c r="M369" s="121"/>
      <c r="O369" s="120"/>
      <c r="T369" s="121"/>
      <c r="U369" s="120"/>
      <c r="W369" s="121"/>
      <c r="X369" s="120"/>
      <c r="Z369" s="121"/>
      <c r="AA369" s="121"/>
      <c r="AB369" s="120"/>
      <c r="AD369" s="121"/>
      <c r="AE369" s="121"/>
      <c r="AF369" s="120"/>
      <c r="AJ369" s="121"/>
    </row>
    <row r="370" spans="1:36">
      <c r="A370" t="str" cm="1">
        <f t="array" ref="A370">_xlfn.LET(_xlpm.src,TRIM(#REF!), _xlpm.u,_xlfn._xlws.SORT(_xlfn.UNIQUE(_xlfn._xlws.FILTER(_xlpm.src,_xlpm.src&lt;&gt;""))), IFERROR(INDEX(_xlpm.u,ROWS(A$2:A370)),""))</f>
        <v/>
      </c>
      <c r="B370" s="121"/>
      <c r="C370" s="121"/>
      <c r="D370" s="121"/>
      <c r="E370" t="str">
        <f ca="1">IF(D2&lt;&gt;"","Done",IF(C2&lt;&gt;"","In Progress",IF(B2&lt;&gt;"",IF(TODAY()&gt;B2,"Should have started","Planned"),"")))</f>
        <v/>
      </c>
      <c r="F370" s="120" t="str">
        <f ca="1">IF(E2="Done",D2-C2,IF(E2="In Progress",TODAY()-C2,IF(E2="Should have started",TODAY()-B2,"")))</f>
        <v/>
      </c>
      <c r="G370" s="121"/>
      <c r="K370" s="121"/>
      <c r="L370" s="121"/>
      <c r="M370" s="121"/>
      <c r="O370" s="120"/>
      <c r="T370" s="121"/>
      <c r="U370" s="120"/>
      <c r="W370" s="121"/>
      <c r="X370" s="120"/>
      <c r="Z370" s="121"/>
      <c r="AA370" s="121"/>
      <c r="AB370" s="120"/>
      <c r="AD370" s="121"/>
      <c r="AE370" s="121"/>
      <c r="AF370" s="120"/>
      <c r="AJ370" s="121"/>
    </row>
    <row r="371" spans="1:36">
      <c r="A371" t="str" cm="1">
        <f t="array" ref="A371">_xlfn.LET(_xlpm.src,TRIM(#REF!), _xlpm.u,_xlfn._xlws.SORT(_xlfn.UNIQUE(_xlfn._xlws.FILTER(_xlpm.src,_xlpm.src&lt;&gt;""))), IFERROR(INDEX(_xlpm.u,ROWS(A$2:A371)),""))</f>
        <v/>
      </c>
      <c r="B371" s="121"/>
      <c r="C371" s="121"/>
      <c r="D371" s="121"/>
      <c r="E371" t="str">
        <f ca="1">IF(D2&lt;&gt;"","Done",IF(C2&lt;&gt;"","In Progress",IF(B2&lt;&gt;"",IF(TODAY()&gt;B2,"Should have started","Planned"),"")))</f>
        <v/>
      </c>
      <c r="F371" s="120" t="str">
        <f ca="1">IF(E2="Done",D2-C2,IF(E2="In Progress",TODAY()-C2,IF(E2="Should have started",TODAY()-B2,"")))</f>
        <v/>
      </c>
      <c r="G371" s="121"/>
      <c r="K371" s="121"/>
      <c r="L371" s="121"/>
      <c r="M371" s="121"/>
      <c r="O371" s="120"/>
      <c r="T371" s="121"/>
      <c r="U371" s="120"/>
      <c r="W371" s="121"/>
      <c r="X371" s="120"/>
      <c r="Z371" s="121"/>
      <c r="AA371" s="121"/>
      <c r="AB371" s="120"/>
      <c r="AD371" s="121"/>
      <c r="AE371" s="121"/>
      <c r="AF371" s="120"/>
      <c r="AJ371" s="121"/>
    </row>
    <row r="372" spans="1:36">
      <c r="A372" t="str" cm="1">
        <f t="array" ref="A372">_xlfn.LET(_xlpm.src,TRIM(#REF!), _xlpm.u,_xlfn._xlws.SORT(_xlfn.UNIQUE(_xlfn._xlws.FILTER(_xlpm.src,_xlpm.src&lt;&gt;""))), IFERROR(INDEX(_xlpm.u,ROWS(A$2:A372)),""))</f>
        <v/>
      </c>
      <c r="B372" s="121"/>
      <c r="C372" s="121"/>
      <c r="D372" s="121"/>
      <c r="E372" t="str">
        <f ca="1">IF(D2&lt;&gt;"","Done",IF(C2&lt;&gt;"","In Progress",IF(B2&lt;&gt;"",IF(TODAY()&gt;B2,"Should have started","Planned"),"")))</f>
        <v/>
      </c>
      <c r="F372" s="120" t="str">
        <f ca="1">IF(E2="Done",D2-C2,IF(E2="In Progress",TODAY()-C2,IF(E2="Should have started",TODAY()-B2,"")))</f>
        <v/>
      </c>
      <c r="G372" s="121"/>
      <c r="K372" s="121"/>
      <c r="L372" s="121"/>
      <c r="M372" s="121"/>
      <c r="O372" s="120"/>
      <c r="T372" s="121"/>
      <c r="U372" s="120"/>
      <c r="W372" s="121"/>
      <c r="X372" s="120"/>
      <c r="Z372" s="121"/>
      <c r="AA372" s="121"/>
      <c r="AB372" s="120"/>
      <c r="AD372" s="121"/>
      <c r="AE372" s="121"/>
      <c r="AF372" s="120"/>
      <c r="AJ372" s="121"/>
    </row>
    <row r="373" spans="1:36">
      <c r="A373" t="str" cm="1">
        <f t="array" ref="A373">_xlfn.LET(_xlpm.src,TRIM(#REF!), _xlpm.u,_xlfn._xlws.SORT(_xlfn.UNIQUE(_xlfn._xlws.FILTER(_xlpm.src,_xlpm.src&lt;&gt;""))), IFERROR(INDEX(_xlpm.u,ROWS(A$2:A373)),""))</f>
        <v/>
      </c>
      <c r="B373" s="121"/>
      <c r="C373" s="121"/>
      <c r="D373" s="121"/>
      <c r="E373" t="str">
        <f ca="1">IF(D2&lt;&gt;"","Done",IF(C2&lt;&gt;"","In Progress",IF(B2&lt;&gt;"",IF(TODAY()&gt;B2,"Should have started","Planned"),"")))</f>
        <v/>
      </c>
      <c r="F373" s="120" t="str">
        <f ca="1">IF(E2="Done",D2-C2,IF(E2="In Progress",TODAY()-C2,IF(E2="Should have started",TODAY()-B2,"")))</f>
        <v/>
      </c>
      <c r="G373" s="121"/>
      <c r="K373" s="121"/>
      <c r="L373" s="121"/>
      <c r="M373" s="121"/>
      <c r="O373" s="120"/>
      <c r="T373" s="121"/>
      <c r="U373" s="120"/>
      <c r="W373" s="121"/>
      <c r="X373" s="120"/>
      <c r="Z373" s="121"/>
      <c r="AA373" s="121"/>
      <c r="AB373" s="120"/>
      <c r="AD373" s="121"/>
      <c r="AE373" s="121"/>
      <c r="AF373" s="120"/>
      <c r="AJ373" s="121"/>
    </row>
    <row r="374" spans="1:36">
      <c r="A374" t="str" cm="1">
        <f t="array" ref="A374">_xlfn.LET(_xlpm.src,TRIM(#REF!), _xlpm.u,_xlfn._xlws.SORT(_xlfn.UNIQUE(_xlfn._xlws.FILTER(_xlpm.src,_xlpm.src&lt;&gt;""))), IFERROR(INDEX(_xlpm.u,ROWS(A$2:A374)),""))</f>
        <v/>
      </c>
      <c r="B374" s="121"/>
      <c r="C374" s="121"/>
      <c r="D374" s="121"/>
      <c r="E374" t="str">
        <f ca="1">IF(D2&lt;&gt;"","Done",IF(C2&lt;&gt;"","In Progress",IF(B2&lt;&gt;"",IF(TODAY()&gt;B2,"Should have started","Planned"),"")))</f>
        <v/>
      </c>
      <c r="F374" s="120" t="str">
        <f ca="1">IF(E2="Done",D2-C2,IF(E2="In Progress",TODAY()-C2,IF(E2="Should have started",TODAY()-B2,"")))</f>
        <v/>
      </c>
      <c r="G374" s="121"/>
      <c r="K374" s="121"/>
      <c r="L374" s="121"/>
      <c r="M374" s="121"/>
      <c r="O374" s="120"/>
      <c r="T374" s="121"/>
      <c r="U374" s="120"/>
      <c r="W374" s="121"/>
      <c r="X374" s="120"/>
      <c r="Z374" s="121"/>
      <c r="AA374" s="121"/>
      <c r="AB374" s="120"/>
      <c r="AD374" s="121"/>
      <c r="AE374" s="121"/>
      <c r="AF374" s="120"/>
      <c r="AJ374" s="121"/>
    </row>
    <row r="375" spans="1:36">
      <c r="A375" t="str" cm="1">
        <f t="array" ref="A375">_xlfn.LET(_xlpm.src,TRIM(#REF!), _xlpm.u,_xlfn._xlws.SORT(_xlfn.UNIQUE(_xlfn._xlws.FILTER(_xlpm.src,_xlpm.src&lt;&gt;""))), IFERROR(INDEX(_xlpm.u,ROWS(A$2:A375)),""))</f>
        <v/>
      </c>
      <c r="B375" s="121"/>
      <c r="C375" s="121"/>
      <c r="D375" s="121"/>
      <c r="E375" t="str">
        <f ca="1">IF(D2&lt;&gt;"","Done",IF(C2&lt;&gt;"","In Progress",IF(B2&lt;&gt;"",IF(TODAY()&gt;B2,"Should have started","Planned"),"")))</f>
        <v/>
      </c>
      <c r="F375" s="120" t="str">
        <f ca="1">IF(E2="Done",D2-C2,IF(E2="In Progress",TODAY()-C2,IF(E2="Should have started",TODAY()-B2,"")))</f>
        <v/>
      </c>
      <c r="G375" s="121"/>
      <c r="K375" s="121"/>
      <c r="L375" s="121"/>
      <c r="M375" s="121"/>
      <c r="O375" s="120"/>
      <c r="T375" s="121"/>
      <c r="U375" s="120"/>
      <c r="W375" s="121"/>
      <c r="X375" s="120"/>
      <c r="Z375" s="121"/>
      <c r="AA375" s="121"/>
      <c r="AB375" s="120"/>
      <c r="AD375" s="121"/>
      <c r="AE375" s="121"/>
      <c r="AF375" s="120"/>
      <c r="AJ375" s="121"/>
    </row>
    <row r="376" spans="1:36">
      <c r="A376" t="str" cm="1">
        <f t="array" ref="A376">_xlfn.LET(_xlpm.src,TRIM(#REF!), _xlpm.u,_xlfn._xlws.SORT(_xlfn.UNIQUE(_xlfn._xlws.FILTER(_xlpm.src,_xlpm.src&lt;&gt;""))), IFERROR(INDEX(_xlpm.u,ROWS(A$2:A376)),""))</f>
        <v/>
      </c>
      <c r="B376" s="121"/>
      <c r="C376" s="121"/>
      <c r="D376" s="121"/>
      <c r="E376" t="str">
        <f ca="1">IF(D2&lt;&gt;"","Done",IF(C2&lt;&gt;"","In Progress",IF(B2&lt;&gt;"",IF(TODAY()&gt;B2,"Should have started","Planned"),"")))</f>
        <v/>
      </c>
      <c r="F376" s="120" t="str">
        <f ca="1">IF(E2="Done",D2-C2,IF(E2="In Progress",TODAY()-C2,IF(E2="Should have started",TODAY()-B2,"")))</f>
        <v/>
      </c>
      <c r="G376" s="121"/>
      <c r="K376" s="121"/>
      <c r="L376" s="121"/>
      <c r="M376" s="121"/>
      <c r="O376" s="120"/>
      <c r="T376" s="121"/>
      <c r="U376" s="120"/>
      <c r="W376" s="121"/>
      <c r="X376" s="120"/>
      <c r="Z376" s="121"/>
      <c r="AA376" s="121"/>
      <c r="AB376" s="120"/>
      <c r="AD376" s="121"/>
      <c r="AE376" s="121"/>
      <c r="AF376" s="120"/>
      <c r="AJ376" s="121"/>
    </row>
    <row r="377" spans="1:36">
      <c r="A377" t="str" cm="1">
        <f t="array" ref="A377">_xlfn.LET(_xlpm.src,TRIM(#REF!), _xlpm.u,_xlfn._xlws.SORT(_xlfn.UNIQUE(_xlfn._xlws.FILTER(_xlpm.src,_xlpm.src&lt;&gt;""))), IFERROR(INDEX(_xlpm.u,ROWS(A$2:A377)),""))</f>
        <v/>
      </c>
      <c r="B377" s="121"/>
      <c r="C377" s="121"/>
      <c r="D377" s="121"/>
      <c r="E377" t="str">
        <f ca="1">IF(D2&lt;&gt;"","Done",IF(C2&lt;&gt;"","In Progress",IF(B2&lt;&gt;"",IF(TODAY()&gt;B2,"Should have started","Planned"),"")))</f>
        <v/>
      </c>
      <c r="F377" s="120" t="str">
        <f ca="1">IF(E2="Done",D2-C2,IF(E2="In Progress",TODAY()-C2,IF(E2="Should have started",TODAY()-B2,"")))</f>
        <v/>
      </c>
      <c r="G377" s="121"/>
      <c r="K377" s="121"/>
      <c r="L377" s="121"/>
      <c r="M377" s="121"/>
      <c r="O377" s="120"/>
      <c r="T377" s="121"/>
      <c r="U377" s="120"/>
      <c r="W377" s="121"/>
      <c r="X377" s="120"/>
      <c r="Z377" s="121"/>
      <c r="AA377" s="121"/>
      <c r="AB377" s="120"/>
      <c r="AD377" s="121"/>
      <c r="AE377" s="121"/>
      <c r="AF377" s="120"/>
      <c r="AJ377" s="121"/>
    </row>
    <row r="378" spans="1:36">
      <c r="A378" t="str" cm="1">
        <f t="array" ref="A378">_xlfn.LET(_xlpm.src,TRIM(#REF!), _xlpm.u,_xlfn._xlws.SORT(_xlfn.UNIQUE(_xlfn._xlws.FILTER(_xlpm.src,_xlpm.src&lt;&gt;""))), IFERROR(INDEX(_xlpm.u,ROWS(A$2:A378)),""))</f>
        <v/>
      </c>
      <c r="B378" s="121"/>
      <c r="C378" s="121"/>
      <c r="D378" s="121"/>
      <c r="E378" t="str">
        <f ca="1">IF(D2&lt;&gt;"","Done",IF(C2&lt;&gt;"","In Progress",IF(B2&lt;&gt;"",IF(TODAY()&gt;B2,"Should have started","Planned"),"")))</f>
        <v/>
      </c>
      <c r="F378" s="120" t="str">
        <f ca="1">IF(E2="Done",D2-C2,IF(E2="In Progress",TODAY()-C2,IF(E2="Should have started",TODAY()-B2,"")))</f>
        <v/>
      </c>
      <c r="G378" s="121"/>
      <c r="K378" s="121"/>
      <c r="L378" s="121"/>
      <c r="M378" s="121"/>
      <c r="O378" s="120"/>
      <c r="T378" s="121"/>
      <c r="U378" s="120"/>
      <c r="W378" s="121"/>
      <c r="X378" s="120"/>
      <c r="Z378" s="121"/>
      <c r="AA378" s="121"/>
      <c r="AB378" s="120"/>
      <c r="AD378" s="121"/>
      <c r="AE378" s="121"/>
      <c r="AF378" s="120"/>
      <c r="AJ378" s="121"/>
    </row>
    <row r="379" spans="1:36">
      <c r="A379" t="str" cm="1">
        <f t="array" ref="A379">_xlfn.LET(_xlpm.src,TRIM(#REF!), _xlpm.u,_xlfn._xlws.SORT(_xlfn.UNIQUE(_xlfn._xlws.FILTER(_xlpm.src,_xlpm.src&lt;&gt;""))), IFERROR(INDEX(_xlpm.u,ROWS(A$2:A379)),""))</f>
        <v/>
      </c>
      <c r="B379" s="121"/>
      <c r="C379" s="121"/>
      <c r="D379" s="121"/>
      <c r="E379" t="str">
        <f ca="1">IF(D2&lt;&gt;"","Done",IF(C2&lt;&gt;"","In Progress",IF(B2&lt;&gt;"",IF(TODAY()&gt;B2,"Should have started","Planned"),"")))</f>
        <v/>
      </c>
      <c r="F379" s="120" t="str">
        <f ca="1">IF(E2="Done",D2-C2,IF(E2="In Progress",TODAY()-C2,IF(E2="Should have started",TODAY()-B2,"")))</f>
        <v/>
      </c>
      <c r="G379" s="121"/>
      <c r="K379" s="121"/>
      <c r="L379" s="121"/>
      <c r="M379" s="121"/>
      <c r="O379" s="120"/>
      <c r="T379" s="121"/>
      <c r="U379" s="120"/>
      <c r="W379" s="121"/>
      <c r="X379" s="120"/>
      <c r="Z379" s="121"/>
      <c r="AA379" s="121"/>
      <c r="AB379" s="120"/>
      <c r="AD379" s="121"/>
      <c r="AE379" s="121"/>
      <c r="AF379" s="120"/>
      <c r="AJ379" s="121"/>
    </row>
    <row r="380" spans="1:36">
      <c r="A380" t="str" cm="1">
        <f t="array" ref="A380">_xlfn.LET(_xlpm.src,TRIM(#REF!), _xlpm.u,_xlfn._xlws.SORT(_xlfn.UNIQUE(_xlfn._xlws.FILTER(_xlpm.src,_xlpm.src&lt;&gt;""))), IFERROR(INDEX(_xlpm.u,ROWS(A$2:A380)),""))</f>
        <v/>
      </c>
      <c r="B380" s="121"/>
      <c r="C380" s="121"/>
      <c r="D380" s="121"/>
      <c r="E380" t="str">
        <f ca="1">IF(D2&lt;&gt;"","Done",IF(C2&lt;&gt;"","In Progress",IF(B2&lt;&gt;"",IF(TODAY()&gt;B2,"Should have started","Planned"),"")))</f>
        <v/>
      </c>
      <c r="F380" s="120" t="str">
        <f ca="1">IF(E2="Done",D2-C2,IF(E2="In Progress",TODAY()-C2,IF(E2="Should have started",TODAY()-B2,"")))</f>
        <v/>
      </c>
      <c r="G380" s="121"/>
      <c r="K380" s="121"/>
      <c r="L380" s="121"/>
      <c r="M380" s="121"/>
      <c r="O380" s="120"/>
      <c r="T380" s="121"/>
      <c r="U380" s="120"/>
      <c r="W380" s="121"/>
      <c r="X380" s="120"/>
      <c r="Z380" s="121"/>
      <c r="AA380" s="121"/>
      <c r="AB380" s="120"/>
      <c r="AD380" s="121"/>
      <c r="AE380" s="121"/>
      <c r="AF380" s="120"/>
      <c r="AJ380" s="121"/>
    </row>
    <row r="381" spans="1:36">
      <c r="A381" t="str" cm="1">
        <f t="array" ref="A381">_xlfn.LET(_xlpm.src,TRIM(#REF!), _xlpm.u,_xlfn._xlws.SORT(_xlfn.UNIQUE(_xlfn._xlws.FILTER(_xlpm.src,_xlpm.src&lt;&gt;""))), IFERROR(INDEX(_xlpm.u,ROWS(A$2:A381)),""))</f>
        <v/>
      </c>
      <c r="B381" s="121"/>
      <c r="C381" s="121"/>
      <c r="D381" s="121"/>
      <c r="E381" t="str">
        <f ca="1">IF(D2&lt;&gt;"","Done",IF(C2&lt;&gt;"","In Progress",IF(B2&lt;&gt;"",IF(TODAY()&gt;B2,"Should have started","Planned"),"")))</f>
        <v/>
      </c>
      <c r="F381" s="120" t="str">
        <f ca="1">IF(E2="Done",D2-C2,IF(E2="In Progress",TODAY()-C2,IF(E2="Should have started",TODAY()-B2,"")))</f>
        <v/>
      </c>
      <c r="G381" s="121"/>
      <c r="K381" s="121"/>
      <c r="L381" s="121"/>
      <c r="M381" s="121"/>
      <c r="O381" s="120"/>
      <c r="T381" s="121"/>
      <c r="U381" s="120"/>
      <c r="W381" s="121"/>
      <c r="X381" s="120"/>
      <c r="Z381" s="121"/>
      <c r="AA381" s="121"/>
      <c r="AB381" s="120"/>
      <c r="AD381" s="121"/>
      <c r="AE381" s="121"/>
      <c r="AF381" s="120"/>
      <c r="AJ381" s="121"/>
    </row>
    <row r="382" spans="1:36">
      <c r="A382" t="str" cm="1">
        <f t="array" ref="A382">_xlfn.LET(_xlpm.src,TRIM(#REF!), _xlpm.u,_xlfn._xlws.SORT(_xlfn.UNIQUE(_xlfn._xlws.FILTER(_xlpm.src,_xlpm.src&lt;&gt;""))), IFERROR(INDEX(_xlpm.u,ROWS(A$2:A382)),""))</f>
        <v/>
      </c>
      <c r="B382" s="121"/>
      <c r="C382" s="121"/>
      <c r="D382" s="121"/>
      <c r="E382" t="str">
        <f ca="1">IF(D2&lt;&gt;"","Done",IF(C2&lt;&gt;"","In Progress",IF(B2&lt;&gt;"",IF(TODAY()&gt;B2,"Should have started","Planned"),"")))</f>
        <v/>
      </c>
      <c r="F382" s="120" t="str">
        <f ca="1">IF(E2="Done",D2-C2,IF(E2="In Progress",TODAY()-C2,IF(E2="Should have started",TODAY()-B2,"")))</f>
        <v/>
      </c>
      <c r="G382" s="121"/>
      <c r="K382" s="121"/>
      <c r="L382" s="121"/>
      <c r="M382" s="121"/>
      <c r="O382" s="120"/>
      <c r="T382" s="121"/>
      <c r="U382" s="120"/>
      <c r="W382" s="121"/>
      <c r="X382" s="120"/>
      <c r="Z382" s="121"/>
      <c r="AA382" s="121"/>
      <c r="AB382" s="120"/>
      <c r="AD382" s="121"/>
      <c r="AE382" s="121"/>
      <c r="AF382" s="120"/>
      <c r="AJ382" s="121"/>
    </row>
    <row r="383" spans="1:36">
      <c r="A383" t="str" cm="1">
        <f t="array" ref="A383">_xlfn.LET(_xlpm.src,TRIM(#REF!), _xlpm.u,_xlfn._xlws.SORT(_xlfn.UNIQUE(_xlfn._xlws.FILTER(_xlpm.src,_xlpm.src&lt;&gt;""))), IFERROR(INDEX(_xlpm.u,ROWS(A$2:A383)),""))</f>
        <v/>
      </c>
      <c r="B383" s="121"/>
      <c r="C383" s="121"/>
      <c r="D383" s="121"/>
      <c r="E383" t="str">
        <f ca="1">IF(D2&lt;&gt;"","Done",IF(C2&lt;&gt;"","In Progress",IF(B2&lt;&gt;"",IF(TODAY()&gt;B2,"Should have started","Planned"),"")))</f>
        <v/>
      </c>
      <c r="F383" s="120" t="str">
        <f ca="1">IF(E2="Done",D2-C2,IF(E2="In Progress",TODAY()-C2,IF(E2="Should have started",TODAY()-B2,"")))</f>
        <v/>
      </c>
      <c r="G383" s="121"/>
      <c r="K383" s="121"/>
      <c r="L383" s="121"/>
      <c r="M383" s="121"/>
      <c r="O383" s="120"/>
      <c r="T383" s="121"/>
      <c r="U383" s="120"/>
      <c r="W383" s="121"/>
      <c r="X383" s="120"/>
      <c r="Z383" s="121"/>
      <c r="AA383" s="121"/>
      <c r="AB383" s="120"/>
      <c r="AD383" s="121"/>
      <c r="AE383" s="121"/>
      <c r="AF383" s="120"/>
      <c r="AJ383" s="121"/>
    </row>
    <row r="384" spans="1:36">
      <c r="A384" t="str" cm="1">
        <f t="array" ref="A384">_xlfn.LET(_xlpm.src,TRIM(#REF!), _xlpm.u,_xlfn._xlws.SORT(_xlfn.UNIQUE(_xlfn._xlws.FILTER(_xlpm.src,_xlpm.src&lt;&gt;""))), IFERROR(INDEX(_xlpm.u,ROWS(A$2:A384)),""))</f>
        <v/>
      </c>
      <c r="B384" s="121"/>
      <c r="C384" s="121"/>
      <c r="D384" s="121"/>
      <c r="E384" t="str">
        <f ca="1">IF(D2&lt;&gt;"","Done",IF(C2&lt;&gt;"","In Progress",IF(B2&lt;&gt;"",IF(TODAY()&gt;B2,"Should have started","Planned"),"")))</f>
        <v/>
      </c>
      <c r="F384" s="120" t="str">
        <f ca="1">IF(E2="Done",D2-C2,IF(E2="In Progress",TODAY()-C2,IF(E2="Should have started",TODAY()-B2,"")))</f>
        <v/>
      </c>
      <c r="G384" s="121"/>
      <c r="K384" s="121"/>
      <c r="L384" s="121"/>
      <c r="M384" s="121"/>
      <c r="O384" s="120"/>
      <c r="T384" s="121"/>
      <c r="U384" s="120"/>
      <c r="W384" s="121"/>
      <c r="X384" s="120"/>
      <c r="Z384" s="121"/>
      <c r="AA384" s="121"/>
      <c r="AB384" s="120"/>
      <c r="AD384" s="121"/>
      <c r="AE384" s="121"/>
      <c r="AF384" s="120"/>
      <c r="AJ384" s="121"/>
    </row>
    <row r="385" spans="1:36">
      <c r="A385" t="str" cm="1">
        <f t="array" ref="A385">_xlfn.LET(_xlpm.src,TRIM(#REF!), _xlpm.u,_xlfn._xlws.SORT(_xlfn.UNIQUE(_xlfn._xlws.FILTER(_xlpm.src,_xlpm.src&lt;&gt;""))), IFERROR(INDEX(_xlpm.u,ROWS(A$2:A385)),""))</f>
        <v/>
      </c>
      <c r="B385" s="121"/>
      <c r="C385" s="121"/>
      <c r="D385" s="121"/>
      <c r="E385" t="str">
        <f ca="1">IF(D2&lt;&gt;"","Done",IF(C2&lt;&gt;"","In Progress",IF(B2&lt;&gt;"",IF(TODAY()&gt;B2,"Should have started","Planned"),"")))</f>
        <v/>
      </c>
      <c r="F385" s="120" t="str">
        <f ca="1">IF(E2="Done",D2-C2,IF(E2="In Progress",TODAY()-C2,IF(E2="Should have started",TODAY()-B2,"")))</f>
        <v/>
      </c>
      <c r="G385" s="121"/>
      <c r="K385" s="121"/>
      <c r="L385" s="121"/>
      <c r="M385" s="121"/>
      <c r="O385" s="120"/>
      <c r="T385" s="121"/>
      <c r="U385" s="120"/>
      <c r="W385" s="121"/>
      <c r="X385" s="120"/>
      <c r="Z385" s="121"/>
      <c r="AA385" s="121"/>
      <c r="AB385" s="120"/>
      <c r="AD385" s="121"/>
      <c r="AE385" s="121"/>
      <c r="AF385" s="120"/>
      <c r="AJ385" s="121"/>
    </row>
    <row r="386" spans="1:36">
      <c r="A386" t="str" cm="1">
        <f t="array" ref="A386">_xlfn.LET(_xlpm.src,TRIM(#REF!), _xlpm.u,_xlfn._xlws.SORT(_xlfn.UNIQUE(_xlfn._xlws.FILTER(_xlpm.src,_xlpm.src&lt;&gt;""))), IFERROR(INDEX(_xlpm.u,ROWS(A$2:A386)),""))</f>
        <v/>
      </c>
      <c r="B386" s="121"/>
      <c r="C386" s="121"/>
      <c r="D386" s="121"/>
      <c r="E386" t="str">
        <f ca="1">IF(D2&lt;&gt;"","Done",IF(C2&lt;&gt;"","In Progress",IF(B2&lt;&gt;"",IF(TODAY()&gt;B2,"Should have started","Planned"),"")))</f>
        <v/>
      </c>
      <c r="F386" s="120" t="str">
        <f ca="1">IF(E2="Done",D2-C2,IF(E2="In Progress",TODAY()-C2,IF(E2="Should have started",TODAY()-B2,"")))</f>
        <v/>
      </c>
      <c r="G386" s="121"/>
      <c r="K386" s="121"/>
      <c r="L386" s="121"/>
      <c r="M386" s="121"/>
      <c r="O386" s="120"/>
      <c r="T386" s="121"/>
      <c r="U386" s="120"/>
      <c r="W386" s="121"/>
      <c r="X386" s="120"/>
      <c r="Z386" s="121"/>
      <c r="AA386" s="121"/>
      <c r="AB386" s="120"/>
      <c r="AD386" s="121"/>
      <c r="AE386" s="121"/>
      <c r="AF386" s="120"/>
      <c r="AJ386" s="121"/>
    </row>
    <row r="387" spans="1:36">
      <c r="A387" t="str" cm="1">
        <f t="array" ref="A387">_xlfn.LET(_xlpm.src,TRIM(#REF!), _xlpm.u,_xlfn._xlws.SORT(_xlfn.UNIQUE(_xlfn._xlws.FILTER(_xlpm.src,_xlpm.src&lt;&gt;""))), IFERROR(INDEX(_xlpm.u,ROWS(A$2:A387)),""))</f>
        <v/>
      </c>
      <c r="B387" s="121"/>
      <c r="C387" s="121"/>
      <c r="D387" s="121"/>
      <c r="E387" t="str">
        <f ca="1">IF(D2&lt;&gt;"","Done",IF(C2&lt;&gt;"","In Progress",IF(B2&lt;&gt;"",IF(TODAY()&gt;B2,"Should have started","Planned"),"")))</f>
        <v/>
      </c>
      <c r="F387" s="120" t="str">
        <f ca="1">IF(E2="Done",D2-C2,IF(E2="In Progress",TODAY()-C2,IF(E2="Should have started",TODAY()-B2,"")))</f>
        <v/>
      </c>
      <c r="G387" s="121"/>
      <c r="K387" s="121"/>
      <c r="L387" s="121"/>
      <c r="M387" s="121"/>
      <c r="O387" s="120"/>
      <c r="T387" s="121"/>
      <c r="U387" s="120"/>
      <c r="W387" s="121"/>
      <c r="X387" s="120"/>
      <c r="Z387" s="121"/>
      <c r="AA387" s="121"/>
      <c r="AB387" s="120"/>
      <c r="AD387" s="121"/>
      <c r="AE387" s="121"/>
      <c r="AF387" s="120"/>
      <c r="AJ387" s="121"/>
    </row>
    <row r="388" spans="1:36">
      <c r="A388" t="str" cm="1">
        <f t="array" ref="A388">_xlfn.LET(_xlpm.src,TRIM(#REF!), _xlpm.u,_xlfn._xlws.SORT(_xlfn.UNIQUE(_xlfn._xlws.FILTER(_xlpm.src,_xlpm.src&lt;&gt;""))), IFERROR(INDEX(_xlpm.u,ROWS(A$2:A388)),""))</f>
        <v/>
      </c>
      <c r="B388" s="121"/>
      <c r="C388" s="121"/>
      <c r="D388" s="121"/>
      <c r="E388" t="str">
        <f ca="1">IF(D2&lt;&gt;"","Done",IF(C2&lt;&gt;"","In Progress",IF(B2&lt;&gt;"",IF(TODAY()&gt;B2,"Should have started","Planned"),"")))</f>
        <v/>
      </c>
      <c r="F388" s="120" t="str">
        <f ca="1">IF(E2="Done",D2-C2,IF(E2="In Progress",TODAY()-C2,IF(E2="Should have started",TODAY()-B2,"")))</f>
        <v/>
      </c>
      <c r="G388" s="121"/>
      <c r="K388" s="121"/>
      <c r="L388" s="121"/>
      <c r="M388" s="121"/>
      <c r="O388" s="120"/>
      <c r="T388" s="121"/>
      <c r="U388" s="120"/>
      <c r="W388" s="121"/>
      <c r="X388" s="120"/>
      <c r="Z388" s="121"/>
      <c r="AA388" s="121"/>
      <c r="AB388" s="120"/>
      <c r="AD388" s="121"/>
      <c r="AE388" s="121"/>
      <c r="AF388" s="120"/>
      <c r="AJ388" s="121"/>
    </row>
    <row r="389" spans="1:36">
      <c r="A389" t="str" cm="1">
        <f t="array" ref="A389">_xlfn.LET(_xlpm.src,TRIM(#REF!), _xlpm.u,_xlfn._xlws.SORT(_xlfn.UNIQUE(_xlfn._xlws.FILTER(_xlpm.src,_xlpm.src&lt;&gt;""))), IFERROR(INDEX(_xlpm.u,ROWS(A$2:A389)),""))</f>
        <v/>
      </c>
      <c r="B389" s="121"/>
      <c r="C389" s="121"/>
      <c r="D389" s="121"/>
      <c r="E389" t="str">
        <f ca="1">IF(D2&lt;&gt;"","Done",IF(C2&lt;&gt;"","In Progress",IF(B2&lt;&gt;"",IF(TODAY()&gt;B2,"Should have started","Planned"),"")))</f>
        <v/>
      </c>
      <c r="F389" s="120" t="str">
        <f ca="1">IF(E2="Done",D2-C2,IF(E2="In Progress",TODAY()-C2,IF(E2="Should have started",TODAY()-B2,"")))</f>
        <v/>
      </c>
      <c r="G389" s="121"/>
      <c r="K389" s="121"/>
      <c r="L389" s="121"/>
      <c r="M389" s="121"/>
      <c r="O389" s="120"/>
      <c r="T389" s="121"/>
      <c r="U389" s="120"/>
      <c r="W389" s="121"/>
      <c r="X389" s="120"/>
      <c r="Z389" s="121"/>
      <c r="AA389" s="121"/>
      <c r="AB389" s="120"/>
      <c r="AD389" s="121"/>
      <c r="AE389" s="121"/>
      <c r="AF389" s="120"/>
      <c r="AJ389" s="121"/>
    </row>
    <row r="390" spans="1:36">
      <c r="A390" t="str" cm="1">
        <f t="array" ref="A390">_xlfn.LET(_xlpm.src,TRIM(#REF!), _xlpm.u,_xlfn._xlws.SORT(_xlfn.UNIQUE(_xlfn._xlws.FILTER(_xlpm.src,_xlpm.src&lt;&gt;""))), IFERROR(INDEX(_xlpm.u,ROWS(A$2:A390)),""))</f>
        <v/>
      </c>
      <c r="B390" s="121"/>
      <c r="C390" s="121"/>
      <c r="D390" s="121"/>
      <c r="E390" t="str">
        <f ca="1">IF(D2&lt;&gt;"","Done",IF(C2&lt;&gt;"","In Progress",IF(B2&lt;&gt;"",IF(TODAY()&gt;B2,"Should have started","Planned"),"")))</f>
        <v/>
      </c>
      <c r="F390" s="120" t="str">
        <f ca="1">IF(E2="Done",D2-C2,IF(E2="In Progress",TODAY()-C2,IF(E2="Should have started",TODAY()-B2,"")))</f>
        <v/>
      </c>
      <c r="G390" s="121"/>
      <c r="K390" s="121"/>
      <c r="L390" s="121"/>
      <c r="M390" s="121"/>
      <c r="O390" s="120"/>
      <c r="T390" s="121"/>
      <c r="U390" s="120"/>
      <c r="W390" s="121"/>
      <c r="X390" s="120"/>
      <c r="Z390" s="121"/>
      <c r="AA390" s="121"/>
      <c r="AB390" s="120"/>
      <c r="AD390" s="121"/>
      <c r="AE390" s="121"/>
      <c r="AF390" s="120"/>
      <c r="AJ390" s="121"/>
    </row>
    <row r="391" spans="1:36">
      <c r="A391" t="str" cm="1">
        <f t="array" ref="A391">_xlfn.LET(_xlpm.src,TRIM(#REF!), _xlpm.u,_xlfn._xlws.SORT(_xlfn.UNIQUE(_xlfn._xlws.FILTER(_xlpm.src,_xlpm.src&lt;&gt;""))), IFERROR(INDEX(_xlpm.u,ROWS(A$2:A391)),""))</f>
        <v/>
      </c>
      <c r="B391" s="121"/>
      <c r="C391" s="121"/>
      <c r="D391" s="121"/>
      <c r="E391" t="str">
        <f ca="1">IF(D2&lt;&gt;"","Done",IF(C2&lt;&gt;"","In Progress",IF(B2&lt;&gt;"",IF(TODAY()&gt;B2,"Should have started","Planned"),"")))</f>
        <v/>
      </c>
      <c r="F391" s="120" t="str">
        <f ca="1">IF(E2="Done",D2-C2,IF(E2="In Progress",TODAY()-C2,IF(E2="Should have started",TODAY()-B2,"")))</f>
        <v/>
      </c>
      <c r="G391" s="121"/>
      <c r="K391" s="121"/>
      <c r="L391" s="121"/>
      <c r="M391" s="121"/>
      <c r="O391" s="120"/>
      <c r="T391" s="121"/>
      <c r="U391" s="120"/>
      <c r="W391" s="121"/>
      <c r="X391" s="120"/>
      <c r="Z391" s="121"/>
      <c r="AA391" s="121"/>
      <c r="AB391" s="120"/>
      <c r="AD391" s="121"/>
      <c r="AE391" s="121"/>
      <c r="AF391" s="120"/>
      <c r="AJ391" s="121"/>
    </row>
    <row r="392" spans="1:36">
      <c r="A392" t="str" cm="1">
        <f t="array" ref="A392">_xlfn.LET(_xlpm.src,TRIM(#REF!), _xlpm.u,_xlfn._xlws.SORT(_xlfn.UNIQUE(_xlfn._xlws.FILTER(_xlpm.src,_xlpm.src&lt;&gt;""))), IFERROR(INDEX(_xlpm.u,ROWS(A$2:A392)),""))</f>
        <v/>
      </c>
      <c r="B392" s="121"/>
      <c r="C392" s="121"/>
      <c r="D392" s="121"/>
      <c r="E392" t="str">
        <f ca="1">IF(D2&lt;&gt;"","Done",IF(C2&lt;&gt;"","In Progress",IF(B2&lt;&gt;"",IF(TODAY()&gt;B2,"Should have started","Planned"),"")))</f>
        <v/>
      </c>
      <c r="F392" s="120" t="str">
        <f ca="1">IF(E2="Done",D2-C2,IF(E2="In Progress",TODAY()-C2,IF(E2="Should have started",TODAY()-B2,"")))</f>
        <v/>
      </c>
      <c r="G392" s="121"/>
      <c r="K392" s="121"/>
      <c r="L392" s="121"/>
      <c r="M392" s="121"/>
      <c r="O392" s="120"/>
      <c r="T392" s="121"/>
      <c r="U392" s="120"/>
      <c r="W392" s="121"/>
      <c r="X392" s="120"/>
      <c r="Z392" s="121"/>
      <c r="AA392" s="121"/>
      <c r="AB392" s="120"/>
      <c r="AD392" s="121"/>
      <c r="AE392" s="121"/>
      <c r="AF392" s="120"/>
      <c r="AJ392" s="121"/>
    </row>
    <row r="393" spans="1:36">
      <c r="A393" t="str" cm="1">
        <f t="array" ref="A393">_xlfn.LET(_xlpm.src,TRIM(#REF!), _xlpm.u,_xlfn._xlws.SORT(_xlfn.UNIQUE(_xlfn._xlws.FILTER(_xlpm.src,_xlpm.src&lt;&gt;""))), IFERROR(INDEX(_xlpm.u,ROWS(A$2:A393)),""))</f>
        <v/>
      </c>
      <c r="B393" s="121"/>
      <c r="C393" s="121"/>
      <c r="D393" s="121"/>
      <c r="E393" t="str">
        <f ca="1">IF(D2&lt;&gt;"","Done",IF(C2&lt;&gt;"","In Progress",IF(B2&lt;&gt;"",IF(TODAY()&gt;B2,"Should have started","Planned"),"")))</f>
        <v/>
      </c>
      <c r="F393" s="120" t="str">
        <f ca="1">IF(E2="Done",D2-C2,IF(E2="In Progress",TODAY()-C2,IF(E2="Should have started",TODAY()-B2,"")))</f>
        <v/>
      </c>
      <c r="G393" s="121"/>
      <c r="K393" s="121"/>
      <c r="L393" s="121"/>
      <c r="M393" s="121"/>
      <c r="O393" s="120"/>
      <c r="T393" s="121"/>
      <c r="U393" s="120"/>
      <c r="W393" s="121"/>
      <c r="X393" s="120"/>
      <c r="Z393" s="121"/>
      <c r="AA393" s="121"/>
      <c r="AB393" s="120"/>
      <c r="AD393" s="121"/>
      <c r="AE393" s="121"/>
      <c r="AF393" s="120"/>
      <c r="AJ393" s="121"/>
    </row>
    <row r="394" spans="1:36">
      <c r="A394" t="str" cm="1">
        <f t="array" ref="A394">_xlfn.LET(_xlpm.src,TRIM(#REF!), _xlpm.u,_xlfn._xlws.SORT(_xlfn.UNIQUE(_xlfn._xlws.FILTER(_xlpm.src,_xlpm.src&lt;&gt;""))), IFERROR(INDEX(_xlpm.u,ROWS(A$2:A394)),""))</f>
        <v/>
      </c>
      <c r="B394" s="121"/>
      <c r="C394" s="121"/>
      <c r="D394" s="121"/>
      <c r="E394" t="str">
        <f ca="1">IF(D2&lt;&gt;"","Done",IF(C2&lt;&gt;"","In Progress",IF(B2&lt;&gt;"",IF(TODAY()&gt;B2,"Should have started","Planned"),"")))</f>
        <v/>
      </c>
      <c r="F394" s="120" t="str">
        <f ca="1">IF(E2="Done",D2-C2,IF(E2="In Progress",TODAY()-C2,IF(E2="Should have started",TODAY()-B2,"")))</f>
        <v/>
      </c>
      <c r="G394" s="121"/>
      <c r="K394" s="121"/>
      <c r="L394" s="121"/>
      <c r="M394" s="121"/>
      <c r="O394" s="120"/>
      <c r="T394" s="121"/>
      <c r="U394" s="120"/>
      <c r="W394" s="121"/>
      <c r="X394" s="120"/>
      <c r="Z394" s="121"/>
      <c r="AA394" s="121"/>
      <c r="AB394" s="120"/>
      <c r="AD394" s="121"/>
      <c r="AE394" s="121"/>
      <c r="AF394" s="120"/>
      <c r="AJ394" s="121"/>
    </row>
    <row r="395" spans="1:36">
      <c r="A395" t="str" cm="1">
        <f t="array" ref="A395">_xlfn.LET(_xlpm.src,TRIM(#REF!), _xlpm.u,_xlfn._xlws.SORT(_xlfn.UNIQUE(_xlfn._xlws.FILTER(_xlpm.src,_xlpm.src&lt;&gt;""))), IFERROR(INDEX(_xlpm.u,ROWS(A$2:A395)),""))</f>
        <v/>
      </c>
      <c r="B395" s="121"/>
      <c r="C395" s="121"/>
      <c r="D395" s="121"/>
      <c r="E395" t="str">
        <f ca="1">IF(D2&lt;&gt;"","Done",IF(C2&lt;&gt;"","In Progress",IF(B2&lt;&gt;"",IF(TODAY()&gt;B2,"Should have started","Planned"),"")))</f>
        <v/>
      </c>
      <c r="F395" s="120" t="str">
        <f ca="1">IF(E2="Done",D2-C2,IF(E2="In Progress",TODAY()-C2,IF(E2="Should have started",TODAY()-B2,"")))</f>
        <v/>
      </c>
      <c r="G395" s="121"/>
      <c r="K395" s="121"/>
      <c r="L395" s="121"/>
      <c r="M395" s="121"/>
      <c r="O395" s="120"/>
      <c r="T395" s="121"/>
      <c r="U395" s="120"/>
      <c r="W395" s="121"/>
      <c r="X395" s="120"/>
      <c r="Z395" s="121"/>
      <c r="AA395" s="121"/>
      <c r="AB395" s="120"/>
      <c r="AD395" s="121"/>
      <c r="AE395" s="121"/>
      <c r="AF395" s="120"/>
      <c r="AJ395" s="121"/>
    </row>
    <row r="396" spans="1:36">
      <c r="A396" t="str" cm="1">
        <f t="array" ref="A396">_xlfn.LET(_xlpm.src,TRIM(#REF!), _xlpm.u,_xlfn._xlws.SORT(_xlfn.UNIQUE(_xlfn._xlws.FILTER(_xlpm.src,_xlpm.src&lt;&gt;""))), IFERROR(INDEX(_xlpm.u,ROWS(A$2:A396)),""))</f>
        <v/>
      </c>
      <c r="B396" s="121"/>
      <c r="C396" s="121"/>
      <c r="D396" s="121"/>
      <c r="E396" t="str">
        <f ca="1">IF(D2&lt;&gt;"","Done",IF(C2&lt;&gt;"","In Progress",IF(B2&lt;&gt;"",IF(TODAY()&gt;B2,"Should have started","Planned"),"")))</f>
        <v/>
      </c>
      <c r="F396" s="120" t="str">
        <f ca="1">IF(E2="Done",D2-C2,IF(E2="In Progress",TODAY()-C2,IF(E2="Should have started",TODAY()-B2,"")))</f>
        <v/>
      </c>
      <c r="G396" s="121"/>
      <c r="K396" s="121"/>
      <c r="L396" s="121"/>
      <c r="M396" s="121"/>
      <c r="O396" s="120"/>
      <c r="T396" s="121"/>
      <c r="U396" s="120"/>
      <c r="W396" s="121"/>
      <c r="X396" s="120"/>
      <c r="Z396" s="121"/>
      <c r="AA396" s="121"/>
      <c r="AB396" s="120"/>
      <c r="AD396" s="121"/>
      <c r="AE396" s="121"/>
      <c r="AF396" s="120"/>
      <c r="AJ396" s="121"/>
    </row>
    <row r="397" spans="1:36">
      <c r="A397" t="str" cm="1">
        <f t="array" ref="A397">_xlfn.LET(_xlpm.src,TRIM(#REF!), _xlpm.u,_xlfn._xlws.SORT(_xlfn.UNIQUE(_xlfn._xlws.FILTER(_xlpm.src,_xlpm.src&lt;&gt;""))), IFERROR(INDEX(_xlpm.u,ROWS(A$2:A397)),""))</f>
        <v/>
      </c>
      <c r="B397" s="121"/>
      <c r="C397" s="121"/>
      <c r="D397" s="121"/>
      <c r="E397" t="str">
        <f ca="1">IF(D2&lt;&gt;"","Done",IF(C2&lt;&gt;"","In Progress",IF(B2&lt;&gt;"",IF(TODAY()&gt;B2,"Should have started","Planned"),"")))</f>
        <v/>
      </c>
      <c r="F397" s="120" t="str">
        <f ca="1">IF(E2="Done",D2-C2,IF(E2="In Progress",TODAY()-C2,IF(E2="Should have started",TODAY()-B2,"")))</f>
        <v/>
      </c>
      <c r="G397" s="121"/>
      <c r="K397" s="121"/>
      <c r="L397" s="121"/>
      <c r="M397" s="121"/>
      <c r="O397" s="120"/>
      <c r="T397" s="121"/>
      <c r="U397" s="120"/>
      <c r="W397" s="121"/>
      <c r="X397" s="120"/>
      <c r="Z397" s="121"/>
      <c r="AA397" s="121"/>
      <c r="AB397" s="120"/>
      <c r="AD397" s="121"/>
      <c r="AE397" s="121"/>
      <c r="AF397" s="120"/>
      <c r="AJ397" s="121"/>
    </row>
    <row r="398" spans="1:36">
      <c r="A398" t="str" cm="1">
        <f t="array" ref="A398">_xlfn.LET(_xlpm.src,TRIM(#REF!), _xlpm.u,_xlfn._xlws.SORT(_xlfn.UNIQUE(_xlfn._xlws.FILTER(_xlpm.src,_xlpm.src&lt;&gt;""))), IFERROR(INDEX(_xlpm.u,ROWS(A$2:A398)),""))</f>
        <v/>
      </c>
      <c r="B398" s="121"/>
      <c r="C398" s="121"/>
      <c r="D398" s="121"/>
      <c r="E398" t="str">
        <f ca="1">IF(D2&lt;&gt;"","Done",IF(C2&lt;&gt;"","In Progress",IF(B2&lt;&gt;"",IF(TODAY()&gt;B2,"Should have started","Planned"),"")))</f>
        <v/>
      </c>
      <c r="F398" s="120" t="str">
        <f ca="1">IF(E2="Done",D2-C2,IF(E2="In Progress",TODAY()-C2,IF(E2="Should have started",TODAY()-B2,"")))</f>
        <v/>
      </c>
      <c r="G398" s="121"/>
      <c r="K398" s="121"/>
      <c r="L398" s="121"/>
      <c r="M398" s="121"/>
      <c r="O398" s="120"/>
      <c r="T398" s="121"/>
      <c r="U398" s="120"/>
      <c r="W398" s="121"/>
      <c r="X398" s="120"/>
      <c r="Z398" s="121"/>
      <c r="AA398" s="121"/>
      <c r="AB398" s="120"/>
      <c r="AD398" s="121"/>
      <c r="AE398" s="121"/>
      <c r="AF398" s="120"/>
      <c r="AJ398" s="121"/>
    </row>
    <row r="399" spans="1:36">
      <c r="A399" t="str" cm="1">
        <f t="array" ref="A399">_xlfn.LET(_xlpm.src,TRIM(#REF!), _xlpm.u,_xlfn._xlws.SORT(_xlfn.UNIQUE(_xlfn._xlws.FILTER(_xlpm.src,_xlpm.src&lt;&gt;""))), IFERROR(INDEX(_xlpm.u,ROWS(A$2:A399)),""))</f>
        <v/>
      </c>
      <c r="B399" s="121"/>
      <c r="C399" s="121"/>
      <c r="D399" s="121"/>
      <c r="E399" t="str">
        <f ca="1">IF(D2&lt;&gt;"","Done",IF(C2&lt;&gt;"","In Progress",IF(B2&lt;&gt;"",IF(TODAY()&gt;B2,"Should have started","Planned"),"")))</f>
        <v/>
      </c>
      <c r="F399" s="120" t="str">
        <f ca="1">IF(E2="Done",D2-C2,IF(E2="In Progress",TODAY()-C2,IF(E2="Should have started",TODAY()-B2,"")))</f>
        <v/>
      </c>
      <c r="G399" s="121"/>
      <c r="K399" s="121"/>
      <c r="L399" s="121"/>
      <c r="M399" s="121"/>
      <c r="O399" s="120"/>
      <c r="T399" s="121"/>
      <c r="U399" s="120"/>
      <c r="W399" s="121"/>
      <c r="X399" s="120"/>
      <c r="Z399" s="121"/>
      <c r="AA399" s="121"/>
      <c r="AB399" s="120"/>
      <c r="AD399" s="121"/>
      <c r="AE399" s="121"/>
      <c r="AF399" s="120"/>
      <c r="AJ399" s="121"/>
    </row>
    <row r="400" spans="1:36">
      <c r="A400" t="str" cm="1">
        <f t="array" ref="A400">_xlfn.LET(_xlpm.src,TRIM(#REF!), _xlpm.u,_xlfn._xlws.SORT(_xlfn.UNIQUE(_xlfn._xlws.FILTER(_xlpm.src,_xlpm.src&lt;&gt;""))), IFERROR(INDEX(_xlpm.u,ROWS(A$2:A400)),""))</f>
        <v/>
      </c>
      <c r="B400" s="121"/>
      <c r="C400" s="121"/>
      <c r="D400" s="121"/>
      <c r="E400" t="str">
        <f ca="1">IF(D2&lt;&gt;"","Done",IF(C2&lt;&gt;"","In Progress",IF(B2&lt;&gt;"",IF(TODAY()&gt;B2,"Should have started","Planned"),"")))</f>
        <v/>
      </c>
      <c r="F400" s="120" t="str">
        <f ca="1">IF(E2="Done",D2-C2,IF(E2="In Progress",TODAY()-C2,IF(E2="Should have started",TODAY()-B2,"")))</f>
        <v/>
      </c>
      <c r="G400" s="121"/>
      <c r="K400" s="121"/>
      <c r="L400" s="121"/>
      <c r="M400" s="121"/>
      <c r="O400" s="120"/>
      <c r="T400" s="121"/>
      <c r="U400" s="120"/>
      <c r="W400" s="121"/>
      <c r="X400" s="120"/>
      <c r="Z400" s="121"/>
      <c r="AA400" s="121"/>
      <c r="AB400" s="120"/>
      <c r="AD400" s="121"/>
      <c r="AE400" s="121"/>
      <c r="AF400" s="120"/>
      <c r="AJ400" s="121"/>
    </row>
  </sheetData>
  <conditionalFormatting sqref="A113:K342">
    <cfRule type="expression" dxfId="15" priority="1">
      <formula>#REF!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23E7-6796-4D2A-9EF1-538EA8C1A449}">
  <sheetPr codeName="Sheet16"/>
  <dimension ref="A1:C286"/>
  <sheetViews>
    <sheetView workbookViewId="0">
      <selection activeCell="C11" sqref="C11"/>
    </sheetView>
  </sheetViews>
  <sheetFormatPr defaultRowHeight="14.5"/>
  <cols>
    <col min="1" max="1" width="14" bestFit="1" customWidth="1"/>
    <col min="2" max="2" width="6.453125" bestFit="1" customWidth="1"/>
    <col min="3" max="3" width="11.1796875" bestFit="1" customWidth="1"/>
    <col min="4" max="4" width="32.453125" bestFit="1" customWidth="1"/>
    <col min="5" max="5" width="13.54296875" bestFit="1" customWidth="1"/>
    <col min="6" max="6" width="16.1796875" bestFit="1" customWidth="1"/>
  </cols>
  <sheetData>
    <row r="1" spans="1:3">
      <c r="A1" t="s">
        <v>494</v>
      </c>
      <c r="B1" t="s">
        <v>495</v>
      </c>
      <c r="C1" t="s">
        <v>496</v>
      </c>
    </row>
    <row r="2" spans="1:3">
      <c r="A2" t="s">
        <v>155</v>
      </c>
      <c r="B2" t="s">
        <v>497</v>
      </c>
      <c r="C2">
        <v>366</v>
      </c>
    </row>
    <row r="3" spans="1:3">
      <c r="A3" t="s">
        <v>155</v>
      </c>
      <c r="B3" t="s">
        <v>498</v>
      </c>
      <c r="C3" t="s">
        <v>156</v>
      </c>
    </row>
    <row r="4" spans="1:3">
      <c r="A4" t="s">
        <v>155</v>
      </c>
      <c r="B4" t="s">
        <v>499</v>
      </c>
      <c r="C4" t="s">
        <v>156</v>
      </c>
    </row>
    <row r="5" spans="1:3">
      <c r="A5" t="s">
        <v>155</v>
      </c>
      <c r="B5" t="s">
        <v>500</v>
      </c>
      <c r="C5">
        <v>3283810.55</v>
      </c>
    </row>
    <row r="6" spans="1:3">
      <c r="A6" t="s">
        <v>155</v>
      </c>
      <c r="B6" t="s">
        <v>501</v>
      </c>
      <c r="C6" t="s">
        <v>41</v>
      </c>
    </row>
    <row r="7" spans="1:3">
      <c r="A7" t="s">
        <v>502</v>
      </c>
      <c r="B7" t="s">
        <v>497</v>
      </c>
      <c r="C7">
        <v>120</v>
      </c>
    </row>
    <row r="8" spans="1:3">
      <c r="A8" t="s">
        <v>502</v>
      </c>
      <c r="B8" t="s">
        <v>498</v>
      </c>
      <c r="C8" t="s">
        <v>503</v>
      </c>
    </row>
    <row r="9" spans="1:3">
      <c r="A9" t="s">
        <v>502</v>
      </c>
      <c r="B9" t="s">
        <v>499</v>
      </c>
      <c r="C9" t="s">
        <v>168</v>
      </c>
    </row>
    <row r="10" spans="1:3">
      <c r="A10" t="s">
        <v>502</v>
      </c>
      <c r="B10" t="s">
        <v>500</v>
      </c>
      <c r="C10">
        <v>2899774.6540018986</v>
      </c>
    </row>
    <row r="11" spans="1:3">
      <c r="A11" t="s">
        <v>502</v>
      </c>
      <c r="B11" t="s">
        <v>501</v>
      </c>
      <c r="C11" t="s">
        <v>33</v>
      </c>
    </row>
    <row r="12" spans="1:3">
      <c r="A12" t="s">
        <v>504</v>
      </c>
      <c r="B12" t="s">
        <v>497</v>
      </c>
      <c r="C12">
        <v>178</v>
      </c>
    </row>
    <row r="13" spans="1:3">
      <c r="A13" t="s">
        <v>504</v>
      </c>
      <c r="B13" t="s">
        <v>498</v>
      </c>
      <c r="C13" t="s">
        <v>505</v>
      </c>
    </row>
    <row r="14" spans="1:3">
      <c r="A14" t="s">
        <v>504</v>
      </c>
      <c r="B14" t="s">
        <v>499</v>
      </c>
      <c r="C14" t="s">
        <v>164</v>
      </c>
    </row>
    <row r="15" spans="1:3">
      <c r="A15" t="s">
        <v>504</v>
      </c>
      <c r="B15" t="s">
        <v>500</v>
      </c>
      <c r="C15">
        <v>1879275.3951961149</v>
      </c>
    </row>
    <row r="16" spans="1:3">
      <c r="A16" t="s">
        <v>504</v>
      </c>
      <c r="B16" t="s">
        <v>501</v>
      </c>
      <c r="C16" t="s">
        <v>37</v>
      </c>
    </row>
    <row r="17" spans="1:3">
      <c r="A17" t="s">
        <v>163</v>
      </c>
      <c r="B17" t="s">
        <v>497</v>
      </c>
      <c r="C17">
        <v>800</v>
      </c>
    </row>
    <row r="18" spans="1:3">
      <c r="A18" t="s">
        <v>163</v>
      </c>
      <c r="B18" t="s">
        <v>498</v>
      </c>
      <c r="C18" t="s">
        <v>156</v>
      </c>
    </row>
    <row r="19" spans="1:3">
      <c r="A19" t="s">
        <v>163</v>
      </c>
      <c r="B19" t="s">
        <v>499</v>
      </c>
      <c r="C19" t="s">
        <v>164</v>
      </c>
    </row>
    <row r="20" spans="1:3">
      <c r="A20" t="s">
        <v>163</v>
      </c>
      <c r="B20" t="s">
        <v>500</v>
      </c>
      <c r="C20">
        <v>6355349.9168330701</v>
      </c>
    </row>
    <row r="21" spans="1:3">
      <c r="A21" t="s">
        <v>163</v>
      </c>
      <c r="B21" t="s">
        <v>501</v>
      </c>
      <c r="C21" t="s">
        <v>42</v>
      </c>
    </row>
    <row r="22" spans="1:3">
      <c r="A22" t="s">
        <v>167</v>
      </c>
      <c r="B22" t="s">
        <v>497</v>
      </c>
      <c r="C22">
        <v>144</v>
      </c>
    </row>
    <row r="23" spans="1:3">
      <c r="A23" t="s">
        <v>167</v>
      </c>
      <c r="B23" t="s">
        <v>498</v>
      </c>
      <c r="C23" t="s">
        <v>505</v>
      </c>
    </row>
    <row r="24" spans="1:3">
      <c r="A24" t="s">
        <v>167</v>
      </c>
      <c r="B24" t="s">
        <v>499</v>
      </c>
      <c r="C24" t="s">
        <v>168</v>
      </c>
    </row>
    <row r="25" spans="1:3">
      <c r="A25" t="s">
        <v>167</v>
      </c>
      <c r="B25" t="s">
        <v>500</v>
      </c>
      <c r="C25">
        <v>3984069.2478407002</v>
      </c>
    </row>
    <row r="26" spans="1:3">
      <c r="A26" t="s">
        <v>167</v>
      </c>
      <c r="B26" t="s">
        <v>501</v>
      </c>
      <c r="C26" t="s">
        <v>39</v>
      </c>
    </row>
    <row r="27" spans="1:3">
      <c r="A27" t="s">
        <v>173</v>
      </c>
      <c r="B27" t="s">
        <v>497</v>
      </c>
      <c r="C27">
        <v>166</v>
      </c>
    </row>
    <row r="28" spans="1:3">
      <c r="A28" t="s">
        <v>173</v>
      </c>
      <c r="B28" t="s">
        <v>498</v>
      </c>
      <c r="C28" t="s">
        <v>509</v>
      </c>
    </row>
    <row r="29" spans="1:3">
      <c r="A29" t="s">
        <v>173</v>
      </c>
      <c r="B29" t="s">
        <v>499</v>
      </c>
      <c r="C29" t="s">
        <v>164</v>
      </c>
    </row>
    <row r="30" spans="1:3">
      <c r="A30" t="s">
        <v>173</v>
      </c>
      <c r="B30" t="s">
        <v>500</v>
      </c>
      <c r="C30">
        <v>1791940.74</v>
      </c>
    </row>
    <row r="31" spans="1:3">
      <c r="A31" t="s">
        <v>173</v>
      </c>
      <c r="B31" t="s">
        <v>501</v>
      </c>
      <c r="C31" t="s">
        <v>41</v>
      </c>
    </row>
    <row r="32" spans="1:3">
      <c r="A32" t="s">
        <v>510</v>
      </c>
      <c r="B32" t="s">
        <v>497</v>
      </c>
      <c r="C32">
        <v>1510</v>
      </c>
    </row>
    <row r="33" spans="1:3">
      <c r="A33" t="s">
        <v>510</v>
      </c>
      <c r="B33" t="s">
        <v>498</v>
      </c>
      <c r="C33" t="s">
        <v>511</v>
      </c>
    </row>
    <row r="34" spans="1:3">
      <c r="A34" t="s">
        <v>510</v>
      </c>
      <c r="B34" t="s">
        <v>499</v>
      </c>
      <c r="C34" t="s">
        <v>176</v>
      </c>
    </row>
    <row r="35" spans="1:3">
      <c r="A35" t="s">
        <v>510</v>
      </c>
      <c r="B35" t="s">
        <v>500</v>
      </c>
      <c r="C35">
        <v>9650000</v>
      </c>
    </row>
    <row r="36" spans="1:3">
      <c r="A36" t="s">
        <v>510</v>
      </c>
      <c r="B36" t="s">
        <v>501</v>
      </c>
      <c r="C36" t="s">
        <v>42</v>
      </c>
    </row>
    <row r="37" spans="1:3">
      <c r="A37" t="s">
        <v>175</v>
      </c>
      <c r="B37" t="s">
        <v>497</v>
      </c>
      <c r="C37">
        <v>50</v>
      </c>
    </row>
    <row r="38" spans="1:3">
      <c r="A38" t="s">
        <v>175</v>
      </c>
      <c r="B38" t="s">
        <v>498</v>
      </c>
      <c r="C38" t="s">
        <v>511</v>
      </c>
    </row>
    <row r="39" spans="1:3">
      <c r="A39" t="s">
        <v>175</v>
      </c>
      <c r="B39" t="s">
        <v>499</v>
      </c>
      <c r="C39" t="s">
        <v>255</v>
      </c>
    </row>
    <row r="40" spans="1:3">
      <c r="A40" t="s">
        <v>175</v>
      </c>
      <c r="B40" t="s">
        <v>500</v>
      </c>
      <c r="C40">
        <v>261790.45</v>
      </c>
    </row>
    <row r="41" spans="1:3">
      <c r="A41" t="s">
        <v>175</v>
      </c>
      <c r="B41" t="s">
        <v>501</v>
      </c>
      <c r="C41" t="s">
        <v>42</v>
      </c>
    </row>
    <row r="42" spans="1:3">
      <c r="A42" t="s">
        <v>178</v>
      </c>
      <c r="B42" t="s">
        <v>497</v>
      </c>
      <c r="C42" t="s">
        <v>512</v>
      </c>
    </row>
    <row r="43" spans="1:3">
      <c r="A43" t="s">
        <v>178</v>
      </c>
      <c r="B43" t="s">
        <v>498</v>
      </c>
      <c r="C43" t="s">
        <v>509</v>
      </c>
    </row>
    <row r="44" spans="1:3">
      <c r="A44" t="s">
        <v>178</v>
      </c>
      <c r="B44" t="s">
        <v>499</v>
      </c>
      <c r="C44" t="s">
        <v>164</v>
      </c>
    </row>
    <row r="45" spans="1:3">
      <c r="A45" t="s">
        <v>178</v>
      </c>
      <c r="B45" t="s">
        <v>500</v>
      </c>
      <c r="C45">
        <v>312229.88</v>
      </c>
    </row>
    <row r="46" spans="1:3">
      <c r="A46" t="s">
        <v>178</v>
      </c>
      <c r="B46" t="s">
        <v>501</v>
      </c>
      <c r="C46" t="s">
        <v>31</v>
      </c>
    </row>
    <row r="47" spans="1:3">
      <c r="A47" t="s">
        <v>182</v>
      </c>
      <c r="B47" t="s">
        <v>497</v>
      </c>
      <c r="C47">
        <v>7080</v>
      </c>
    </row>
    <row r="48" spans="1:3">
      <c r="A48" t="s">
        <v>182</v>
      </c>
      <c r="B48" t="s">
        <v>498</v>
      </c>
      <c r="C48" t="s">
        <v>513</v>
      </c>
    </row>
    <row r="49" spans="1:3">
      <c r="A49" t="s">
        <v>182</v>
      </c>
      <c r="B49" t="s">
        <v>499</v>
      </c>
      <c r="C49" t="s">
        <v>176</v>
      </c>
    </row>
    <row r="50" spans="1:3">
      <c r="A50" t="s">
        <v>182</v>
      </c>
      <c r="B50" t="s">
        <v>500</v>
      </c>
      <c r="C50">
        <v>59995000</v>
      </c>
    </row>
    <row r="51" spans="1:3">
      <c r="A51" t="s">
        <v>182</v>
      </c>
      <c r="B51" t="s">
        <v>501</v>
      </c>
      <c r="C51" t="s">
        <v>39</v>
      </c>
    </row>
    <row r="52" spans="1:3">
      <c r="A52" t="s">
        <v>184</v>
      </c>
      <c r="B52" t="s">
        <v>497</v>
      </c>
      <c r="C52">
        <v>257</v>
      </c>
    </row>
    <row r="53" spans="1:3">
      <c r="A53" t="s">
        <v>184</v>
      </c>
      <c r="B53" t="s">
        <v>498</v>
      </c>
      <c r="C53" t="s">
        <v>509</v>
      </c>
    </row>
    <row r="54" spans="1:3">
      <c r="A54" t="s">
        <v>184</v>
      </c>
      <c r="B54" t="s">
        <v>499</v>
      </c>
      <c r="C54" t="s">
        <v>185</v>
      </c>
    </row>
    <row r="55" spans="1:3">
      <c r="A55" t="s">
        <v>184</v>
      </c>
      <c r="B55" t="s">
        <v>500</v>
      </c>
      <c r="C55">
        <v>2655906.3006630498</v>
      </c>
    </row>
    <row r="56" spans="1:3">
      <c r="A56" t="s">
        <v>184</v>
      </c>
      <c r="B56" t="s">
        <v>501</v>
      </c>
      <c r="C56" t="s">
        <v>31</v>
      </c>
    </row>
    <row r="57" spans="1:3">
      <c r="A57" t="s">
        <v>514</v>
      </c>
      <c r="B57" t="s">
        <v>497</v>
      </c>
      <c r="C57">
        <v>800</v>
      </c>
    </row>
    <row r="58" spans="1:3">
      <c r="A58" t="s">
        <v>514</v>
      </c>
      <c r="B58" t="s">
        <v>498</v>
      </c>
      <c r="C58" t="s">
        <v>156</v>
      </c>
    </row>
    <row r="59" spans="1:3">
      <c r="A59" t="s">
        <v>514</v>
      </c>
      <c r="B59" t="s">
        <v>499</v>
      </c>
      <c r="C59" t="s">
        <v>164</v>
      </c>
    </row>
    <row r="60" spans="1:3">
      <c r="A60" t="s">
        <v>514</v>
      </c>
      <c r="B60" t="s">
        <v>500</v>
      </c>
      <c r="C60">
        <v>5965612.4948904281</v>
      </c>
    </row>
    <row r="61" spans="1:3">
      <c r="A61" t="s">
        <v>514</v>
      </c>
      <c r="B61" t="s">
        <v>501</v>
      </c>
      <c r="C61" t="s">
        <v>35</v>
      </c>
    </row>
    <row r="62" spans="1:3">
      <c r="A62" t="s">
        <v>187</v>
      </c>
      <c r="B62" t="s">
        <v>497</v>
      </c>
      <c r="C62">
        <v>422</v>
      </c>
    </row>
    <row r="63" spans="1:3">
      <c r="A63" t="s">
        <v>187</v>
      </c>
      <c r="B63" t="s">
        <v>498</v>
      </c>
      <c r="C63" t="s">
        <v>509</v>
      </c>
    </row>
    <row r="64" spans="1:3">
      <c r="A64" t="s">
        <v>187</v>
      </c>
      <c r="B64" t="s">
        <v>499</v>
      </c>
      <c r="C64" t="s">
        <v>168</v>
      </c>
    </row>
    <row r="65" spans="1:3">
      <c r="A65" t="s">
        <v>187</v>
      </c>
      <c r="B65" t="s">
        <v>500</v>
      </c>
      <c r="C65">
        <v>3894207.6830902998</v>
      </c>
    </row>
    <row r="66" spans="1:3">
      <c r="A66" t="s">
        <v>187</v>
      </c>
      <c r="B66" t="s">
        <v>501</v>
      </c>
      <c r="C66" t="s">
        <v>39</v>
      </c>
    </row>
    <row r="67" spans="1:3">
      <c r="A67" t="s">
        <v>9265</v>
      </c>
      <c r="B67" t="s">
        <v>497</v>
      </c>
    </row>
    <row r="68" spans="1:3">
      <c r="A68" t="s">
        <v>9265</v>
      </c>
      <c r="B68" t="s">
        <v>498</v>
      </c>
    </row>
    <row r="69" spans="1:3">
      <c r="A69" t="s">
        <v>9265</v>
      </c>
      <c r="B69" t="s">
        <v>499</v>
      </c>
    </row>
    <row r="70" spans="1:3">
      <c r="A70" t="s">
        <v>9265</v>
      </c>
      <c r="B70" t="s">
        <v>500</v>
      </c>
    </row>
    <row r="71" spans="1:3">
      <c r="A71" t="s">
        <v>192</v>
      </c>
      <c r="B71" t="s">
        <v>497</v>
      </c>
      <c r="C71">
        <v>954</v>
      </c>
    </row>
    <row r="72" spans="1:3">
      <c r="A72" t="s">
        <v>192</v>
      </c>
      <c r="B72" t="s">
        <v>498</v>
      </c>
      <c r="C72" t="s">
        <v>515</v>
      </c>
    </row>
    <row r="73" spans="1:3">
      <c r="A73" t="s">
        <v>192</v>
      </c>
      <c r="B73" t="s">
        <v>499</v>
      </c>
      <c r="C73" t="s">
        <v>193</v>
      </c>
    </row>
    <row r="74" spans="1:3">
      <c r="A74" t="s">
        <v>192</v>
      </c>
      <c r="B74" t="s">
        <v>500</v>
      </c>
      <c r="C74">
        <v>8692848.6099999994</v>
      </c>
    </row>
    <row r="75" spans="1:3">
      <c r="A75" t="s">
        <v>192</v>
      </c>
      <c r="B75" t="s">
        <v>501</v>
      </c>
      <c r="C75" t="s">
        <v>39</v>
      </c>
    </row>
    <row r="76" spans="1:3">
      <c r="A76" t="s">
        <v>197</v>
      </c>
      <c r="B76" t="s">
        <v>497</v>
      </c>
      <c r="C76">
        <v>1043</v>
      </c>
    </row>
    <row r="77" spans="1:3">
      <c r="A77" t="s">
        <v>197</v>
      </c>
      <c r="B77" t="s">
        <v>498</v>
      </c>
      <c r="C77" t="s">
        <v>509</v>
      </c>
    </row>
    <row r="78" spans="1:3">
      <c r="A78" t="s">
        <v>197</v>
      </c>
      <c r="B78" t="s">
        <v>499</v>
      </c>
      <c r="C78" t="s">
        <v>176</v>
      </c>
    </row>
    <row r="79" spans="1:3">
      <c r="A79" t="s">
        <v>197</v>
      </c>
      <c r="B79" t="s">
        <v>500</v>
      </c>
      <c r="C79">
        <v>9566688.92579039</v>
      </c>
    </row>
    <row r="80" spans="1:3">
      <c r="A80" t="s">
        <v>197</v>
      </c>
      <c r="B80" t="s">
        <v>501</v>
      </c>
      <c r="C80" t="s">
        <v>41</v>
      </c>
    </row>
    <row r="81" spans="1:3">
      <c r="A81" t="s">
        <v>200</v>
      </c>
      <c r="B81" t="s">
        <v>497</v>
      </c>
      <c r="C81">
        <v>130</v>
      </c>
    </row>
    <row r="82" spans="1:3">
      <c r="A82" t="s">
        <v>200</v>
      </c>
      <c r="B82" t="s">
        <v>498</v>
      </c>
      <c r="C82" t="s">
        <v>156</v>
      </c>
    </row>
    <row r="83" spans="1:3">
      <c r="A83" t="s">
        <v>200</v>
      </c>
      <c r="B83" t="s">
        <v>499</v>
      </c>
      <c r="C83" t="s">
        <v>156</v>
      </c>
    </row>
    <row r="84" spans="1:3">
      <c r="A84" t="s">
        <v>200</v>
      </c>
      <c r="B84" t="s">
        <v>500</v>
      </c>
      <c r="C84">
        <v>1312612.94231594</v>
      </c>
    </row>
    <row r="85" spans="1:3">
      <c r="A85" t="s">
        <v>200</v>
      </c>
      <c r="B85" t="s">
        <v>501</v>
      </c>
      <c r="C85" t="s">
        <v>68</v>
      </c>
    </row>
    <row r="86" spans="1:3">
      <c r="A86" t="s">
        <v>203</v>
      </c>
      <c r="B86" t="s">
        <v>497</v>
      </c>
      <c r="C86">
        <v>71</v>
      </c>
    </row>
    <row r="87" spans="1:3">
      <c r="A87" t="s">
        <v>203</v>
      </c>
      <c r="B87" t="s">
        <v>498</v>
      </c>
      <c r="C87" t="s">
        <v>156</v>
      </c>
    </row>
    <row r="88" spans="1:3">
      <c r="A88" t="s">
        <v>203</v>
      </c>
      <c r="B88" t="s">
        <v>499</v>
      </c>
      <c r="C88" t="s">
        <v>193</v>
      </c>
    </row>
    <row r="89" spans="1:3">
      <c r="A89" t="s">
        <v>203</v>
      </c>
      <c r="B89" t="s">
        <v>500</v>
      </c>
      <c r="C89">
        <v>1027136</v>
      </c>
    </row>
    <row r="90" spans="1:3">
      <c r="A90" t="s">
        <v>203</v>
      </c>
      <c r="B90" t="s">
        <v>501</v>
      </c>
      <c r="C90" t="s">
        <v>68</v>
      </c>
    </row>
    <row r="91" spans="1:3">
      <c r="A91" t="s">
        <v>516</v>
      </c>
      <c r="B91" t="s">
        <v>497</v>
      </c>
      <c r="C91">
        <v>391</v>
      </c>
    </row>
    <row r="92" spans="1:3">
      <c r="A92" t="s">
        <v>516</v>
      </c>
      <c r="B92" t="s">
        <v>498</v>
      </c>
      <c r="C92" t="s">
        <v>509</v>
      </c>
    </row>
    <row r="93" spans="1:3">
      <c r="A93" t="s">
        <v>516</v>
      </c>
      <c r="B93" t="s">
        <v>499</v>
      </c>
      <c r="C93" t="s">
        <v>168</v>
      </c>
    </row>
    <row r="94" spans="1:3">
      <c r="A94" t="s">
        <v>516</v>
      </c>
      <c r="B94" t="s">
        <v>500</v>
      </c>
      <c r="C94">
        <v>3786732</v>
      </c>
    </row>
    <row r="95" spans="1:3">
      <c r="A95" t="s">
        <v>516</v>
      </c>
      <c r="B95" t="s">
        <v>501</v>
      </c>
      <c r="C95" t="s">
        <v>68</v>
      </c>
    </row>
    <row r="96" spans="1:3">
      <c r="A96" t="s">
        <v>517</v>
      </c>
      <c r="B96" t="s">
        <v>497</v>
      </c>
      <c r="C96">
        <v>700</v>
      </c>
    </row>
    <row r="97" spans="1:3">
      <c r="A97" t="s">
        <v>517</v>
      </c>
      <c r="B97" t="s">
        <v>498</v>
      </c>
      <c r="C97" t="s">
        <v>518</v>
      </c>
    </row>
    <row r="98" spans="1:3">
      <c r="A98" t="s">
        <v>517</v>
      </c>
      <c r="B98" t="s">
        <v>499</v>
      </c>
      <c r="C98" t="s">
        <v>193</v>
      </c>
    </row>
    <row r="99" spans="1:3">
      <c r="A99" t="s">
        <v>517</v>
      </c>
      <c r="B99" t="s">
        <v>500</v>
      </c>
      <c r="C99">
        <v>5818787.21011623</v>
      </c>
    </row>
    <row r="100" spans="1:3">
      <c r="A100" t="s">
        <v>517</v>
      </c>
      <c r="B100" t="s">
        <v>501</v>
      </c>
      <c r="C100" t="s">
        <v>68</v>
      </c>
    </row>
    <row r="101" spans="1:3">
      <c r="A101" t="s">
        <v>205</v>
      </c>
      <c r="B101" t="s">
        <v>497</v>
      </c>
      <c r="C101">
        <v>250</v>
      </c>
    </row>
    <row r="102" spans="1:3">
      <c r="A102" t="s">
        <v>205</v>
      </c>
      <c r="B102" t="s">
        <v>498</v>
      </c>
      <c r="C102" t="s">
        <v>519</v>
      </c>
    </row>
    <row r="103" spans="1:3">
      <c r="A103" t="s">
        <v>205</v>
      </c>
      <c r="B103" t="s">
        <v>499</v>
      </c>
      <c r="C103" t="s">
        <v>193</v>
      </c>
    </row>
    <row r="104" spans="1:3">
      <c r="A104" t="s">
        <v>205</v>
      </c>
      <c r="B104" t="s">
        <v>500</v>
      </c>
      <c r="C104">
        <v>2581531</v>
      </c>
    </row>
    <row r="105" spans="1:3">
      <c r="A105" t="s">
        <v>205</v>
      </c>
      <c r="B105" t="s">
        <v>501</v>
      </c>
      <c r="C105" t="s">
        <v>41</v>
      </c>
    </row>
    <row r="106" spans="1:3">
      <c r="A106" t="s">
        <v>208</v>
      </c>
      <c r="B106" t="s">
        <v>497</v>
      </c>
      <c r="C106">
        <v>147</v>
      </c>
    </row>
    <row r="107" spans="1:3">
      <c r="A107" t="s">
        <v>208</v>
      </c>
      <c r="B107" t="s">
        <v>498</v>
      </c>
      <c r="C107" t="s">
        <v>505</v>
      </c>
    </row>
    <row r="108" spans="1:3">
      <c r="A108" t="s">
        <v>208</v>
      </c>
      <c r="B108" t="s">
        <v>499</v>
      </c>
      <c r="C108" t="s">
        <v>168</v>
      </c>
    </row>
    <row r="109" spans="1:3">
      <c r="A109" t="s">
        <v>208</v>
      </c>
      <c r="B109" t="s">
        <v>500</v>
      </c>
      <c r="C109">
        <v>1366576.15</v>
      </c>
    </row>
    <row r="110" spans="1:3">
      <c r="A110" t="s">
        <v>208</v>
      </c>
      <c r="B110" t="s">
        <v>501</v>
      </c>
      <c r="C110" t="s">
        <v>41</v>
      </c>
    </row>
    <row r="111" spans="1:3">
      <c r="A111" t="s">
        <v>211</v>
      </c>
      <c r="B111" t="s">
        <v>497</v>
      </c>
      <c r="C111">
        <v>175</v>
      </c>
    </row>
    <row r="112" spans="1:3">
      <c r="A112" t="s">
        <v>211</v>
      </c>
      <c r="B112" t="s">
        <v>498</v>
      </c>
      <c r="C112" t="s">
        <v>509</v>
      </c>
    </row>
    <row r="113" spans="1:3">
      <c r="A113" t="s">
        <v>211</v>
      </c>
      <c r="B113" t="s">
        <v>499</v>
      </c>
      <c r="C113" t="s">
        <v>176</v>
      </c>
    </row>
    <row r="114" spans="1:3">
      <c r="A114" t="s">
        <v>211</v>
      </c>
      <c r="B114" t="s">
        <v>500</v>
      </c>
      <c r="C114">
        <v>2037106</v>
      </c>
    </row>
    <row r="115" spans="1:3">
      <c r="A115" t="s">
        <v>211</v>
      </c>
      <c r="B115" t="s">
        <v>501</v>
      </c>
      <c r="C115" t="s">
        <v>41</v>
      </c>
    </row>
    <row r="116" spans="1:3">
      <c r="A116" t="s">
        <v>213</v>
      </c>
      <c r="B116" t="s">
        <v>497</v>
      </c>
      <c r="C116">
        <v>825</v>
      </c>
    </row>
    <row r="117" spans="1:3">
      <c r="A117" t="s">
        <v>213</v>
      </c>
      <c r="B117" t="s">
        <v>498</v>
      </c>
      <c r="C117" t="s">
        <v>509</v>
      </c>
    </row>
    <row r="118" spans="1:3">
      <c r="A118" t="s">
        <v>213</v>
      </c>
      <c r="B118" t="s">
        <v>499</v>
      </c>
      <c r="C118" t="s">
        <v>176</v>
      </c>
    </row>
    <row r="119" spans="1:3">
      <c r="A119" t="s">
        <v>213</v>
      </c>
      <c r="B119" t="s">
        <v>500</v>
      </c>
      <c r="C119">
        <v>8906375</v>
      </c>
    </row>
    <row r="120" spans="1:3">
      <c r="A120" t="s">
        <v>213</v>
      </c>
      <c r="B120" t="s">
        <v>501</v>
      </c>
      <c r="C120" t="s">
        <v>41</v>
      </c>
    </row>
    <row r="121" spans="1:3">
      <c r="A121" t="s">
        <v>214</v>
      </c>
      <c r="B121" t="s">
        <v>497</v>
      </c>
      <c r="C121">
        <v>400</v>
      </c>
    </row>
    <row r="122" spans="1:3">
      <c r="A122" t="s">
        <v>214</v>
      </c>
      <c r="B122" t="s">
        <v>506</v>
      </c>
    </row>
    <row r="123" spans="1:3">
      <c r="A123" t="s">
        <v>214</v>
      </c>
      <c r="B123" t="s">
        <v>507</v>
      </c>
      <c r="C123" t="s">
        <v>353</v>
      </c>
    </row>
    <row r="124" spans="1:3">
      <c r="A124" t="s">
        <v>214</v>
      </c>
      <c r="B124" t="s">
        <v>499</v>
      </c>
      <c r="C124" t="s">
        <v>520</v>
      </c>
    </row>
    <row r="125" spans="1:3">
      <c r="A125" t="s">
        <v>214</v>
      </c>
      <c r="B125" t="s">
        <v>508</v>
      </c>
      <c r="C125" t="s">
        <v>66</v>
      </c>
    </row>
    <row r="126" spans="1:3">
      <c r="A126" t="s">
        <v>214</v>
      </c>
      <c r="B126" t="s">
        <v>500</v>
      </c>
      <c r="C126">
        <v>11535559.4510365</v>
      </c>
    </row>
    <row r="127" spans="1:3">
      <c r="A127" t="s">
        <v>214</v>
      </c>
      <c r="B127" t="s">
        <v>501</v>
      </c>
      <c r="C127" t="s">
        <v>31</v>
      </c>
    </row>
    <row r="128" spans="1:3">
      <c r="A128" t="s">
        <v>217</v>
      </c>
      <c r="B128" t="s">
        <v>497</v>
      </c>
      <c r="C128">
        <v>1749.93</v>
      </c>
    </row>
    <row r="129" spans="1:3">
      <c r="A129" t="s">
        <v>217</v>
      </c>
      <c r="B129" t="s">
        <v>506</v>
      </c>
      <c r="C129" t="s">
        <v>521</v>
      </c>
    </row>
    <row r="130" spans="1:3">
      <c r="A130" t="s">
        <v>217</v>
      </c>
      <c r="B130" t="s">
        <v>507</v>
      </c>
      <c r="C130" t="s">
        <v>515</v>
      </c>
    </row>
    <row r="131" spans="1:3">
      <c r="A131" t="s">
        <v>217</v>
      </c>
      <c r="B131" t="s">
        <v>499</v>
      </c>
      <c r="C131" t="s">
        <v>522</v>
      </c>
    </row>
    <row r="132" spans="1:3">
      <c r="A132" t="s">
        <v>217</v>
      </c>
      <c r="B132" t="s">
        <v>508</v>
      </c>
      <c r="C132" t="s">
        <v>523</v>
      </c>
    </row>
    <row r="133" spans="1:3">
      <c r="A133" t="s">
        <v>217</v>
      </c>
      <c r="B133" t="s">
        <v>500</v>
      </c>
      <c r="C133">
        <v>20939008.769727092</v>
      </c>
    </row>
    <row r="134" spans="1:3">
      <c r="A134" t="s">
        <v>217</v>
      </c>
      <c r="B134" t="s">
        <v>501</v>
      </c>
      <c r="C134" t="s">
        <v>31</v>
      </c>
    </row>
    <row r="135" spans="1:3">
      <c r="A135" t="s">
        <v>524</v>
      </c>
      <c r="B135" t="s">
        <v>497</v>
      </c>
      <c r="C135">
        <v>90</v>
      </c>
    </row>
    <row r="136" spans="1:3">
      <c r="A136" t="s">
        <v>524</v>
      </c>
      <c r="B136" t="s">
        <v>498</v>
      </c>
      <c r="C136" t="s">
        <v>519</v>
      </c>
    </row>
    <row r="137" spans="1:3">
      <c r="A137" t="s">
        <v>524</v>
      </c>
      <c r="B137" t="s">
        <v>499</v>
      </c>
      <c r="C137" t="s">
        <v>176</v>
      </c>
    </row>
    <row r="138" spans="1:3">
      <c r="A138" t="s">
        <v>524</v>
      </c>
      <c r="B138" t="s">
        <v>500</v>
      </c>
      <c r="C138">
        <v>1044632.7242355699</v>
      </c>
    </row>
    <row r="139" spans="1:3">
      <c r="A139" t="s">
        <v>524</v>
      </c>
      <c r="B139" t="s">
        <v>501</v>
      </c>
      <c r="C139" t="s">
        <v>35</v>
      </c>
    </row>
    <row r="140" spans="1:3">
      <c r="A140" t="s">
        <v>218</v>
      </c>
      <c r="B140" t="s">
        <v>497</v>
      </c>
      <c r="C140">
        <v>375</v>
      </c>
    </row>
    <row r="141" spans="1:3">
      <c r="A141" t="s">
        <v>218</v>
      </c>
      <c r="B141" t="s">
        <v>498</v>
      </c>
      <c r="C141" t="s">
        <v>518</v>
      </c>
    </row>
    <row r="142" spans="1:3">
      <c r="A142" t="s">
        <v>218</v>
      </c>
      <c r="B142" t="s">
        <v>499</v>
      </c>
      <c r="C142" t="s">
        <v>176</v>
      </c>
    </row>
    <row r="143" spans="1:3">
      <c r="A143" t="s">
        <v>218</v>
      </c>
      <c r="B143" t="s">
        <v>500</v>
      </c>
      <c r="C143">
        <v>3199251.4666193202</v>
      </c>
    </row>
    <row r="144" spans="1:3">
      <c r="A144" t="s">
        <v>218</v>
      </c>
      <c r="B144" t="s">
        <v>501</v>
      </c>
      <c r="C144" t="s">
        <v>41</v>
      </c>
    </row>
    <row r="145" spans="1:3">
      <c r="A145" t="s">
        <v>525</v>
      </c>
      <c r="B145" t="s">
        <v>497</v>
      </c>
    </row>
    <row r="146" spans="1:3">
      <c r="A146" t="s">
        <v>525</v>
      </c>
      <c r="B146" t="s">
        <v>506</v>
      </c>
    </row>
    <row r="147" spans="1:3">
      <c r="A147" t="s">
        <v>525</v>
      </c>
      <c r="B147" t="s">
        <v>507</v>
      </c>
    </row>
    <row r="148" spans="1:3">
      <c r="A148" t="s">
        <v>525</v>
      </c>
      <c r="B148" t="s">
        <v>499</v>
      </c>
    </row>
    <row r="149" spans="1:3">
      <c r="A149" t="s">
        <v>525</v>
      </c>
      <c r="B149" t="s">
        <v>508</v>
      </c>
    </row>
    <row r="150" spans="1:3">
      <c r="A150" t="s">
        <v>525</v>
      </c>
      <c r="B150" t="s">
        <v>500</v>
      </c>
    </row>
    <row r="151" spans="1:3">
      <c r="A151" t="s">
        <v>525</v>
      </c>
      <c r="B151" t="s">
        <v>501</v>
      </c>
      <c r="C151" t="s">
        <v>33</v>
      </c>
    </row>
    <row r="152" spans="1:3">
      <c r="A152" t="s">
        <v>526</v>
      </c>
      <c r="B152" t="s">
        <v>497</v>
      </c>
      <c r="C152">
        <v>260</v>
      </c>
    </row>
    <row r="153" spans="1:3">
      <c r="A153" t="s">
        <v>526</v>
      </c>
      <c r="B153" t="s">
        <v>498</v>
      </c>
      <c r="C153" t="s">
        <v>509</v>
      </c>
    </row>
    <row r="154" spans="1:3">
      <c r="A154" t="s">
        <v>526</v>
      </c>
      <c r="B154" t="s">
        <v>499</v>
      </c>
      <c r="C154" t="s">
        <v>164</v>
      </c>
    </row>
    <row r="155" spans="1:3">
      <c r="A155" t="s">
        <v>526</v>
      </c>
      <c r="B155" t="s">
        <v>500</v>
      </c>
      <c r="C155">
        <v>2566596.30608257</v>
      </c>
    </row>
    <row r="156" spans="1:3">
      <c r="A156" t="s">
        <v>526</v>
      </c>
      <c r="B156" t="s">
        <v>501</v>
      </c>
      <c r="C156" t="s">
        <v>68</v>
      </c>
    </row>
    <row r="157" spans="1:3">
      <c r="A157" t="s">
        <v>219</v>
      </c>
      <c r="B157" t="s">
        <v>497</v>
      </c>
      <c r="C157">
        <v>362</v>
      </c>
    </row>
    <row r="158" spans="1:3">
      <c r="A158" t="s">
        <v>219</v>
      </c>
      <c r="B158" t="s">
        <v>498</v>
      </c>
      <c r="C158" t="s">
        <v>509</v>
      </c>
    </row>
    <row r="159" spans="1:3">
      <c r="A159" t="s">
        <v>219</v>
      </c>
      <c r="B159" t="s">
        <v>499</v>
      </c>
      <c r="C159" t="s">
        <v>168</v>
      </c>
    </row>
    <row r="160" spans="1:3">
      <c r="A160" t="s">
        <v>219</v>
      </c>
      <c r="B160" t="s">
        <v>500</v>
      </c>
      <c r="C160">
        <v>3400106</v>
      </c>
    </row>
    <row r="161" spans="1:3">
      <c r="A161" t="s">
        <v>219</v>
      </c>
      <c r="B161" t="s">
        <v>501</v>
      </c>
      <c r="C161" t="s">
        <v>37</v>
      </c>
    </row>
    <row r="162" spans="1:3">
      <c r="A162" t="s">
        <v>527</v>
      </c>
      <c r="B162" t="s">
        <v>497</v>
      </c>
      <c r="C162">
        <v>420</v>
      </c>
    </row>
    <row r="163" spans="1:3">
      <c r="A163" t="s">
        <v>527</v>
      </c>
      <c r="B163" t="s">
        <v>498</v>
      </c>
      <c r="C163" t="s">
        <v>503</v>
      </c>
    </row>
    <row r="164" spans="1:3">
      <c r="A164" t="s">
        <v>527</v>
      </c>
      <c r="B164" t="s">
        <v>499</v>
      </c>
      <c r="C164" t="s">
        <v>193</v>
      </c>
    </row>
    <row r="165" spans="1:3">
      <c r="A165" t="s">
        <v>527</v>
      </c>
      <c r="B165" t="s">
        <v>500</v>
      </c>
      <c r="C165">
        <v>4119606.8571272362</v>
      </c>
    </row>
    <row r="166" spans="1:3">
      <c r="A166" t="s">
        <v>527</v>
      </c>
      <c r="B166" t="s">
        <v>501</v>
      </c>
      <c r="C166" t="s">
        <v>33</v>
      </c>
    </row>
    <row r="167" spans="1:3">
      <c r="A167" t="s">
        <v>223</v>
      </c>
      <c r="B167" t="s">
        <v>497</v>
      </c>
      <c r="C167">
        <v>509</v>
      </c>
    </row>
    <row r="168" spans="1:3">
      <c r="A168" t="s">
        <v>223</v>
      </c>
      <c r="B168" t="s">
        <v>498</v>
      </c>
      <c r="C168" t="s">
        <v>509</v>
      </c>
    </row>
    <row r="169" spans="1:3">
      <c r="A169" t="s">
        <v>223</v>
      </c>
      <c r="B169" t="s">
        <v>499</v>
      </c>
      <c r="C169" t="s">
        <v>193</v>
      </c>
    </row>
    <row r="170" spans="1:3">
      <c r="A170" t="s">
        <v>223</v>
      </c>
      <c r="B170" t="s">
        <v>500</v>
      </c>
      <c r="C170">
        <v>4761473</v>
      </c>
    </row>
    <row r="171" spans="1:3">
      <c r="A171" t="s">
        <v>223</v>
      </c>
      <c r="B171" t="s">
        <v>501</v>
      </c>
      <c r="C171" t="s">
        <v>39</v>
      </c>
    </row>
    <row r="172" spans="1:3">
      <c r="A172" t="s">
        <v>224</v>
      </c>
      <c r="B172" t="s">
        <v>497</v>
      </c>
      <c r="C172">
        <v>370</v>
      </c>
    </row>
    <row r="173" spans="1:3">
      <c r="A173" t="s">
        <v>224</v>
      </c>
      <c r="B173" t="s">
        <v>498</v>
      </c>
      <c r="C173" t="s">
        <v>509</v>
      </c>
    </row>
    <row r="174" spans="1:3">
      <c r="A174" t="s">
        <v>224</v>
      </c>
      <c r="B174" t="s">
        <v>499</v>
      </c>
      <c r="C174" t="s">
        <v>168</v>
      </c>
    </row>
    <row r="175" spans="1:3">
      <c r="A175" t="s">
        <v>224</v>
      </c>
      <c r="B175" t="s">
        <v>500</v>
      </c>
      <c r="C175">
        <v>3355439</v>
      </c>
    </row>
    <row r="176" spans="1:3">
      <c r="A176" t="s">
        <v>224</v>
      </c>
      <c r="B176" t="s">
        <v>501</v>
      </c>
      <c r="C176" t="s">
        <v>39</v>
      </c>
    </row>
    <row r="177" spans="1:3">
      <c r="A177" t="s">
        <v>528</v>
      </c>
      <c r="B177" t="s">
        <v>497</v>
      </c>
      <c r="C177">
        <v>682</v>
      </c>
    </row>
    <row r="178" spans="1:3">
      <c r="A178" t="s">
        <v>528</v>
      </c>
      <c r="B178" t="s">
        <v>498</v>
      </c>
      <c r="C178" t="s">
        <v>518</v>
      </c>
    </row>
    <row r="179" spans="1:3">
      <c r="A179" t="s">
        <v>528</v>
      </c>
      <c r="B179" t="s">
        <v>499</v>
      </c>
      <c r="C179" t="s">
        <v>164</v>
      </c>
    </row>
    <row r="180" spans="1:3">
      <c r="A180" t="s">
        <v>528</v>
      </c>
      <c r="B180" t="s">
        <v>500</v>
      </c>
      <c r="C180">
        <v>12364058.4066993</v>
      </c>
    </row>
    <row r="181" spans="1:3">
      <c r="A181" t="s">
        <v>528</v>
      </c>
      <c r="B181" t="s">
        <v>501</v>
      </c>
      <c r="C181" t="s">
        <v>31</v>
      </c>
    </row>
    <row r="182" spans="1:3">
      <c r="A182" t="s">
        <v>529</v>
      </c>
      <c r="B182" t="s">
        <v>497</v>
      </c>
      <c r="C182">
        <v>600</v>
      </c>
    </row>
    <row r="183" spans="1:3">
      <c r="A183" t="s">
        <v>529</v>
      </c>
      <c r="B183" t="s">
        <v>498</v>
      </c>
      <c r="C183" t="s">
        <v>518</v>
      </c>
    </row>
    <row r="184" spans="1:3">
      <c r="A184" t="s">
        <v>529</v>
      </c>
      <c r="B184" t="s">
        <v>499</v>
      </c>
      <c r="C184" t="s">
        <v>168</v>
      </c>
    </row>
    <row r="185" spans="1:3">
      <c r="A185" t="s">
        <v>529</v>
      </c>
      <c r="B185" t="s">
        <v>500</v>
      </c>
      <c r="C185">
        <v>5813800.0000290396</v>
      </c>
    </row>
    <row r="186" spans="1:3">
      <c r="A186" t="s">
        <v>529</v>
      </c>
      <c r="B186" t="s">
        <v>501</v>
      </c>
      <c r="C186" t="s">
        <v>68</v>
      </c>
    </row>
    <row r="187" spans="1:3">
      <c r="A187" t="s">
        <v>530</v>
      </c>
      <c r="B187" t="s">
        <v>497</v>
      </c>
      <c r="C187">
        <v>184</v>
      </c>
    </row>
    <row r="188" spans="1:3">
      <c r="A188" t="s">
        <v>530</v>
      </c>
      <c r="B188" t="s">
        <v>498</v>
      </c>
      <c r="C188" t="s">
        <v>505</v>
      </c>
    </row>
    <row r="189" spans="1:3">
      <c r="A189" t="s">
        <v>530</v>
      </c>
      <c r="B189" t="s">
        <v>499</v>
      </c>
      <c r="C189" t="s">
        <v>164</v>
      </c>
    </row>
    <row r="190" spans="1:3">
      <c r="A190" t="s">
        <v>530</v>
      </c>
      <c r="B190" t="s">
        <v>500</v>
      </c>
      <c r="C190">
        <v>1862957.150983484</v>
      </c>
    </row>
    <row r="191" spans="1:3">
      <c r="A191" t="s">
        <v>530</v>
      </c>
      <c r="B191" t="s">
        <v>501</v>
      </c>
      <c r="C191" t="s">
        <v>37</v>
      </c>
    </row>
    <row r="192" spans="1:3">
      <c r="A192" t="s">
        <v>531</v>
      </c>
      <c r="B192" t="s">
        <v>497</v>
      </c>
      <c r="C192">
        <v>595</v>
      </c>
    </row>
    <row r="193" spans="1:3">
      <c r="A193" t="s">
        <v>531</v>
      </c>
      <c r="B193" t="s">
        <v>507</v>
      </c>
      <c r="C193" t="s">
        <v>282</v>
      </c>
    </row>
    <row r="194" spans="1:3">
      <c r="A194" t="s">
        <v>531</v>
      </c>
      <c r="B194" t="s">
        <v>500</v>
      </c>
      <c r="C194">
        <v>5531086.4512388604</v>
      </c>
    </row>
    <row r="195" spans="1:3">
      <c r="A195" t="s">
        <v>531</v>
      </c>
      <c r="B195" t="s">
        <v>501</v>
      </c>
      <c r="C195" t="s">
        <v>42</v>
      </c>
    </row>
    <row r="196" spans="1:3">
      <c r="A196" t="s">
        <v>532</v>
      </c>
      <c r="B196" t="s">
        <v>497</v>
      </c>
      <c r="C196">
        <v>157</v>
      </c>
    </row>
    <row r="197" spans="1:3">
      <c r="A197" t="s">
        <v>532</v>
      </c>
      <c r="B197" t="s">
        <v>507</v>
      </c>
      <c r="C197" t="s">
        <v>282</v>
      </c>
    </row>
    <row r="198" spans="1:3">
      <c r="A198" t="s">
        <v>532</v>
      </c>
      <c r="B198" t="s">
        <v>500</v>
      </c>
      <c r="C198">
        <v>1658747.6137909901</v>
      </c>
    </row>
    <row r="199" spans="1:3">
      <c r="A199" t="s">
        <v>532</v>
      </c>
      <c r="B199" t="s">
        <v>501</v>
      </c>
      <c r="C199" t="s">
        <v>68</v>
      </c>
    </row>
    <row r="200" spans="1:3">
      <c r="A200" t="s">
        <v>533</v>
      </c>
      <c r="B200" t="s">
        <v>497</v>
      </c>
      <c r="C200">
        <v>148</v>
      </c>
    </row>
    <row r="201" spans="1:3">
      <c r="A201" t="s">
        <v>533</v>
      </c>
      <c r="B201" t="s">
        <v>507</v>
      </c>
      <c r="C201" t="s">
        <v>282</v>
      </c>
    </row>
    <row r="202" spans="1:3">
      <c r="A202" t="s">
        <v>533</v>
      </c>
      <c r="B202" t="s">
        <v>500</v>
      </c>
      <c r="C202">
        <v>1735813.3392688499</v>
      </c>
    </row>
    <row r="203" spans="1:3">
      <c r="A203" t="s">
        <v>533</v>
      </c>
      <c r="B203" t="s">
        <v>501</v>
      </c>
      <c r="C203" t="s">
        <v>68</v>
      </c>
    </row>
    <row r="204" spans="1:3">
      <c r="A204" t="s">
        <v>534</v>
      </c>
      <c r="B204" t="s">
        <v>497</v>
      </c>
      <c r="C204">
        <v>250</v>
      </c>
    </row>
    <row r="205" spans="1:3">
      <c r="A205" t="s">
        <v>534</v>
      </c>
      <c r="B205" t="s">
        <v>507</v>
      </c>
      <c r="C205" t="s">
        <v>282</v>
      </c>
    </row>
    <row r="206" spans="1:3">
      <c r="A206" t="s">
        <v>534</v>
      </c>
      <c r="B206" t="s">
        <v>500</v>
      </c>
      <c r="C206">
        <v>2462259.00338786</v>
      </c>
    </row>
    <row r="207" spans="1:3">
      <c r="A207" t="s">
        <v>534</v>
      </c>
      <c r="B207" t="s">
        <v>501</v>
      </c>
      <c r="C207" t="s">
        <v>68</v>
      </c>
    </row>
    <row r="208" spans="1:3">
      <c r="A208" t="s">
        <v>226</v>
      </c>
      <c r="B208" t="s">
        <v>497</v>
      </c>
      <c r="C208">
        <v>1360</v>
      </c>
    </row>
    <row r="209" spans="1:3">
      <c r="A209" t="s">
        <v>226</v>
      </c>
      <c r="B209" t="s">
        <v>498</v>
      </c>
      <c r="C209" t="s">
        <v>511</v>
      </c>
    </row>
    <row r="210" spans="1:3">
      <c r="A210" t="s">
        <v>226</v>
      </c>
      <c r="B210" t="s">
        <v>499</v>
      </c>
      <c r="C210" t="s">
        <v>193</v>
      </c>
    </row>
    <row r="211" spans="1:3">
      <c r="A211" t="s">
        <v>226</v>
      </c>
      <c r="B211" t="s">
        <v>500</v>
      </c>
      <c r="C211">
        <v>10428344.3461792</v>
      </c>
    </row>
    <row r="212" spans="1:3">
      <c r="A212" t="s">
        <v>226</v>
      </c>
      <c r="B212" t="s">
        <v>501</v>
      </c>
      <c r="C212" t="s">
        <v>37</v>
      </c>
    </row>
    <row r="213" spans="1:3">
      <c r="A213" t="s">
        <v>231</v>
      </c>
      <c r="B213" t="s">
        <v>497</v>
      </c>
      <c r="C213">
        <v>250</v>
      </c>
    </row>
    <row r="214" spans="1:3">
      <c r="A214" t="s">
        <v>231</v>
      </c>
      <c r="B214" t="s">
        <v>498</v>
      </c>
      <c r="C214" t="s">
        <v>156</v>
      </c>
    </row>
    <row r="215" spans="1:3">
      <c r="A215" t="s">
        <v>231</v>
      </c>
      <c r="B215" t="s">
        <v>499</v>
      </c>
      <c r="C215" t="s">
        <v>156</v>
      </c>
    </row>
    <row r="216" spans="1:3">
      <c r="A216" t="s">
        <v>231</v>
      </c>
      <c r="B216" t="s">
        <v>500</v>
      </c>
      <c r="C216">
        <v>2077436.28</v>
      </c>
    </row>
    <row r="217" spans="1:3">
      <c r="A217" t="s">
        <v>231</v>
      </c>
      <c r="B217" t="s">
        <v>501</v>
      </c>
      <c r="C217" t="s">
        <v>68</v>
      </c>
    </row>
    <row r="218" spans="1:3">
      <c r="A218" t="s">
        <v>232</v>
      </c>
      <c r="B218" t="s">
        <v>497</v>
      </c>
      <c r="C218">
        <v>250</v>
      </c>
    </row>
    <row r="219" spans="1:3">
      <c r="A219" t="s">
        <v>232</v>
      </c>
      <c r="B219" t="s">
        <v>498</v>
      </c>
      <c r="C219" t="s">
        <v>156</v>
      </c>
    </row>
    <row r="220" spans="1:3">
      <c r="A220" t="s">
        <v>232</v>
      </c>
      <c r="B220" t="s">
        <v>499</v>
      </c>
      <c r="C220" t="s">
        <v>156</v>
      </c>
    </row>
    <row r="221" spans="1:3">
      <c r="A221" t="s">
        <v>232</v>
      </c>
      <c r="B221" t="s">
        <v>500</v>
      </c>
      <c r="C221">
        <v>2034295.7254315901</v>
      </c>
    </row>
    <row r="222" spans="1:3">
      <c r="A222" t="s">
        <v>232</v>
      </c>
      <c r="B222" t="s">
        <v>501</v>
      </c>
      <c r="C222" t="s">
        <v>68</v>
      </c>
    </row>
    <row r="223" spans="1:3">
      <c r="A223" t="s">
        <v>233</v>
      </c>
      <c r="B223" t="s">
        <v>497</v>
      </c>
      <c r="C223">
        <v>467</v>
      </c>
    </row>
    <row r="224" spans="1:3">
      <c r="A224" t="s">
        <v>233</v>
      </c>
      <c r="B224" t="s">
        <v>498</v>
      </c>
      <c r="C224" t="s">
        <v>509</v>
      </c>
    </row>
    <row r="225" spans="1:3">
      <c r="A225" t="s">
        <v>233</v>
      </c>
      <c r="B225" t="s">
        <v>499</v>
      </c>
      <c r="C225" t="s">
        <v>193</v>
      </c>
    </row>
    <row r="226" spans="1:3">
      <c r="A226" t="s">
        <v>233</v>
      </c>
      <c r="B226" t="s">
        <v>500</v>
      </c>
      <c r="C226">
        <v>4662650</v>
      </c>
    </row>
    <row r="227" spans="1:3">
      <c r="A227" t="s">
        <v>233</v>
      </c>
      <c r="B227" t="s">
        <v>501</v>
      </c>
      <c r="C227" t="s">
        <v>37</v>
      </c>
    </row>
    <row r="228" spans="1:3">
      <c r="A228" t="s">
        <v>237</v>
      </c>
      <c r="B228" t="s">
        <v>497</v>
      </c>
      <c r="C228">
        <v>460</v>
      </c>
    </row>
    <row r="229" spans="1:3">
      <c r="A229" t="s">
        <v>237</v>
      </c>
      <c r="B229" t="s">
        <v>498</v>
      </c>
      <c r="C229" t="s">
        <v>513</v>
      </c>
    </row>
    <row r="230" spans="1:3">
      <c r="A230" t="s">
        <v>237</v>
      </c>
      <c r="B230" t="s">
        <v>499</v>
      </c>
      <c r="C230" t="s">
        <v>176</v>
      </c>
    </row>
    <row r="231" spans="1:3">
      <c r="A231" t="s">
        <v>237</v>
      </c>
      <c r="B231" t="s">
        <v>500</v>
      </c>
      <c r="C231">
        <v>1891415.11</v>
      </c>
    </row>
    <row r="232" spans="1:3">
      <c r="A232" t="s">
        <v>237</v>
      </c>
      <c r="B232" t="s">
        <v>501</v>
      </c>
      <c r="C232" t="s">
        <v>42</v>
      </c>
    </row>
    <row r="233" spans="1:3">
      <c r="A233" t="s">
        <v>535</v>
      </c>
      <c r="B233" t="s">
        <v>497</v>
      </c>
      <c r="C233">
        <v>130</v>
      </c>
    </row>
    <row r="234" spans="1:3">
      <c r="A234" t="s">
        <v>535</v>
      </c>
      <c r="B234" t="s">
        <v>498</v>
      </c>
      <c r="C234" t="s">
        <v>509</v>
      </c>
    </row>
    <row r="235" spans="1:3">
      <c r="A235" t="s">
        <v>535</v>
      </c>
      <c r="B235" t="s">
        <v>499</v>
      </c>
      <c r="C235" t="s">
        <v>164</v>
      </c>
    </row>
    <row r="236" spans="1:3">
      <c r="A236" t="s">
        <v>535</v>
      </c>
      <c r="B236" t="s">
        <v>500</v>
      </c>
      <c r="C236">
        <v>1441230.4772331575</v>
      </c>
    </row>
    <row r="237" spans="1:3">
      <c r="A237" t="s">
        <v>535</v>
      </c>
      <c r="B237" t="s">
        <v>501</v>
      </c>
      <c r="C237" t="s">
        <v>35</v>
      </c>
    </row>
    <row r="238" spans="1:3">
      <c r="A238" t="s">
        <v>238</v>
      </c>
      <c r="B238" t="s">
        <v>497</v>
      </c>
      <c r="C238">
        <v>157</v>
      </c>
    </row>
    <row r="239" spans="1:3">
      <c r="A239" t="s">
        <v>238</v>
      </c>
      <c r="B239" t="s">
        <v>498</v>
      </c>
      <c r="C239" t="s">
        <v>513</v>
      </c>
    </row>
    <row r="240" spans="1:3">
      <c r="A240" t="s">
        <v>238</v>
      </c>
      <c r="B240" t="s">
        <v>499</v>
      </c>
      <c r="C240" t="s">
        <v>176</v>
      </c>
    </row>
    <row r="241" spans="1:3">
      <c r="A241" t="s">
        <v>238</v>
      </c>
      <c r="B241" t="s">
        <v>500</v>
      </c>
      <c r="C241">
        <v>1364882.3818340108</v>
      </c>
    </row>
    <row r="242" spans="1:3">
      <c r="A242" t="s">
        <v>238</v>
      </c>
      <c r="B242" t="s">
        <v>501</v>
      </c>
      <c r="C242" t="s">
        <v>39</v>
      </c>
    </row>
    <row r="243" spans="1:3">
      <c r="A243" t="s">
        <v>536</v>
      </c>
      <c r="B243" t="s">
        <v>497</v>
      </c>
      <c r="C243">
        <v>350</v>
      </c>
    </row>
    <row r="244" spans="1:3">
      <c r="A244" t="s">
        <v>536</v>
      </c>
      <c r="B244" t="s">
        <v>498</v>
      </c>
      <c r="C244" t="s">
        <v>505</v>
      </c>
    </row>
    <row r="245" spans="1:3">
      <c r="A245" t="s">
        <v>536</v>
      </c>
      <c r="B245" t="s">
        <v>499</v>
      </c>
      <c r="C245" t="s">
        <v>164</v>
      </c>
    </row>
    <row r="246" spans="1:3">
      <c r="A246" t="s">
        <v>536</v>
      </c>
      <c r="B246" t="s">
        <v>500</v>
      </c>
      <c r="C246">
        <v>2718200.0524241957</v>
      </c>
    </row>
    <row r="247" spans="1:3">
      <c r="A247" t="s">
        <v>536</v>
      </c>
      <c r="B247" t="s">
        <v>501</v>
      </c>
      <c r="C247" t="s">
        <v>33</v>
      </c>
    </row>
    <row r="248" spans="1:3">
      <c r="A248" t="s">
        <v>537</v>
      </c>
      <c r="B248" t="s">
        <v>497</v>
      </c>
      <c r="C248">
        <v>273</v>
      </c>
    </row>
    <row r="249" spans="1:3">
      <c r="A249" t="s">
        <v>537</v>
      </c>
      <c r="B249" t="s">
        <v>498</v>
      </c>
      <c r="C249" t="s">
        <v>505</v>
      </c>
    </row>
    <row r="250" spans="1:3">
      <c r="A250" t="s">
        <v>537</v>
      </c>
      <c r="B250" t="s">
        <v>499</v>
      </c>
      <c r="C250" t="s">
        <v>164</v>
      </c>
    </row>
    <row r="251" spans="1:3">
      <c r="A251" t="s">
        <v>537</v>
      </c>
      <c r="B251" t="s">
        <v>500</v>
      </c>
      <c r="C251">
        <v>2345835.8965035323</v>
      </c>
    </row>
    <row r="252" spans="1:3">
      <c r="A252" t="s">
        <v>537</v>
      </c>
      <c r="B252" t="s">
        <v>501</v>
      </c>
      <c r="C252" t="s">
        <v>37</v>
      </c>
    </row>
    <row r="253" spans="1:3">
      <c r="A253" t="s">
        <v>242</v>
      </c>
      <c r="B253" t="s">
        <v>497</v>
      </c>
      <c r="C253">
        <v>1875</v>
      </c>
    </row>
    <row r="254" spans="1:3">
      <c r="A254" t="s">
        <v>242</v>
      </c>
      <c r="B254" t="s">
        <v>498</v>
      </c>
      <c r="C254" t="s">
        <v>509</v>
      </c>
    </row>
    <row r="255" spans="1:3">
      <c r="A255" t="s">
        <v>242</v>
      </c>
      <c r="B255" t="s">
        <v>499</v>
      </c>
      <c r="C255" t="s">
        <v>168</v>
      </c>
    </row>
    <row r="256" spans="1:3">
      <c r="A256" t="s">
        <v>242</v>
      </c>
      <c r="B256" t="s">
        <v>500</v>
      </c>
      <c r="C256">
        <v>16024328.9396773</v>
      </c>
    </row>
    <row r="257" spans="1:3">
      <c r="A257" t="s">
        <v>242</v>
      </c>
      <c r="B257" t="s">
        <v>501</v>
      </c>
      <c r="C257" t="s">
        <v>42</v>
      </c>
    </row>
    <row r="258" spans="1:3">
      <c r="A258" t="s">
        <v>244</v>
      </c>
      <c r="B258" t="s">
        <v>497</v>
      </c>
      <c r="C258">
        <v>440</v>
      </c>
    </row>
    <row r="259" spans="1:3">
      <c r="A259" t="s">
        <v>244</v>
      </c>
      <c r="B259" t="s">
        <v>498</v>
      </c>
      <c r="C259" t="s">
        <v>538</v>
      </c>
    </row>
    <row r="260" spans="1:3">
      <c r="A260" t="s">
        <v>244</v>
      </c>
      <c r="B260" t="s">
        <v>499</v>
      </c>
      <c r="C260" t="s">
        <v>176</v>
      </c>
    </row>
    <row r="261" spans="1:3">
      <c r="A261" t="s">
        <v>244</v>
      </c>
      <c r="B261" t="s">
        <v>500</v>
      </c>
      <c r="C261">
        <v>3878819.44001059</v>
      </c>
    </row>
    <row r="262" spans="1:3">
      <c r="A262" t="s">
        <v>244</v>
      </c>
      <c r="B262" t="s">
        <v>501</v>
      </c>
      <c r="C262" t="s">
        <v>42</v>
      </c>
    </row>
    <row r="263" spans="1:3">
      <c r="A263" t="s">
        <v>246</v>
      </c>
      <c r="B263" t="s">
        <v>497</v>
      </c>
      <c r="C263">
        <v>308</v>
      </c>
    </row>
    <row r="264" spans="1:3">
      <c r="A264" t="s">
        <v>246</v>
      </c>
      <c r="B264" t="s">
        <v>498</v>
      </c>
      <c r="C264" t="s">
        <v>509</v>
      </c>
    </row>
    <row r="265" spans="1:3">
      <c r="A265" t="s">
        <v>246</v>
      </c>
      <c r="B265" t="s">
        <v>499</v>
      </c>
      <c r="C265" t="s">
        <v>168</v>
      </c>
    </row>
    <row r="266" spans="1:3">
      <c r="A266" t="s">
        <v>246</v>
      </c>
      <c r="B266" t="s">
        <v>500</v>
      </c>
      <c r="C266">
        <v>2696545</v>
      </c>
    </row>
    <row r="267" spans="1:3">
      <c r="A267" t="s">
        <v>246</v>
      </c>
      <c r="B267" t="s">
        <v>501</v>
      </c>
      <c r="C267" t="s">
        <v>37</v>
      </c>
    </row>
    <row r="268" spans="1:3">
      <c r="A268" t="s">
        <v>248</v>
      </c>
      <c r="B268" t="s">
        <v>497</v>
      </c>
      <c r="C268">
        <v>838</v>
      </c>
    </row>
    <row r="269" spans="1:3">
      <c r="A269" t="s">
        <v>248</v>
      </c>
      <c r="B269" t="s">
        <v>498</v>
      </c>
      <c r="C269" t="s">
        <v>509</v>
      </c>
    </row>
    <row r="270" spans="1:3">
      <c r="A270" t="s">
        <v>248</v>
      </c>
      <c r="B270" t="s">
        <v>499</v>
      </c>
      <c r="C270" t="s">
        <v>176</v>
      </c>
    </row>
    <row r="271" spans="1:3">
      <c r="A271" t="s">
        <v>248</v>
      </c>
      <c r="B271" t="s">
        <v>500</v>
      </c>
      <c r="C271">
        <v>8147396</v>
      </c>
    </row>
    <row r="272" spans="1:3">
      <c r="A272" t="s">
        <v>248</v>
      </c>
      <c r="B272" t="s">
        <v>501</v>
      </c>
      <c r="C272" t="s">
        <v>41</v>
      </c>
    </row>
    <row r="273" spans="1:3">
      <c r="A273" t="s">
        <v>250</v>
      </c>
      <c r="B273" t="s">
        <v>497</v>
      </c>
      <c r="C273">
        <v>454</v>
      </c>
    </row>
    <row r="274" spans="1:3">
      <c r="A274" t="s">
        <v>250</v>
      </c>
      <c r="B274" t="s">
        <v>498</v>
      </c>
      <c r="C274" t="s">
        <v>156</v>
      </c>
    </row>
    <row r="275" spans="1:3">
      <c r="A275" t="s">
        <v>250</v>
      </c>
      <c r="B275" t="s">
        <v>499</v>
      </c>
      <c r="C275" t="s">
        <v>164</v>
      </c>
    </row>
    <row r="276" spans="1:3">
      <c r="A276" t="s">
        <v>250</v>
      </c>
      <c r="B276" t="s">
        <v>500</v>
      </c>
      <c r="C276">
        <v>6640297.8799999999</v>
      </c>
    </row>
    <row r="277" spans="1:3">
      <c r="A277" t="s">
        <v>250</v>
      </c>
      <c r="B277" t="s">
        <v>501</v>
      </c>
      <c r="C277" t="s">
        <v>37</v>
      </c>
    </row>
    <row r="278" spans="1:3">
      <c r="A278" t="s">
        <v>254</v>
      </c>
      <c r="B278" t="s">
        <v>497</v>
      </c>
      <c r="C278">
        <v>55</v>
      </c>
    </row>
    <row r="279" spans="1:3">
      <c r="A279" t="s">
        <v>254</v>
      </c>
      <c r="B279" t="s">
        <v>498</v>
      </c>
      <c r="C279" t="s">
        <v>509</v>
      </c>
    </row>
    <row r="280" spans="1:3">
      <c r="A280" t="s">
        <v>254</v>
      </c>
      <c r="B280" t="s">
        <v>499</v>
      </c>
      <c r="C280" t="s">
        <v>255</v>
      </c>
    </row>
    <row r="281" spans="1:3">
      <c r="A281" t="s">
        <v>254</v>
      </c>
      <c r="B281" t="s">
        <v>500</v>
      </c>
      <c r="C281">
        <v>828367.24558144587</v>
      </c>
    </row>
    <row r="282" spans="1:3">
      <c r="A282" t="s">
        <v>254</v>
      </c>
      <c r="B282" t="s">
        <v>501</v>
      </c>
      <c r="C282" t="s">
        <v>41</v>
      </c>
    </row>
    <row r="283" spans="1:3">
      <c r="A283" t="s">
        <v>539</v>
      </c>
      <c r="B283" t="s">
        <v>498</v>
      </c>
      <c r="C283" t="s">
        <v>513</v>
      </c>
    </row>
    <row r="284" spans="1:3">
      <c r="A284" t="s">
        <v>539</v>
      </c>
      <c r="B284" t="s">
        <v>499</v>
      </c>
      <c r="C284" t="s">
        <v>176</v>
      </c>
    </row>
    <row r="285" spans="1:3">
      <c r="A285" t="s">
        <v>539</v>
      </c>
      <c r="B285" t="s">
        <v>500</v>
      </c>
      <c r="C285">
        <v>823858.48704435665</v>
      </c>
    </row>
    <row r="286" spans="1:3">
      <c r="A286" t="s">
        <v>539</v>
      </c>
      <c r="B286" t="s">
        <v>501</v>
      </c>
      <c r="C286" t="s">
        <v>35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004FC-3C64-41AB-AED1-4C993C2E6AF1}">
  <sheetPr codeName="Sheet5"/>
  <dimension ref="A1:Q2176"/>
  <sheetViews>
    <sheetView zoomScale="85" zoomScaleNormal="85" workbookViewId="0">
      <selection activeCell="B50" sqref="B50:C50"/>
    </sheetView>
  </sheetViews>
  <sheetFormatPr defaultRowHeight="14.5"/>
  <cols>
    <col min="1" max="1" width="14.7265625" bestFit="1" customWidth="1"/>
    <col min="2" max="2" width="14.26953125" bestFit="1" customWidth="1"/>
    <col min="3" max="3" width="17.26953125" bestFit="1" customWidth="1"/>
    <col min="4" max="4" width="18" style="2" bestFit="1" customWidth="1"/>
    <col min="5" max="5" width="23" style="172" bestFit="1" customWidth="1"/>
    <col min="6" max="6" width="16.90625" style="2" bestFit="1" customWidth="1"/>
    <col min="7" max="7" width="18.90625" style="6" bestFit="1" customWidth="1"/>
    <col min="8" max="8" width="21.36328125" style="6" bestFit="1" customWidth="1"/>
    <col min="9" max="9" width="14.54296875" bestFit="1" customWidth="1"/>
    <col min="10" max="10" width="15.90625" bestFit="1" customWidth="1"/>
    <col min="11" max="11" width="11.54296875" style="6" bestFit="1" customWidth="1"/>
    <col min="12" max="12" width="12.54296875" style="6" bestFit="1" customWidth="1"/>
    <col min="13" max="13" width="17.453125" style="2" bestFit="1" customWidth="1"/>
    <col min="14" max="14" width="16.54296875" bestFit="1" customWidth="1"/>
    <col min="15" max="15" width="18.54296875" style="2" bestFit="1" customWidth="1"/>
    <col min="16" max="16" width="13.453125" style="6" bestFit="1" customWidth="1"/>
    <col min="17" max="17" width="19.54296875" style="6" bestFit="1" customWidth="1"/>
    <col min="18" max="18" width="18.54296875" bestFit="1" customWidth="1"/>
    <col min="19" max="19" width="13.453125" bestFit="1" customWidth="1"/>
    <col min="20" max="20" width="19.54296875" bestFit="1" customWidth="1"/>
  </cols>
  <sheetData>
    <row r="1" spans="1:17">
      <c r="A1" t="s">
        <v>494</v>
      </c>
      <c r="B1" t="s">
        <v>540</v>
      </c>
      <c r="C1" t="s">
        <v>541</v>
      </c>
      <c r="D1" s="2" t="s">
        <v>542</v>
      </c>
      <c r="E1" s="172" t="s">
        <v>543</v>
      </c>
      <c r="F1" s="2" t="s">
        <v>544</v>
      </c>
      <c r="G1" s="6" t="s">
        <v>545</v>
      </c>
      <c r="H1" s="6" t="s">
        <v>546</v>
      </c>
      <c r="K1"/>
      <c r="L1"/>
      <c r="M1"/>
      <c r="O1"/>
      <c r="P1"/>
      <c r="Q1"/>
    </row>
    <row r="2" spans="1:17" ht="14.4" hidden="1">
      <c r="A2" t="s">
        <v>155</v>
      </c>
      <c r="B2">
        <v>1</v>
      </c>
      <c r="C2" t="s">
        <v>547</v>
      </c>
      <c r="D2" s="2">
        <v>45909</v>
      </c>
      <c r="E2">
        <v>43</v>
      </c>
      <c r="F2" s="2">
        <v>45952</v>
      </c>
      <c r="G2" s="6">
        <v>1</v>
      </c>
      <c r="H2" s="6">
        <v>1</v>
      </c>
      <c r="K2"/>
      <c r="L2"/>
      <c r="M2"/>
      <c r="O2"/>
      <c r="P2"/>
      <c r="Q2"/>
    </row>
    <row r="3" spans="1:17" ht="14.4" hidden="1">
      <c r="A3" t="s">
        <v>155</v>
      </c>
      <c r="B3" t="s">
        <v>548</v>
      </c>
      <c r="C3" t="s">
        <v>549</v>
      </c>
      <c r="D3" s="2">
        <v>45909</v>
      </c>
      <c r="E3">
        <v>1</v>
      </c>
      <c r="F3" s="2">
        <v>45910</v>
      </c>
      <c r="G3" s="6">
        <v>1</v>
      </c>
      <c r="H3" s="6">
        <v>1</v>
      </c>
      <c r="K3"/>
      <c r="L3"/>
      <c r="M3"/>
      <c r="O3"/>
      <c r="P3"/>
      <c r="Q3"/>
    </row>
    <row r="4" spans="1:17" ht="14.4" hidden="1">
      <c r="A4" t="s">
        <v>155</v>
      </c>
      <c r="B4" t="s">
        <v>550</v>
      </c>
      <c r="C4" t="s">
        <v>551</v>
      </c>
      <c r="D4" s="2">
        <v>45930</v>
      </c>
      <c r="E4">
        <v>1</v>
      </c>
      <c r="F4" s="2">
        <v>45931</v>
      </c>
      <c r="G4" s="6">
        <v>1</v>
      </c>
      <c r="H4" s="6">
        <v>1</v>
      </c>
      <c r="K4"/>
      <c r="L4"/>
      <c r="M4"/>
      <c r="O4"/>
      <c r="P4"/>
      <c r="Q4"/>
    </row>
    <row r="5" spans="1:17" ht="14.4" hidden="1">
      <c r="A5" t="s">
        <v>155</v>
      </c>
      <c r="B5" t="s">
        <v>552</v>
      </c>
      <c r="C5" t="s">
        <v>553</v>
      </c>
      <c r="D5" s="2">
        <v>45946</v>
      </c>
      <c r="E5">
        <v>7</v>
      </c>
      <c r="F5" s="2">
        <v>45952</v>
      </c>
      <c r="G5" s="6">
        <v>1</v>
      </c>
      <c r="H5" s="6">
        <v>1</v>
      </c>
      <c r="K5"/>
      <c r="L5"/>
      <c r="M5"/>
      <c r="O5"/>
      <c r="P5"/>
      <c r="Q5"/>
    </row>
    <row r="6" spans="1:17" ht="14.4" hidden="1">
      <c r="A6" t="s">
        <v>155</v>
      </c>
      <c r="B6" t="s">
        <v>554</v>
      </c>
      <c r="C6" t="s">
        <v>555</v>
      </c>
      <c r="D6" s="2">
        <v>45930</v>
      </c>
      <c r="E6">
        <v>1</v>
      </c>
      <c r="F6" s="2">
        <v>45931</v>
      </c>
      <c r="G6" s="6">
        <v>1</v>
      </c>
      <c r="H6" s="6">
        <v>1</v>
      </c>
      <c r="K6"/>
      <c r="L6"/>
      <c r="M6"/>
      <c r="O6"/>
      <c r="P6"/>
      <c r="Q6"/>
    </row>
    <row r="7" spans="1:17" ht="14.4" hidden="1">
      <c r="A7" t="s">
        <v>155</v>
      </c>
      <c r="B7" t="s">
        <v>556</v>
      </c>
      <c r="C7" t="s">
        <v>557</v>
      </c>
      <c r="D7" s="2">
        <v>45937</v>
      </c>
      <c r="E7">
        <v>1</v>
      </c>
      <c r="F7" s="2">
        <v>45938</v>
      </c>
      <c r="G7" s="6">
        <v>1</v>
      </c>
      <c r="H7" s="6">
        <v>1</v>
      </c>
      <c r="K7"/>
      <c r="L7"/>
      <c r="M7"/>
      <c r="O7"/>
      <c r="P7"/>
      <c r="Q7"/>
    </row>
    <row r="8" spans="1:17" ht="14.4" hidden="1">
      <c r="A8" t="s">
        <v>155</v>
      </c>
      <c r="B8">
        <v>2</v>
      </c>
      <c r="C8" t="s">
        <v>558</v>
      </c>
      <c r="D8" s="2">
        <v>45944</v>
      </c>
      <c r="E8">
        <v>1</v>
      </c>
      <c r="F8" s="2">
        <v>45945</v>
      </c>
      <c r="G8" s="6">
        <v>1</v>
      </c>
      <c r="H8" s="6">
        <v>1</v>
      </c>
      <c r="K8"/>
      <c r="L8"/>
      <c r="M8"/>
      <c r="O8"/>
      <c r="P8"/>
      <c r="Q8"/>
    </row>
    <row r="9" spans="1:17" ht="14.4" hidden="1">
      <c r="A9" t="s">
        <v>155</v>
      </c>
      <c r="B9" t="s">
        <v>559</v>
      </c>
      <c r="C9" t="s">
        <v>560</v>
      </c>
      <c r="D9" s="2">
        <v>45944</v>
      </c>
      <c r="E9">
        <v>1</v>
      </c>
      <c r="F9" s="2">
        <v>45945</v>
      </c>
      <c r="G9" s="6">
        <v>1</v>
      </c>
      <c r="H9" s="6">
        <v>1</v>
      </c>
      <c r="K9"/>
      <c r="L9"/>
      <c r="M9"/>
      <c r="O9"/>
      <c r="P9"/>
      <c r="Q9"/>
    </row>
    <row r="10" spans="1:17" ht="14.4" hidden="1">
      <c r="A10" t="s">
        <v>155</v>
      </c>
      <c r="B10">
        <v>3</v>
      </c>
      <c r="C10" t="s">
        <v>561</v>
      </c>
      <c r="D10" s="2">
        <v>45930</v>
      </c>
      <c r="E10">
        <v>62</v>
      </c>
      <c r="F10" s="2">
        <v>45992</v>
      </c>
      <c r="G10" s="6">
        <v>1</v>
      </c>
      <c r="H10" s="6">
        <v>1</v>
      </c>
      <c r="K10"/>
      <c r="L10"/>
      <c r="M10"/>
      <c r="O10"/>
      <c r="P10"/>
      <c r="Q10"/>
    </row>
    <row r="11" spans="1:17" ht="14.4" hidden="1">
      <c r="A11" t="s">
        <v>155</v>
      </c>
      <c r="B11" t="s">
        <v>562</v>
      </c>
      <c r="C11" t="s">
        <v>563</v>
      </c>
      <c r="D11" s="2">
        <v>45944</v>
      </c>
      <c r="E11">
        <v>1</v>
      </c>
      <c r="F11" s="2">
        <v>45945</v>
      </c>
      <c r="G11" s="6">
        <v>1</v>
      </c>
      <c r="H11" s="6">
        <v>1</v>
      </c>
      <c r="K11"/>
      <c r="L11"/>
      <c r="M11"/>
      <c r="O11"/>
      <c r="P11"/>
      <c r="Q11"/>
    </row>
    <row r="12" spans="1:17" ht="14.4" hidden="1">
      <c r="A12" t="s">
        <v>155</v>
      </c>
      <c r="B12" t="s">
        <v>564</v>
      </c>
      <c r="C12" t="s">
        <v>565</v>
      </c>
      <c r="D12" s="2">
        <v>45959</v>
      </c>
      <c r="E12">
        <v>2</v>
      </c>
      <c r="F12" s="2">
        <v>45961</v>
      </c>
      <c r="G12" s="6">
        <v>1</v>
      </c>
      <c r="H12" s="6">
        <v>1</v>
      </c>
      <c r="K12"/>
      <c r="L12"/>
      <c r="M12"/>
      <c r="O12"/>
      <c r="P12"/>
      <c r="Q12"/>
    </row>
    <row r="13" spans="1:17" ht="14.4" hidden="1">
      <c r="A13" t="s">
        <v>155</v>
      </c>
      <c r="B13" t="s">
        <v>566</v>
      </c>
      <c r="C13" t="s">
        <v>567</v>
      </c>
      <c r="D13" s="2">
        <v>45930</v>
      </c>
      <c r="E13">
        <v>33</v>
      </c>
      <c r="F13" s="2">
        <v>45975</v>
      </c>
      <c r="G13" s="6">
        <v>1</v>
      </c>
      <c r="H13" s="6">
        <v>1</v>
      </c>
      <c r="K13"/>
      <c r="L13"/>
      <c r="M13"/>
      <c r="O13"/>
      <c r="P13"/>
      <c r="Q13"/>
    </row>
    <row r="14" spans="1:17" ht="14.4" hidden="1">
      <c r="A14" t="s">
        <v>155</v>
      </c>
      <c r="B14" t="s">
        <v>568</v>
      </c>
      <c r="C14" t="s">
        <v>569</v>
      </c>
      <c r="D14" s="2">
        <v>45970</v>
      </c>
      <c r="E14">
        <v>15</v>
      </c>
      <c r="F14" s="2">
        <v>45989</v>
      </c>
      <c r="G14" s="6">
        <v>1</v>
      </c>
      <c r="H14" s="6">
        <v>1</v>
      </c>
      <c r="K14"/>
      <c r="L14"/>
      <c r="M14"/>
      <c r="O14"/>
      <c r="P14"/>
      <c r="Q14"/>
    </row>
    <row r="15" spans="1:17" ht="14.4" hidden="1">
      <c r="A15" t="s">
        <v>155</v>
      </c>
      <c r="B15" t="s">
        <v>570</v>
      </c>
      <c r="C15" t="s">
        <v>571</v>
      </c>
      <c r="D15" s="2">
        <v>45989</v>
      </c>
      <c r="E15">
        <v>1</v>
      </c>
      <c r="F15" s="2">
        <v>45992</v>
      </c>
      <c r="G15" s="6">
        <v>1</v>
      </c>
      <c r="H15" s="6">
        <v>1</v>
      </c>
      <c r="K15"/>
      <c r="L15"/>
      <c r="M15"/>
      <c r="O15"/>
      <c r="P15"/>
      <c r="Q15"/>
    </row>
    <row r="16" spans="1:17" ht="14.4" hidden="1">
      <c r="A16" t="s">
        <v>155</v>
      </c>
      <c r="B16">
        <v>4</v>
      </c>
      <c r="C16" t="s">
        <v>572</v>
      </c>
      <c r="D16" s="2">
        <v>45944</v>
      </c>
      <c r="E16">
        <v>62</v>
      </c>
      <c r="F16" s="2">
        <v>46006</v>
      </c>
      <c r="G16" s="6">
        <v>0.96551724137931039</v>
      </c>
      <c r="H16" s="6">
        <v>0.96551724137931039</v>
      </c>
      <c r="K16"/>
      <c r="L16"/>
      <c r="M16"/>
      <c r="O16"/>
      <c r="P16"/>
      <c r="Q16"/>
    </row>
    <row r="17" spans="1:17" ht="14.4" hidden="1">
      <c r="A17" t="s">
        <v>155</v>
      </c>
      <c r="B17" t="s">
        <v>573</v>
      </c>
      <c r="C17" t="s">
        <v>574</v>
      </c>
      <c r="D17" s="2">
        <v>45944</v>
      </c>
      <c r="E17">
        <v>1</v>
      </c>
      <c r="F17" s="2">
        <v>45945</v>
      </c>
      <c r="G17" s="6">
        <v>1</v>
      </c>
      <c r="H17" s="6">
        <v>1</v>
      </c>
      <c r="K17"/>
      <c r="L17"/>
      <c r="M17"/>
      <c r="O17"/>
      <c r="P17"/>
      <c r="Q17"/>
    </row>
    <row r="18" spans="1:17" ht="14.4" hidden="1">
      <c r="A18" t="s">
        <v>155</v>
      </c>
      <c r="B18" t="s">
        <v>575</v>
      </c>
      <c r="C18" t="s">
        <v>576</v>
      </c>
      <c r="D18" s="2">
        <v>45945</v>
      </c>
      <c r="E18">
        <v>19</v>
      </c>
      <c r="F18" s="2">
        <v>45972</v>
      </c>
      <c r="G18" s="6">
        <v>1</v>
      </c>
      <c r="H18" s="6">
        <v>1</v>
      </c>
      <c r="K18"/>
      <c r="L18"/>
      <c r="M18"/>
      <c r="O18"/>
      <c r="P18"/>
      <c r="Q18"/>
    </row>
    <row r="19" spans="1:17" ht="14.4" hidden="1">
      <c r="A19" t="s">
        <v>155</v>
      </c>
      <c r="B19" t="s">
        <v>577</v>
      </c>
      <c r="C19" t="s">
        <v>578</v>
      </c>
      <c r="D19" s="2">
        <v>45944</v>
      </c>
      <c r="E19">
        <v>1</v>
      </c>
      <c r="F19" s="2">
        <v>45945</v>
      </c>
      <c r="G19" s="6">
        <v>1</v>
      </c>
      <c r="H19" s="6">
        <v>1</v>
      </c>
      <c r="K19"/>
      <c r="L19"/>
      <c r="M19"/>
      <c r="O19"/>
      <c r="P19"/>
      <c r="Q19"/>
    </row>
    <row r="20" spans="1:17" ht="14.4" hidden="1">
      <c r="A20" t="s">
        <v>155</v>
      </c>
      <c r="B20" t="s">
        <v>579</v>
      </c>
      <c r="C20" t="s">
        <v>580</v>
      </c>
      <c r="D20" s="2">
        <v>45995</v>
      </c>
      <c r="E20">
        <v>8</v>
      </c>
      <c r="F20" s="2">
        <v>46006</v>
      </c>
      <c r="G20" s="6">
        <v>1</v>
      </c>
      <c r="H20" s="6">
        <v>1</v>
      </c>
      <c r="K20"/>
      <c r="L20"/>
      <c r="M20"/>
      <c r="O20"/>
      <c r="P20"/>
      <c r="Q20"/>
    </row>
    <row r="21" spans="1:17" ht="14.4" hidden="1">
      <c r="A21" t="s">
        <v>155</v>
      </c>
      <c r="B21">
        <v>5</v>
      </c>
      <c r="C21" t="s">
        <v>581</v>
      </c>
      <c r="D21" s="2">
        <v>45944</v>
      </c>
      <c r="E21">
        <v>62</v>
      </c>
      <c r="F21" s="2">
        <v>46006</v>
      </c>
      <c r="G21" s="6">
        <v>1</v>
      </c>
      <c r="H21" s="6">
        <v>1</v>
      </c>
      <c r="K21"/>
      <c r="L21"/>
      <c r="M21"/>
      <c r="O21"/>
      <c r="P21"/>
      <c r="Q21"/>
    </row>
    <row r="22" spans="1:17" ht="14.4" hidden="1">
      <c r="A22" t="s">
        <v>155</v>
      </c>
      <c r="B22" t="s">
        <v>582</v>
      </c>
      <c r="C22" t="s">
        <v>583</v>
      </c>
      <c r="D22" s="2">
        <v>45944</v>
      </c>
      <c r="E22">
        <v>1</v>
      </c>
      <c r="F22" s="2">
        <v>45945</v>
      </c>
      <c r="G22" s="6">
        <v>1</v>
      </c>
      <c r="H22" s="6">
        <v>1</v>
      </c>
      <c r="K22"/>
      <c r="L22"/>
      <c r="M22"/>
      <c r="O22"/>
      <c r="P22"/>
      <c r="Q22"/>
    </row>
    <row r="23" spans="1:17" ht="14.4" hidden="1">
      <c r="A23" t="s">
        <v>155</v>
      </c>
      <c r="B23" t="s">
        <v>584</v>
      </c>
      <c r="C23" t="s">
        <v>585</v>
      </c>
      <c r="D23" s="2">
        <v>45993</v>
      </c>
      <c r="E23">
        <v>9</v>
      </c>
      <c r="F23" s="2">
        <v>46006</v>
      </c>
      <c r="G23" s="6">
        <v>1</v>
      </c>
      <c r="H23" s="6">
        <v>1</v>
      </c>
      <c r="K23"/>
      <c r="L23"/>
      <c r="M23"/>
      <c r="O23"/>
      <c r="P23"/>
      <c r="Q23"/>
    </row>
    <row r="24" spans="1:17" ht="14.4" hidden="1">
      <c r="A24" t="s">
        <v>155</v>
      </c>
      <c r="B24">
        <v>6</v>
      </c>
      <c r="C24" t="s">
        <v>240</v>
      </c>
      <c r="D24" s="2">
        <v>46006</v>
      </c>
      <c r="E24">
        <v>39</v>
      </c>
      <c r="F24" s="2">
        <v>46045</v>
      </c>
      <c r="G24" s="6">
        <v>1</v>
      </c>
      <c r="H24" s="6">
        <v>1</v>
      </c>
      <c r="K24"/>
      <c r="L24"/>
      <c r="M24"/>
      <c r="O24"/>
      <c r="P24"/>
      <c r="Q24"/>
    </row>
    <row r="25" spans="1:17" ht="14.4" hidden="1">
      <c r="A25" t="s">
        <v>155</v>
      </c>
      <c r="B25" t="s">
        <v>586</v>
      </c>
      <c r="C25" t="s">
        <v>240</v>
      </c>
      <c r="D25" s="2">
        <v>46006</v>
      </c>
      <c r="E25">
        <v>5</v>
      </c>
      <c r="F25" s="2">
        <v>46014</v>
      </c>
      <c r="G25" s="6">
        <v>1</v>
      </c>
      <c r="H25" s="6">
        <v>1</v>
      </c>
      <c r="K25"/>
      <c r="L25"/>
      <c r="M25"/>
      <c r="O25"/>
      <c r="P25"/>
      <c r="Q25"/>
    </row>
    <row r="26" spans="1:17" ht="14.4" hidden="1">
      <c r="A26" t="s">
        <v>155</v>
      </c>
      <c r="B26" t="s">
        <v>587</v>
      </c>
      <c r="C26" t="s">
        <v>169</v>
      </c>
      <c r="D26" s="2">
        <v>46044</v>
      </c>
      <c r="E26">
        <v>1</v>
      </c>
      <c r="F26" s="2">
        <v>46045</v>
      </c>
      <c r="G26" s="6">
        <v>1</v>
      </c>
      <c r="H26" s="6">
        <v>1</v>
      </c>
      <c r="K26"/>
      <c r="L26"/>
      <c r="M26"/>
      <c r="O26"/>
      <c r="P26"/>
      <c r="Q26"/>
    </row>
    <row r="27" spans="1:17" ht="14.4" hidden="1">
      <c r="A27" t="s">
        <v>155</v>
      </c>
      <c r="B27">
        <v>7</v>
      </c>
      <c r="C27" t="s">
        <v>588</v>
      </c>
      <c r="D27" s="2">
        <v>46043</v>
      </c>
      <c r="E27">
        <v>1</v>
      </c>
      <c r="F27" s="2">
        <v>46044</v>
      </c>
      <c r="G27" s="6">
        <v>1</v>
      </c>
      <c r="H27" s="6">
        <v>1</v>
      </c>
      <c r="K27"/>
      <c r="L27"/>
      <c r="M27"/>
      <c r="O27"/>
      <c r="P27"/>
      <c r="Q27"/>
    </row>
    <row r="28" spans="1:17" ht="14.4" hidden="1">
      <c r="A28" t="s">
        <v>155</v>
      </c>
      <c r="B28">
        <v>7.1</v>
      </c>
      <c r="C28" t="s">
        <v>589</v>
      </c>
      <c r="D28" s="2">
        <v>46043</v>
      </c>
      <c r="E28">
        <v>1</v>
      </c>
      <c r="F28" s="2">
        <v>46044</v>
      </c>
      <c r="G28" s="6">
        <v>1</v>
      </c>
      <c r="H28" s="6">
        <v>1</v>
      </c>
      <c r="K28"/>
      <c r="L28"/>
      <c r="M28"/>
      <c r="O28"/>
      <c r="P28"/>
      <c r="Q28"/>
    </row>
    <row r="29" spans="1:17" ht="14.4" hidden="1">
      <c r="A29" t="s">
        <v>155</v>
      </c>
      <c r="B29">
        <v>8</v>
      </c>
      <c r="C29" t="s">
        <v>590</v>
      </c>
      <c r="D29" s="2">
        <v>46044</v>
      </c>
      <c r="E29">
        <v>33</v>
      </c>
      <c r="F29" s="2">
        <v>46077</v>
      </c>
      <c r="G29" s="6">
        <v>0.7142857142857143</v>
      </c>
      <c r="H29" s="6">
        <v>0.66654725331191134</v>
      </c>
      <c r="K29"/>
      <c r="L29"/>
      <c r="M29"/>
      <c r="O29"/>
      <c r="P29"/>
      <c r="Q29"/>
    </row>
    <row r="30" spans="1:17" ht="14.4" hidden="1">
      <c r="A30" t="s">
        <v>155</v>
      </c>
      <c r="B30">
        <v>8.1</v>
      </c>
      <c r="C30" t="s">
        <v>591</v>
      </c>
      <c r="D30" s="2">
        <v>46049</v>
      </c>
      <c r="E30">
        <v>2</v>
      </c>
      <c r="F30" s="2">
        <v>46051</v>
      </c>
      <c r="G30" s="6">
        <v>1</v>
      </c>
      <c r="H30" s="6">
        <v>1</v>
      </c>
      <c r="K30"/>
      <c r="L30"/>
      <c r="M30"/>
      <c r="O30"/>
      <c r="P30"/>
      <c r="Q30"/>
    </row>
    <row r="31" spans="1:17" ht="14.4" hidden="1">
      <c r="A31" t="s">
        <v>155</v>
      </c>
      <c r="B31">
        <v>8.1999999999999993</v>
      </c>
      <c r="C31" t="s">
        <v>592</v>
      </c>
      <c r="D31" s="2">
        <v>46044</v>
      </c>
      <c r="E31">
        <v>3</v>
      </c>
      <c r="F31" s="2">
        <v>46049</v>
      </c>
      <c r="G31" s="6">
        <v>1</v>
      </c>
      <c r="H31" s="6">
        <v>1</v>
      </c>
      <c r="K31"/>
      <c r="L31"/>
      <c r="M31"/>
      <c r="O31"/>
      <c r="P31"/>
      <c r="Q31"/>
    </row>
    <row r="32" spans="1:17" ht="14.4" hidden="1">
      <c r="A32" t="s">
        <v>155</v>
      </c>
      <c r="B32">
        <v>8.3000000000000007</v>
      </c>
      <c r="C32" t="s">
        <v>593</v>
      </c>
      <c r="D32" s="2">
        <v>46045</v>
      </c>
      <c r="E32">
        <v>3</v>
      </c>
      <c r="F32" s="2">
        <v>46050</v>
      </c>
      <c r="G32" s="6">
        <v>1</v>
      </c>
      <c r="H32" s="6">
        <v>1</v>
      </c>
      <c r="K32"/>
      <c r="L32"/>
      <c r="M32"/>
      <c r="O32"/>
      <c r="P32"/>
      <c r="Q32"/>
    </row>
    <row r="33" spans="1:17" ht="14.4" hidden="1">
      <c r="A33" t="s">
        <v>155</v>
      </c>
      <c r="B33">
        <v>8.4</v>
      </c>
      <c r="C33" t="s">
        <v>594</v>
      </c>
      <c r="D33" s="2">
        <v>46049</v>
      </c>
      <c r="E33">
        <v>2</v>
      </c>
      <c r="F33" s="2">
        <v>46051</v>
      </c>
      <c r="G33" s="6">
        <v>1</v>
      </c>
      <c r="H33" s="6">
        <v>1</v>
      </c>
      <c r="K33"/>
      <c r="L33"/>
      <c r="M33"/>
      <c r="O33"/>
      <c r="P33"/>
      <c r="Q33"/>
    </row>
    <row r="34" spans="1:17" ht="14.4" hidden="1">
      <c r="A34" t="s">
        <v>155</v>
      </c>
      <c r="B34">
        <v>8.5</v>
      </c>
      <c r="C34" t="s">
        <v>595</v>
      </c>
      <c r="D34" s="2">
        <v>46072</v>
      </c>
      <c r="E34">
        <v>1</v>
      </c>
      <c r="F34" s="2">
        <v>46073</v>
      </c>
      <c r="G34" s="6">
        <v>0</v>
      </c>
      <c r="H34" s="6">
        <v>0</v>
      </c>
      <c r="K34"/>
      <c r="L34"/>
      <c r="M34"/>
      <c r="O34"/>
      <c r="P34"/>
      <c r="Q34"/>
    </row>
    <row r="35" spans="1:17" ht="14.4" hidden="1">
      <c r="A35" t="s">
        <v>155</v>
      </c>
      <c r="B35">
        <v>8.6</v>
      </c>
      <c r="C35" t="s">
        <v>596</v>
      </c>
      <c r="D35" s="2">
        <v>46072</v>
      </c>
      <c r="E35">
        <v>3</v>
      </c>
      <c r="F35" s="2">
        <v>46077</v>
      </c>
      <c r="G35" s="6">
        <v>0</v>
      </c>
      <c r="H35" s="6">
        <v>0</v>
      </c>
      <c r="K35"/>
      <c r="L35"/>
      <c r="M35"/>
      <c r="O35"/>
      <c r="P35"/>
      <c r="Q35"/>
    </row>
    <row r="36" spans="1:17">
      <c r="A36" t="s">
        <v>502</v>
      </c>
      <c r="B36">
        <v>1</v>
      </c>
      <c r="C36" t="s">
        <v>547</v>
      </c>
      <c r="D36" s="2">
        <v>46038</v>
      </c>
      <c r="E36">
        <v>89</v>
      </c>
      <c r="F36" s="2">
        <v>46127</v>
      </c>
      <c r="G36" s="6">
        <v>1.5625E-2</v>
      </c>
      <c r="H36" s="6">
        <v>1.5625E-2</v>
      </c>
      <c r="K36"/>
      <c r="L36"/>
      <c r="M36"/>
      <c r="O36"/>
      <c r="P36"/>
      <c r="Q36"/>
    </row>
    <row r="37" spans="1:17">
      <c r="A37" t="s">
        <v>502</v>
      </c>
      <c r="B37" t="s">
        <v>548</v>
      </c>
      <c r="C37" t="s">
        <v>597</v>
      </c>
      <c r="D37" s="2">
        <v>46038</v>
      </c>
      <c r="E37">
        <v>1</v>
      </c>
      <c r="F37" s="2">
        <v>46041</v>
      </c>
      <c r="G37" s="6">
        <v>1</v>
      </c>
      <c r="H37" s="6">
        <v>1</v>
      </c>
      <c r="K37"/>
      <c r="L37"/>
      <c r="M37"/>
      <c r="O37"/>
      <c r="P37"/>
      <c r="Q37"/>
    </row>
    <row r="38" spans="1:17">
      <c r="A38" t="s">
        <v>502</v>
      </c>
      <c r="B38" t="s">
        <v>550</v>
      </c>
      <c r="C38" t="s">
        <v>598</v>
      </c>
      <c r="D38" s="2">
        <v>46101</v>
      </c>
      <c r="E38">
        <v>15</v>
      </c>
      <c r="F38" s="2">
        <v>46126</v>
      </c>
      <c r="G38" s="6">
        <v>0</v>
      </c>
      <c r="H38" s="6">
        <v>0</v>
      </c>
      <c r="K38"/>
      <c r="L38"/>
      <c r="M38"/>
      <c r="O38"/>
      <c r="P38"/>
      <c r="Q38"/>
    </row>
    <row r="39" spans="1:17">
      <c r="A39" t="s">
        <v>502</v>
      </c>
      <c r="B39" t="s">
        <v>552</v>
      </c>
      <c r="C39" t="s">
        <v>551</v>
      </c>
      <c r="D39" s="2">
        <v>46126</v>
      </c>
      <c r="E39">
        <v>1</v>
      </c>
      <c r="F39" s="2">
        <v>46127</v>
      </c>
      <c r="G39" s="6">
        <v>0</v>
      </c>
      <c r="H39" s="6">
        <v>0</v>
      </c>
      <c r="K39"/>
      <c r="L39"/>
      <c r="M39"/>
      <c r="O39"/>
      <c r="P39"/>
      <c r="Q39"/>
    </row>
    <row r="40" spans="1:17">
      <c r="A40" t="s">
        <v>502</v>
      </c>
      <c r="B40" t="s">
        <v>554</v>
      </c>
      <c r="C40" t="s">
        <v>555</v>
      </c>
      <c r="D40" s="2">
        <v>46115</v>
      </c>
      <c r="E40">
        <v>1</v>
      </c>
      <c r="F40" s="2">
        <v>46119</v>
      </c>
      <c r="G40" s="6">
        <v>0</v>
      </c>
      <c r="H40" s="6">
        <v>0</v>
      </c>
      <c r="K40"/>
      <c r="L40"/>
      <c r="M40"/>
      <c r="O40"/>
      <c r="P40"/>
      <c r="Q40"/>
    </row>
    <row r="41" spans="1:17">
      <c r="A41" t="s">
        <v>502</v>
      </c>
      <c r="B41" t="s">
        <v>556</v>
      </c>
      <c r="C41" t="s">
        <v>557</v>
      </c>
      <c r="D41" s="2">
        <v>46111</v>
      </c>
      <c r="E41">
        <v>1</v>
      </c>
      <c r="F41" s="2">
        <v>46112</v>
      </c>
      <c r="G41" s="6">
        <v>0</v>
      </c>
      <c r="H41" s="6">
        <v>0</v>
      </c>
      <c r="K41"/>
      <c r="L41"/>
      <c r="M41"/>
      <c r="O41"/>
      <c r="P41"/>
      <c r="Q41"/>
    </row>
    <row r="42" spans="1:17">
      <c r="A42" t="s">
        <v>502</v>
      </c>
      <c r="B42">
        <v>2</v>
      </c>
      <c r="C42" t="s">
        <v>558</v>
      </c>
      <c r="D42" s="2">
        <v>46134</v>
      </c>
      <c r="E42">
        <v>1</v>
      </c>
      <c r="F42" s="2">
        <v>46135</v>
      </c>
      <c r="G42" s="6">
        <v>0</v>
      </c>
      <c r="H42" s="6">
        <v>0</v>
      </c>
      <c r="K42"/>
      <c r="L42"/>
      <c r="M42"/>
      <c r="O42"/>
      <c r="P42"/>
      <c r="Q42"/>
    </row>
    <row r="43" spans="1:17">
      <c r="A43" t="s">
        <v>502</v>
      </c>
      <c r="B43" t="s">
        <v>559</v>
      </c>
      <c r="C43" t="s">
        <v>560</v>
      </c>
      <c r="D43" s="2">
        <v>46134</v>
      </c>
      <c r="E43">
        <v>1</v>
      </c>
      <c r="F43" s="2">
        <v>46135</v>
      </c>
      <c r="G43" s="6">
        <v>0</v>
      </c>
      <c r="H43" s="6">
        <v>0</v>
      </c>
      <c r="K43"/>
      <c r="L43"/>
      <c r="M43"/>
      <c r="O43"/>
      <c r="P43"/>
      <c r="Q43"/>
    </row>
    <row r="44" spans="1:17">
      <c r="A44" t="s">
        <v>502</v>
      </c>
      <c r="B44">
        <v>3</v>
      </c>
      <c r="C44" t="s">
        <v>561</v>
      </c>
      <c r="D44" s="2">
        <v>46112</v>
      </c>
      <c r="E44">
        <v>48</v>
      </c>
      <c r="F44" s="2">
        <v>46160</v>
      </c>
      <c r="G44" s="6">
        <v>0</v>
      </c>
      <c r="H44" s="6">
        <v>0</v>
      </c>
      <c r="K44"/>
      <c r="L44"/>
      <c r="M44"/>
      <c r="O44"/>
      <c r="P44"/>
      <c r="Q44"/>
    </row>
    <row r="45" spans="1:17">
      <c r="A45" t="s">
        <v>502</v>
      </c>
      <c r="B45" t="s">
        <v>562</v>
      </c>
      <c r="C45" t="s">
        <v>563</v>
      </c>
      <c r="D45" s="2">
        <v>46135</v>
      </c>
      <c r="E45">
        <v>1</v>
      </c>
      <c r="F45" s="2">
        <v>46136</v>
      </c>
      <c r="G45" s="6">
        <v>0</v>
      </c>
      <c r="H45" s="6">
        <v>0</v>
      </c>
      <c r="K45"/>
      <c r="L45"/>
      <c r="M45"/>
      <c r="O45"/>
      <c r="P45"/>
      <c r="Q45"/>
    </row>
    <row r="46" spans="1:17">
      <c r="A46" t="s">
        <v>502</v>
      </c>
      <c r="B46" t="s">
        <v>564</v>
      </c>
      <c r="C46" t="s">
        <v>565</v>
      </c>
      <c r="D46" s="2">
        <v>46136</v>
      </c>
      <c r="E46">
        <v>1</v>
      </c>
      <c r="F46" s="2">
        <v>46140</v>
      </c>
      <c r="G46" s="6">
        <v>0</v>
      </c>
      <c r="H46" s="6">
        <v>0</v>
      </c>
      <c r="K46"/>
      <c r="L46"/>
      <c r="M46"/>
      <c r="O46"/>
      <c r="P46"/>
      <c r="Q46"/>
    </row>
    <row r="47" spans="1:17">
      <c r="A47" t="s">
        <v>502</v>
      </c>
      <c r="B47" t="s">
        <v>566</v>
      </c>
      <c r="C47" t="s">
        <v>567</v>
      </c>
      <c r="D47" s="2">
        <v>46112</v>
      </c>
      <c r="E47">
        <v>25</v>
      </c>
      <c r="F47" s="2">
        <v>46153</v>
      </c>
      <c r="G47" s="6">
        <v>0</v>
      </c>
      <c r="H47" s="6">
        <v>0</v>
      </c>
      <c r="K47"/>
      <c r="L47"/>
      <c r="M47"/>
      <c r="O47"/>
      <c r="P47"/>
      <c r="Q47"/>
    </row>
    <row r="48" spans="1:17">
      <c r="A48" t="s">
        <v>502</v>
      </c>
      <c r="B48" t="s">
        <v>568</v>
      </c>
      <c r="C48" t="s">
        <v>569</v>
      </c>
      <c r="D48" s="2">
        <v>46135</v>
      </c>
      <c r="E48">
        <v>15</v>
      </c>
      <c r="F48" s="2">
        <v>46160</v>
      </c>
      <c r="G48" s="6">
        <v>0</v>
      </c>
      <c r="H48" s="6">
        <v>0</v>
      </c>
      <c r="K48"/>
      <c r="L48"/>
      <c r="M48"/>
      <c r="O48"/>
      <c r="P48"/>
      <c r="Q48"/>
    </row>
    <row r="49" spans="1:17">
      <c r="A49" t="s">
        <v>502</v>
      </c>
      <c r="B49" t="s">
        <v>570</v>
      </c>
      <c r="C49" t="s">
        <v>571</v>
      </c>
      <c r="D49" s="2">
        <v>46135</v>
      </c>
      <c r="E49">
        <v>1</v>
      </c>
      <c r="F49" s="2">
        <v>46136</v>
      </c>
      <c r="G49" s="6">
        <v>0</v>
      </c>
      <c r="H49" s="6">
        <v>0</v>
      </c>
      <c r="K49"/>
      <c r="L49"/>
      <c r="M49"/>
      <c r="O49"/>
      <c r="P49"/>
      <c r="Q49"/>
    </row>
    <row r="50" spans="1:17">
      <c r="A50" t="s">
        <v>502</v>
      </c>
      <c r="B50">
        <v>4</v>
      </c>
      <c r="C50" t="s">
        <v>572</v>
      </c>
      <c r="D50" s="2">
        <v>46134</v>
      </c>
      <c r="E50">
        <v>22</v>
      </c>
      <c r="F50" s="2">
        <v>46156</v>
      </c>
      <c r="G50" s="6">
        <v>0</v>
      </c>
      <c r="H50" s="6">
        <v>0</v>
      </c>
      <c r="K50"/>
      <c r="L50"/>
      <c r="M50"/>
      <c r="O50"/>
      <c r="P50"/>
      <c r="Q50"/>
    </row>
    <row r="51" spans="1:17">
      <c r="A51" t="s">
        <v>502</v>
      </c>
      <c r="B51" t="s">
        <v>573</v>
      </c>
      <c r="C51" t="s">
        <v>574</v>
      </c>
      <c r="D51" s="2">
        <v>46134</v>
      </c>
      <c r="E51">
        <v>1</v>
      </c>
      <c r="F51" s="2">
        <v>46135</v>
      </c>
      <c r="G51" s="6">
        <v>0</v>
      </c>
      <c r="H51" s="6">
        <v>0</v>
      </c>
      <c r="K51"/>
      <c r="L51"/>
      <c r="M51"/>
      <c r="O51"/>
      <c r="P51"/>
      <c r="Q51"/>
    </row>
    <row r="52" spans="1:17">
      <c r="A52" t="s">
        <v>502</v>
      </c>
      <c r="B52" t="s">
        <v>575</v>
      </c>
      <c r="C52" t="s">
        <v>576</v>
      </c>
      <c r="D52" s="2">
        <v>46135</v>
      </c>
      <c r="E52">
        <v>3</v>
      </c>
      <c r="F52" s="2">
        <v>46141</v>
      </c>
      <c r="G52" s="6">
        <v>0</v>
      </c>
      <c r="H52" s="6">
        <v>0</v>
      </c>
      <c r="K52"/>
      <c r="L52"/>
      <c r="M52"/>
      <c r="O52"/>
      <c r="P52"/>
      <c r="Q52"/>
    </row>
    <row r="53" spans="1:17">
      <c r="A53" t="s">
        <v>502</v>
      </c>
      <c r="B53" t="s">
        <v>577</v>
      </c>
      <c r="C53" t="s">
        <v>578</v>
      </c>
      <c r="D53" s="2">
        <v>46134</v>
      </c>
      <c r="E53">
        <v>1</v>
      </c>
      <c r="F53" s="2">
        <v>46135</v>
      </c>
      <c r="G53" s="6">
        <v>0</v>
      </c>
      <c r="H53" s="6">
        <v>0</v>
      </c>
      <c r="K53"/>
      <c r="L53"/>
      <c r="M53"/>
      <c r="O53"/>
      <c r="P53"/>
      <c r="Q53"/>
    </row>
    <row r="54" spans="1:17">
      <c r="A54" t="s">
        <v>502</v>
      </c>
      <c r="B54" t="s">
        <v>579</v>
      </c>
      <c r="C54" t="s">
        <v>580</v>
      </c>
      <c r="D54" s="2">
        <v>46152</v>
      </c>
      <c r="E54">
        <v>4</v>
      </c>
      <c r="F54" s="2">
        <v>46156</v>
      </c>
      <c r="G54" s="6">
        <v>0</v>
      </c>
      <c r="H54" s="6">
        <v>0</v>
      </c>
      <c r="K54"/>
      <c r="L54"/>
      <c r="M54"/>
      <c r="O54"/>
      <c r="P54"/>
      <c r="Q54"/>
    </row>
    <row r="55" spans="1:17">
      <c r="A55" t="s">
        <v>502</v>
      </c>
      <c r="B55">
        <v>5</v>
      </c>
      <c r="C55" t="s">
        <v>581</v>
      </c>
      <c r="D55" s="2">
        <v>46134</v>
      </c>
      <c r="E55">
        <v>21</v>
      </c>
      <c r="F55" s="2">
        <v>46155</v>
      </c>
      <c r="G55" s="6">
        <v>0</v>
      </c>
      <c r="H55" s="6">
        <v>0</v>
      </c>
      <c r="K55"/>
      <c r="L55"/>
      <c r="M55"/>
      <c r="O55"/>
      <c r="P55"/>
      <c r="Q55"/>
    </row>
    <row r="56" spans="1:17">
      <c r="A56" t="s">
        <v>502</v>
      </c>
      <c r="B56" t="s">
        <v>582</v>
      </c>
      <c r="C56" t="s">
        <v>583</v>
      </c>
      <c r="D56" s="2">
        <v>46134</v>
      </c>
      <c r="E56">
        <v>1</v>
      </c>
      <c r="F56" s="2">
        <v>46135</v>
      </c>
      <c r="G56" s="6">
        <v>0</v>
      </c>
      <c r="H56" s="6">
        <v>0</v>
      </c>
      <c r="K56"/>
      <c r="L56"/>
      <c r="M56"/>
      <c r="O56"/>
      <c r="P56"/>
      <c r="Q56"/>
    </row>
    <row r="57" spans="1:17">
      <c r="A57" t="s">
        <v>502</v>
      </c>
      <c r="B57" t="s">
        <v>584</v>
      </c>
      <c r="C57" t="s">
        <v>585</v>
      </c>
      <c r="D57" s="2">
        <v>46141</v>
      </c>
      <c r="E57">
        <v>9</v>
      </c>
      <c r="F57" s="2">
        <v>46155</v>
      </c>
      <c r="G57" s="6">
        <v>0</v>
      </c>
      <c r="H57" s="6">
        <v>0</v>
      </c>
      <c r="K57"/>
      <c r="L57"/>
      <c r="M57"/>
      <c r="O57"/>
      <c r="P57"/>
      <c r="Q57"/>
    </row>
    <row r="58" spans="1:17">
      <c r="A58" t="s">
        <v>502</v>
      </c>
      <c r="B58">
        <v>6</v>
      </c>
      <c r="C58" t="s">
        <v>240</v>
      </c>
      <c r="D58" s="2">
        <v>46160</v>
      </c>
      <c r="E58">
        <v>9</v>
      </c>
      <c r="F58" s="2">
        <v>46169</v>
      </c>
      <c r="G58" s="6">
        <v>0</v>
      </c>
      <c r="H58" s="6">
        <v>0</v>
      </c>
      <c r="K58"/>
      <c r="L58"/>
      <c r="M58"/>
      <c r="O58"/>
      <c r="P58"/>
      <c r="Q58"/>
    </row>
    <row r="59" spans="1:17">
      <c r="A59" t="s">
        <v>502</v>
      </c>
      <c r="B59" t="s">
        <v>586</v>
      </c>
      <c r="C59" t="s">
        <v>240</v>
      </c>
      <c r="D59" s="2">
        <v>46160</v>
      </c>
      <c r="E59">
        <v>1</v>
      </c>
      <c r="F59" s="2">
        <v>46161</v>
      </c>
      <c r="G59" s="6">
        <v>0</v>
      </c>
      <c r="H59" s="6">
        <v>0</v>
      </c>
      <c r="K59"/>
      <c r="L59"/>
      <c r="M59"/>
      <c r="O59"/>
      <c r="P59"/>
      <c r="Q59"/>
    </row>
    <row r="60" spans="1:17">
      <c r="A60" t="s">
        <v>502</v>
      </c>
      <c r="B60" t="s">
        <v>587</v>
      </c>
      <c r="C60" t="s">
        <v>169</v>
      </c>
      <c r="D60" s="2">
        <v>46161</v>
      </c>
      <c r="E60">
        <v>1</v>
      </c>
      <c r="F60" s="2">
        <v>46162</v>
      </c>
      <c r="G60" s="6">
        <v>0</v>
      </c>
      <c r="H60" s="6">
        <v>0</v>
      </c>
      <c r="K60"/>
      <c r="L60"/>
      <c r="M60"/>
      <c r="O60"/>
      <c r="P60"/>
      <c r="Q60"/>
    </row>
    <row r="61" spans="1:17">
      <c r="A61" t="s">
        <v>502</v>
      </c>
      <c r="B61" t="s">
        <v>599</v>
      </c>
      <c r="C61" t="s">
        <v>593</v>
      </c>
      <c r="D61" s="2">
        <v>46162</v>
      </c>
      <c r="E61">
        <v>5</v>
      </c>
      <c r="F61" s="2">
        <v>46169</v>
      </c>
      <c r="G61" s="6">
        <v>0</v>
      </c>
      <c r="H61" s="6">
        <v>0</v>
      </c>
      <c r="K61"/>
      <c r="L61"/>
      <c r="M61"/>
      <c r="O61"/>
      <c r="P61"/>
      <c r="Q61"/>
    </row>
    <row r="62" spans="1:17">
      <c r="A62" t="s">
        <v>502</v>
      </c>
      <c r="B62">
        <v>7</v>
      </c>
      <c r="C62" t="s">
        <v>588</v>
      </c>
      <c r="D62" s="2">
        <v>46162</v>
      </c>
      <c r="E62">
        <v>8</v>
      </c>
      <c r="F62" s="2">
        <v>46170</v>
      </c>
      <c r="G62" s="6">
        <v>0</v>
      </c>
      <c r="H62" s="6">
        <v>0</v>
      </c>
      <c r="K62"/>
      <c r="L62"/>
      <c r="M62"/>
      <c r="O62"/>
      <c r="P62"/>
      <c r="Q62"/>
    </row>
    <row r="63" spans="1:17">
      <c r="A63" t="s">
        <v>502</v>
      </c>
      <c r="B63" t="s">
        <v>600</v>
      </c>
      <c r="C63" t="s">
        <v>589</v>
      </c>
      <c r="D63" s="2">
        <v>46162</v>
      </c>
      <c r="E63">
        <v>3</v>
      </c>
      <c r="F63" s="2">
        <v>46167</v>
      </c>
      <c r="G63" s="6">
        <v>0</v>
      </c>
      <c r="H63" s="6">
        <v>0</v>
      </c>
      <c r="K63"/>
      <c r="L63"/>
      <c r="M63"/>
      <c r="O63"/>
      <c r="P63"/>
      <c r="Q63"/>
    </row>
    <row r="64" spans="1:17">
      <c r="A64" t="s">
        <v>502</v>
      </c>
      <c r="B64" t="s">
        <v>601</v>
      </c>
      <c r="C64" t="s">
        <v>592</v>
      </c>
      <c r="D64" s="2">
        <v>46167</v>
      </c>
      <c r="E64">
        <v>3</v>
      </c>
      <c r="F64" s="2">
        <v>46170</v>
      </c>
      <c r="G64" s="6">
        <v>0</v>
      </c>
      <c r="H64" s="6">
        <v>0</v>
      </c>
      <c r="K64"/>
      <c r="L64"/>
      <c r="M64"/>
      <c r="O64"/>
      <c r="P64"/>
      <c r="Q64"/>
    </row>
    <row r="65" spans="1:17">
      <c r="A65" t="s">
        <v>502</v>
      </c>
      <c r="B65">
        <v>8</v>
      </c>
      <c r="C65" t="s">
        <v>590</v>
      </c>
      <c r="D65" s="2">
        <v>46167</v>
      </c>
      <c r="E65">
        <v>16</v>
      </c>
      <c r="F65" s="2">
        <v>46183</v>
      </c>
      <c r="G65" s="6">
        <v>0</v>
      </c>
      <c r="H65" s="6">
        <v>0</v>
      </c>
      <c r="K65"/>
      <c r="L65"/>
      <c r="M65"/>
      <c r="O65"/>
      <c r="P65"/>
      <c r="Q65"/>
    </row>
    <row r="66" spans="1:17">
      <c r="A66" t="s">
        <v>502</v>
      </c>
      <c r="B66" t="s">
        <v>602</v>
      </c>
      <c r="C66" t="s">
        <v>594</v>
      </c>
      <c r="D66" s="2">
        <v>46167</v>
      </c>
      <c r="E66">
        <v>7</v>
      </c>
      <c r="F66" s="2">
        <v>46176</v>
      </c>
      <c r="G66" s="6">
        <v>0</v>
      </c>
      <c r="H66" s="6">
        <v>0</v>
      </c>
      <c r="K66"/>
      <c r="L66"/>
      <c r="M66"/>
      <c r="O66"/>
      <c r="P66"/>
      <c r="Q66"/>
    </row>
    <row r="67" spans="1:17">
      <c r="A67" t="s">
        <v>502</v>
      </c>
      <c r="B67" t="s">
        <v>603</v>
      </c>
      <c r="C67" t="s">
        <v>595</v>
      </c>
      <c r="D67" s="2">
        <v>46176</v>
      </c>
      <c r="E67">
        <v>1</v>
      </c>
      <c r="F67" s="2">
        <v>46177</v>
      </c>
      <c r="G67" s="6">
        <v>0</v>
      </c>
      <c r="H67" s="6">
        <v>0</v>
      </c>
      <c r="K67"/>
      <c r="L67"/>
      <c r="M67"/>
      <c r="O67"/>
      <c r="P67"/>
      <c r="Q67"/>
    </row>
    <row r="68" spans="1:17">
      <c r="A68" t="s">
        <v>502</v>
      </c>
      <c r="B68" t="s">
        <v>604</v>
      </c>
      <c r="C68" t="s">
        <v>596</v>
      </c>
      <c r="D68" s="2">
        <v>46176</v>
      </c>
      <c r="E68">
        <v>5</v>
      </c>
      <c r="F68" s="2">
        <v>46183</v>
      </c>
      <c r="G68" s="6">
        <v>0</v>
      </c>
      <c r="H68" s="6">
        <v>0</v>
      </c>
      <c r="K68"/>
      <c r="L68"/>
      <c r="M68"/>
      <c r="O68"/>
      <c r="P68"/>
      <c r="Q68"/>
    </row>
    <row r="69" spans="1:17" ht="14.4" hidden="1">
      <c r="A69" t="s">
        <v>504</v>
      </c>
      <c r="B69">
        <v>1</v>
      </c>
      <c r="C69" t="s">
        <v>547</v>
      </c>
      <c r="D69" s="2">
        <v>45986</v>
      </c>
      <c r="E69">
        <v>83</v>
      </c>
      <c r="F69" s="2">
        <v>46069</v>
      </c>
      <c r="G69" s="6">
        <v>0.45454545454545459</v>
      </c>
      <c r="H69" s="6">
        <v>0.55540165870773295</v>
      </c>
      <c r="K69"/>
      <c r="L69"/>
      <c r="M69"/>
      <c r="O69"/>
      <c r="P69"/>
      <c r="Q69"/>
    </row>
    <row r="70" spans="1:17" ht="14.4" hidden="1">
      <c r="A70" t="s">
        <v>504</v>
      </c>
      <c r="B70" t="s">
        <v>548</v>
      </c>
      <c r="C70" t="s">
        <v>597</v>
      </c>
      <c r="D70" s="2">
        <v>45986</v>
      </c>
      <c r="E70">
        <v>1</v>
      </c>
      <c r="F70" s="2">
        <v>45987</v>
      </c>
      <c r="G70" s="6">
        <v>1</v>
      </c>
      <c r="H70" s="6">
        <v>1</v>
      </c>
      <c r="K70"/>
      <c r="L70"/>
      <c r="M70"/>
      <c r="O70"/>
      <c r="P70"/>
      <c r="Q70"/>
    </row>
    <row r="71" spans="1:17" ht="14.4" hidden="1">
      <c r="A71" t="s">
        <v>504</v>
      </c>
      <c r="B71" t="s">
        <v>550</v>
      </c>
      <c r="C71" t="s">
        <v>598</v>
      </c>
      <c r="D71" s="2">
        <v>46029</v>
      </c>
      <c r="E71">
        <v>10</v>
      </c>
      <c r="F71" s="2">
        <v>46044</v>
      </c>
      <c r="G71" s="6">
        <v>0.9</v>
      </c>
      <c r="H71" s="6">
        <v>1</v>
      </c>
      <c r="K71"/>
      <c r="L71"/>
      <c r="M71"/>
      <c r="O71"/>
      <c r="P71"/>
      <c r="Q71"/>
    </row>
    <row r="72" spans="1:17" ht="14.4" hidden="1">
      <c r="A72" t="s">
        <v>504</v>
      </c>
      <c r="B72" t="s">
        <v>552</v>
      </c>
      <c r="C72" t="s">
        <v>551</v>
      </c>
      <c r="D72" s="2">
        <v>46044</v>
      </c>
      <c r="E72">
        <v>1</v>
      </c>
      <c r="F72" s="2">
        <v>46045</v>
      </c>
      <c r="G72" s="6">
        <v>1</v>
      </c>
      <c r="H72" s="6">
        <v>1</v>
      </c>
      <c r="K72"/>
      <c r="L72"/>
      <c r="M72"/>
      <c r="O72"/>
      <c r="P72"/>
      <c r="Q72"/>
    </row>
    <row r="73" spans="1:17" ht="14.4" hidden="1">
      <c r="A73" t="s">
        <v>504</v>
      </c>
      <c r="B73" t="s">
        <v>554</v>
      </c>
      <c r="C73" t="s">
        <v>555</v>
      </c>
      <c r="D73" s="2">
        <v>46043</v>
      </c>
      <c r="E73">
        <v>1</v>
      </c>
      <c r="F73" s="2">
        <v>46044</v>
      </c>
      <c r="G73" s="6">
        <v>1</v>
      </c>
      <c r="H73" s="6">
        <v>1</v>
      </c>
      <c r="K73"/>
      <c r="L73"/>
      <c r="M73"/>
      <c r="O73"/>
      <c r="P73"/>
      <c r="Q73"/>
    </row>
    <row r="74" spans="1:17" ht="14.4" hidden="1">
      <c r="A74" t="s">
        <v>504</v>
      </c>
      <c r="B74" t="s">
        <v>556</v>
      </c>
      <c r="C74" t="s">
        <v>605</v>
      </c>
      <c r="D74" s="2">
        <v>46056</v>
      </c>
      <c r="E74">
        <v>3</v>
      </c>
      <c r="F74" s="2">
        <v>46059</v>
      </c>
      <c r="G74" s="6">
        <v>1</v>
      </c>
      <c r="H74" s="6">
        <v>1</v>
      </c>
      <c r="K74"/>
      <c r="L74"/>
      <c r="M74"/>
      <c r="O74"/>
      <c r="P74"/>
      <c r="Q74"/>
    </row>
    <row r="75" spans="1:17" ht="14.4" hidden="1">
      <c r="A75" t="s">
        <v>504</v>
      </c>
      <c r="B75" t="s">
        <v>606</v>
      </c>
      <c r="C75" t="s">
        <v>607</v>
      </c>
      <c r="D75" s="2">
        <v>46056</v>
      </c>
      <c r="E75">
        <v>9</v>
      </c>
      <c r="F75" s="2">
        <v>46069</v>
      </c>
      <c r="G75" s="6">
        <v>0.2</v>
      </c>
      <c r="H75" s="6">
        <v>0.69230769230769229</v>
      </c>
      <c r="K75"/>
      <c r="L75"/>
      <c r="M75"/>
      <c r="O75"/>
      <c r="P75"/>
      <c r="Q75"/>
    </row>
    <row r="76" spans="1:17" ht="14.4" hidden="1">
      <c r="A76" t="s">
        <v>504</v>
      </c>
      <c r="B76" t="s">
        <v>608</v>
      </c>
      <c r="C76" t="s">
        <v>609</v>
      </c>
      <c r="D76" s="2">
        <v>46056</v>
      </c>
      <c r="E76">
        <v>3</v>
      </c>
      <c r="F76" s="2">
        <v>46059</v>
      </c>
      <c r="G76" s="6">
        <v>1</v>
      </c>
      <c r="H76" s="6">
        <v>1</v>
      </c>
      <c r="K76"/>
      <c r="L76"/>
      <c r="M76"/>
      <c r="O76"/>
      <c r="P76"/>
      <c r="Q76"/>
    </row>
    <row r="77" spans="1:17" ht="14.4" hidden="1">
      <c r="A77" t="s">
        <v>504</v>
      </c>
      <c r="B77" t="s">
        <v>610</v>
      </c>
      <c r="C77" t="s">
        <v>611</v>
      </c>
      <c r="D77" s="2">
        <v>46059</v>
      </c>
      <c r="E77">
        <v>2</v>
      </c>
      <c r="F77" s="2">
        <v>46063</v>
      </c>
      <c r="K77"/>
      <c r="L77"/>
      <c r="M77"/>
      <c r="O77"/>
      <c r="P77"/>
      <c r="Q77"/>
    </row>
    <row r="78" spans="1:17" ht="14.4" hidden="1">
      <c r="A78" t="s">
        <v>504</v>
      </c>
      <c r="B78" t="s">
        <v>612</v>
      </c>
      <c r="C78" t="s">
        <v>557</v>
      </c>
      <c r="D78" s="2">
        <v>46044</v>
      </c>
      <c r="E78">
        <v>3</v>
      </c>
      <c r="F78" s="2">
        <v>46049</v>
      </c>
      <c r="G78" s="6">
        <v>1</v>
      </c>
      <c r="H78" s="6">
        <v>1</v>
      </c>
      <c r="K78"/>
      <c r="L78"/>
      <c r="M78"/>
      <c r="O78"/>
      <c r="P78"/>
      <c r="Q78"/>
    </row>
    <row r="79" spans="1:17" ht="14.4" hidden="1">
      <c r="A79" t="s">
        <v>504</v>
      </c>
      <c r="B79">
        <v>2</v>
      </c>
      <c r="C79" t="s">
        <v>558</v>
      </c>
      <c r="D79" s="2">
        <v>46062</v>
      </c>
      <c r="E79">
        <v>1</v>
      </c>
      <c r="F79" s="2">
        <v>46063</v>
      </c>
      <c r="G79" s="6">
        <v>1</v>
      </c>
      <c r="H79" s="6">
        <v>1</v>
      </c>
      <c r="K79"/>
      <c r="L79"/>
      <c r="M79"/>
      <c r="O79"/>
      <c r="P79"/>
      <c r="Q79"/>
    </row>
    <row r="80" spans="1:17" ht="14.4" hidden="1">
      <c r="A80" t="s">
        <v>504</v>
      </c>
      <c r="B80" t="s">
        <v>559</v>
      </c>
      <c r="C80" t="s">
        <v>560</v>
      </c>
      <c r="D80" s="2">
        <v>46062</v>
      </c>
      <c r="E80">
        <v>1</v>
      </c>
      <c r="F80" s="2">
        <v>46063</v>
      </c>
      <c r="G80" s="6">
        <v>1</v>
      </c>
      <c r="H80" s="6">
        <v>1</v>
      </c>
      <c r="K80"/>
      <c r="L80"/>
      <c r="M80"/>
      <c r="O80"/>
      <c r="P80"/>
      <c r="Q80"/>
    </row>
    <row r="81" spans="1:17" ht="14.4" hidden="1">
      <c r="A81" t="s">
        <v>504</v>
      </c>
      <c r="B81">
        <v>3</v>
      </c>
      <c r="C81" t="s">
        <v>561</v>
      </c>
      <c r="D81" s="2">
        <v>46030</v>
      </c>
      <c r="E81">
        <v>56</v>
      </c>
      <c r="F81" s="2">
        <v>46086</v>
      </c>
      <c r="G81" s="6">
        <v>0.47906976744186042</v>
      </c>
      <c r="H81" s="6">
        <v>0.61627906976744184</v>
      </c>
      <c r="K81"/>
      <c r="L81"/>
      <c r="M81"/>
      <c r="O81"/>
      <c r="P81"/>
      <c r="Q81"/>
    </row>
    <row r="82" spans="1:17" ht="14.4" hidden="1">
      <c r="A82" t="s">
        <v>504</v>
      </c>
      <c r="B82" t="s">
        <v>562</v>
      </c>
      <c r="C82" t="s">
        <v>563</v>
      </c>
      <c r="D82" s="2">
        <v>46063</v>
      </c>
      <c r="E82">
        <v>1</v>
      </c>
      <c r="F82" s="2">
        <v>46064</v>
      </c>
      <c r="G82" s="6">
        <v>1</v>
      </c>
      <c r="H82" s="6">
        <v>1</v>
      </c>
      <c r="K82"/>
      <c r="L82"/>
      <c r="M82"/>
      <c r="O82"/>
      <c r="P82"/>
      <c r="Q82"/>
    </row>
    <row r="83" spans="1:17" ht="14.4" hidden="1">
      <c r="A83" t="s">
        <v>504</v>
      </c>
      <c r="B83" t="s">
        <v>564</v>
      </c>
      <c r="C83" t="s">
        <v>565</v>
      </c>
      <c r="D83" s="2">
        <v>46064</v>
      </c>
      <c r="E83">
        <v>1</v>
      </c>
      <c r="F83" s="2">
        <v>46065</v>
      </c>
      <c r="G83" s="6">
        <v>0</v>
      </c>
      <c r="H83" s="6">
        <v>1</v>
      </c>
      <c r="K83"/>
      <c r="L83"/>
      <c r="M83"/>
      <c r="O83"/>
      <c r="P83"/>
      <c r="Q83"/>
    </row>
    <row r="84" spans="1:17" ht="14.4" hidden="1">
      <c r="A84" t="s">
        <v>504</v>
      </c>
      <c r="B84" t="s">
        <v>566</v>
      </c>
      <c r="C84" t="s">
        <v>567</v>
      </c>
      <c r="D84" s="2">
        <v>46030</v>
      </c>
      <c r="E84">
        <v>28</v>
      </c>
      <c r="F84" s="2">
        <v>46070</v>
      </c>
      <c r="G84" s="6">
        <v>0.7</v>
      </c>
      <c r="H84" s="6">
        <v>0.875</v>
      </c>
      <c r="K84"/>
      <c r="L84"/>
      <c r="M84"/>
      <c r="O84"/>
      <c r="P84"/>
      <c r="Q84"/>
    </row>
    <row r="85" spans="1:17" ht="14.4" hidden="1">
      <c r="A85" t="s">
        <v>504</v>
      </c>
      <c r="B85" t="s">
        <v>568</v>
      </c>
      <c r="C85" t="s">
        <v>569</v>
      </c>
      <c r="D85" s="2">
        <v>46070</v>
      </c>
      <c r="E85">
        <v>12</v>
      </c>
      <c r="F85" s="2">
        <v>46086</v>
      </c>
      <c r="G85" s="6">
        <v>0</v>
      </c>
      <c r="H85" s="6">
        <v>0</v>
      </c>
      <c r="K85"/>
      <c r="L85"/>
      <c r="M85"/>
      <c r="O85"/>
      <c r="P85"/>
      <c r="Q85"/>
    </row>
    <row r="86" spans="1:17" ht="14.4" hidden="1">
      <c r="A86" t="s">
        <v>504</v>
      </c>
      <c r="B86" t="s">
        <v>570</v>
      </c>
      <c r="C86" t="s">
        <v>571</v>
      </c>
      <c r="D86" s="2">
        <v>46070</v>
      </c>
      <c r="E86">
        <v>1</v>
      </c>
      <c r="F86" s="2">
        <v>46071</v>
      </c>
      <c r="G86" s="6">
        <v>0</v>
      </c>
      <c r="H86" s="6">
        <v>0</v>
      </c>
      <c r="K86"/>
      <c r="L86"/>
      <c r="M86"/>
      <c r="O86"/>
      <c r="P86"/>
      <c r="Q86"/>
    </row>
    <row r="87" spans="1:17" ht="14.4" hidden="1">
      <c r="A87" t="s">
        <v>504</v>
      </c>
      <c r="B87">
        <v>4</v>
      </c>
      <c r="C87" t="s">
        <v>572</v>
      </c>
      <c r="D87" s="2">
        <v>46063</v>
      </c>
      <c r="E87">
        <v>23</v>
      </c>
      <c r="F87" s="2">
        <v>46086</v>
      </c>
      <c r="G87" s="6">
        <v>9.0909090909090912E-2</v>
      </c>
      <c r="H87" s="6">
        <v>0.28567475067732823</v>
      </c>
      <c r="K87"/>
      <c r="L87"/>
      <c r="M87"/>
      <c r="O87"/>
      <c r="P87"/>
      <c r="Q87"/>
    </row>
    <row r="88" spans="1:17" ht="14.4" hidden="1">
      <c r="A88" t="s">
        <v>504</v>
      </c>
      <c r="B88" t="s">
        <v>573</v>
      </c>
      <c r="C88" t="s">
        <v>574</v>
      </c>
      <c r="D88" s="2">
        <v>46063</v>
      </c>
      <c r="E88">
        <v>1</v>
      </c>
      <c r="F88" s="2">
        <v>46064</v>
      </c>
      <c r="G88" s="6">
        <v>1</v>
      </c>
      <c r="H88" s="6">
        <v>1</v>
      </c>
      <c r="K88"/>
      <c r="L88"/>
      <c r="M88"/>
      <c r="O88"/>
      <c r="P88"/>
      <c r="Q88"/>
    </row>
    <row r="89" spans="1:17" ht="14.4" hidden="1">
      <c r="A89" t="s">
        <v>504</v>
      </c>
      <c r="B89" t="s">
        <v>575</v>
      </c>
      <c r="C89" t="s">
        <v>576</v>
      </c>
      <c r="D89" s="2">
        <v>46064</v>
      </c>
      <c r="E89">
        <v>5</v>
      </c>
      <c r="F89" s="2">
        <v>46071</v>
      </c>
      <c r="G89" s="6">
        <v>0</v>
      </c>
      <c r="H89" s="6">
        <v>0.14285714285714285</v>
      </c>
      <c r="K89"/>
      <c r="L89"/>
      <c r="M89"/>
      <c r="O89"/>
      <c r="P89"/>
      <c r="Q89"/>
    </row>
    <row r="90" spans="1:17" ht="14.4" hidden="1">
      <c r="A90" t="s">
        <v>504</v>
      </c>
      <c r="B90" t="s">
        <v>577</v>
      </c>
      <c r="C90" t="s">
        <v>578</v>
      </c>
      <c r="D90" s="2">
        <v>46063</v>
      </c>
      <c r="E90">
        <v>1</v>
      </c>
      <c r="F90" s="2">
        <v>46064</v>
      </c>
      <c r="G90" s="6">
        <v>1</v>
      </c>
      <c r="H90" s="6">
        <v>1</v>
      </c>
      <c r="K90"/>
      <c r="L90"/>
      <c r="M90"/>
      <c r="O90"/>
      <c r="P90"/>
      <c r="Q90"/>
    </row>
    <row r="91" spans="1:17" ht="14.4" hidden="1">
      <c r="A91" t="s">
        <v>504</v>
      </c>
      <c r="B91" t="s">
        <v>579</v>
      </c>
      <c r="C91" t="s">
        <v>580</v>
      </c>
      <c r="D91" s="2">
        <v>46081</v>
      </c>
      <c r="E91">
        <v>4</v>
      </c>
      <c r="F91" s="2">
        <v>46086</v>
      </c>
      <c r="G91" s="6">
        <v>0</v>
      </c>
      <c r="H91" s="6">
        <v>0</v>
      </c>
      <c r="K91"/>
      <c r="L91"/>
      <c r="M91"/>
      <c r="O91"/>
      <c r="P91"/>
      <c r="Q91"/>
    </row>
    <row r="92" spans="1:17" ht="14.4" hidden="1">
      <c r="A92" t="s">
        <v>504</v>
      </c>
      <c r="B92">
        <v>5</v>
      </c>
      <c r="C92" t="s">
        <v>581</v>
      </c>
      <c r="D92" s="2">
        <v>46063</v>
      </c>
      <c r="E92">
        <v>21</v>
      </c>
      <c r="F92" s="2">
        <v>46084</v>
      </c>
      <c r="G92" s="6">
        <v>0.1</v>
      </c>
      <c r="H92" s="6">
        <v>0.4998914789252073</v>
      </c>
      <c r="K92"/>
      <c r="L92"/>
      <c r="M92"/>
      <c r="O92"/>
      <c r="P92"/>
      <c r="Q92"/>
    </row>
    <row r="93" spans="1:17" ht="14.4" hidden="1">
      <c r="A93" t="s">
        <v>504</v>
      </c>
      <c r="B93" t="s">
        <v>582</v>
      </c>
      <c r="C93" t="s">
        <v>583</v>
      </c>
      <c r="D93" s="2">
        <v>46063</v>
      </c>
      <c r="E93">
        <v>1</v>
      </c>
      <c r="F93" s="2">
        <v>46064</v>
      </c>
      <c r="G93" s="6">
        <v>1</v>
      </c>
      <c r="H93" s="6">
        <v>1</v>
      </c>
      <c r="K93"/>
      <c r="L93"/>
      <c r="M93"/>
      <c r="O93"/>
      <c r="P93"/>
      <c r="Q93"/>
    </row>
    <row r="94" spans="1:17" ht="14.4" hidden="1">
      <c r="A94" t="s">
        <v>504</v>
      </c>
      <c r="B94" t="s">
        <v>584</v>
      </c>
      <c r="C94" t="s">
        <v>585</v>
      </c>
      <c r="D94" s="2">
        <v>46071</v>
      </c>
      <c r="E94">
        <v>9</v>
      </c>
      <c r="F94" s="2">
        <v>46084</v>
      </c>
      <c r="G94" s="6">
        <v>0</v>
      </c>
      <c r="H94" s="6">
        <v>0</v>
      </c>
      <c r="K94"/>
      <c r="L94"/>
      <c r="M94"/>
      <c r="O94"/>
      <c r="P94"/>
      <c r="Q94"/>
    </row>
    <row r="95" spans="1:17" ht="14.4" hidden="1">
      <c r="A95" t="s">
        <v>504</v>
      </c>
      <c r="B95">
        <v>6</v>
      </c>
      <c r="C95" t="s">
        <v>240</v>
      </c>
      <c r="D95" s="2">
        <v>46086</v>
      </c>
      <c r="E95">
        <v>11</v>
      </c>
      <c r="F95" s="2">
        <v>46097</v>
      </c>
      <c r="G95" s="6">
        <v>0</v>
      </c>
      <c r="H95" s="6">
        <v>0</v>
      </c>
      <c r="K95"/>
      <c r="L95"/>
      <c r="M95"/>
      <c r="O95"/>
      <c r="P95"/>
      <c r="Q95"/>
    </row>
    <row r="96" spans="1:17" ht="14.4" hidden="1">
      <c r="A96" t="s">
        <v>504</v>
      </c>
      <c r="B96" t="s">
        <v>586</v>
      </c>
      <c r="C96" t="s">
        <v>240</v>
      </c>
      <c r="D96" s="2">
        <v>46086</v>
      </c>
      <c r="E96">
        <v>1</v>
      </c>
      <c r="F96" s="2">
        <v>46087</v>
      </c>
      <c r="G96" s="6">
        <v>0</v>
      </c>
      <c r="H96" s="6">
        <v>0</v>
      </c>
      <c r="K96"/>
      <c r="L96"/>
      <c r="M96"/>
      <c r="O96"/>
      <c r="P96"/>
      <c r="Q96"/>
    </row>
    <row r="97" spans="1:17" ht="14.4" hidden="1">
      <c r="A97" t="s">
        <v>504</v>
      </c>
      <c r="B97" t="s">
        <v>587</v>
      </c>
      <c r="C97" t="s">
        <v>169</v>
      </c>
      <c r="D97" s="2">
        <v>46087</v>
      </c>
      <c r="E97">
        <v>1</v>
      </c>
      <c r="F97" s="2">
        <v>46090</v>
      </c>
      <c r="G97" s="6">
        <v>0</v>
      </c>
      <c r="H97" s="6">
        <v>0</v>
      </c>
      <c r="K97"/>
      <c r="L97"/>
      <c r="M97"/>
      <c r="O97"/>
      <c r="P97"/>
      <c r="Q97"/>
    </row>
    <row r="98" spans="1:17" ht="14.4" hidden="1">
      <c r="A98" t="s">
        <v>504</v>
      </c>
      <c r="B98" t="s">
        <v>599</v>
      </c>
      <c r="C98" t="s">
        <v>593</v>
      </c>
      <c r="D98" s="2">
        <v>46090</v>
      </c>
      <c r="E98">
        <v>5</v>
      </c>
      <c r="F98" s="2">
        <v>46097</v>
      </c>
      <c r="G98" s="6">
        <v>0</v>
      </c>
      <c r="H98" s="6">
        <v>0</v>
      </c>
      <c r="K98"/>
      <c r="L98"/>
      <c r="M98"/>
      <c r="O98"/>
      <c r="P98"/>
      <c r="Q98"/>
    </row>
    <row r="99" spans="1:17" ht="14.4" hidden="1">
      <c r="A99" t="s">
        <v>504</v>
      </c>
      <c r="B99">
        <v>7</v>
      </c>
      <c r="C99" t="s">
        <v>588</v>
      </c>
      <c r="D99" s="2">
        <v>46090</v>
      </c>
      <c r="E99">
        <v>8</v>
      </c>
      <c r="F99" s="2">
        <v>46098</v>
      </c>
      <c r="G99" s="6">
        <v>0</v>
      </c>
      <c r="H99" s="6">
        <v>0</v>
      </c>
      <c r="K99"/>
      <c r="L99"/>
      <c r="M99"/>
      <c r="O99"/>
      <c r="P99"/>
      <c r="Q99"/>
    </row>
    <row r="100" spans="1:17" ht="14.4" hidden="1">
      <c r="A100" t="s">
        <v>504</v>
      </c>
      <c r="B100" t="s">
        <v>600</v>
      </c>
      <c r="C100" t="s">
        <v>589</v>
      </c>
      <c r="D100" s="2">
        <v>46090</v>
      </c>
      <c r="E100">
        <v>3</v>
      </c>
      <c r="F100" s="2">
        <v>46093</v>
      </c>
      <c r="G100" s="6">
        <v>0</v>
      </c>
      <c r="H100" s="6">
        <v>0</v>
      </c>
      <c r="K100"/>
      <c r="L100"/>
      <c r="M100"/>
      <c r="O100"/>
      <c r="P100"/>
      <c r="Q100"/>
    </row>
    <row r="101" spans="1:17" ht="14.4" hidden="1">
      <c r="A101" t="s">
        <v>504</v>
      </c>
      <c r="B101" t="s">
        <v>601</v>
      </c>
      <c r="C101" t="s">
        <v>592</v>
      </c>
      <c r="D101" s="2">
        <v>46093</v>
      </c>
      <c r="E101">
        <v>3</v>
      </c>
      <c r="F101" s="2">
        <v>46098</v>
      </c>
      <c r="G101" s="6">
        <v>0</v>
      </c>
      <c r="H101" s="6">
        <v>0</v>
      </c>
      <c r="K101"/>
      <c r="L101"/>
      <c r="M101"/>
      <c r="O101"/>
      <c r="P101"/>
      <c r="Q101"/>
    </row>
    <row r="102" spans="1:17" ht="14.4" hidden="1">
      <c r="A102" t="s">
        <v>504</v>
      </c>
      <c r="B102">
        <v>8</v>
      </c>
      <c r="C102" t="s">
        <v>590</v>
      </c>
      <c r="D102" s="2">
        <v>46093</v>
      </c>
      <c r="E102">
        <v>18</v>
      </c>
      <c r="F102" s="2">
        <v>46111</v>
      </c>
      <c r="G102" s="6">
        <v>0</v>
      </c>
      <c r="H102" s="6">
        <v>0</v>
      </c>
      <c r="K102"/>
      <c r="L102"/>
      <c r="M102"/>
      <c r="O102"/>
      <c r="P102"/>
      <c r="Q102"/>
    </row>
    <row r="103" spans="1:17" ht="14.4" hidden="1">
      <c r="A103" t="s">
        <v>504</v>
      </c>
      <c r="B103" t="s">
        <v>602</v>
      </c>
      <c r="C103" t="s">
        <v>594</v>
      </c>
      <c r="D103" s="2">
        <v>46093</v>
      </c>
      <c r="E103">
        <v>7</v>
      </c>
      <c r="F103" s="2">
        <v>46104</v>
      </c>
      <c r="G103" s="6">
        <v>0</v>
      </c>
      <c r="H103" s="6">
        <v>0</v>
      </c>
      <c r="M103"/>
      <c r="O103"/>
      <c r="P103"/>
      <c r="Q103"/>
    </row>
    <row r="104" spans="1:17" ht="14.4" hidden="1">
      <c r="A104" t="s">
        <v>504</v>
      </c>
      <c r="B104" t="s">
        <v>603</v>
      </c>
      <c r="C104" t="s">
        <v>595</v>
      </c>
      <c r="D104" s="2">
        <v>46104</v>
      </c>
      <c r="E104">
        <v>1</v>
      </c>
      <c r="F104" s="2">
        <v>46105</v>
      </c>
      <c r="G104" s="6">
        <v>0</v>
      </c>
      <c r="H104" s="6">
        <v>0</v>
      </c>
      <c r="M104"/>
      <c r="O104"/>
      <c r="P104"/>
      <c r="Q104"/>
    </row>
    <row r="105" spans="1:17" ht="14.4" hidden="1">
      <c r="A105" t="s">
        <v>504</v>
      </c>
      <c r="B105" t="s">
        <v>604</v>
      </c>
      <c r="C105" t="s">
        <v>596</v>
      </c>
      <c r="D105" s="2">
        <v>46104</v>
      </c>
      <c r="E105">
        <v>5</v>
      </c>
      <c r="F105" s="2">
        <v>46111</v>
      </c>
      <c r="G105" s="6">
        <v>0</v>
      </c>
      <c r="H105" s="6">
        <v>0</v>
      </c>
      <c r="M105"/>
      <c r="O105"/>
      <c r="P105"/>
      <c r="Q105"/>
    </row>
    <row r="106" spans="1:17" ht="14.4" hidden="1">
      <c r="A106" t="s">
        <v>163</v>
      </c>
      <c r="B106">
        <v>1</v>
      </c>
      <c r="C106" t="s">
        <v>547</v>
      </c>
      <c r="D106" s="2">
        <v>45825</v>
      </c>
      <c r="E106">
        <v>65</v>
      </c>
      <c r="F106" s="2">
        <v>45890</v>
      </c>
      <c r="G106" s="6">
        <v>1</v>
      </c>
      <c r="H106" s="6">
        <v>1</v>
      </c>
      <c r="M106"/>
      <c r="O106"/>
      <c r="P106"/>
      <c r="Q106"/>
    </row>
    <row r="107" spans="1:17" ht="14.4" hidden="1">
      <c r="A107" t="s">
        <v>163</v>
      </c>
      <c r="B107" t="s">
        <v>548</v>
      </c>
      <c r="C107" t="s">
        <v>549</v>
      </c>
      <c r="D107" s="2">
        <v>45825</v>
      </c>
      <c r="E107">
        <v>5</v>
      </c>
      <c r="F107" s="2">
        <v>45832</v>
      </c>
      <c r="G107" s="6">
        <v>1</v>
      </c>
      <c r="H107" s="6">
        <v>1</v>
      </c>
      <c r="M107"/>
      <c r="O107"/>
      <c r="P107"/>
      <c r="Q107"/>
    </row>
    <row r="108" spans="1:17" ht="14.4" hidden="1">
      <c r="A108" t="s">
        <v>163</v>
      </c>
      <c r="B108" t="s">
        <v>550</v>
      </c>
      <c r="C108" t="s">
        <v>551</v>
      </c>
      <c r="D108" s="2">
        <v>45877</v>
      </c>
      <c r="E108">
        <v>1</v>
      </c>
      <c r="F108" s="2">
        <v>45880</v>
      </c>
      <c r="G108" s="6">
        <v>1</v>
      </c>
      <c r="H108" s="6">
        <v>1</v>
      </c>
      <c r="M108"/>
      <c r="O108"/>
      <c r="P108"/>
      <c r="Q108"/>
    </row>
    <row r="109" spans="1:17" ht="14.4" hidden="1">
      <c r="A109" t="s">
        <v>163</v>
      </c>
      <c r="B109" t="s">
        <v>552</v>
      </c>
      <c r="C109" t="s">
        <v>553</v>
      </c>
      <c r="D109" s="2">
        <v>45877</v>
      </c>
      <c r="E109">
        <v>8</v>
      </c>
      <c r="F109" s="2">
        <v>45889</v>
      </c>
      <c r="G109" s="6">
        <v>1</v>
      </c>
      <c r="H109" s="6">
        <v>1</v>
      </c>
      <c r="M109"/>
      <c r="O109"/>
      <c r="P109"/>
      <c r="Q109"/>
    </row>
    <row r="110" spans="1:17" ht="14.4" hidden="1">
      <c r="A110" t="s">
        <v>163</v>
      </c>
      <c r="B110" t="s">
        <v>554</v>
      </c>
      <c r="C110" t="s">
        <v>555</v>
      </c>
      <c r="D110" s="2">
        <v>45889</v>
      </c>
      <c r="E110">
        <v>1</v>
      </c>
      <c r="F110" s="2">
        <v>45890</v>
      </c>
      <c r="G110" s="6">
        <v>1</v>
      </c>
      <c r="H110" s="6">
        <v>1</v>
      </c>
      <c r="M110"/>
      <c r="O110"/>
      <c r="P110"/>
      <c r="Q110"/>
    </row>
    <row r="111" spans="1:17" ht="14.4" hidden="1">
      <c r="A111" t="s">
        <v>163</v>
      </c>
      <c r="B111" t="s">
        <v>556</v>
      </c>
      <c r="C111" t="s">
        <v>557</v>
      </c>
      <c r="D111" s="2">
        <v>45889</v>
      </c>
      <c r="E111">
        <v>1</v>
      </c>
      <c r="F111" s="2">
        <v>45890</v>
      </c>
      <c r="G111" s="6">
        <v>1</v>
      </c>
      <c r="H111" s="6">
        <v>1</v>
      </c>
      <c r="M111"/>
      <c r="O111"/>
      <c r="P111"/>
      <c r="Q111"/>
    </row>
    <row r="112" spans="1:17" ht="14.4" hidden="1">
      <c r="A112" t="s">
        <v>163</v>
      </c>
      <c r="B112">
        <v>2</v>
      </c>
      <c r="C112" t="s">
        <v>558</v>
      </c>
      <c r="D112" s="2">
        <v>45912</v>
      </c>
      <c r="E112">
        <v>1</v>
      </c>
      <c r="F112" s="2">
        <v>45913</v>
      </c>
      <c r="G112" s="6">
        <v>1</v>
      </c>
      <c r="H112" s="6">
        <v>1</v>
      </c>
      <c r="M112"/>
      <c r="O112"/>
      <c r="P112"/>
      <c r="Q112"/>
    </row>
    <row r="113" spans="1:17" ht="14.4" hidden="1">
      <c r="A113" t="s">
        <v>163</v>
      </c>
      <c r="B113" t="s">
        <v>559</v>
      </c>
      <c r="C113" t="s">
        <v>560</v>
      </c>
      <c r="D113" s="2">
        <v>45912</v>
      </c>
      <c r="E113">
        <v>1</v>
      </c>
      <c r="F113" s="2">
        <v>45913</v>
      </c>
      <c r="G113" s="6">
        <v>1</v>
      </c>
      <c r="H113" s="6">
        <v>1</v>
      </c>
      <c r="M113"/>
      <c r="O113"/>
      <c r="P113"/>
      <c r="Q113"/>
    </row>
    <row r="114" spans="1:17" ht="14.4" hidden="1">
      <c r="A114" t="s">
        <v>163</v>
      </c>
      <c r="B114">
        <v>3</v>
      </c>
      <c r="C114" t="s">
        <v>561</v>
      </c>
      <c r="D114" s="2">
        <v>45838</v>
      </c>
      <c r="E114">
        <v>123</v>
      </c>
      <c r="F114" s="2">
        <v>45961</v>
      </c>
      <c r="G114" s="6">
        <v>1</v>
      </c>
      <c r="H114" s="6">
        <v>1</v>
      </c>
      <c r="M114"/>
      <c r="O114"/>
      <c r="P114"/>
      <c r="Q114"/>
    </row>
    <row r="115" spans="1:17" ht="14.4" hidden="1">
      <c r="A115" t="s">
        <v>163</v>
      </c>
      <c r="B115" t="s">
        <v>562</v>
      </c>
      <c r="C115" t="s">
        <v>563</v>
      </c>
      <c r="D115" s="2">
        <v>45838</v>
      </c>
      <c r="E115">
        <v>1</v>
      </c>
      <c r="F115" s="2">
        <v>45839</v>
      </c>
      <c r="G115" s="6">
        <v>1</v>
      </c>
      <c r="H115" s="6">
        <v>1</v>
      </c>
      <c r="M115"/>
      <c r="O115"/>
      <c r="P115"/>
      <c r="Q115"/>
    </row>
    <row r="116" spans="1:17" ht="14.4" hidden="1">
      <c r="A116" t="s">
        <v>163</v>
      </c>
      <c r="B116" t="s">
        <v>564</v>
      </c>
      <c r="C116" t="s">
        <v>565</v>
      </c>
      <c r="D116" s="2">
        <v>45912</v>
      </c>
      <c r="E116">
        <v>1</v>
      </c>
      <c r="F116" s="2">
        <v>45915</v>
      </c>
      <c r="G116" s="6">
        <v>1</v>
      </c>
      <c r="H116" s="6">
        <v>1</v>
      </c>
      <c r="M116"/>
      <c r="O116"/>
      <c r="P116"/>
      <c r="Q116"/>
    </row>
    <row r="117" spans="1:17" ht="14.4" hidden="1">
      <c r="A117" t="s">
        <v>163</v>
      </c>
      <c r="B117" t="s">
        <v>566</v>
      </c>
      <c r="C117" t="s">
        <v>567</v>
      </c>
      <c r="D117" s="2">
        <v>45898</v>
      </c>
      <c r="E117">
        <v>35</v>
      </c>
      <c r="F117" s="2">
        <v>45950</v>
      </c>
      <c r="G117" s="6">
        <v>1</v>
      </c>
      <c r="H117" s="6">
        <v>1</v>
      </c>
      <c r="M117"/>
      <c r="O117"/>
      <c r="P117"/>
      <c r="Q117"/>
    </row>
    <row r="118" spans="1:17" ht="14.4" hidden="1">
      <c r="A118" t="s">
        <v>163</v>
      </c>
      <c r="B118" t="s">
        <v>568</v>
      </c>
      <c r="C118" t="s">
        <v>569</v>
      </c>
      <c r="D118" s="2">
        <v>45950</v>
      </c>
      <c r="E118">
        <v>7</v>
      </c>
      <c r="F118" s="2">
        <v>45959</v>
      </c>
      <c r="G118" s="6">
        <v>1</v>
      </c>
      <c r="H118" s="6">
        <v>1</v>
      </c>
      <c r="M118"/>
      <c r="O118"/>
      <c r="P118"/>
      <c r="Q118"/>
    </row>
    <row r="119" spans="1:17" ht="14.4" hidden="1">
      <c r="A119" t="s">
        <v>163</v>
      </c>
      <c r="B119" t="s">
        <v>570</v>
      </c>
      <c r="C119" t="s">
        <v>571</v>
      </c>
      <c r="D119" s="2">
        <v>45959</v>
      </c>
      <c r="E119">
        <v>2</v>
      </c>
      <c r="F119" s="2">
        <v>45961</v>
      </c>
      <c r="G119" s="6">
        <v>1</v>
      </c>
      <c r="H119" s="6">
        <v>1</v>
      </c>
      <c r="M119"/>
      <c r="O119"/>
      <c r="P119"/>
      <c r="Q119"/>
    </row>
    <row r="120" spans="1:17" ht="14.4" hidden="1">
      <c r="A120" t="s">
        <v>163</v>
      </c>
      <c r="B120">
        <v>4</v>
      </c>
      <c r="C120" t="s">
        <v>572</v>
      </c>
      <c r="D120" s="2">
        <v>45838</v>
      </c>
      <c r="E120">
        <v>203</v>
      </c>
      <c r="F120" s="2">
        <v>46041</v>
      </c>
      <c r="G120" s="6">
        <v>0.86363636363636365</v>
      </c>
      <c r="H120" s="6">
        <v>0.86363636363636365</v>
      </c>
      <c r="M120"/>
      <c r="O120"/>
      <c r="P120"/>
      <c r="Q120"/>
    </row>
    <row r="121" spans="1:17" ht="14.4" hidden="1">
      <c r="A121" t="s">
        <v>163</v>
      </c>
      <c r="B121" t="s">
        <v>573</v>
      </c>
      <c r="C121" t="s">
        <v>613</v>
      </c>
      <c r="E121"/>
      <c r="G121" s="6">
        <v>0</v>
      </c>
      <c r="H121" s="6">
        <v>0</v>
      </c>
      <c r="M121"/>
      <c r="O121"/>
      <c r="P121"/>
      <c r="Q121"/>
    </row>
    <row r="122" spans="1:17" ht="14.4" hidden="1">
      <c r="A122" t="s">
        <v>163</v>
      </c>
      <c r="B122" t="s">
        <v>573</v>
      </c>
      <c r="C122" t="s">
        <v>574</v>
      </c>
      <c r="D122" s="2">
        <v>45910</v>
      </c>
      <c r="E122">
        <v>1</v>
      </c>
      <c r="F122" s="2">
        <v>45911</v>
      </c>
      <c r="G122" s="6">
        <v>1</v>
      </c>
      <c r="H122" s="6">
        <v>1</v>
      </c>
      <c r="M122"/>
      <c r="O122"/>
      <c r="P122"/>
      <c r="Q122"/>
    </row>
    <row r="123" spans="1:17" ht="14.4" hidden="1">
      <c r="A123" t="s">
        <v>163</v>
      </c>
      <c r="B123" t="s">
        <v>575</v>
      </c>
      <c r="C123" t="s">
        <v>576</v>
      </c>
      <c r="D123" s="2">
        <v>45911</v>
      </c>
      <c r="E123">
        <v>3</v>
      </c>
      <c r="F123" s="2">
        <v>45916</v>
      </c>
      <c r="G123" s="6">
        <v>1</v>
      </c>
      <c r="H123" s="6">
        <v>1</v>
      </c>
      <c r="M123"/>
      <c r="O123"/>
      <c r="P123"/>
      <c r="Q123"/>
    </row>
    <row r="124" spans="1:17" ht="14.4" hidden="1">
      <c r="A124" t="s">
        <v>163</v>
      </c>
      <c r="B124" t="s">
        <v>577</v>
      </c>
      <c r="C124" t="s">
        <v>578</v>
      </c>
      <c r="D124" s="2">
        <v>45838</v>
      </c>
      <c r="E124">
        <v>1</v>
      </c>
      <c r="F124" s="2">
        <v>45839</v>
      </c>
      <c r="G124" s="6">
        <v>1</v>
      </c>
      <c r="H124" s="6">
        <v>1</v>
      </c>
      <c r="M124"/>
      <c r="O124"/>
      <c r="P124"/>
      <c r="Q124"/>
    </row>
    <row r="125" spans="1:17" ht="14.4" hidden="1">
      <c r="A125" t="s">
        <v>163</v>
      </c>
      <c r="B125" t="s">
        <v>579</v>
      </c>
      <c r="C125" t="s">
        <v>614</v>
      </c>
      <c r="D125" s="2">
        <v>46037</v>
      </c>
      <c r="E125">
        <v>2</v>
      </c>
      <c r="F125" s="2">
        <v>46041</v>
      </c>
      <c r="G125" s="6">
        <v>1</v>
      </c>
      <c r="H125" s="6">
        <v>1</v>
      </c>
      <c r="M125"/>
      <c r="O125"/>
      <c r="P125"/>
      <c r="Q125"/>
    </row>
    <row r="126" spans="1:17" ht="14.4" hidden="1">
      <c r="A126" t="s">
        <v>163</v>
      </c>
      <c r="B126" t="s">
        <v>615</v>
      </c>
      <c r="C126" t="s">
        <v>580</v>
      </c>
      <c r="D126" s="2">
        <v>45954</v>
      </c>
      <c r="E126">
        <v>15</v>
      </c>
      <c r="F126" s="2">
        <v>45975</v>
      </c>
      <c r="G126" s="6">
        <v>1</v>
      </c>
      <c r="H126" s="6">
        <v>1</v>
      </c>
      <c r="M126"/>
      <c r="O126"/>
      <c r="P126"/>
      <c r="Q126"/>
    </row>
    <row r="127" spans="1:17" ht="14.4" hidden="1">
      <c r="A127" t="s">
        <v>163</v>
      </c>
      <c r="B127">
        <v>5</v>
      </c>
      <c r="C127" t="s">
        <v>581</v>
      </c>
      <c r="D127" s="2">
        <v>45838</v>
      </c>
      <c r="E127">
        <v>140</v>
      </c>
      <c r="F127" s="2">
        <v>45978</v>
      </c>
      <c r="G127" s="6">
        <v>1</v>
      </c>
      <c r="H127" s="6">
        <v>1</v>
      </c>
      <c r="M127"/>
      <c r="O127"/>
      <c r="P127"/>
      <c r="Q127"/>
    </row>
    <row r="128" spans="1:17" ht="14.4" hidden="1">
      <c r="A128" t="s">
        <v>163</v>
      </c>
      <c r="B128" t="s">
        <v>582</v>
      </c>
      <c r="C128" t="s">
        <v>583</v>
      </c>
      <c r="D128" s="2">
        <v>45838</v>
      </c>
      <c r="E128">
        <v>1</v>
      </c>
      <c r="F128" s="2">
        <v>45839</v>
      </c>
      <c r="G128" s="6">
        <v>1</v>
      </c>
      <c r="H128" s="6">
        <v>1</v>
      </c>
      <c r="M128"/>
      <c r="O128"/>
      <c r="P128"/>
      <c r="Q128"/>
    </row>
    <row r="129" spans="1:17" ht="14.4" hidden="1">
      <c r="A129" t="s">
        <v>163</v>
      </c>
      <c r="B129" t="s">
        <v>584</v>
      </c>
      <c r="C129" t="s">
        <v>585</v>
      </c>
      <c r="D129" s="2">
        <v>45932</v>
      </c>
      <c r="E129">
        <v>32</v>
      </c>
      <c r="F129" s="2">
        <v>45978</v>
      </c>
      <c r="G129" s="6">
        <v>1</v>
      </c>
      <c r="H129" s="6">
        <v>1</v>
      </c>
      <c r="M129"/>
      <c r="O129"/>
      <c r="P129"/>
      <c r="Q129"/>
    </row>
    <row r="130" spans="1:17" ht="14.4" hidden="1">
      <c r="A130" t="s">
        <v>163</v>
      </c>
      <c r="B130">
        <v>6</v>
      </c>
      <c r="C130" t="s">
        <v>240</v>
      </c>
      <c r="D130" s="2">
        <v>45978</v>
      </c>
      <c r="E130">
        <v>14</v>
      </c>
      <c r="F130" s="2">
        <v>45992</v>
      </c>
      <c r="G130" s="6">
        <v>1</v>
      </c>
      <c r="H130" s="6">
        <v>1</v>
      </c>
      <c r="M130"/>
      <c r="O130"/>
      <c r="P130"/>
      <c r="Q130"/>
    </row>
    <row r="131" spans="1:17" ht="14.4" hidden="1">
      <c r="A131" t="s">
        <v>163</v>
      </c>
      <c r="B131" t="s">
        <v>586</v>
      </c>
      <c r="C131" t="s">
        <v>240</v>
      </c>
      <c r="D131" s="2">
        <v>45978</v>
      </c>
      <c r="E131">
        <v>5</v>
      </c>
      <c r="F131" s="2">
        <v>45985</v>
      </c>
      <c r="G131" s="6">
        <v>1</v>
      </c>
      <c r="H131" s="6">
        <v>1</v>
      </c>
      <c r="M131"/>
      <c r="O131"/>
      <c r="P131"/>
      <c r="Q131"/>
    </row>
    <row r="132" spans="1:17" ht="14.4" hidden="1">
      <c r="A132" t="s">
        <v>163</v>
      </c>
      <c r="B132" t="s">
        <v>587</v>
      </c>
      <c r="C132" t="s">
        <v>169</v>
      </c>
      <c r="D132" s="2">
        <v>45985</v>
      </c>
      <c r="E132">
        <v>5</v>
      </c>
      <c r="F132" s="2">
        <v>45992</v>
      </c>
      <c r="G132" s="6">
        <v>1</v>
      </c>
      <c r="H132" s="6">
        <v>1</v>
      </c>
      <c r="M132"/>
      <c r="O132"/>
      <c r="P132"/>
      <c r="Q132"/>
    </row>
    <row r="133" spans="1:17" ht="14.4" hidden="1">
      <c r="A133" t="s">
        <v>163</v>
      </c>
      <c r="B133">
        <v>7</v>
      </c>
      <c r="C133" t="s">
        <v>588</v>
      </c>
      <c r="D133" s="2">
        <v>45983</v>
      </c>
      <c r="E133">
        <v>3</v>
      </c>
      <c r="F133" s="2">
        <v>45986</v>
      </c>
      <c r="G133" s="6">
        <v>1</v>
      </c>
      <c r="H133" s="6">
        <v>1</v>
      </c>
      <c r="M133"/>
      <c r="O133"/>
      <c r="P133"/>
      <c r="Q133"/>
    </row>
    <row r="134" spans="1:17" ht="14.4" hidden="1">
      <c r="A134" t="s">
        <v>163</v>
      </c>
      <c r="B134">
        <v>7.1</v>
      </c>
      <c r="C134" t="s">
        <v>589</v>
      </c>
      <c r="D134" s="2">
        <v>45983</v>
      </c>
      <c r="E134">
        <v>2</v>
      </c>
      <c r="F134" s="2">
        <v>45986</v>
      </c>
      <c r="G134" s="6">
        <v>1</v>
      </c>
      <c r="H134" s="6">
        <v>1</v>
      </c>
      <c r="M134"/>
      <c r="O134"/>
      <c r="P134"/>
      <c r="Q134"/>
    </row>
    <row r="135" spans="1:17" ht="14.4" hidden="1">
      <c r="A135" t="s">
        <v>163</v>
      </c>
      <c r="B135">
        <v>8</v>
      </c>
      <c r="C135" t="s">
        <v>590</v>
      </c>
      <c r="D135" s="2">
        <v>45986</v>
      </c>
      <c r="E135">
        <v>73</v>
      </c>
      <c r="F135" s="2">
        <v>46059</v>
      </c>
      <c r="G135" s="6">
        <v>0.78260869565217395</v>
      </c>
      <c r="H135" s="6">
        <v>1</v>
      </c>
      <c r="M135"/>
      <c r="O135"/>
      <c r="P135"/>
      <c r="Q135"/>
    </row>
    <row r="136" spans="1:17" ht="14.4" hidden="1">
      <c r="A136" t="s">
        <v>163</v>
      </c>
      <c r="B136">
        <v>8.1</v>
      </c>
      <c r="C136" t="s">
        <v>591</v>
      </c>
      <c r="D136" s="2">
        <v>45986</v>
      </c>
      <c r="E136">
        <v>1</v>
      </c>
      <c r="F136" s="2">
        <v>45987</v>
      </c>
      <c r="G136" s="6">
        <v>1</v>
      </c>
      <c r="H136" s="6">
        <v>1</v>
      </c>
      <c r="M136"/>
      <c r="O136"/>
      <c r="P136"/>
      <c r="Q136"/>
    </row>
    <row r="137" spans="1:17" ht="14.4" hidden="1">
      <c r="A137" t="s">
        <v>163</v>
      </c>
      <c r="B137">
        <v>8.1999999999999993</v>
      </c>
      <c r="C137" t="s">
        <v>592</v>
      </c>
      <c r="D137" s="2">
        <v>45986</v>
      </c>
      <c r="E137">
        <v>3</v>
      </c>
      <c r="F137" s="2">
        <v>45989</v>
      </c>
      <c r="G137" s="6">
        <v>1</v>
      </c>
      <c r="H137" s="6">
        <v>1</v>
      </c>
      <c r="M137"/>
      <c r="O137"/>
      <c r="P137"/>
      <c r="Q137"/>
    </row>
    <row r="138" spans="1:17" ht="14.4" hidden="1">
      <c r="A138" t="s">
        <v>163</v>
      </c>
      <c r="B138">
        <v>8.3000000000000007</v>
      </c>
      <c r="C138" t="s">
        <v>593</v>
      </c>
      <c r="D138" s="2">
        <v>45992</v>
      </c>
      <c r="E138">
        <v>5</v>
      </c>
      <c r="F138" s="2">
        <v>45999</v>
      </c>
      <c r="G138" s="6">
        <v>1</v>
      </c>
      <c r="H138" s="6">
        <v>1</v>
      </c>
      <c r="M138"/>
      <c r="O138"/>
      <c r="P138"/>
      <c r="Q138"/>
    </row>
    <row r="139" spans="1:17" ht="14.4" hidden="1">
      <c r="A139" t="s">
        <v>163</v>
      </c>
      <c r="B139">
        <v>8.4</v>
      </c>
      <c r="C139" t="s">
        <v>594</v>
      </c>
      <c r="D139" s="2">
        <v>45989</v>
      </c>
      <c r="E139">
        <v>8</v>
      </c>
      <c r="F139" s="2">
        <v>46001</v>
      </c>
      <c r="G139" s="6">
        <v>1</v>
      </c>
      <c r="H139" s="6">
        <v>1</v>
      </c>
      <c r="M139"/>
      <c r="O139"/>
      <c r="P139"/>
      <c r="Q139"/>
    </row>
    <row r="140" spans="1:17" ht="14.4" hidden="1">
      <c r="A140" t="s">
        <v>163</v>
      </c>
      <c r="B140">
        <v>8.5</v>
      </c>
      <c r="C140" t="s">
        <v>595</v>
      </c>
      <c r="D140" s="2">
        <v>46052</v>
      </c>
      <c r="E140">
        <v>1</v>
      </c>
      <c r="F140" s="2">
        <v>46055</v>
      </c>
      <c r="G140" s="6">
        <v>1</v>
      </c>
      <c r="H140" s="6">
        <v>1</v>
      </c>
      <c r="M140"/>
      <c r="O140"/>
      <c r="P140"/>
      <c r="Q140"/>
    </row>
    <row r="141" spans="1:17" ht="14.4" hidden="1">
      <c r="A141" t="s">
        <v>163</v>
      </c>
      <c r="B141">
        <v>8.6</v>
      </c>
      <c r="C141" t="s">
        <v>596</v>
      </c>
      <c r="D141" s="2">
        <v>46054</v>
      </c>
      <c r="E141">
        <v>5</v>
      </c>
      <c r="F141" s="2">
        <v>46059</v>
      </c>
      <c r="G141" s="6">
        <v>0</v>
      </c>
      <c r="H141" s="6">
        <v>1</v>
      </c>
      <c r="M141"/>
      <c r="O141"/>
      <c r="P141"/>
      <c r="Q141"/>
    </row>
    <row r="142" spans="1:17" ht="14.4" hidden="1">
      <c r="A142" t="s">
        <v>167</v>
      </c>
      <c r="B142">
        <v>1</v>
      </c>
      <c r="C142" t="s">
        <v>547</v>
      </c>
      <c r="D142" s="2">
        <v>45785</v>
      </c>
      <c r="E142">
        <v>113</v>
      </c>
      <c r="F142" s="2">
        <v>45898</v>
      </c>
      <c r="G142" s="6">
        <v>1</v>
      </c>
      <c r="H142" s="6">
        <v>1</v>
      </c>
      <c r="M142"/>
      <c r="O142"/>
      <c r="P142"/>
      <c r="Q142"/>
    </row>
    <row r="143" spans="1:17" ht="14.4" hidden="1">
      <c r="A143" t="s">
        <v>167</v>
      </c>
      <c r="B143" t="s">
        <v>548</v>
      </c>
      <c r="C143" t="s">
        <v>549</v>
      </c>
      <c r="D143" s="2">
        <v>45785</v>
      </c>
      <c r="E143">
        <v>1</v>
      </c>
      <c r="F143" s="2">
        <v>45786</v>
      </c>
      <c r="G143" s="6">
        <v>1</v>
      </c>
      <c r="H143" s="6">
        <v>1</v>
      </c>
      <c r="M143"/>
      <c r="O143"/>
      <c r="P143"/>
      <c r="Q143"/>
    </row>
    <row r="144" spans="1:17" ht="14.4" hidden="1">
      <c r="A144" t="s">
        <v>167</v>
      </c>
      <c r="B144" t="s">
        <v>550</v>
      </c>
      <c r="C144" t="s">
        <v>551</v>
      </c>
      <c r="D144" s="2">
        <v>45885</v>
      </c>
      <c r="E144">
        <v>1</v>
      </c>
      <c r="F144" s="2">
        <v>45887</v>
      </c>
      <c r="G144" s="6">
        <v>1</v>
      </c>
      <c r="H144" s="6">
        <v>1</v>
      </c>
      <c r="M144"/>
      <c r="O144"/>
      <c r="P144"/>
      <c r="Q144"/>
    </row>
    <row r="145" spans="1:17" ht="14.4" hidden="1">
      <c r="A145" t="s">
        <v>167</v>
      </c>
      <c r="B145" t="s">
        <v>552</v>
      </c>
      <c r="C145" t="s">
        <v>553</v>
      </c>
      <c r="D145" s="2">
        <v>45885</v>
      </c>
      <c r="E145">
        <v>10</v>
      </c>
      <c r="F145" s="2">
        <v>45898</v>
      </c>
      <c r="G145" s="6">
        <v>1</v>
      </c>
      <c r="H145" s="6">
        <v>1</v>
      </c>
      <c r="M145"/>
      <c r="O145"/>
      <c r="P145"/>
      <c r="Q145"/>
    </row>
    <row r="146" spans="1:17" ht="14.4" hidden="1">
      <c r="A146" t="s">
        <v>167</v>
      </c>
      <c r="B146" t="s">
        <v>554</v>
      </c>
      <c r="C146" t="s">
        <v>555</v>
      </c>
      <c r="D146" s="2">
        <v>45885</v>
      </c>
      <c r="E146">
        <v>1</v>
      </c>
      <c r="F146" s="2">
        <v>45887</v>
      </c>
      <c r="G146" s="6">
        <v>1</v>
      </c>
      <c r="H146" s="6">
        <v>1</v>
      </c>
      <c r="M146"/>
      <c r="O146"/>
      <c r="P146"/>
      <c r="Q146"/>
    </row>
    <row r="147" spans="1:17" ht="14.4" hidden="1">
      <c r="A147" t="s">
        <v>167</v>
      </c>
      <c r="B147" t="s">
        <v>556</v>
      </c>
      <c r="C147" t="s">
        <v>557</v>
      </c>
      <c r="D147" s="2">
        <v>45855</v>
      </c>
      <c r="E147">
        <v>1</v>
      </c>
      <c r="F147" s="2">
        <v>45856</v>
      </c>
      <c r="G147" s="6">
        <v>1</v>
      </c>
      <c r="H147" s="6">
        <v>1</v>
      </c>
      <c r="M147"/>
      <c r="O147"/>
      <c r="P147"/>
      <c r="Q147"/>
    </row>
    <row r="148" spans="1:17" ht="14.4" hidden="1">
      <c r="A148" t="s">
        <v>167</v>
      </c>
      <c r="B148">
        <v>2</v>
      </c>
      <c r="C148" t="s">
        <v>558</v>
      </c>
      <c r="D148" s="2">
        <v>45899</v>
      </c>
      <c r="E148">
        <v>1</v>
      </c>
      <c r="F148" s="2">
        <v>45900</v>
      </c>
      <c r="G148" s="6">
        <v>1</v>
      </c>
      <c r="H148" s="6">
        <v>1</v>
      </c>
      <c r="M148"/>
      <c r="O148"/>
      <c r="P148"/>
      <c r="Q148"/>
    </row>
    <row r="149" spans="1:17" ht="14.4" hidden="1">
      <c r="A149" t="s">
        <v>167</v>
      </c>
      <c r="B149" t="s">
        <v>559</v>
      </c>
      <c r="C149" t="s">
        <v>560</v>
      </c>
      <c r="D149" s="2">
        <v>45899</v>
      </c>
      <c r="E149">
        <v>1</v>
      </c>
      <c r="F149" s="2">
        <v>45900</v>
      </c>
      <c r="G149" s="6">
        <v>1</v>
      </c>
      <c r="H149" s="6">
        <v>1</v>
      </c>
      <c r="M149"/>
      <c r="O149"/>
      <c r="P149"/>
      <c r="Q149"/>
    </row>
    <row r="150" spans="1:17" ht="14.4" hidden="1">
      <c r="A150" t="s">
        <v>167</v>
      </c>
      <c r="B150">
        <v>3</v>
      </c>
      <c r="C150" t="s">
        <v>561</v>
      </c>
      <c r="D150" s="2">
        <v>45880</v>
      </c>
      <c r="E150">
        <v>102</v>
      </c>
      <c r="F150" s="2">
        <v>45982</v>
      </c>
      <c r="G150" s="6">
        <v>0.64130434782608692</v>
      </c>
      <c r="H150" s="6">
        <v>0.64130434782608692</v>
      </c>
      <c r="M150"/>
      <c r="O150"/>
      <c r="P150"/>
      <c r="Q150"/>
    </row>
    <row r="151" spans="1:17" ht="14.4" hidden="1">
      <c r="A151" t="s">
        <v>167</v>
      </c>
      <c r="B151" t="s">
        <v>562</v>
      </c>
      <c r="C151" t="s">
        <v>563</v>
      </c>
      <c r="D151" s="2">
        <v>45900</v>
      </c>
      <c r="E151">
        <v>1</v>
      </c>
      <c r="F151" s="2">
        <v>45901</v>
      </c>
      <c r="G151" s="6">
        <v>1</v>
      </c>
      <c r="H151" s="6">
        <v>1</v>
      </c>
      <c r="M151"/>
      <c r="O151"/>
      <c r="P151"/>
      <c r="Q151"/>
    </row>
    <row r="152" spans="1:17" ht="14.4" hidden="1">
      <c r="A152" t="s">
        <v>167</v>
      </c>
      <c r="B152" t="s">
        <v>564</v>
      </c>
      <c r="C152" t="s">
        <v>565</v>
      </c>
      <c r="D152" s="2">
        <v>45943</v>
      </c>
      <c r="E152">
        <v>5</v>
      </c>
      <c r="F152" s="2">
        <v>45950</v>
      </c>
      <c r="G152" s="6">
        <v>1</v>
      </c>
      <c r="H152" s="6">
        <v>1</v>
      </c>
      <c r="M152"/>
      <c r="O152"/>
      <c r="P152"/>
      <c r="Q152"/>
    </row>
    <row r="153" spans="1:17" ht="14.4" hidden="1">
      <c r="A153" t="s">
        <v>167</v>
      </c>
      <c r="B153" t="s">
        <v>566</v>
      </c>
      <c r="C153" t="s">
        <v>616</v>
      </c>
      <c r="D153" s="2">
        <v>45880</v>
      </c>
      <c r="E153">
        <v>40</v>
      </c>
      <c r="F153" s="2">
        <v>45937</v>
      </c>
      <c r="G153" s="6">
        <v>1</v>
      </c>
      <c r="H153" s="6">
        <v>1</v>
      </c>
      <c r="M153"/>
      <c r="O153"/>
      <c r="P153"/>
      <c r="Q153"/>
    </row>
    <row r="154" spans="1:17" ht="14.4" hidden="1">
      <c r="A154" t="s">
        <v>167</v>
      </c>
      <c r="B154" t="s">
        <v>568</v>
      </c>
      <c r="C154" t="s">
        <v>617</v>
      </c>
      <c r="D154" s="2">
        <v>45938</v>
      </c>
      <c r="E154">
        <v>4</v>
      </c>
      <c r="F154" s="2">
        <v>45942</v>
      </c>
      <c r="G154" s="6">
        <v>1</v>
      </c>
      <c r="H154" s="6">
        <v>1</v>
      </c>
      <c r="M154"/>
      <c r="O154"/>
      <c r="P154"/>
      <c r="Q154"/>
    </row>
    <row r="155" spans="1:17" ht="14.4" hidden="1">
      <c r="A155" t="s">
        <v>167</v>
      </c>
      <c r="B155" t="s">
        <v>570</v>
      </c>
      <c r="C155" t="s">
        <v>618</v>
      </c>
      <c r="D155" s="2">
        <v>45950</v>
      </c>
      <c r="E155">
        <v>29</v>
      </c>
      <c r="F155" s="2">
        <v>45979</v>
      </c>
      <c r="G155" s="6">
        <v>1</v>
      </c>
      <c r="H155" s="6">
        <v>1</v>
      </c>
      <c r="M155"/>
      <c r="O155"/>
      <c r="P155"/>
      <c r="Q155"/>
    </row>
    <row r="156" spans="1:17" ht="14.4" hidden="1">
      <c r="A156" t="s">
        <v>167</v>
      </c>
      <c r="B156" t="s">
        <v>619</v>
      </c>
      <c r="C156" t="s">
        <v>620</v>
      </c>
      <c r="D156" s="2">
        <v>45911</v>
      </c>
      <c r="E156">
        <v>10</v>
      </c>
      <c r="F156" s="2">
        <v>45926</v>
      </c>
      <c r="G156" s="6">
        <v>1</v>
      </c>
      <c r="H156" s="6">
        <v>1</v>
      </c>
      <c r="M156"/>
      <c r="O156"/>
      <c r="P156"/>
      <c r="Q156"/>
    </row>
    <row r="157" spans="1:17" ht="14.4" hidden="1">
      <c r="A157" t="s">
        <v>167</v>
      </c>
      <c r="B157" t="s">
        <v>621</v>
      </c>
      <c r="C157" t="s">
        <v>571</v>
      </c>
      <c r="D157" s="2">
        <v>45979</v>
      </c>
      <c r="E157">
        <v>3</v>
      </c>
      <c r="F157" s="2">
        <v>45982</v>
      </c>
      <c r="G157" s="6">
        <v>1</v>
      </c>
      <c r="H157" s="6">
        <v>1</v>
      </c>
      <c r="M157"/>
      <c r="O157"/>
      <c r="P157"/>
      <c r="Q157"/>
    </row>
    <row r="158" spans="1:17" ht="14.4" hidden="1">
      <c r="A158" t="s">
        <v>167</v>
      </c>
      <c r="B158">
        <v>4</v>
      </c>
      <c r="C158" t="s">
        <v>572</v>
      </c>
      <c r="D158" s="2">
        <v>45869</v>
      </c>
      <c r="E158">
        <v>133</v>
      </c>
      <c r="F158" s="2">
        <v>46002</v>
      </c>
      <c r="G158" s="6">
        <v>1</v>
      </c>
      <c r="H158" s="6">
        <v>1</v>
      </c>
      <c r="M158"/>
      <c r="O158"/>
      <c r="P158"/>
      <c r="Q158"/>
    </row>
    <row r="159" spans="1:17" ht="14.4" hidden="1">
      <c r="A159" t="s">
        <v>167</v>
      </c>
      <c r="B159" t="s">
        <v>573</v>
      </c>
      <c r="C159" t="s">
        <v>622</v>
      </c>
      <c r="D159" s="2">
        <v>45908</v>
      </c>
      <c r="E159">
        <v>4</v>
      </c>
      <c r="F159" s="2">
        <v>45912</v>
      </c>
      <c r="G159" s="6">
        <v>1</v>
      </c>
      <c r="H159" s="6">
        <v>1</v>
      </c>
      <c r="M159"/>
      <c r="O159"/>
      <c r="P159"/>
      <c r="Q159"/>
    </row>
    <row r="160" spans="1:17" ht="14.4" hidden="1">
      <c r="A160" t="s">
        <v>167</v>
      </c>
      <c r="B160" t="s">
        <v>575</v>
      </c>
      <c r="C160" t="s">
        <v>623</v>
      </c>
      <c r="D160" s="2">
        <v>45918</v>
      </c>
      <c r="E160">
        <v>4</v>
      </c>
      <c r="F160" s="2">
        <v>45925</v>
      </c>
      <c r="G160" s="6">
        <v>1</v>
      </c>
      <c r="H160" s="6">
        <v>1</v>
      </c>
      <c r="M160"/>
      <c r="O160"/>
      <c r="P160"/>
      <c r="Q160"/>
    </row>
    <row r="161" spans="1:17" ht="14.4" hidden="1">
      <c r="A161" t="s">
        <v>167</v>
      </c>
      <c r="B161" t="s">
        <v>577</v>
      </c>
      <c r="C161" t="s">
        <v>624</v>
      </c>
      <c r="D161" s="2">
        <v>45926</v>
      </c>
      <c r="E161">
        <v>4</v>
      </c>
      <c r="F161" s="2">
        <v>45932</v>
      </c>
      <c r="G161" s="6">
        <v>1</v>
      </c>
      <c r="H161" s="6">
        <v>1</v>
      </c>
      <c r="M161"/>
      <c r="O161"/>
      <c r="P161"/>
      <c r="Q161"/>
    </row>
    <row r="162" spans="1:17" ht="14.4" hidden="1">
      <c r="A162" t="s">
        <v>167</v>
      </c>
      <c r="B162" t="s">
        <v>579</v>
      </c>
      <c r="C162" t="s">
        <v>625</v>
      </c>
      <c r="D162" s="2">
        <v>45933</v>
      </c>
      <c r="E162">
        <v>17</v>
      </c>
      <c r="F162" s="2">
        <v>45958</v>
      </c>
      <c r="G162" s="6">
        <v>1</v>
      </c>
      <c r="H162" s="6">
        <v>1</v>
      </c>
      <c r="M162"/>
      <c r="O162"/>
      <c r="P162"/>
      <c r="Q162"/>
    </row>
    <row r="163" spans="1:17" ht="14.4" hidden="1">
      <c r="A163" t="s">
        <v>167</v>
      </c>
      <c r="B163" t="s">
        <v>615</v>
      </c>
      <c r="C163" t="s">
        <v>626</v>
      </c>
      <c r="D163" s="2">
        <v>45957</v>
      </c>
      <c r="E163">
        <v>30</v>
      </c>
      <c r="F163" s="2">
        <v>45999</v>
      </c>
      <c r="G163" s="6">
        <v>1</v>
      </c>
      <c r="H163" s="6">
        <v>1</v>
      </c>
      <c r="M163"/>
      <c r="O163"/>
      <c r="P163"/>
      <c r="Q163"/>
    </row>
    <row r="164" spans="1:17" ht="14.4" hidden="1">
      <c r="A164" t="s">
        <v>167</v>
      </c>
      <c r="B164" t="s">
        <v>627</v>
      </c>
      <c r="C164" t="s">
        <v>628</v>
      </c>
      <c r="D164" s="2">
        <v>45999</v>
      </c>
      <c r="E164">
        <v>3</v>
      </c>
      <c r="F164" s="2">
        <v>46002</v>
      </c>
      <c r="G164" s="6">
        <v>1</v>
      </c>
      <c r="H164" s="6">
        <v>1</v>
      </c>
      <c r="M164"/>
      <c r="O164"/>
      <c r="P164"/>
      <c r="Q164"/>
    </row>
    <row r="165" spans="1:17" ht="14.4" hidden="1">
      <c r="A165" t="s">
        <v>167</v>
      </c>
      <c r="B165" t="s">
        <v>629</v>
      </c>
      <c r="C165" t="s">
        <v>578</v>
      </c>
      <c r="D165" s="2">
        <v>45869</v>
      </c>
      <c r="E165">
        <v>1</v>
      </c>
      <c r="F165" s="2">
        <v>45870</v>
      </c>
      <c r="G165" s="6">
        <v>1</v>
      </c>
      <c r="H165" s="6">
        <v>1</v>
      </c>
      <c r="M165"/>
      <c r="O165"/>
      <c r="P165"/>
      <c r="Q165"/>
    </row>
    <row r="166" spans="1:17" ht="14.4" hidden="1">
      <c r="A166" t="s">
        <v>167</v>
      </c>
      <c r="B166" t="s">
        <v>630</v>
      </c>
      <c r="C166" t="s">
        <v>580</v>
      </c>
      <c r="D166" s="2">
        <v>45971</v>
      </c>
      <c r="E166">
        <v>10</v>
      </c>
      <c r="F166" s="2">
        <v>45985</v>
      </c>
      <c r="G166" s="6">
        <v>1</v>
      </c>
      <c r="H166" s="6">
        <v>1</v>
      </c>
      <c r="M166"/>
      <c r="O166"/>
      <c r="P166"/>
      <c r="Q166"/>
    </row>
    <row r="167" spans="1:17" ht="14.4" hidden="1">
      <c r="A167" t="s">
        <v>167</v>
      </c>
      <c r="B167">
        <v>5</v>
      </c>
      <c r="C167" t="s">
        <v>581</v>
      </c>
      <c r="D167" s="2">
        <v>45896</v>
      </c>
      <c r="E167">
        <v>78</v>
      </c>
      <c r="F167" s="2">
        <v>45974</v>
      </c>
      <c r="G167" s="6">
        <v>1</v>
      </c>
      <c r="H167" s="6">
        <v>1</v>
      </c>
      <c r="M167"/>
      <c r="O167"/>
      <c r="P167"/>
      <c r="Q167"/>
    </row>
    <row r="168" spans="1:17" ht="14.4" hidden="1">
      <c r="A168" t="s">
        <v>167</v>
      </c>
      <c r="B168" t="s">
        <v>582</v>
      </c>
      <c r="C168" t="s">
        <v>583</v>
      </c>
      <c r="D168" s="2">
        <v>45896</v>
      </c>
      <c r="E168">
        <v>1</v>
      </c>
      <c r="F168" s="2">
        <v>45897</v>
      </c>
      <c r="G168" s="6">
        <v>1</v>
      </c>
      <c r="H168" s="6">
        <v>1</v>
      </c>
      <c r="M168"/>
      <c r="O168"/>
      <c r="P168"/>
      <c r="Q168"/>
    </row>
    <row r="169" spans="1:17" ht="14.4" hidden="1">
      <c r="A169" t="s">
        <v>167</v>
      </c>
      <c r="B169" t="s">
        <v>584</v>
      </c>
      <c r="C169" t="s">
        <v>585</v>
      </c>
      <c r="D169" s="2">
        <v>45961</v>
      </c>
      <c r="E169">
        <v>9</v>
      </c>
      <c r="F169" s="2">
        <v>45974</v>
      </c>
      <c r="G169" s="6">
        <v>1</v>
      </c>
      <c r="H169" s="6">
        <v>1</v>
      </c>
      <c r="M169"/>
      <c r="O169"/>
      <c r="P169"/>
      <c r="Q169"/>
    </row>
    <row r="170" spans="1:17" ht="14.4" hidden="1">
      <c r="A170" t="s">
        <v>167</v>
      </c>
      <c r="B170">
        <v>6</v>
      </c>
      <c r="C170" t="s">
        <v>240</v>
      </c>
      <c r="D170" s="2">
        <v>46002</v>
      </c>
      <c r="E170">
        <v>42</v>
      </c>
      <c r="F170" s="2">
        <v>46044</v>
      </c>
      <c r="G170" s="6">
        <v>1</v>
      </c>
      <c r="H170" s="6">
        <v>1</v>
      </c>
      <c r="M170"/>
      <c r="O170"/>
      <c r="P170"/>
      <c r="Q170"/>
    </row>
    <row r="171" spans="1:17" ht="14.4" hidden="1">
      <c r="A171" t="s">
        <v>167</v>
      </c>
      <c r="B171" t="s">
        <v>586</v>
      </c>
      <c r="C171" t="s">
        <v>631</v>
      </c>
      <c r="D171" s="2">
        <v>46002</v>
      </c>
      <c r="E171">
        <v>1</v>
      </c>
      <c r="F171" s="2">
        <v>46003</v>
      </c>
      <c r="G171" s="6">
        <v>1</v>
      </c>
      <c r="H171" s="6">
        <v>1</v>
      </c>
      <c r="M171"/>
      <c r="O171"/>
      <c r="P171"/>
      <c r="Q171"/>
    </row>
    <row r="172" spans="1:17" ht="14.4" hidden="1">
      <c r="A172" t="s">
        <v>167</v>
      </c>
      <c r="B172" t="s">
        <v>587</v>
      </c>
      <c r="C172" t="s">
        <v>632</v>
      </c>
      <c r="D172" s="2">
        <v>46043</v>
      </c>
      <c r="E172">
        <v>1</v>
      </c>
      <c r="F172" s="2">
        <v>46044</v>
      </c>
      <c r="G172" s="6">
        <v>1</v>
      </c>
      <c r="H172" s="6">
        <v>1</v>
      </c>
      <c r="M172"/>
      <c r="O172"/>
      <c r="P172"/>
      <c r="Q172"/>
    </row>
    <row r="173" spans="1:17" ht="14.4" hidden="1">
      <c r="A173" t="s">
        <v>167</v>
      </c>
      <c r="B173">
        <v>7</v>
      </c>
      <c r="C173" t="s">
        <v>588</v>
      </c>
      <c r="D173" s="2">
        <v>46003</v>
      </c>
      <c r="E173">
        <v>3</v>
      </c>
      <c r="F173" s="2">
        <v>46006</v>
      </c>
      <c r="G173" s="6">
        <v>1</v>
      </c>
      <c r="H173" s="6">
        <v>1</v>
      </c>
      <c r="M173"/>
      <c r="O173"/>
      <c r="P173"/>
      <c r="Q173"/>
    </row>
    <row r="174" spans="1:17" ht="14.4" hidden="1">
      <c r="A174" t="s">
        <v>167</v>
      </c>
      <c r="B174">
        <v>7.1</v>
      </c>
      <c r="C174" t="s">
        <v>589</v>
      </c>
      <c r="D174" s="2">
        <v>46003</v>
      </c>
      <c r="E174">
        <v>1</v>
      </c>
      <c r="F174" s="2">
        <v>46006</v>
      </c>
      <c r="G174" s="6">
        <v>1</v>
      </c>
      <c r="H174" s="6">
        <v>1</v>
      </c>
      <c r="M174"/>
      <c r="O174"/>
      <c r="P174"/>
      <c r="Q174"/>
    </row>
    <row r="175" spans="1:17" ht="14.4" hidden="1">
      <c r="A175" t="s">
        <v>167</v>
      </c>
      <c r="B175">
        <v>8</v>
      </c>
      <c r="C175" t="s">
        <v>590</v>
      </c>
      <c r="D175" s="2">
        <v>46042</v>
      </c>
      <c r="E175">
        <v>34</v>
      </c>
      <c r="F175" s="2">
        <v>46076</v>
      </c>
      <c r="G175" s="6">
        <v>0.4425</v>
      </c>
      <c r="H175" s="6">
        <v>0.59253487182250675</v>
      </c>
      <c r="M175"/>
      <c r="O175"/>
      <c r="P175"/>
      <c r="Q175"/>
    </row>
    <row r="176" spans="1:17" ht="14.4" hidden="1">
      <c r="A176" t="s">
        <v>167</v>
      </c>
      <c r="B176">
        <v>8.1</v>
      </c>
      <c r="C176" t="s">
        <v>591</v>
      </c>
      <c r="D176" s="2">
        <v>46044</v>
      </c>
      <c r="E176">
        <v>18</v>
      </c>
      <c r="F176" s="2">
        <v>46070</v>
      </c>
      <c r="G176" s="6">
        <v>0.4</v>
      </c>
      <c r="H176" s="6">
        <v>0.80769230769230771</v>
      </c>
      <c r="M176"/>
      <c r="O176"/>
      <c r="P176"/>
      <c r="Q176"/>
    </row>
    <row r="177" spans="1:17" ht="14.4" hidden="1">
      <c r="A177" t="s">
        <v>167</v>
      </c>
      <c r="B177">
        <v>8.1999999999999993</v>
      </c>
      <c r="C177" t="s">
        <v>592</v>
      </c>
      <c r="D177" s="2">
        <v>46042</v>
      </c>
      <c r="E177">
        <v>18</v>
      </c>
      <c r="F177" s="2">
        <v>46066</v>
      </c>
      <c r="G177" s="6">
        <v>0.5</v>
      </c>
      <c r="H177" s="6">
        <v>0.95833333333333348</v>
      </c>
      <c r="M177"/>
      <c r="O177"/>
      <c r="P177"/>
      <c r="Q177"/>
    </row>
    <row r="178" spans="1:17" ht="14.4" hidden="1">
      <c r="A178" t="s">
        <v>167</v>
      </c>
      <c r="B178">
        <v>8.3000000000000007</v>
      </c>
      <c r="C178" t="s">
        <v>593</v>
      </c>
      <c r="D178" s="2">
        <v>46043</v>
      </c>
      <c r="E178">
        <v>5</v>
      </c>
      <c r="F178" s="2">
        <v>46050</v>
      </c>
      <c r="G178" s="6">
        <v>0.9</v>
      </c>
      <c r="H178" s="6">
        <v>1</v>
      </c>
      <c r="M178"/>
      <c r="O178"/>
      <c r="P178"/>
      <c r="Q178"/>
    </row>
    <row r="179" spans="1:17" ht="14.4" hidden="1">
      <c r="A179" t="s">
        <v>167</v>
      </c>
      <c r="B179">
        <v>8.4</v>
      </c>
      <c r="C179" t="s">
        <v>594</v>
      </c>
      <c r="D179" s="2">
        <v>46050</v>
      </c>
      <c r="E179">
        <v>13</v>
      </c>
      <c r="F179" s="2">
        <v>46069</v>
      </c>
      <c r="G179" s="6">
        <v>0.45</v>
      </c>
      <c r="H179" s="6">
        <v>0.78947368421052644</v>
      </c>
      <c r="M179"/>
      <c r="O179"/>
      <c r="P179"/>
      <c r="Q179"/>
    </row>
    <row r="180" spans="1:17" ht="14.4" hidden="1">
      <c r="A180" t="s">
        <v>167</v>
      </c>
      <c r="B180">
        <v>8.5</v>
      </c>
      <c r="C180" t="s">
        <v>595</v>
      </c>
      <c r="D180" s="2">
        <v>46069</v>
      </c>
      <c r="E180">
        <v>1</v>
      </c>
      <c r="F180" s="2">
        <v>46070</v>
      </c>
      <c r="G180" s="6">
        <v>0</v>
      </c>
      <c r="H180" s="6">
        <v>0</v>
      </c>
      <c r="M180"/>
      <c r="O180"/>
      <c r="P180"/>
      <c r="Q180"/>
    </row>
    <row r="181" spans="1:17" ht="14.4" hidden="1">
      <c r="A181" t="s">
        <v>167</v>
      </c>
      <c r="B181">
        <v>8.6</v>
      </c>
      <c r="C181" t="s">
        <v>596</v>
      </c>
      <c r="D181" s="2">
        <v>46069</v>
      </c>
      <c r="E181">
        <v>5</v>
      </c>
      <c r="F181" s="2">
        <v>46076</v>
      </c>
      <c r="G181" s="6">
        <v>0</v>
      </c>
      <c r="H181" s="6">
        <v>0</v>
      </c>
      <c r="M181"/>
      <c r="O181"/>
      <c r="P181"/>
      <c r="Q181"/>
    </row>
    <row r="182" spans="1:17" ht="14.4" hidden="1">
      <c r="A182" t="s">
        <v>173</v>
      </c>
      <c r="B182">
        <v>1</v>
      </c>
      <c r="C182" t="s">
        <v>547</v>
      </c>
      <c r="D182" s="2">
        <v>45873</v>
      </c>
      <c r="E182">
        <v>17</v>
      </c>
      <c r="F182" s="2">
        <v>45890</v>
      </c>
      <c r="G182" s="6">
        <v>1</v>
      </c>
      <c r="H182" s="6">
        <v>1</v>
      </c>
      <c r="M182"/>
      <c r="O182"/>
      <c r="P182"/>
      <c r="Q182"/>
    </row>
    <row r="183" spans="1:17" ht="14.4" hidden="1">
      <c r="A183" t="s">
        <v>173</v>
      </c>
      <c r="B183" t="s">
        <v>548</v>
      </c>
      <c r="C183" t="s">
        <v>549</v>
      </c>
      <c r="D183" s="2">
        <v>45873</v>
      </c>
      <c r="E183">
        <v>1</v>
      </c>
      <c r="F183" s="2">
        <v>45874</v>
      </c>
      <c r="G183" s="6">
        <v>1</v>
      </c>
      <c r="H183" s="6">
        <v>1</v>
      </c>
      <c r="M183"/>
      <c r="O183"/>
      <c r="P183"/>
      <c r="Q183"/>
    </row>
    <row r="184" spans="1:17" ht="14.4" hidden="1">
      <c r="A184" t="s">
        <v>173</v>
      </c>
      <c r="B184" t="s">
        <v>550</v>
      </c>
      <c r="C184" t="s">
        <v>551</v>
      </c>
      <c r="D184" s="2">
        <v>45880</v>
      </c>
      <c r="E184">
        <v>1</v>
      </c>
      <c r="F184" s="2">
        <v>45881</v>
      </c>
      <c r="G184" s="6">
        <v>1</v>
      </c>
      <c r="H184" s="6">
        <v>1</v>
      </c>
      <c r="M184"/>
      <c r="O184"/>
      <c r="P184"/>
      <c r="Q184"/>
    </row>
    <row r="185" spans="1:17" ht="14.4" hidden="1">
      <c r="A185" t="s">
        <v>173</v>
      </c>
      <c r="B185" t="s">
        <v>552</v>
      </c>
      <c r="C185" t="s">
        <v>553</v>
      </c>
      <c r="D185" s="2">
        <v>45880</v>
      </c>
      <c r="E185">
        <v>8</v>
      </c>
      <c r="F185" s="2">
        <v>45890</v>
      </c>
      <c r="G185" s="6">
        <v>1</v>
      </c>
      <c r="H185" s="6">
        <v>1</v>
      </c>
      <c r="M185"/>
      <c r="O185"/>
      <c r="P185"/>
      <c r="Q185"/>
    </row>
    <row r="186" spans="1:17" ht="14.4" hidden="1">
      <c r="A186" t="s">
        <v>173</v>
      </c>
      <c r="B186" t="s">
        <v>554</v>
      </c>
      <c r="C186" t="s">
        <v>555</v>
      </c>
      <c r="D186" s="2">
        <v>45880</v>
      </c>
      <c r="E186">
        <v>1</v>
      </c>
      <c r="F186" s="2">
        <v>45881</v>
      </c>
      <c r="G186" s="6">
        <v>1</v>
      </c>
      <c r="H186" s="6">
        <v>1</v>
      </c>
      <c r="M186"/>
      <c r="O186"/>
      <c r="P186"/>
      <c r="Q186"/>
    </row>
    <row r="187" spans="1:17" ht="14.4" hidden="1">
      <c r="A187" t="s">
        <v>173</v>
      </c>
      <c r="B187" t="s">
        <v>556</v>
      </c>
      <c r="C187" t="s">
        <v>557</v>
      </c>
      <c r="D187" s="2">
        <v>45887</v>
      </c>
      <c r="E187">
        <v>1</v>
      </c>
      <c r="F187" s="2">
        <v>45888</v>
      </c>
      <c r="G187" s="6">
        <v>1</v>
      </c>
      <c r="H187" s="6">
        <v>1</v>
      </c>
      <c r="M187"/>
      <c r="O187"/>
      <c r="P187"/>
      <c r="Q187"/>
    </row>
    <row r="188" spans="1:17" ht="14.4" hidden="1">
      <c r="A188" t="s">
        <v>173</v>
      </c>
      <c r="B188">
        <v>2</v>
      </c>
      <c r="C188" t="s">
        <v>558</v>
      </c>
      <c r="D188" s="2">
        <v>45894</v>
      </c>
      <c r="E188">
        <v>1</v>
      </c>
      <c r="F188" s="2">
        <v>45895</v>
      </c>
      <c r="G188" s="6">
        <v>1</v>
      </c>
      <c r="H188" s="6">
        <v>1</v>
      </c>
      <c r="M188"/>
      <c r="O188"/>
      <c r="P188"/>
      <c r="Q188"/>
    </row>
    <row r="189" spans="1:17" ht="14.4" hidden="1">
      <c r="A189" t="s">
        <v>173</v>
      </c>
      <c r="B189" t="s">
        <v>559</v>
      </c>
      <c r="C189" t="s">
        <v>560</v>
      </c>
      <c r="D189" s="2">
        <v>45894</v>
      </c>
      <c r="E189">
        <v>1</v>
      </c>
      <c r="F189" s="2">
        <v>45895</v>
      </c>
      <c r="G189" s="6">
        <v>1</v>
      </c>
      <c r="H189" s="6">
        <v>1</v>
      </c>
      <c r="M189"/>
      <c r="O189"/>
      <c r="P189"/>
      <c r="Q189"/>
    </row>
    <row r="190" spans="1:17" ht="14.4" hidden="1">
      <c r="A190" t="s">
        <v>173</v>
      </c>
      <c r="B190">
        <v>3</v>
      </c>
      <c r="C190" t="s">
        <v>561</v>
      </c>
      <c r="D190" s="2">
        <v>45868</v>
      </c>
      <c r="E190">
        <v>119</v>
      </c>
      <c r="F190" s="2">
        <v>45987</v>
      </c>
      <c r="G190" s="6">
        <v>1</v>
      </c>
      <c r="H190" s="6">
        <v>1</v>
      </c>
      <c r="M190"/>
      <c r="O190"/>
      <c r="P190"/>
      <c r="Q190"/>
    </row>
    <row r="191" spans="1:17" ht="14.4" hidden="1">
      <c r="A191" t="s">
        <v>173</v>
      </c>
      <c r="B191" t="s">
        <v>562</v>
      </c>
      <c r="C191" t="s">
        <v>563</v>
      </c>
      <c r="D191" s="2">
        <v>45868</v>
      </c>
      <c r="E191">
        <v>1</v>
      </c>
      <c r="F191" s="2">
        <v>45869</v>
      </c>
      <c r="G191" s="6">
        <v>1</v>
      </c>
      <c r="H191" s="6">
        <v>1</v>
      </c>
      <c r="M191"/>
      <c r="O191"/>
      <c r="P191"/>
      <c r="Q191"/>
    </row>
    <row r="192" spans="1:17" ht="14.4" hidden="1">
      <c r="A192" t="s">
        <v>173</v>
      </c>
      <c r="B192" t="s">
        <v>564</v>
      </c>
      <c r="C192" t="s">
        <v>565</v>
      </c>
      <c r="D192" s="2">
        <v>45946</v>
      </c>
      <c r="E192">
        <v>1</v>
      </c>
      <c r="F192" s="2">
        <v>45947</v>
      </c>
      <c r="G192" s="6">
        <v>1</v>
      </c>
      <c r="H192" s="6">
        <v>1</v>
      </c>
      <c r="M192"/>
      <c r="O192"/>
      <c r="P192"/>
      <c r="Q192"/>
    </row>
    <row r="193" spans="1:17" ht="14.4" hidden="1">
      <c r="A193" t="s">
        <v>173</v>
      </c>
      <c r="B193" t="s">
        <v>566</v>
      </c>
      <c r="C193" t="s">
        <v>567</v>
      </c>
      <c r="D193" s="2">
        <v>45880</v>
      </c>
      <c r="E193">
        <v>25</v>
      </c>
      <c r="F193" s="2">
        <v>45915</v>
      </c>
      <c r="G193" s="6">
        <v>1</v>
      </c>
      <c r="H193" s="6">
        <v>1</v>
      </c>
      <c r="M193"/>
      <c r="O193"/>
      <c r="P193"/>
      <c r="Q193"/>
    </row>
    <row r="194" spans="1:17" ht="14.4" hidden="1">
      <c r="A194" t="s">
        <v>173</v>
      </c>
      <c r="B194" t="s">
        <v>568</v>
      </c>
      <c r="C194" t="s">
        <v>569</v>
      </c>
      <c r="D194" s="2">
        <v>45946</v>
      </c>
      <c r="E194">
        <v>19</v>
      </c>
      <c r="F194" s="2">
        <v>45973</v>
      </c>
      <c r="G194" s="6">
        <v>1</v>
      </c>
      <c r="H194" s="6">
        <v>1</v>
      </c>
      <c r="M194"/>
      <c r="O194"/>
      <c r="P194"/>
      <c r="Q194"/>
    </row>
    <row r="195" spans="1:17" ht="14.4" hidden="1">
      <c r="A195" t="s">
        <v>173</v>
      </c>
      <c r="B195" t="s">
        <v>570</v>
      </c>
      <c r="C195" t="s">
        <v>571</v>
      </c>
      <c r="D195" s="2">
        <v>45986</v>
      </c>
      <c r="E195">
        <v>1</v>
      </c>
      <c r="F195" s="2">
        <v>45987</v>
      </c>
      <c r="G195" s="6">
        <v>1</v>
      </c>
      <c r="H195" s="6">
        <v>1</v>
      </c>
      <c r="M195"/>
      <c r="O195"/>
      <c r="P195"/>
      <c r="Q195"/>
    </row>
    <row r="196" spans="1:17" ht="14.4" hidden="1">
      <c r="A196" t="s">
        <v>173</v>
      </c>
      <c r="B196">
        <v>4</v>
      </c>
      <c r="C196" t="s">
        <v>572</v>
      </c>
      <c r="D196" s="2">
        <v>45894</v>
      </c>
      <c r="E196">
        <v>92</v>
      </c>
      <c r="F196" s="2">
        <v>45986</v>
      </c>
      <c r="G196" s="6">
        <v>1</v>
      </c>
      <c r="H196" s="6">
        <v>1</v>
      </c>
      <c r="M196"/>
      <c r="O196"/>
      <c r="P196"/>
      <c r="Q196"/>
    </row>
    <row r="197" spans="1:17" ht="14.4" hidden="1">
      <c r="A197" t="s">
        <v>173</v>
      </c>
      <c r="B197" t="s">
        <v>573</v>
      </c>
      <c r="C197" t="s">
        <v>640</v>
      </c>
      <c r="D197" s="2">
        <v>45894</v>
      </c>
      <c r="E197">
        <v>2</v>
      </c>
      <c r="F197" s="2">
        <v>45944</v>
      </c>
      <c r="G197" s="6">
        <v>1</v>
      </c>
      <c r="H197" s="6">
        <v>1</v>
      </c>
      <c r="M197"/>
      <c r="O197"/>
      <c r="P197"/>
      <c r="Q197"/>
    </row>
    <row r="198" spans="1:17" ht="14.4" hidden="1">
      <c r="A198" t="s">
        <v>173</v>
      </c>
      <c r="B198" t="s">
        <v>573</v>
      </c>
      <c r="C198" t="s">
        <v>574</v>
      </c>
      <c r="D198" s="2">
        <v>45894</v>
      </c>
      <c r="E198">
        <v>1</v>
      </c>
      <c r="F198" s="2">
        <v>45895</v>
      </c>
      <c r="G198" s="6">
        <v>1</v>
      </c>
      <c r="H198" s="6">
        <v>1</v>
      </c>
      <c r="M198"/>
      <c r="O198"/>
      <c r="P198"/>
      <c r="Q198"/>
    </row>
    <row r="199" spans="1:17" ht="14.4" hidden="1">
      <c r="A199" t="s">
        <v>173</v>
      </c>
      <c r="B199" t="s">
        <v>575</v>
      </c>
      <c r="C199" t="s">
        <v>641</v>
      </c>
      <c r="D199" s="2">
        <v>45935</v>
      </c>
      <c r="E199">
        <v>2</v>
      </c>
      <c r="F199" s="2">
        <v>45937</v>
      </c>
      <c r="G199" s="6">
        <v>1</v>
      </c>
      <c r="H199" s="6">
        <v>1</v>
      </c>
      <c r="M199"/>
      <c r="O199"/>
      <c r="P199"/>
      <c r="Q199"/>
    </row>
    <row r="200" spans="1:17" ht="14.4" hidden="1">
      <c r="A200" t="s">
        <v>173</v>
      </c>
      <c r="B200" t="s">
        <v>577</v>
      </c>
      <c r="C200" t="s">
        <v>642</v>
      </c>
      <c r="D200" s="2">
        <v>45937</v>
      </c>
      <c r="E200">
        <v>5</v>
      </c>
      <c r="F200" s="2">
        <v>45944</v>
      </c>
      <c r="G200" s="6">
        <v>1</v>
      </c>
      <c r="H200" s="6">
        <v>1</v>
      </c>
      <c r="M200"/>
      <c r="O200"/>
      <c r="P200"/>
      <c r="Q200"/>
    </row>
    <row r="201" spans="1:17" ht="14.4" hidden="1">
      <c r="A201" t="s">
        <v>173</v>
      </c>
      <c r="B201" t="s">
        <v>579</v>
      </c>
      <c r="C201" t="s">
        <v>643</v>
      </c>
      <c r="D201" s="2">
        <v>45938</v>
      </c>
      <c r="E201">
        <v>2</v>
      </c>
      <c r="F201" s="2">
        <v>45940</v>
      </c>
      <c r="G201" s="6">
        <v>1</v>
      </c>
      <c r="H201" s="6">
        <v>1</v>
      </c>
      <c r="M201"/>
      <c r="O201"/>
      <c r="P201"/>
      <c r="Q201"/>
    </row>
    <row r="202" spans="1:17" ht="14.4" hidden="1">
      <c r="A202" t="s">
        <v>173</v>
      </c>
      <c r="B202" t="s">
        <v>615</v>
      </c>
      <c r="C202" t="s">
        <v>644</v>
      </c>
      <c r="D202" s="2">
        <v>45940</v>
      </c>
      <c r="E202">
        <v>1</v>
      </c>
      <c r="F202" s="2">
        <v>45943</v>
      </c>
      <c r="G202" s="6">
        <v>1</v>
      </c>
      <c r="H202" s="6">
        <v>1</v>
      </c>
      <c r="M202"/>
      <c r="O202"/>
      <c r="P202"/>
      <c r="Q202"/>
    </row>
    <row r="203" spans="1:17" ht="14.4" hidden="1">
      <c r="A203" t="s">
        <v>173</v>
      </c>
      <c r="B203" t="s">
        <v>627</v>
      </c>
      <c r="C203" t="s">
        <v>645</v>
      </c>
      <c r="D203" s="2">
        <v>45943</v>
      </c>
      <c r="E203">
        <v>1</v>
      </c>
      <c r="F203" s="2">
        <v>45944</v>
      </c>
      <c r="G203" s="6">
        <v>1</v>
      </c>
      <c r="H203" s="6">
        <v>1</v>
      </c>
      <c r="M203"/>
      <c r="O203"/>
      <c r="P203"/>
      <c r="Q203"/>
    </row>
    <row r="204" spans="1:17" ht="14.4" hidden="1">
      <c r="A204" t="s">
        <v>173</v>
      </c>
      <c r="B204" t="s">
        <v>629</v>
      </c>
      <c r="C204" t="s">
        <v>578</v>
      </c>
      <c r="D204" s="2">
        <v>45894</v>
      </c>
      <c r="E204">
        <v>1</v>
      </c>
      <c r="F204" s="2">
        <v>45895</v>
      </c>
      <c r="G204" s="6">
        <v>1</v>
      </c>
      <c r="H204" s="6">
        <v>1</v>
      </c>
      <c r="M204"/>
      <c r="O204"/>
      <c r="P204"/>
      <c r="Q204"/>
    </row>
    <row r="205" spans="1:17" ht="14.4" hidden="1">
      <c r="A205" t="s">
        <v>173</v>
      </c>
      <c r="B205" t="s">
        <v>630</v>
      </c>
      <c r="C205" t="s">
        <v>580</v>
      </c>
      <c r="D205" s="2">
        <v>45958</v>
      </c>
      <c r="E205">
        <v>20</v>
      </c>
      <c r="F205" s="2">
        <v>45986</v>
      </c>
      <c r="G205" s="6">
        <v>1</v>
      </c>
      <c r="H205" s="6">
        <v>1</v>
      </c>
      <c r="M205"/>
      <c r="O205"/>
      <c r="P205"/>
      <c r="Q205"/>
    </row>
    <row r="206" spans="1:17" ht="14.4" hidden="1">
      <c r="A206" t="s">
        <v>173</v>
      </c>
      <c r="B206">
        <v>5</v>
      </c>
      <c r="C206" t="s">
        <v>581</v>
      </c>
      <c r="D206" s="2">
        <v>45868</v>
      </c>
      <c r="E206">
        <v>114</v>
      </c>
      <c r="F206" s="2">
        <v>45982</v>
      </c>
      <c r="G206" s="6">
        <v>1</v>
      </c>
      <c r="H206" s="6">
        <v>1</v>
      </c>
      <c r="M206"/>
      <c r="O206"/>
      <c r="P206"/>
      <c r="Q206"/>
    </row>
    <row r="207" spans="1:17" ht="14.4" hidden="1">
      <c r="A207" t="s">
        <v>173</v>
      </c>
      <c r="B207" t="s">
        <v>582</v>
      </c>
      <c r="C207" t="s">
        <v>583</v>
      </c>
      <c r="D207" s="2">
        <v>45868</v>
      </c>
      <c r="E207">
        <v>1</v>
      </c>
      <c r="F207" s="2">
        <v>45869</v>
      </c>
      <c r="G207" s="6">
        <v>1</v>
      </c>
      <c r="H207" s="6">
        <v>1</v>
      </c>
      <c r="M207"/>
      <c r="O207"/>
      <c r="P207"/>
      <c r="Q207"/>
    </row>
    <row r="208" spans="1:17" ht="14.4" hidden="1">
      <c r="A208" t="s">
        <v>173</v>
      </c>
      <c r="B208" t="s">
        <v>584</v>
      </c>
      <c r="C208" t="s">
        <v>646</v>
      </c>
      <c r="D208" s="2">
        <v>45944</v>
      </c>
      <c r="E208">
        <v>3</v>
      </c>
      <c r="F208" s="2">
        <v>45947</v>
      </c>
      <c r="G208" s="6">
        <v>1</v>
      </c>
      <c r="H208" s="6">
        <v>1</v>
      </c>
      <c r="M208"/>
      <c r="O208"/>
      <c r="P208"/>
      <c r="Q208"/>
    </row>
    <row r="209" spans="1:17" ht="14.4" hidden="1">
      <c r="A209" t="s">
        <v>173</v>
      </c>
      <c r="B209" t="s">
        <v>647</v>
      </c>
      <c r="C209" t="s">
        <v>648</v>
      </c>
      <c r="D209" s="2">
        <v>45979</v>
      </c>
      <c r="E209">
        <v>3</v>
      </c>
      <c r="F209" s="2">
        <v>45982</v>
      </c>
      <c r="G209" s="6">
        <v>1</v>
      </c>
      <c r="H209" s="6">
        <v>1</v>
      </c>
      <c r="M209"/>
      <c r="O209"/>
      <c r="P209"/>
      <c r="Q209"/>
    </row>
    <row r="210" spans="1:17" ht="14.4" hidden="1">
      <c r="A210" t="s">
        <v>173</v>
      </c>
      <c r="B210" t="s">
        <v>649</v>
      </c>
      <c r="C210" t="s">
        <v>650</v>
      </c>
      <c r="D210" s="2">
        <v>45952</v>
      </c>
      <c r="E210">
        <v>19</v>
      </c>
      <c r="F210" s="2">
        <v>45979</v>
      </c>
      <c r="G210" s="6">
        <v>1</v>
      </c>
      <c r="H210" s="6">
        <v>1</v>
      </c>
      <c r="M210"/>
      <c r="O210"/>
      <c r="P210"/>
      <c r="Q210"/>
    </row>
    <row r="211" spans="1:17" ht="14.4" hidden="1">
      <c r="A211" t="s">
        <v>173</v>
      </c>
      <c r="B211" t="s">
        <v>651</v>
      </c>
      <c r="C211" t="s">
        <v>652</v>
      </c>
      <c r="D211" s="2">
        <v>45979</v>
      </c>
      <c r="E211">
        <v>2</v>
      </c>
      <c r="F211" s="2">
        <v>45981</v>
      </c>
      <c r="G211" s="6">
        <v>1</v>
      </c>
      <c r="H211" s="6">
        <v>1</v>
      </c>
      <c r="M211"/>
      <c r="O211"/>
      <c r="P211"/>
      <c r="Q211"/>
    </row>
    <row r="212" spans="1:17" ht="14.4" hidden="1">
      <c r="A212" t="s">
        <v>173</v>
      </c>
      <c r="B212" t="s">
        <v>653</v>
      </c>
      <c r="C212" t="s">
        <v>654</v>
      </c>
      <c r="D212" s="2">
        <v>45959</v>
      </c>
      <c r="E212">
        <v>2</v>
      </c>
      <c r="F212" s="2">
        <v>45961</v>
      </c>
      <c r="G212" s="6">
        <v>1</v>
      </c>
      <c r="H212" s="6">
        <v>1</v>
      </c>
      <c r="M212"/>
      <c r="O212"/>
      <c r="P212"/>
      <c r="Q212"/>
    </row>
    <row r="213" spans="1:17" ht="14.4" hidden="1">
      <c r="A213" t="s">
        <v>173</v>
      </c>
      <c r="B213">
        <v>6</v>
      </c>
      <c r="C213" t="s">
        <v>240</v>
      </c>
      <c r="D213" s="2">
        <v>45987</v>
      </c>
      <c r="E213">
        <v>6</v>
      </c>
      <c r="F213" s="2">
        <v>45993</v>
      </c>
      <c r="G213" s="6">
        <v>1</v>
      </c>
      <c r="H213" s="6">
        <v>1</v>
      </c>
      <c r="M213"/>
      <c r="O213"/>
      <c r="P213"/>
      <c r="Q213"/>
    </row>
    <row r="214" spans="1:17" ht="14.4" hidden="1">
      <c r="A214" t="s">
        <v>173</v>
      </c>
      <c r="B214" t="s">
        <v>586</v>
      </c>
      <c r="C214" t="s">
        <v>240</v>
      </c>
      <c r="D214" s="2">
        <v>45987</v>
      </c>
      <c r="E214">
        <v>2</v>
      </c>
      <c r="F214" s="2">
        <v>45989</v>
      </c>
      <c r="G214" s="6">
        <v>1</v>
      </c>
      <c r="H214" s="6">
        <v>1</v>
      </c>
      <c r="M214"/>
      <c r="O214"/>
      <c r="P214"/>
      <c r="Q214"/>
    </row>
    <row r="215" spans="1:17" ht="14.4" hidden="1">
      <c r="A215" t="s">
        <v>173</v>
      </c>
      <c r="B215" t="s">
        <v>587</v>
      </c>
      <c r="C215" t="s">
        <v>169</v>
      </c>
      <c r="D215" s="2">
        <v>45989</v>
      </c>
      <c r="E215">
        <v>2</v>
      </c>
      <c r="F215" s="2">
        <v>45993</v>
      </c>
      <c r="G215" s="6">
        <v>1</v>
      </c>
      <c r="H215" s="6">
        <v>1</v>
      </c>
      <c r="M215"/>
      <c r="O215"/>
      <c r="P215"/>
      <c r="Q215"/>
    </row>
    <row r="216" spans="1:17" ht="14.4" hidden="1">
      <c r="A216" t="s">
        <v>173</v>
      </c>
      <c r="B216">
        <v>7</v>
      </c>
      <c r="C216" t="s">
        <v>588</v>
      </c>
      <c r="D216" s="2">
        <v>46000</v>
      </c>
      <c r="E216">
        <v>1</v>
      </c>
      <c r="F216" s="2">
        <v>46001</v>
      </c>
      <c r="G216" s="6">
        <v>1</v>
      </c>
      <c r="H216" s="6">
        <v>1</v>
      </c>
      <c r="M216"/>
      <c r="O216"/>
      <c r="P216"/>
      <c r="Q216"/>
    </row>
    <row r="217" spans="1:17" ht="14.4" hidden="1">
      <c r="A217" t="s">
        <v>173</v>
      </c>
      <c r="B217">
        <v>7.1</v>
      </c>
      <c r="C217" t="s">
        <v>589</v>
      </c>
      <c r="D217" s="2">
        <v>46000</v>
      </c>
      <c r="E217">
        <v>1</v>
      </c>
      <c r="F217" s="2">
        <v>46001</v>
      </c>
      <c r="G217" s="6">
        <v>1</v>
      </c>
      <c r="H217" s="6">
        <v>1</v>
      </c>
      <c r="M217"/>
      <c r="O217"/>
      <c r="P217"/>
      <c r="Q217"/>
    </row>
    <row r="218" spans="1:17" ht="14.4" hidden="1">
      <c r="A218" t="s">
        <v>173</v>
      </c>
      <c r="B218">
        <v>8</v>
      </c>
      <c r="C218" t="s">
        <v>590</v>
      </c>
      <c r="D218" s="2">
        <v>45993</v>
      </c>
      <c r="E218">
        <v>85</v>
      </c>
      <c r="F218" s="2">
        <v>46078</v>
      </c>
      <c r="G218" s="6">
        <v>0.81818181818181823</v>
      </c>
      <c r="H218" s="6">
        <v>0.66647363277715443</v>
      </c>
      <c r="M218"/>
      <c r="O218"/>
      <c r="P218"/>
      <c r="Q218"/>
    </row>
    <row r="219" spans="1:17" ht="14.4" hidden="1">
      <c r="A219" t="s">
        <v>173</v>
      </c>
      <c r="B219">
        <v>8.1</v>
      </c>
      <c r="C219" t="s">
        <v>591</v>
      </c>
      <c r="D219" s="2">
        <v>46001</v>
      </c>
      <c r="E219">
        <v>1</v>
      </c>
      <c r="F219" s="2">
        <v>46002</v>
      </c>
      <c r="G219" s="6">
        <v>1</v>
      </c>
      <c r="H219" s="6">
        <v>1</v>
      </c>
      <c r="M219"/>
      <c r="O219"/>
      <c r="P219"/>
      <c r="Q219"/>
    </row>
    <row r="220" spans="1:17" ht="14.4" hidden="1">
      <c r="A220" t="s">
        <v>173</v>
      </c>
      <c r="B220">
        <v>8.1999999999999993</v>
      </c>
      <c r="C220" t="s">
        <v>592</v>
      </c>
      <c r="D220" s="2">
        <v>46034</v>
      </c>
      <c r="E220">
        <v>7</v>
      </c>
      <c r="F220" s="2">
        <v>46043</v>
      </c>
      <c r="G220" s="6">
        <v>1</v>
      </c>
      <c r="H220" s="6">
        <v>1</v>
      </c>
      <c r="M220"/>
      <c r="O220"/>
      <c r="P220"/>
      <c r="Q220"/>
    </row>
    <row r="221" spans="1:17" ht="14.4" hidden="1">
      <c r="A221" t="s">
        <v>173</v>
      </c>
      <c r="B221">
        <v>8.3000000000000007</v>
      </c>
      <c r="C221" t="s">
        <v>593</v>
      </c>
      <c r="D221" s="2">
        <v>45993</v>
      </c>
      <c r="E221">
        <v>25</v>
      </c>
      <c r="F221" s="2">
        <v>46030</v>
      </c>
      <c r="G221" s="6">
        <v>1</v>
      </c>
      <c r="H221" s="6">
        <v>1</v>
      </c>
      <c r="M221"/>
      <c r="O221"/>
      <c r="P221"/>
      <c r="Q221"/>
    </row>
    <row r="222" spans="1:17" ht="14.4" hidden="1">
      <c r="A222" t="s">
        <v>173</v>
      </c>
      <c r="B222">
        <v>8.4</v>
      </c>
      <c r="C222" t="s">
        <v>594</v>
      </c>
      <c r="D222" s="2">
        <v>46043</v>
      </c>
      <c r="E222">
        <v>16</v>
      </c>
      <c r="F222" s="2">
        <v>46065</v>
      </c>
      <c r="G222" s="6">
        <v>0.75</v>
      </c>
      <c r="H222" s="6">
        <v>1</v>
      </c>
      <c r="M222"/>
      <c r="O222"/>
      <c r="P222"/>
      <c r="Q222"/>
    </row>
    <row r="223" spans="1:17" ht="14.4" hidden="1">
      <c r="A223" t="s">
        <v>173</v>
      </c>
      <c r="B223">
        <v>8.5</v>
      </c>
      <c r="C223" t="s">
        <v>595</v>
      </c>
      <c r="D223" s="2">
        <v>46071</v>
      </c>
      <c r="E223">
        <v>1</v>
      </c>
      <c r="F223" s="2">
        <v>46072</v>
      </c>
      <c r="G223" s="6">
        <v>0</v>
      </c>
      <c r="H223" s="6">
        <v>0</v>
      </c>
      <c r="M223"/>
      <c r="O223"/>
      <c r="P223"/>
      <c r="Q223"/>
    </row>
    <row r="224" spans="1:17" ht="14.4" hidden="1">
      <c r="A224" t="s">
        <v>173</v>
      </c>
      <c r="B224">
        <v>8.6</v>
      </c>
      <c r="C224" t="s">
        <v>596</v>
      </c>
      <c r="D224" s="2">
        <v>46071</v>
      </c>
      <c r="E224">
        <v>5</v>
      </c>
      <c r="F224" s="2">
        <v>46078</v>
      </c>
      <c r="G224" s="6">
        <v>0</v>
      </c>
      <c r="H224" s="6">
        <v>0</v>
      </c>
      <c r="M224"/>
      <c r="O224"/>
      <c r="P224"/>
      <c r="Q224"/>
    </row>
    <row r="225" spans="1:17" ht="14.4" hidden="1">
      <c r="A225" t="s">
        <v>510</v>
      </c>
      <c r="B225">
        <v>1</v>
      </c>
      <c r="C225" t="s">
        <v>655</v>
      </c>
      <c r="D225" s="2">
        <v>45422</v>
      </c>
      <c r="E225">
        <v>113</v>
      </c>
      <c r="F225" s="2">
        <v>45535</v>
      </c>
      <c r="G225" s="6">
        <v>1</v>
      </c>
      <c r="M225"/>
      <c r="O225"/>
      <c r="P225"/>
      <c r="Q225"/>
    </row>
    <row r="226" spans="1:17" ht="14.4" hidden="1">
      <c r="A226" t="s">
        <v>510</v>
      </c>
      <c r="B226" t="s">
        <v>548</v>
      </c>
      <c r="C226" t="s">
        <v>656</v>
      </c>
      <c r="D226" s="2">
        <v>45454</v>
      </c>
      <c r="E226">
        <v>36</v>
      </c>
      <c r="F226" s="2">
        <v>45490</v>
      </c>
      <c r="G226" s="6">
        <v>1</v>
      </c>
      <c r="M226"/>
      <c r="O226"/>
      <c r="P226"/>
      <c r="Q226"/>
    </row>
    <row r="227" spans="1:17" ht="14.4" hidden="1">
      <c r="A227" t="s">
        <v>510</v>
      </c>
      <c r="B227" t="s">
        <v>550</v>
      </c>
      <c r="C227" t="s">
        <v>657</v>
      </c>
      <c r="D227" s="2">
        <v>45478</v>
      </c>
      <c r="E227">
        <v>57</v>
      </c>
      <c r="F227" s="2">
        <v>45535</v>
      </c>
      <c r="G227" s="6">
        <v>1</v>
      </c>
      <c r="M227"/>
      <c r="O227"/>
      <c r="P227"/>
      <c r="Q227"/>
    </row>
    <row r="228" spans="1:17" ht="14.4" hidden="1">
      <c r="A228" t="s">
        <v>510</v>
      </c>
      <c r="B228" t="s">
        <v>552</v>
      </c>
      <c r="C228" t="s">
        <v>658</v>
      </c>
      <c r="D228" s="2">
        <v>45463</v>
      </c>
      <c r="E228">
        <v>20</v>
      </c>
      <c r="F228" s="2">
        <v>45483</v>
      </c>
      <c r="G228" s="6">
        <v>1</v>
      </c>
      <c r="M228"/>
      <c r="O228"/>
      <c r="P228"/>
      <c r="Q228"/>
    </row>
    <row r="229" spans="1:17" ht="14.4" hidden="1">
      <c r="A229" t="s">
        <v>510</v>
      </c>
      <c r="B229" t="s">
        <v>554</v>
      </c>
      <c r="C229" t="s">
        <v>659</v>
      </c>
      <c r="D229" s="2">
        <v>45490</v>
      </c>
      <c r="E229">
        <v>0</v>
      </c>
      <c r="F229" s="2">
        <v>45490</v>
      </c>
      <c r="G229" s="6">
        <v>1</v>
      </c>
      <c r="M229"/>
      <c r="O229"/>
      <c r="P229"/>
      <c r="Q229"/>
    </row>
    <row r="230" spans="1:17" ht="14.4" hidden="1">
      <c r="A230" t="s">
        <v>510</v>
      </c>
      <c r="B230" t="s">
        <v>556</v>
      </c>
      <c r="C230" t="s">
        <v>660</v>
      </c>
      <c r="D230" s="2">
        <v>45422</v>
      </c>
      <c r="E230">
        <v>105</v>
      </c>
      <c r="F230" s="2">
        <v>45527</v>
      </c>
      <c r="G230" s="6">
        <v>1</v>
      </c>
      <c r="M230"/>
      <c r="O230"/>
      <c r="P230"/>
      <c r="Q230"/>
    </row>
    <row r="231" spans="1:17" ht="14.4" hidden="1">
      <c r="A231" t="s">
        <v>510</v>
      </c>
      <c r="B231" t="s">
        <v>606</v>
      </c>
      <c r="C231" t="s">
        <v>661</v>
      </c>
      <c r="D231" s="2">
        <v>45467</v>
      </c>
      <c r="E231">
        <v>53</v>
      </c>
      <c r="F231" s="2">
        <v>45520</v>
      </c>
      <c r="G231" s="6">
        <v>1</v>
      </c>
      <c r="M231"/>
      <c r="O231"/>
      <c r="P231"/>
      <c r="Q231"/>
    </row>
    <row r="232" spans="1:17" ht="14.4" hidden="1">
      <c r="A232" t="s">
        <v>510</v>
      </c>
      <c r="B232" t="s">
        <v>608</v>
      </c>
      <c r="C232" t="s">
        <v>662</v>
      </c>
      <c r="D232" s="2">
        <v>45478</v>
      </c>
      <c r="E232">
        <v>13</v>
      </c>
      <c r="F232" s="2">
        <v>45491</v>
      </c>
      <c r="G232" s="6">
        <v>1</v>
      </c>
      <c r="M232"/>
      <c r="O232"/>
      <c r="P232"/>
      <c r="Q232"/>
    </row>
    <row r="233" spans="1:17" ht="14.4" hidden="1">
      <c r="A233" t="s">
        <v>510</v>
      </c>
      <c r="B233" t="s">
        <v>610</v>
      </c>
      <c r="C233" t="s">
        <v>663</v>
      </c>
      <c r="D233" s="2">
        <v>45478</v>
      </c>
      <c r="E233">
        <v>42</v>
      </c>
      <c r="F233" s="2">
        <v>45520</v>
      </c>
      <c r="G233" s="6">
        <v>1</v>
      </c>
      <c r="M233"/>
      <c r="O233"/>
      <c r="P233"/>
      <c r="Q233"/>
    </row>
    <row r="234" spans="1:17" ht="14.4" hidden="1">
      <c r="A234" t="s">
        <v>510</v>
      </c>
      <c r="B234" t="s">
        <v>612</v>
      </c>
      <c r="C234" t="s">
        <v>664</v>
      </c>
      <c r="D234" s="2">
        <v>45489</v>
      </c>
      <c r="E234">
        <v>31</v>
      </c>
      <c r="F234" s="2">
        <v>45520</v>
      </c>
      <c r="G234" s="6">
        <v>1</v>
      </c>
      <c r="M234"/>
      <c r="O234"/>
      <c r="P234"/>
      <c r="Q234"/>
    </row>
    <row r="235" spans="1:17" ht="14.4" hidden="1">
      <c r="A235" t="s">
        <v>510</v>
      </c>
      <c r="B235" t="s">
        <v>665</v>
      </c>
      <c r="C235" t="s">
        <v>666</v>
      </c>
      <c r="D235" s="2">
        <v>45478</v>
      </c>
      <c r="E235">
        <v>5</v>
      </c>
      <c r="F235" s="2">
        <v>45483</v>
      </c>
      <c r="G235" s="6">
        <v>1</v>
      </c>
      <c r="M235"/>
      <c r="O235"/>
      <c r="P235"/>
      <c r="Q235"/>
    </row>
    <row r="236" spans="1:17" ht="14.4" hidden="1">
      <c r="A236" t="s">
        <v>510</v>
      </c>
      <c r="B236" t="s">
        <v>667</v>
      </c>
      <c r="C236" t="s">
        <v>668</v>
      </c>
      <c r="D236" s="2">
        <v>45440</v>
      </c>
      <c r="E236">
        <v>43</v>
      </c>
      <c r="F236" s="2">
        <v>45483</v>
      </c>
      <c r="G236" s="6">
        <v>1</v>
      </c>
      <c r="M236"/>
      <c r="O236"/>
      <c r="P236"/>
      <c r="Q236"/>
    </row>
    <row r="237" spans="1:17" ht="14.4" hidden="1">
      <c r="A237" t="s">
        <v>510</v>
      </c>
      <c r="B237">
        <v>2</v>
      </c>
      <c r="C237" t="s">
        <v>669</v>
      </c>
      <c r="D237" s="2">
        <v>45478</v>
      </c>
      <c r="E237">
        <v>84</v>
      </c>
      <c r="F237" s="2">
        <v>45562</v>
      </c>
      <c r="G237" s="6">
        <v>1</v>
      </c>
      <c r="M237"/>
      <c r="O237"/>
      <c r="P237"/>
      <c r="Q237"/>
    </row>
    <row r="238" spans="1:17" ht="14.4" hidden="1">
      <c r="A238" t="s">
        <v>510</v>
      </c>
      <c r="B238" t="s">
        <v>559</v>
      </c>
      <c r="C238" t="s">
        <v>670</v>
      </c>
      <c r="D238" s="2">
        <v>45478</v>
      </c>
      <c r="E238">
        <v>35</v>
      </c>
      <c r="F238" s="2">
        <v>45530</v>
      </c>
      <c r="G238" s="6">
        <v>1</v>
      </c>
      <c r="M238"/>
      <c r="O238"/>
      <c r="P238"/>
      <c r="Q238"/>
    </row>
    <row r="239" spans="1:17" ht="14.4" hidden="1">
      <c r="A239" t="s">
        <v>510</v>
      </c>
      <c r="B239" t="s">
        <v>671</v>
      </c>
      <c r="C239" t="s">
        <v>672</v>
      </c>
      <c r="D239" s="2">
        <v>45503</v>
      </c>
      <c r="E239">
        <v>59</v>
      </c>
      <c r="F239" s="2">
        <v>45562</v>
      </c>
      <c r="G239" s="6">
        <v>1</v>
      </c>
      <c r="M239"/>
      <c r="O239"/>
      <c r="P239"/>
      <c r="Q239"/>
    </row>
    <row r="240" spans="1:17" ht="14.4" hidden="1">
      <c r="A240" t="s">
        <v>510</v>
      </c>
      <c r="B240" t="s">
        <v>673</v>
      </c>
      <c r="C240" t="s">
        <v>674</v>
      </c>
      <c r="D240" s="2">
        <v>45510</v>
      </c>
      <c r="E240">
        <v>43</v>
      </c>
      <c r="F240" s="2">
        <v>45553</v>
      </c>
      <c r="G240" s="6">
        <v>1</v>
      </c>
      <c r="M240"/>
      <c r="O240"/>
      <c r="P240"/>
      <c r="Q240"/>
    </row>
    <row r="241" spans="1:17" ht="14.4" hidden="1">
      <c r="A241" t="s">
        <v>510</v>
      </c>
      <c r="B241" t="s">
        <v>675</v>
      </c>
      <c r="C241" t="s">
        <v>676</v>
      </c>
      <c r="D241" s="2">
        <v>45510</v>
      </c>
      <c r="E241">
        <v>0</v>
      </c>
      <c r="F241" s="2">
        <v>45510</v>
      </c>
      <c r="G241" s="6">
        <v>1</v>
      </c>
      <c r="M241"/>
      <c r="O241"/>
      <c r="P241"/>
      <c r="Q241"/>
    </row>
    <row r="242" spans="1:17" ht="14.4" hidden="1">
      <c r="A242" t="s">
        <v>510</v>
      </c>
      <c r="B242" t="s">
        <v>677</v>
      </c>
      <c r="C242" t="s">
        <v>678</v>
      </c>
      <c r="D242" s="2">
        <v>45526</v>
      </c>
      <c r="E242">
        <v>21</v>
      </c>
      <c r="F242" s="2">
        <v>45547</v>
      </c>
      <c r="G242" s="6">
        <v>1</v>
      </c>
      <c r="M242"/>
      <c r="O242"/>
      <c r="P242"/>
      <c r="Q242"/>
    </row>
    <row r="243" spans="1:17" ht="14.4" hidden="1">
      <c r="A243" t="s">
        <v>510</v>
      </c>
      <c r="B243" t="s">
        <v>679</v>
      </c>
      <c r="C243" t="s">
        <v>680</v>
      </c>
      <c r="D243" s="2">
        <v>45526</v>
      </c>
      <c r="E243">
        <v>0</v>
      </c>
      <c r="F243" s="2">
        <v>45526</v>
      </c>
      <c r="G243" s="6">
        <v>1</v>
      </c>
      <c r="M243"/>
      <c r="O243"/>
      <c r="P243"/>
      <c r="Q243"/>
    </row>
    <row r="244" spans="1:17" ht="14.4" hidden="1">
      <c r="A244" t="s">
        <v>510</v>
      </c>
      <c r="B244" t="s">
        <v>681</v>
      </c>
      <c r="C244" t="s">
        <v>682</v>
      </c>
      <c r="D244" s="2">
        <v>45540</v>
      </c>
      <c r="E244">
        <v>0</v>
      </c>
      <c r="F244" s="2">
        <v>45540</v>
      </c>
      <c r="G244" s="6">
        <v>1</v>
      </c>
      <c r="M244"/>
      <c r="O244"/>
      <c r="P244"/>
      <c r="Q244"/>
    </row>
    <row r="245" spans="1:17" ht="14.4" hidden="1">
      <c r="A245" t="s">
        <v>510</v>
      </c>
      <c r="B245" t="s">
        <v>683</v>
      </c>
      <c r="C245" t="s">
        <v>684</v>
      </c>
      <c r="D245" s="2">
        <v>45547</v>
      </c>
      <c r="E245">
        <v>0</v>
      </c>
      <c r="F245" s="2">
        <v>45547</v>
      </c>
      <c r="G245" s="6">
        <v>1</v>
      </c>
      <c r="M245"/>
      <c r="O245"/>
      <c r="P245"/>
      <c r="Q245"/>
    </row>
    <row r="246" spans="1:17" ht="14.4" hidden="1">
      <c r="A246" t="s">
        <v>510</v>
      </c>
      <c r="B246" t="s">
        <v>685</v>
      </c>
      <c r="C246" t="s">
        <v>686</v>
      </c>
      <c r="D246" s="2">
        <v>45510</v>
      </c>
      <c r="E246">
        <v>0</v>
      </c>
      <c r="F246" s="2">
        <v>45510</v>
      </c>
      <c r="G246" s="6">
        <v>1</v>
      </c>
      <c r="M246"/>
      <c r="O246"/>
      <c r="P246"/>
      <c r="Q246"/>
    </row>
    <row r="247" spans="1:17" ht="14.4" hidden="1">
      <c r="A247" t="s">
        <v>510</v>
      </c>
      <c r="B247" t="s">
        <v>687</v>
      </c>
      <c r="C247" t="s">
        <v>688</v>
      </c>
      <c r="D247" s="2">
        <v>45530</v>
      </c>
      <c r="E247">
        <v>0</v>
      </c>
      <c r="F247" s="2">
        <v>45530</v>
      </c>
      <c r="G247" s="6">
        <v>1</v>
      </c>
      <c r="M247"/>
      <c r="O247"/>
      <c r="P247"/>
      <c r="Q247"/>
    </row>
    <row r="248" spans="1:17" ht="14.4" hidden="1">
      <c r="A248" t="s">
        <v>510</v>
      </c>
      <c r="B248" t="s">
        <v>689</v>
      </c>
      <c r="C248" t="s">
        <v>690</v>
      </c>
      <c r="D248" s="2">
        <v>45525</v>
      </c>
      <c r="E248">
        <v>1</v>
      </c>
      <c r="F248" s="2">
        <v>45553</v>
      </c>
      <c r="G248" s="6">
        <v>1</v>
      </c>
      <c r="M248"/>
      <c r="O248"/>
      <c r="P248"/>
      <c r="Q248"/>
    </row>
    <row r="249" spans="1:17" ht="14.4" hidden="1">
      <c r="A249" t="s">
        <v>510</v>
      </c>
      <c r="B249" t="s">
        <v>691</v>
      </c>
      <c r="C249" t="s">
        <v>692</v>
      </c>
      <c r="D249" s="2">
        <v>45552</v>
      </c>
      <c r="E249">
        <v>1</v>
      </c>
      <c r="F249" s="2">
        <v>45553</v>
      </c>
      <c r="G249" s="6">
        <v>1</v>
      </c>
      <c r="M249"/>
      <c r="O249"/>
      <c r="P249"/>
      <c r="Q249"/>
    </row>
    <row r="250" spans="1:17" ht="14.4" hidden="1">
      <c r="A250" t="s">
        <v>510</v>
      </c>
      <c r="B250" t="s">
        <v>693</v>
      </c>
      <c r="C250" t="s">
        <v>694</v>
      </c>
      <c r="D250" s="2">
        <v>45525</v>
      </c>
      <c r="E250">
        <v>1</v>
      </c>
      <c r="F250" s="2">
        <v>45526</v>
      </c>
      <c r="G250" s="6">
        <v>1</v>
      </c>
      <c r="M250"/>
      <c r="O250"/>
      <c r="P250"/>
      <c r="Q250"/>
    </row>
    <row r="251" spans="1:17" ht="14.4" hidden="1">
      <c r="A251" t="s">
        <v>510</v>
      </c>
      <c r="B251" t="s">
        <v>695</v>
      </c>
      <c r="C251" t="s">
        <v>696</v>
      </c>
      <c r="D251" s="2">
        <v>45553</v>
      </c>
      <c r="E251">
        <v>9</v>
      </c>
      <c r="F251" s="2">
        <v>45562</v>
      </c>
      <c r="G251" s="6">
        <v>1</v>
      </c>
      <c r="M251"/>
      <c r="O251"/>
      <c r="P251"/>
      <c r="Q251"/>
    </row>
    <row r="252" spans="1:17" ht="14.4" hidden="1">
      <c r="A252" t="s">
        <v>510</v>
      </c>
      <c r="B252">
        <v>3</v>
      </c>
      <c r="C252" t="s">
        <v>697</v>
      </c>
      <c r="D252" s="2">
        <v>45510</v>
      </c>
      <c r="E252">
        <v>115</v>
      </c>
      <c r="F252" s="2">
        <v>45625</v>
      </c>
      <c r="G252" s="6">
        <v>1</v>
      </c>
      <c r="M252"/>
      <c r="O252"/>
      <c r="P252"/>
      <c r="Q252"/>
    </row>
    <row r="253" spans="1:17" ht="14.4" hidden="1">
      <c r="A253" t="s">
        <v>510</v>
      </c>
      <c r="B253" t="s">
        <v>562</v>
      </c>
      <c r="C253" t="s">
        <v>698</v>
      </c>
      <c r="D253" s="2">
        <v>45518</v>
      </c>
      <c r="E253">
        <v>2</v>
      </c>
      <c r="F253" s="2">
        <v>45520</v>
      </c>
      <c r="G253" s="6">
        <v>1</v>
      </c>
      <c r="M253"/>
      <c r="O253"/>
      <c r="P253"/>
      <c r="Q253"/>
    </row>
    <row r="254" spans="1:17" ht="14.4" hidden="1">
      <c r="A254" t="s">
        <v>510</v>
      </c>
      <c r="B254" t="s">
        <v>564</v>
      </c>
      <c r="C254" t="s">
        <v>699</v>
      </c>
      <c r="D254" s="2">
        <v>45520</v>
      </c>
      <c r="E254">
        <v>5</v>
      </c>
      <c r="F254" s="2">
        <v>45527</v>
      </c>
      <c r="G254" s="6">
        <v>1</v>
      </c>
      <c r="M254"/>
      <c r="O254"/>
      <c r="P254"/>
      <c r="Q254"/>
    </row>
    <row r="255" spans="1:17" ht="14.4" hidden="1">
      <c r="A255" t="s">
        <v>510</v>
      </c>
      <c r="B255" t="s">
        <v>566</v>
      </c>
      <c r="C255" t="s">
        <v>700</v>
      </c>
      <c r="D255" s="2">
        <v>45527</v>
      </c>
      <c r="E255">
        <v>4</v>
      </c>
      <c r="F255" s="2">
        <v>45533</v>
      </c>
      <c r="G255" s="6">
        <v>1</v>
      </c>
      <c r="M255"/>
      <c r="O255"/>
      <c r="P255"/>
      <c r="Q255"/>
    </row>
    <row r="256" spans="1:17" ht="14.4" hidden="1">
      <c r="A256" t="s">
        <v>510</v>
      </c>
      <c r="B256" t="s">
        <v>568</v>
      </c>
      <c r="C256" t="s">
        <v>701</v>
      </c>
      <c r="D256" s="2">
        <v>45510</v>
      </c>
      <c r="E256">
        <v>15</v>
      </c>
      <c r="F256" s="2">
        <v>45532</v>
      </c>
      <c r="G256" s="6">
        <v>1</v>
      </c>
      <c r="M256"/>
      <c r="O256"/>
      <c r="P256"/>
      <c r="Q256"/>
    </row>
    <row r="257" spans="1:17" ht="14.4" hidden="1">
      <c r="A257" t="s">
        <v>510</v>
      </c>
      <c r="B257" t="s">
        <v>570</v>
      </c>
      <c r="C257" t="s">
        <v>702</v>
      </c>
      <c r="D257" s="2">
        <v>45574</v>
      </c>
      <c r="E257">
        <v>16</v>
      </c>
      <c r="F257" s="2">
        <v>45596</v>
      </c>
      <c r="G257" s="6">
        <v>1</v>
      </c>
      <c r="M257"/>
      <c r="O257"/>
      <c r="P257"/>
      <c r="Q257"/>
    </row>
    <row r="258" spans="1:17" ht="14.4" hidden="1">
      <c r="A258" t="s">
        <v>510</v>
      </c>
      <c r="B258" t="s">
        <v>619</v>
      </c>
      <c r="C258" t="s">
        <v>703</v>
      </c>
      <c r="D258" s="2">
        <v>45596</v>
      </c>
      <c r="E258">
        <v>1</v>
      </c>
      <c r="F258" s="2">
        <v>45597</v>
      </c>
      <c r="G258" s="6">
        <v>1</v>
      </c>
      <c r="M258"/>
      <c r="O258"/>
      <c r="P258"/>
      <c r="Q258"/>
    </row>
    <row r="259" spans="1:17" ht="14.4" hidden="1">
      <c r="A259" t="s">
        <v>510</v>
      </c>
      <c r="B259" t="s">
        <v>621</v>
      </c>
      <c r="C259" t="s">
        <v>704</v>
      </c>
      <c r="D259" s="2">
        <v>45532</v>
      </c>
      <c r="E259">
        <v>12</v>
      </c>
      <c r="F259" s="2">
        <v>45548</v>
      </c>
      <c r="G259" s="6">
        <v>1</v>
      </c>
      <c r="M259"/>
      <c r="O259"/>
      <c r="P259"/>
      <c r="Q259"/>
    </row>
    <row r="260" spans="1:17" ht="14.4" hidden="1">
      <c r="A260" t="s">
        <v>510</v>
      </c>
      <c r="B260" t="s">
        <v>705</v>
      </c>
      <c r="C260" t="s">
        <v>706</v>
      </c>
      <c r="D260" s="2">
        <v>45535</v>
      </c>
      <c r="E260">
        <v>43</v>
      </c>
      <c r="F260" s="2">
        <v>45596</v>
      </c>
      <c r="G260" s="6">
        <v>1</v>
      </c>
      <c r="M260"/>
      <c r="O260"/>
      <c r="P260"/>
      <c r="Q260"/>
    </row>
    <row r="261" spans="1:17" ht="14.4" hidden="1">
      <c r="A261" t="s">
        <v>510</v>
      </c>
      <c r="B261" t="s">
        <v>707</v>
      </c>
      <c r="C261" t="s">
        <v>708</v>
      </c>
      <c r="D261" s="2">
        <v>45596</v>
      </c>
      <c r="E261">
        <v>4</v>
      </c>
      <c r="F261" s="2">
        <v>45602</v>
      </c>
      <c r="G261" s="6">
        <v>1</v>
      </c>
      <c r="M261"/>
      <c r="O261"/>
      <c r="P261"/>
      <c r="Q261"/>
    </row>
    <row r="262" spans="1:17" ht="14.4" hidden="1">
      <c r="A262" t="s">
        <v>510</v>
      </c>
      <c r="B262" t="s">
        <v>709</v>
      </c>
      <c r="C262" t="s">
        <v>710</v>
      </c>
      <c r="D262" s="2">
        <v>45596</v>
      </c>
      <c r="E262">
        <v>5</v>
      </c>
      <c r="F262" s="2">
        <v>45603</v>
      </c>
      <c r="G262" s="6">
        <v>1</v>
      </c>
      <c r="M262"/>
      <c r="O262"/>
      <c r="P262"/>
      <c r="Q262"/>
    </row>
    <row r="263" spans="1:17" ht="14.4" hidden="1">
      <c r="A263" t="s">
        <v>510</v>
      </c>
      <c r="B263" t="s">
        <v>711</v>
      </c>
      <c r="C263" t="s">
        <v>712</v>
      </c>
      <c r="D263" s="2">
        <v>45603</v>
      </c>
      <c r="E263">
        <v>3</v>
      </c>
      <c r="F263" s="2">
        <v>45608</v>
      </c>
      <c r="G263" s="6">
        <v>1</v>
      </c>
      <c r="M263"/>
      <c r="O263"/>
      <c r="P263"/>
      <c r="Q263"/>
    </row>
    <row r="264" spans="1:17" ht="14.4" hidden="1">
      <c r="A264" t="s">
        <v>510</v>
      </c>
      <c r="B264" t="s">
        <v>713</v>
      </c>
      <c r="C264" t="s">
        <v>714</v>
      </c>
      <c r="D264" s="2">
        <v>45540</v>
      </c>
      <c r="E264">
        <v>5</v>
      </c>
      <c r="F264" s="2">
        <v>45547</v>
      </c>
      <c r="G264" s="6">
        <v>1</v>
      </c>
      <c r="M264"/>
      <c r="O264"/>
      <c r="P264"/>
      <c r="Q264"/>
    </row>
    <row r="265" spans="1:17" ht="14.4" hidden="1">
      <c r="A265" t="s">
        <v>510</v>
      </c>
      <c r="B265" t="s">
        <v>715</v>
      </c>
      <c r="C265" t="s">
        <v>716</v>
      </c>
      <c r="D265" s="2">
        <v>45547</v>
      </c>
      <c r="E265">
        <v>4</v>
      </c>
      <c r="F265" s="2">
        <v>45553</v>
      </c>
      <c r="G265" s="6">
        <v>1</v>
      </c>
      <c r="M265"/>
      <c r="O265"/>
      <c r="P265"/>
      <c r="Q265"/>
    </row>
    <row r="266" spans="1:17" ht="14.4" hidden="1">
      <c r="A266" t="s">
        <v>510</v>
      </c>
      <c r="B266" t="s">
        <v>717</v>
      </c>
      <c r="C266" t="s">
        <v>718</v>
      </c>
      <c r="D266" s="2">
        <v>45540</v>
      </c>
      <c r="E266">
        <v>5</v>
      </c>
      <c r="F266" s="2">
        <v>45547</v>
      </c>
      <c r="G266" s="6">
        <v>1</v>
      </c>
      <c r="M266"/>
      <c r="O266"/>
      <c r="P266"/>
      <c r="Q266"/>
    </row>
    <row r="267" spans="1:17" ht="14.4" hidden="1">
      <c r="A267" t="s">
        <v>510</v>
      </c>
      <c r="B267" t="s">
        <v>719</v>
      </c>
      <c r="C267" t="s">
        <v>720</v>
      </c>
      <c r="D267" s="2">
        <v>45553</v>
      </c>
      <c r="E267">
        <v>4</v>
      </c>
      <c r="F267" s="2">
        <v>45560</v>
      </c>
      <c r="G267" s="6">
        <v>1</v>
      </c>
      <c r="M267"/>
      <c r="O267"/>
      <c r="P267"/>
      <c r="Q267"/>
    </row>
    <row r="268" spans="1:17" ht="14.4" hidden="1">
      <c r="A268" t="s">
        <v>510</v>
      </c>
      <c r="B268" t="s">
        <v>721</v>
      </c>
      <c r="C268" t="s">
        <v>722</v>
      </c>
      <c r="D268" s="2">
        <v>45543</v>
      </c>
      <c r="E268">
        <v>5</v>
      </c>
      <c r="F268" s="2">
        <v>45548</v>
      </c>
      <c r="G268" s="6">
        <v>1</v>
      </c>
      <c r="M268"/>
      <c r="O268"/>
      <c r="P268"/>
      <c r="Q268"/>
    </row>
    <row r="269" spans="1:17" ht="14.4" hidden="1">
      <c r="A269" t="s">
        <v>510</v>
      </c>
      <c r="B269" t="s">
        <v>723</v>
      </c>
      <c r="C269" t="s">
        <v>724</v>
      </c>
      <c r="D269" s="2">
        <v>45560</v>
      </c>
      <c r="E269">
        <v>5</v>
      </c>
      <c r="F269" s="2">
        <v>45567</v>
      </c>
      <c r="G269" s="6">
        <v>1</v>
      </c>
      <c r="M269"/>
      <c r="O269"/>
      <c r="P269"/>
      <c r="Q269"/>
    </row>
    <row r="270" spans="1:17" ht="14.4" hidden="1">
      <c r="A270" t="s">
        <v>510</v>
      </c>
      <c r="B270" t="s">
        <v>725</v>
      </c>
      <c r="C270" t="s">
        <v>726</v>
      </c>
      <c r="D270" s="2">
        <v>45597</v>
      </c>
      <c r="E270">
        <v>4</v>
      </c>
      <c r="F270" s="2">
        <v>45603</v>
      </c>
      <c r="G270" s="6">
        <v>1</v>
      </c>
      <c r="M270"/>
      <c r="O270"/>
      <c r="P270"/>
      <c r="Q270"/>
    </row>
    <row r="271" spans="1:17" ht="14.4" hidden="1">
      <c r="A271" t="s">
        <v>510</v>
      </c>
      <c r="B271" t="s">
        <v>727</v>
      </c>
      <c r="C271" t="s">
        <v>728</v>
      </c>
      <c r="D271" s="2">
        <v>45579</v>
      </c>
      <c r="E271">
        <v>5</v>
      </c>
      <c r="F271" s="2">
        <v>45586</v>
      </c>
      <c r="G271" s="6">
        <v>1</v>
      </c>
      <c r="M271"/>
      <c r="O271"/>
      <c r="P271"/>
      <c r="Q271"/>
    </row>
    <row r="272" spans="1:17" ht="14.4" hidden="1">
      <c r="A272" t="s">
        <v>510</v>
      </c>
      <c r="B272" t="s">
        <v>729</v>
      </c>
      <c r="C272" t="s">
        <v>730</v>
      </c>
      <c r="D272" s="2">
        <v>45597</v>
      </c>
      <c r="E272">
        <v>4</v>
      </c>
      <c r="F272" s="2">
        <v>45603</v>
      </c>
      <c r="G272" s="6">
        <v>1</v>
      </c>
      <c r="M272"/>
      <c r="O272"/>
      <c r="P272"/>
      <c r="Q272"/>
    </row>
    <row r="273" spans="1:17" ht="14.4" hidden="1">
      <c r="A273" t="s">
        <v>510</v>
      </c>
      <c r="B273" t="s">
        <v>731</v>
      </c>
      <c r="C273" t="s">
        <v>732</v>
      </c>
      <c r="D273" s="2">
        <v>45586</v>
      </c>
      <c r="E273">
        <v>9</v>
      </c>
      <c r="F273" s="2">
        <v>45597</v>
      </c>
      <c r="G273" s="6">
        <v>1</v>
      </c>
      <c r="M273"/>
      <c r="O273"/>
      <c r="P273"/>
      <c r="Q273"/>
    </row>
    <row r="274" spans="1:17" ht="14.4" hidden="1">
      <c r="A274" t="s">
        <v>510</v>
      </c>
      <c r="B274" t="s">
        <v>733</v>
      </c>
      <c r="C274" t="s">
        <v>734</v>
      </c>
      <c r="D274" s="2">
        <v>45597</v>
      </c>
      <c r="E274">
        <v>8</v>
      </c>
      <c r="F274" s="2">
        <v>45609</v>
      </c>
      <c r="G274" s="6">
        <v>1</v>
      </c>
      <c r="M274"/>
      <c r="O274"/>
      <c r="P274"/>
      <c r="Q274"/>
    </row>
    <row r="275" spans="1:17" ht="14.4" hidden="1">
      <c r="A275" t="s">
        <v>510</v>
      </c>
      <c r="B275" t="s">
        <v>735</v>
      </c>
      <c r="C275" t="s">
        <v>736</v>
      </c>
      <c r="D275" s="2">
        <v>45535</v>
      </c>
      <c r="E275">
        <v>43</v>
      </c>
      <c r="F275" s="2">
        <v>45596</v>
      </c>
      <c r="G275" s="6">
        <v>1</v>
      </c>
      <c r="M275"/>
      <c r="O275"/>
      <c r="P275"/>
      <c r="Q275"/>
    </row>
    <row r="276" spans="1:17" ht="14.4" hidden="1">
      <c r="A276" t="s">
        <v>510</v>
      </c>
      <c r="B276" t="s">
        <v>737</v>
      </c>
      <c r="C276" t="s">
        <v>738</v>
      </c>
      <c r="D276" s="2">
        <v>45535</v>
      </c>
      <c r="E276">
        <v>40</v>
      </c>
      <c r="F276" s="2">
        <v>45593</v>
      </c>
      <c r="G276" s="6">
        <v>1</v>
      </c>
      <c r="M276"/>
      <c r="O276"/>
      <c r="P276"/>
      <c r="Q276"/>
    </row>
    <row r="277" spans="1:17" ht="14.4" hidden="1">
      <c r="A277" t="s">
        <v>510</v>
      </c>
      <c r="B277" t="s">
        <v>739</v>
      </c>
      <c r="C277" t="s">
        <v>740</v>
      </c>
      <c r="D277" s="2">
        <v>45597</v>
      </c>
      <c r="E277">
        <v>3</v>
      </c>
      <c r="F277" s="2">
        <v>45602</v>
      </c>
      <c r="G277" s="6">
        <v>1</v>
      </c>
      <c r="M277"/>
      <c r="O277"/>
      <c r="P277"/>
      <c r="Q277"/>
    </row>
    <row r="278" spans="1:17" ht="14.4" hidden="1">
      <c r="A278" t="s">
        <v>510</v>
      </c>
      <c r="B278" t="s">
        <v>741</v>
      </c>
      <c r="C278" t="s">
        <v>742</v>
      </c>
      <c r="D278" s="2">
        <v>45597</v>
      </c>
      <c r="E278">
        <v>3</v>
      </c>
      <c r="F278" s="2">
        <v>45602</v>
      </c>
      <c r="G278" s="6">
        <v>1</v>
      </c>
      <c r="M278"/>
      <c r="O278"/>
      <c r="P278"/>
      <c r="Q278"/>
    </row>
    <row r="279" spans="1:17" ht="14.4" hidden="1">
      <c r="A279" t="s">
        <v>510</v>
      </c>
      <c r="B279" t="s">
        <v>743</v>
      </c>
      <c r="C279" t="s">
        <v>744</v>
      </c>
      <c r="D279" s="2">
        <v>45602</v>
      </c>
      <c r="E279">
        <v>2</v>
      </c>
      <c r="F279" s="2">
        <v>45604</v>
      </c>
      <c r="G279" s="6">
        <v>1</v>
      </c>
      <c r="M279"/>
      <c r="O279"/>
      <c r="P279"/>
      <c r="Q279"/>
    </row>
    <row r="280" spans="1:17" ht="14.4" hidden="1">
      <c r="A280" t="s">
        <v>510</v>
      </c>
      <c r="B280" t="s">
        <v>745</v>
      </c>
      <c r="C280" t="s">
        <v>746</v>
      </c>
      <c r="D280" s="2">
        <v>45602</v>
      </c>
      <c r="E280">
        <v>2</v>
      </c>
      <c r="F280" s="2">
        <v>45604</v>
      </c>
      <c r="G280" s="6">
        <v>1</v>
      </c>
      <c r="M280"/>
      <c r="O280"/>
      <c r="P280"/>
      <c r="Q280"/>
    </row>
    <row r="281" spans="1:17" ht="14.4" hidden="1">
      <c r="A281" t="s">
        <v>510</v>
      </c>
      <c r="B281" t="s">
        <v>747</v>
      </c>
      <c r="C281" t="s">
        <v>748</v>
      </c>
      <c r="D281" s="2">
        <v>45604</v>
      </c>
      <c r="E281">
        <v>2</v>
      </c>
      <c r="F281" s="2">
        <v>45608</v>
      </c>
      <c r="G281" s="6">
        <v>1</v>
      </c>
      <c r="M281"/>
      <c r="O281"/>
      <c r="P281"/>
      <c r="Q281"/>
    </row>
    <row r="282" spans="1:17" ht="14.4" hidden="1">
      <c r="A282" t="s">
        <v>510</v>
      </c>
      <c r="B282" t="s">
        <v>749</v>
      </c>
      <c r="C282" t="s">
        <v>750</v>
      </c>
      <c r="D282" s="2">
        <v>45604</v>
      </c>
      <c r="E282">
        <v>3</v>
      </c>
      <c r="F282" s="2">
        <v>45609</v>
      </c>
      <c r="G282" s="6">
        <v>1</v>
      </c>
      <c r="M282"/>
      <c r="O282"/>
      <c r="P282"/>
      <c r="Q282"/>
    </row>
    <row r="283" spans="1:17" ht="14.4" hidden="1">
      <c r="A283" t="s">
        <v>510</v>
      </c>
      <c r="B283" t="s">
        <v>751</v>
      </c>
      <c r="C283" t="s">
        <v>752</v>
      </c>
      <c r="D283" s="2">
        <v>45603</v>
      </c>
      <c r="E283">
        <v>4</v>
      </c>
      <c r="F283" s="2">
        <v>45609</v>
      </c>
      <c r="G283" s="6">
        <v>1</v>
      </c>
      <c r="M283"/>
      <c r="O283"/>
      <c r="P283"/>
      <c r="Q283"/>
    </row>
    <row r="284" spans="1:17" ht="14.4" hidden="1">
      <c r="A284" t="s">
        <v>510</v>
      </c>
      <c r="B284" t="s">
        <v>753</v>
      </c>
      <c r="C284" t="s">
        <v>754</v>
      </c>
      <c r="D284" s="2">
        <v>45606</v>
      </c>
      <c r="E284">
        <v>1</v>
      </c>
      <c r="F284" s="2">
        <v>45607</v>
      </c>
      <c r="G284" s="6">
        <v>1</v>
      </c>
      <c r="M284"/>
      <c r="O284"/>
      <c r="P284"/>
      <c r="Q284"/>
    </row>
    <row r="285" spans="1:17" ht="14.4" hidden="1">
      <c r="A285" t="s">
        <v>510</v>
      </c>
      <c r="B285" t="s">
        <v>755</v>
      </c>
      <c r="C285" t="s">
        <v>756</v>
      </c>
      <c r="D285" s="2">
        <v>45606</v>
      </c>
      <c r="E285">
        <v>1</v>
      </c>
      <c r="F285" s="2">
        <v>45607</v>
      </c>
      <c r="G285" s="6">
        <v>1</v>
      </c>
      <c r="M285"/>
      <c r="O285"/>
      <c r="P285"/>
      <c r="Q285"/>
    </row>
    <row r="286" spans="1:17" ht="14.4" hidden="1">
      <c r="A286" t="s">
        <v>510</v>
      </c>
      <c r="B286" t="s">
        <v>757</v>
      </c>
      <c r="C286" t="s">
        <v>758</v>
      </c>
      <c r="D286" s="2">
        <v>45608</v>
      </c>
      <c r="E286">
        <v>2</v>
      </c>
      <c r="F286" s="2">
        <v>45610</v>
      </c>
      <c r="G286" s="6">
        <v>1</v>
      </c>
      <c r="M286"/>
      <c r="O286"/>
      <c r="P286"/>
      <c r="Q286"/>
    </row>
    <row r="287" spans="1:17" ht="14.4" hidden="1">
      <c r="A287" t="s">
        <v>510</v>
      </c>
      <c r="B287" t="s">
        <v>759</v>
      </c>
      <c r="C287" t="s">
        <v>760</v>
      </c>
      <c r="D287" s="2">
        <v>45610</v>
      </c>
      <c r="E287">
        <v>5</v>
      </c>
      <c r="F287" s="2">
        <v>45617</v>
      </c>
      <c r="G287" s="6">
        <v>1</v>
      </c>
      <c r="M287"/>
      <c r="O287"/>
      <c r="P287"/>
      <c r="Q287"/>
    </row>
    <row r="288" spans="1:17" ht="14.4" hidden="1">
      <c r="A288" t="s">
        <v>510</v>
      </c>
      <c r="B288" t="s">
        <v>761</v>
      </c>
      <c r="C288" t="s">
        <v>762</v>
      </c>
      <c r="D288" s="2">
        <v>45624</v>
      </c>
      <c r="E288">
        <v>1</v>
      </c>
      <c r="F288" s="2">
        <v>45625</v>
      </c>
      <c r="G288" s="6">
        <v>1</v>
      </c>
      <c r="M288"/>
      <c r="O288"/>
      <c r="P288"/>
      <c r="Q288"/>
    </row>
    <row r="289" spans="1:17" ht="14.4" hidden="1">
      <c r="A289" t="s">
        <v>510</v>
      </c>
      <c r="B289">
        <v>4</v>
      </c>
      <c r="C289" t="s">
        <v>763</v>
      </c>
      <c r="D289" s="2">
        <v>45604</v>
      </c>
      <c r="E289">
        <v>11</v>
      </c>
      <c r="F289" s="2">
        <v>45615</v>
      </c>
      <c r="G289" s="6">
        <v>1</v>
      </c>
      <c r="M289"/>
      <c r="O289"/>
      <c r="P289"/>
      <c r="Q289"/>
    </row>
    <row r="290" spans="1:17" ht="14.4" hidden="1">
      <c r="A290" t="s">
        <v>510</v>
      </c>
      <c r="B290" t="s">
        <v>573</v>
      </c>
      <c r="C290" t="s">
        <v>764</v>
      </c>
      <c r="D290" s="2">
        <v>45604</v>
      </c>
      <c r="E290">
        <v>7</v>
      </c>
      <c r="F290" s="2">
        <v>45615</v>
      </c>
      <c r="G290" s="6">
        <v>1</v>
      </c>
      <c r="M290"/>
      <c r="O290"/>
      <c r="P290"/>
      <c r="Q290"/>
    </row>
    <row r="291" spans="1:17" ht="14.4" hidden="1">
      <c r="A291" t="s">
        <v>510</v>
      </c>
      <c r="B291" t="s">
        <v>575</v>
      </c>
      <c r="C291" t="s">
        <v>765</v>
      </c>
      <c r="D291" s="2">
        <v>45604</v>
      </c>
      <c r="E291">
        <v>7</v>
      </c>
      <c r="F291" s="2">
        <v>45615</v>
      </c>
      <c r="G291" s="6">
        <v>1</v>
      </c>
      <c r="M291"/>
      <c r="O291"/>
      <c r="P291"/>
      <c r="Q291"/>
    </row>
    <row r="292" spans="1:17" ht="14.4" hidden="1">
      <c r="A292" t="s">
        <v>510</v>
      </c>
      <c r="B292" t="s">
        <v>577</v>
      </c>
      <c r="C292" t="s">
        <v>766</v>
      </c>
      <c r="D292" s="2">
        <v>45608</v>
      </c>
      <c r="E292">
        <v>1</v>
      </c>
      <c r="F292" s="2">
        <v>45609</v>
      </c>
      <c r="G292" s="6">
        <v>1</v>
      </c>
      <c r="M292"/>
      <c r="O292"/>
      <c r="P292"/>
      <c r="Q292"/>
    </row>
    <row r="293" spans="1:17" ht="14.4" hidden="1">
      <c r="A293" t="s">
        <v>510</v>
      </c>
      <c r="B293" t="s">
        <v>579</v>
      </c>
      <c r="C293" t="s">
        <v>767</v>
      </c>
      <c r="D293" s="2">
        <v>45604</v>
      </c>
      <c r="E293">
        <v>7</v>
      </c>
      <c r="F293" s="2">
        <v>45615</v>
      </c>
      <c r="G293" s="6">
        <v>1</v>
      </c>
      <c r="M293"/>
      <c r="O293"/>
      <c r="P293"/>
      <c r="Q293"/>
    </row>
    <row r="294" spans="1:17" ht="14.4" hidden="1">
      <c r="A294" t="s">
        <v>510</v>
      </c>
      <c r="B294" t="s">
        <v>615</v>
      </c>
      <c r="C294" t="s">
        <v>768</v>
      </c>
      <c r="D294" s="2">
        <v>45604</v>
      </c>
      <c r="E294">
        <v>3</v>
      </c>
      <c r="F294" s="2">
        <v>45609</v>
      </c>
      <c r="G294" s="6">
        <v>1</v>
      </c>
      <c r="M294"/>
      <c r="O294"/>
      <c r="P294"/>
      <c r="Q294"/>
    </row>
    <row r="295" spans="1:17" ht="14.4" hidden="1">
      <c r="A295" t="s">
        <v>510</v>
      </c>
      <c r="B295" t="s">
        <v>627</v>
      </c>
      <c r="C295" t="s">
        <v>769</v>
      </c>
      <c r="D295" s="2">
        <v>45635</v>
      </c>
      <c r="E295">
        <v>1</v>
      </c>
      <c r="F295" s="2">
        <v>45636</v>
      </c>
      <c r="G295" s="6">
        <v>1</v>
      </c>
      <c r="M295"/>
      <c r="O295"/>
      <c r="P295"/>
      <c r="Q295"/>
    </row>
    <row r="296" spans="1:17" ht="14.4" hidden="1">
      <c r="A296" t="s">
        <v>510</v>
      </c>
      <c r="B296">
        <v>5</v>
      </c>
      <c r="C296" t="s">
        <v>770</v>
      </c>
      <c r="D296" s="2">
        <v>45635</v>
      </c>
      <c r="E296">
        <v>102</v>
      </c>
      <c r="F296" s="2">
        <v>45737</v>
      </c>
      <c r="G296" s="6">
        <v>1</v>
      </c>
      <c r="M296"/>
      <c r="O296"/>
      <c r="P296"/>
      <c r="Q296"/>
    </row>
    <row r="297" spans="1:17" ht="14.4" hidden="1">
      <c r="A297" t="s">
        <v>510</v>
      </c>
      <c r="B297" t="s">
        <v>582</v>
      </c>
      <c r="C297" t="s">
        <v>771</v>
      </c>
      <c r="D297" s="2">
        <v>45677</v>
      </c>
      <c r="E297">
        <v>5</v>
      </c>
      <c r="F297" s="2">
        <v>45684</v>
      </c>
      <c r="G297" s="6">
        <v>1</v>
      </c>
      <c r="M297"/>
      <c r="O297"/>
      <c r="P297"/>
      <c r="Q297"/>
    </row>
    <row r="298" spans="1:17" ht="14.4" hidden="1">
      <c r="A298" t="s">
        <v>510</v>
      </c>
      <c r="B298" t="s">
        <v>772</v>
      </c>
      <c r="C298" t="s">
        <v>773</v>
      </c>
      <c r="D298" s="2">
        <v>45698</v>
      </c>
      <c r="E298">
        <v>24</v>
      </c>
      <c r="F298" s="2">
        <v>45730</v>
      </c>
      <c r="G298" s="6">
        <v>1</v>
      </c>
      <c r="M298"/>
      <c r="O298"/>
      <c r="P298"/>
      <c r="Q298"/>
    </row>
    <row r="299" spans="1:17" ht="14.4" hidden="1">
      <c r="A299" t="s">
        <v>510</v>
      </c>
      <c r="B299" t="s">
        <v>584</v>
      </c>
      <c r="C299" t="s">
        <v>774</v>
      </c>
      <c r="D299" s="2">
        <v>45730</v>
      </c>
      <c r="E299">
        <v>3</v>
      </c>
      <c r="F299" s="2">
        <v>45735</v>
      </c>
      <c r="G299" s="6">
        <v>1</v>
      </c>
      <c r="M299"/>
      <c r="O299"/>
      <c r="P299"/>
      <c r="Q299"/>
    </row>
    <row r="300" spans="1:17" ht="14.4" hidden="1">
      <c r="A300" t="s">
        <v>510</v>
      </c>
      <c r="B300" t="s">
        <v>647</v>
      </c>
      <c r="C300" t="s">
        <v>775</v>
      </c>
      <c r="D300" s="2">
        <v>45635</v>
      </c>
      <c r="E300">
        <v>1</v>
      </c>
      <c r="F300" s="2">
        <v>45636</v>
      </c>
      <c r="G300" s="6">
        <v>1</v>
      </c>
      <c r="M300"/>
      <c r="O300"/>
      <c r="P300"/>
      <c r="Q300"/>
    </row>
    <row r="301" spans="1:17" ht="14.4" hidden="1">
      <c r="A301" t="s">
        <v>510</v>
      </c>
      <c r="B301" t="s">
        <v>649</v>
      </c>
      <c r="C301" t="s">
        <v>776</v>
      </c>
      <c r="D301" s="2">
        <v>45698</v>
      </c>
      <c r="E301">
        <v>5</v>
      </c>
      <c r="F301" s="2">
        <v>45705</v>
      </c>
      <c r="G301" s="6">
        <v>1</v>
      </c>
      <c r="M301"/>
      <c r="O301"/>
      <c r="P301"/>
      <c r="Q301"/>
    </row>
    <row r="302" spans="1:17" ht="14.4" hidden="1">
      <c r="A302" t="s">
        <v>510</v>
      </c>
      <c r="B302" t="s">
        <v>651</v>
      </c>
      <c r="C302" t="s">
        <v>777</v>
      </c>
      <c r="D302" s="2">
        <v>45705</v>
      </c>
      <c r="E302">
        <v>1</v>
      </c>
      <c r="F302" s="2">
        <v>45706</v>
      </c>
      <c r="G302" s="6">
        <v>1</v>
      </c>
      <c r="M302"/>
      <c r="O302"/>
      <c r="P302"/>
      <c r="Q302"/>
    </row>
    <row r="303" spans="1:17" ht="14.4" hidden="1">
      <c r="A303" t="s">
        <v>510</v>
      </c>
      <c r="B303" t="s">
        <v>653</v>
      </c>
      <c r="C303" t="s">
        <v>778</v>
      </c>
      <c r="D303" s="2">
        <v>45635</v>
      </c>
      <c r="E303">
        <v>5</v>
      </c>
      <c r="F303" s="2">
        <v>45643</v>
      </c>
      <c r="G303" s="6">
        <v>1</v>
      </c>
      <c r="M303"/>
      <c r="O303"/>
      <c r="P303"/>
      <c r="Q303"/>
    </row>
    <row r="304" spans="1:17" ht="14.4" hidden="1">
      <c r="A304" t="s">
        <v>510</v>
      </c>
      <c r="B304" t="s">
        <v>779</v>
      </c>
      <c r="C304" t="s">
        <v>780</v>
      </c>
      <c r="D304" s="2">
        <v>45730</v>
      </c>
      <c r="E304">
        <v>5</v>
      </c>
      <c r="F304" s="2">
        <v>45737</v>
      </c>
      <c r="G304" s="6">
        <v>1</v>
      </c>
      <c r="M304"/>
      <c r="O304"/>
      <c r="P304"/>
      <c r="Q304"/>
    </row>
    <row r="305" spans="1:17" ht="14.4" hidden="1">
      <c r="A305" t="s">
        <v>510</v>
      </c>
      <c r="B305" t="s">
        <v>781</v>
      </c>
      <c r="C305" t="s">
        <v>782</v>
      </c>
      <c r="D305" s="2">
        <v>45730</v>
      </c>
      <c r="E305">
        <v>5</v>
      </c>
      <c r="F305" s="2">
        <v>45737</v>
      </c>
      <c r="G305" s="6">
        <v>1</v>
      </c>
      <c r="M305"/>
      <c r="O305"/>
      <c r="P305"/>
      <c r="Q305"/>
    </row>
    <row r="306" spans="1:17" ht="14.4" hidden="1">
      <c r="A306" t="s">
        <v>510</v>
      </c>
      <c r="B306" t="s">
        <v>783</v>
      </c>
      <c r="C306" t="s">
        <v>784</v>
      </c>
      <c r="D306" s="2">
        <v>45636</v>
      </c>
      <c r="E306">
        <v>0</v>
      </c>
      <c r="F306" s="2">
        <v>45636</v>
      </c>
      <c r="G306" s="6">
        <v>1</v>
      </c>
      <c r="M306"/>
      <c r="O306"/>
      <c r="P306"/>
      <c r="Q306"/>
    </row>
    <row r="307" spans="1:17" ht="14.4" hidden="1">
      <c r="A307" t="s">
        <v>510</v>
      </c>
      <c r="B307" t="s">
        <v>785</v>
      </c>
      <c r="C307" t="s">
        <v>786</v>
      </c>
      <c r="D307" s="2">
        <v>45639</v>
      </c>
      <c r="E307">
        <v>3</v>
      </c>
      <c r="F307" s="2">
        <v>45645</v>
      </c>
      <c r="G307" s="6">
        <v>1</v>
      </c>
      <c r="M307"/>
      <c r="O307"/>
      <c r="P307"/>
      <c r="Q307"/>
    </row>
    <row r="308" spans="1:17" ht="14.4" hidden="1">
      <c r="A308" t="s">
        <v>510</v>
      </c>
      <c r="B308">
        <v>6</v>
      </c>
      <c r="C308" t="s">
        <v>787</v>
      </c>
      <c r="E308"/>
      <c r="G308" s="6">
        <v>0.375</v>
      </c>
      <c r="M308"/>
      <c r="O308"/>
      <c r="P308"/>
      <c r="Q308"/>
    </row>
    <row r="309" spans="1:17" ht="14.4" hidden="1">
      <c r="A309" t="s">
        <v>510</v>
      </c>
      <c r="B309">
        <v>1</v>
      </c>
      <c r="C309" t="s">
        <v>547</v>
      </c>
      <c r="D309" s="2">
        <v>45467</v>
      </c>
      <c r="E309">
        <v>17</v>
      </c>
      <c r="F309" s="2">
        <v>45484</v>
      </c>
      <c r="G309" s="6">
        <v>1</v>
      </c>
      <c r="H309" s="6">
        <v>17</v>
      </c>
      <c r="M309"/>
      <c r="O309"/>
      <c r="P309"/>
      <c r="Q309"/>
    </row>
    <row r="310" spans="1:17" ht="14.4" hidden="1">
      <c r="A310" t="s">
        <v>510</v>
      </c>
      <c r="B310" t="s">
        <v>548</v>
      </c>
      <c r="C310" t="s">
        <v>549</v>
      </c>
      <c r="D310" s="2">
        <v>45467</v>
      </c>
      <c r="E310">
        <v>1</v>
      </c>
      <c r="F310" s="2">
        <v>45468</v>
      </c>
      <c r="G310" s="6">
        <v>1</v>
      </c>
      <c r="M310"/>
      <c r="O310"/>
      <c r="P310"/>
      <c r="Q310"/>
    </row>
    <row r="311" spans="1:17" ht="14.4" hidden="1">
      <c r="A311" t="s">
        <v>510</v>
      </c>
      <c r="B311" t="s">
        <v>550</v>
      </c>
      <c r="C311" t="s">
        <v>551</v>
      </c>
      <c r="D311" s="2">
        <v>45468</v>
      </c>
      <c r="E311">
        <v>1</v>
      </c>
      <c r="F311" s="2">
        <v>45469</v>
      </c>
      <c r="G311" s="6">
        <v>1</v>
      </c>
      <c r="M311"/>
      <c r="O311"/>
      <c r="P311"/>
      <c r="Q311"/>
    </row>
    <row r="312" spans="1:17" ht="14.4" hidden="1">
      <c r="A312" t="s">
        <v>510</v>
      </c>
      <c r="B312" t="s">
        <v>552</v>
      </c>
      <c r="C312" t="s">
        <v>553</v>
      </c>
      <c r="D312" s="2">
        <v>45469</v>
      </c>
      <c r="E312">
        <v>10</v>
      </c>
      <c r="F312" s="2">
        <v>45479</v>
      </c>
      <c r="G312" s="6">
        <v>1</v>
      </c>
      <c r="M312"/>
      <c r="O312"/>
      <c r="P312"/>
      <c r="Q312"/>
    </row>
    <row r="313" spans="1:17" ht="14.4" hidden="1">
      <c r="A313" t="s">
        <v>510</v>
      </c>
      <c r="B313" t="s">
        <v>554</v>
      </c>
      <c r="C313" t="s">
        <v>555</v>
      </c>
      <c r="D313" s="2">
        <v>45479</v>
      </c>
      <c r="E313">
        <v>1</v>
      </c>
      <c r="F313" s="2">
        <v>45481</v>
      </c>
      <c r="G313" s="6">
        <v>1</v>
      </c>
      <c r="M313"/>
      <c r="O313"/>
      <c r="P313"/>
      <c r="Q313"/>
    </row>
    <row r="314" spans="1:17" ht="14.4" hidden="1">
      <c r="A314" t="s">
        <v>510</v>
      </c>
      <c r="B314" t="s">
        <v>556</v>
      </c>
      <c r="C314" t="s">
        <v>557</v>
      </c>
      <c r="D314" s="2">
        <v>45481</v>
      </c>
      <c r="E314">
        <v>3</v>
      </c>
      <c r="F314" s="2">
        <v>45484</v>
      </c>
      <c r="G314" s="6">
        <v>1</v>
      </c>
      <c r="M314"/>
      <c r="O314"/>
      <c r="P314"/>
      <c r="Q314"/>
    </row>
    <row r="315" spans="1:17" ht="14.4" hidden="1">
      <c r="A315" t="s">
        <v>510</v>
      </c>
      <c r="B315">
        <v>2</v>
      </c>
      <c r="C315" t="s">
        <v>558</v>
      </c>
      <c r="D315" s="2">
        <v>45503</v>
      </c>
      <c r="E315">
        <v>1</v>
      </c>
      <c r="F315" s="2">
        <v>45504</v>
      </c>
      <c r="G315" s="6">
        <v>1</v>
      </c>
      <c r="H315" s="6">
        <v>1</v>
      </c>
      <c r="M315"/>
      <c r="O315"/>
      <c r="P315"/>
      <c r="Q315"/>
    </row>
    <row r="316" spans="1:17" ht="14.4" hidden="1">
      <c r="A316" t="s">
        <v>510</v>
      </c>
      <c r="B316" t="s">
        <v>559</v>
      </c>
      <c r="C316" t="s">
        <v>788</v>
      </c>
      <c r="D316" s="2">
        <v>45503</v>
      </c>
      <c r="E316">
        <v>1</v>
      </c>
      <c r="F316" s="2">
        <v>45504</v>
      </c>
      <c r="G316" s="6">
        <v>1</v>
      </c>
      <c r="M316"/>
      <c r="O316"/>
      <c r="P316"/>
      <c r="Q316"/>
    </row>
    <row r="317" spans="1:17" ht="14.4" hidden="1">
      <c r="A317" t="s">
        <v>510</v>
      </c>
      <c r="B317">
        <v>3</v>
      </c>
      <c r="C317" t="s">
        <v>561</v>
      </c>
      <c r="D317" s="2">
        <v>45503</v>
      </c>
      <c r="E317">
        <v>105</v>
      </c>
      <c r="F317" s="2">
        <v>45608</v>
      </c>
      <c r="G317" s="6">
        <v>1</v>
      </c>
      <c r="H317" s="6">
        <v>105</v>
      </c>
      <c r="M317"/>
      <c r="O317"/>
      <c r="P317"/>
      <c r="Q317"/>
    </row>
    <row r="318" spans="1:17" ht="14.4" hidden="1">
      <c r="A318" t="s">
        <v>510</v>
      </c>
      <c r="B318" t="s">
        <v>562</v>
      </c>
      <c r="C318" t="s">
        <v>563</v>
      </c>
      <c r="D318" s="2">
        <v>45503</v>
      </c>
      <c r="E318">
        <v>2</v>
      </c>
      <c r="F318" s="2">
        <v>45505</v>
      </c>
      <c r="G318" s="6">
        <v>1</v>
      </c>
      <c r="M318"/>
      <c r="O318"/>
      <c r="P318"/>
      <c r="Q318"/>
    </row>
    <row r="319" spans="1:17" ht="14.4" hidden="1">
      <c r="A319" t="s">
        <v>510</v>
      </c>
      <c r="B319" t="s">
        <v>564</v>
      </c>
      <c r="C319" t="s">
        <v>789</v>
      </c>
      <c r="D319" s="2">
        <v>45574</v>
      </c>
      <c r="E319">
        <v>16</v>
      </c>
      <c r="F319" s="2">
        <v>45596</v>
      </c>
      <c r="G319" s="6">
        <v>1</v>
      </c>
      <c r="M319"/>
      <c r="O319"/>
      <c r="P319"/>
      <c r="Q319"/>
    </row>
    <row r="320" spans="1:17" ht="14.4" hidden="1">
      <c r="A320" t="s">
        <v>510</v>
      </c>
      <c r="B320" t="s">
        <v>566</v>
      </c>
      <c r="C320" t="s">
        <v>790</v>
      </c>
      <c r="D320" s="2">
        <v>45579</v>
      </c>
      <c r="E320">
        <v>5</v>
      </c>
      <c r="F320" s="2">
        <v>45586</v>
      </c>
      <c r="G320" s="6">
        <v>1</v>
      </c>
      <c r="M320"/>
      <c r="O320"/>
      <c r="P320"/>
      <c r="Q320"/>
    </row>
    <row r="321" spans="1:17" ht="14.4" hidden="1">
      <c r="A321" t="s">
        <v>510</v>
      </c>
      <c r="B321" t="s">
        <v>568</v>
      </c>
      <c r="C321" t="s">
        <v>791</v>
      </c>
      <c r="D321" s="2">
        <v>45597</v>
      </c>
      <c r="E321">
        <v>4</v>
      </c>
      <c r="F321" s="2">
        <v>45603</v>
      </c>
      <c r="G321" s="6">
        <v>1</v>
      </c>
      <c r="M321"/>
      <c r="O321"/>
      <c r="P321"/>
      <c r="Q321"/>
    </row>
    <row r="322" spans="1:17" ht="14.4" hidden="1">
      <c r="A322" t="s">
        <v>510</v>
      </c>
      <c r="B322" t="s">
        <v>570</v>
      </c>
      <c r="C322" t="s">
        <v>792</v>
      </c>
      <c r="D322" s="2">
        <v>45579</v>
      </c>
      <c r="E322">
        <v>5</v>
      </c>
      <c r="F322" s="2">
        <v>45586</v>
      </c>
      <c r="G322" s="6">
        <v>1</v>
      </c>
      <c r="M322"/>
      <c r="O322"/>
      <c r="P322"/>
      <c r="Q322"/>
    </row>
    <row r="323" spans="1:17" ht="14.4" hidden="1">
      <c r="A323" t="s">
        <v>510</v>
      </c>
      <c r="B323" t="s">
        <v>619</v>
      </c>
      <c r="C323" t="s">
        <v>793</v>
      </c>
      <c r="D323" s="2">
        <v>45503</v>
      </c>
      <c r="E323">
        <v>30</v>
      </c>
      <c r="F323" s="2">
        <v>45546</v>
      </c>
      <c r="G323" s="6">
        <v>1</v>
      </c>
      <c r="M323"/>
      <c r="O323"/>
      <c r="P323"/>
      <c r="Q323"/>
    </row>
    <row r="324" spans="1:17" ht="14.4" hidden="1">
      <c r="A324" t="s">
        <v>510</v>
      </c>
      <c r="B324" t="s">
        <v>621</v>
      </c>
      <c r="C324" t="s">
        <v>794</v>
      </c>
      <c r="D324" s="2">
        <v>45503</v>
      </c>
      <c r="E324">
        <v>30</v>
      </c>
      <c r="F324" s="2">
        <v>45546</v>
      </c>
      <c r="G324" s="6">
        <v>1</v>
      </c>
      <c r="M324"/>
      <c r="O324"/>
      <c r="P324"/>
      <c r="Q324"/>
    </row>
    <row r="325" spans="1:17" ht="14.4" hidden="1">
      <c r="A325" t="s">
        <v>510</v>
      </c>
      <c r="B325" t="s">
        <v>705</v>
      </c>
      <c r="C325" t="s">
        <v>795</v>
      </c>
      <c r="D325" s="2">
        <v>45602</v>
      </c>
      <c r="E325">
        <v>2</v>
      </c>
      <c r="F325" s="2">
        <v>45604</v>
      </c>
      <c r="G325" s="6">
        <v>1</v>
      </c>
      <c r="M325"/>
      <c r="O325"/>
      <c r="P325"/>
      <c r="Q325"/>
    </row>
    <row r="326" spans="1:17" ht="14.4" hidden="1">
      <c r="A326" t="s">
        <v>510</v>
      </c>
      <c r="B326" t="s">
        <v>707</v>
      </c>
      <c r="C326" t="s">
        <v>796</v>
      </c>
      <c r="D326" s="2">
        <v>45602</v>
      </c>
      <c r="E326">
        <v>2</v>
      </c>
      <c r="F326" s="2">
        <v>45604</v>
      </c>
      <c r="G326" s="6">
        <v>1</v>
      </c>
      <c r="M326"/>
      <c r="O326"/>
      <c r="P326"/>
      <c r="Q326"/>
    </row>
    <row r="327" spans="1:17" ht="14.4" hidden="1">
      <c r="A327" t="s">
        <v>510</v>
      </c>
      <c r="B327" t="s">
        <v>709</v>
      </c>
      <c r="C327" t="s">
        <v>797</v>
      </c>
      <c r="D327" s="2">
        <v>45604</v>
      </c>
      <c r="E327">
        <v>1</v>
      </c>
      <c r="F327" s="2">
        <v>45607</v>
      </c>
      <c r="G327" s="6">
        <v>1</v>
      </c>
      <c r="M327"/>
      <c r="O327"/>
      <c r="P327"/>
      <c r="Q327"/>
    </row>
    <row r="328" spans="1:17" ht="14.4" hidden="1">
      <c r="A328" t="s">
        <v>510</v>
      </c>
      <c r="B328" t="s">
        <v>711</v>
      </c>
      <c r="C328" t="s">
        <v>798</v>
      </c>
      <c r="D328" s="2">
        <v>45604</v>
      </c>
      <c r="E328">
        <v>1</v>
      </c>
      <c r="F328" s="2">
        <v>45607</v>
      </c>
      <c r="G328" s="6">
        <v>1</v>
      </c>
      <c r="M328"/>
      <c r="O328"/>
      <c r="P328"/>
      <c r="Q328"/>
    </row>
    <row r="329" spans="1:17" ht="14.4" hidden="1">
      <c r="A329" t="s">
        <v>510</v>
      </c>
      <c r="B329" t="s">
        <v>713</v>
      </c>
      <c r="C329" t="s">
        <v>799</v>
      </c>
      <c r="D329" s="2">
        <v>45604</v>
      </c>
      <c r="E329">
        <v>1</v>
      </c>
      <c r="F329" s="2">
        <v>45607</v>
      </c>
      <c r="G329" s="6">
        <v>1</v>
      </c>
      <c r="M329"/>
      <c r="O329"/>
      <c r="P329"/>
      <c r="Q329"/>
    </row>
    <row r="330" spans="1:17" ht="14.4" hidden="1">
      <c r="A330" t="s">
        <v>510</v>
      </c>
      <c r="B330" t="s">
        <v>715</v>
      </c>
      <c r="C330" t="s">
        <v>800</v>
      </c>
      <c r="D330" s="2">
        <v>45604</v>
      </c>
      <c r="E330">
        <v>2</v>
      </c>
      <c r="F330" s="2">
        <v>45608</v>
      </c>
      <c r="G330" s="6">
        <v>1</v>
      </c>
      <c r="M330"/>
      <c r="O330"/>
      <c r="P330"/>
      <c r="Q330"/>
    </row>
    <row r="331" spans="1:17" ht="14.4" hidden="1">
      <c r="A331" t="s">
        <v>510</v>
      </c>
      <c r="B331" t="s">
        <v>717</v>
      </c>
      <c r="C331" t="s">
        <v>801</v>
      </c>
      <c r="D331" s="2">
        <v>45606</v>
      </c>
      <c r="E331">
        <v>2</v>
      </c>
      <c r="F331" s="2">
        <v>45608</v>
      </c>
      <c r="G331" s="6">
        <v>1</v>
      </c>
      <c r="M331"/>
      <c r="O331"/>
      <c r="P331"/>
      <c r="Q331"/>
    </row>
    <row r="332" spans="1:17" ht="14.4" hidden="1">
      <c r="A332" t="s">
        <v>510</v>
      </c>
      <c r="B332">
        <v>4</v>
      </c>
      <c r="C332" t="s">
        <v>572</v>
      </c>
      <c r="D332" s="2">
        <v>45503</v>
      </c>
      <c r="E332">
        <v>99</v>
      </c>
      <c r="F332" s="2">
        <v>45602</v>
      </c>
      <c r="G332" s="6">
        <v>1</v>
      </c>
      <c r="H332" s="6">
        <v>99</v>
      </c>
      <c r="M332"/>
      <c r="O332"/>
      <c r="P332"/>
      <c r="Q332"/>
    </row>
    <row r="333" spans="1:17" ht="14.4" hidden="1">
      <c r="A333" t="s">
        <v>510</v>
      </c>
      <c r="B333" t="s">
        <v>573</v>
      </c>
      <c r="C333" t="s">
        <v>640</v>
      </c>
      <c r="D333" s="2">
        <v>45503</v>
      </c>
      <c r="E333">
        <v>5</v>
      </c>
      <c r="F333" s="2">
        <v>45510</v>
      </c>
      <c r="G333" s="6">
        <v>1</v>
      </c>
      <c r="M333"/>
      <c r="O333"/>
      <c r="P333"/>
      <c r="Q333"/>
    </row>
    <row r="334" spans="1:17" ht="14.4" hidden="1">
      <c r="A334" t="s">
        <v>510</v>
      </c>
      <c r="B334" t="s">
        <v>573</v>
      </c>
      <c r="C334" t="s">
        <v>574</v>
      </c>
      <c r="D334" s="2">
        <v>45503</v>
      </c>
      <c r="E334">
        <v>1</v>
      </c>
      <c r="F334" s="2">
        <v>45504</v>
      </c>
      <c r="G334" s="6">
        <v>1</v>
      </c>
      <c r="M334"/>
      <c r="O334"/>
      <c r="P334"/>
      <c r="Q334"/>
    </row>
    <row r="335" spans="1:17" ht="14.4" hidden="1">
      <c r="A335" t="s">
        <v>510</v>
      </c>
      <c r="B335" t="s">
        <v>575</v>
      </c>
      <c r="C335" t="s">
        <v>576</v>
      </c>
      <c r="D335" s="2">
        <v>45504</v>
      </c>
      <c r="E335">
        <v>20</v>
      </c>
      <c r="F335" s="2">
        <v>45533</v>
      </c>
      <c r="G335" s="6">
        <v>1</v>
      </c>
      <c r="M335"/>
      <c r="O335"/>
      <c r="P335"/>
      <c r="Q335"/>
    </row>
    <row r="336" spans="1:17" ht="14.4" hidden="1">
      <c r="A336" t="s">
        <v>510</v>
      </c>
      <c r="B336" t="s">
        <v>577</v>
      </c>
      <c r="C336" t="s">
        <v>578</v>
      </c>
      <c r="D336" s="2">
        <v>45523</v>
      </c>
      <c r="E336">
        <v>1</v>
      </c>
      <c r="F336" s="2">
        <v>45524</v>
      </c>
      <c r="G336" s="6">
        <v>1</v>
      </c>
      <c r="M336"/>
      <c r="O336"/>
      <c r="P336"/>
      <c r="Q336"/>
    </row>
    <row r="337" spans="1:17" ht="14.4" hidden="1">
      <c r="A337" t="s">
        <v>510</v>
      </c>
      <c r="B337" t="s">
        <v>577</v>
      </c>
      <c r="C337" t="s">
        <v>580</v>
      </c>
      <c r="D337" s="2">
        <v>45596</v>
      </c>
      <c r="E337">
        <v>4</v>
      </c>
      <c r="F337" s="2">
        <v>45602</v>
      </c>
      <c r="G337" s="6">
        <v>1</v>
      </c>
      <c r="M337"/>
      <c r="O337"/>
      <c r="P337"/>
      <c r="Q337"/>
    </row>
    <row r="338" spans="1:17" ht="14.4" hidden="1">
      <c r="A338" t="s">
        <v>510</v>
      </c>
      <c r="B338">
        <v>5</v>
      </c>
      <c r="C338" t="s">
        <v>581</v>
      </c>
      <c r="D338" s="2">
        <v>45523</v>
      </c>
      <c r="E338">
        <v>44</v>
      </c>
      <c r="F338" s="2">
        <v>45567</v>
      </c>
      <c r="G338" s="6">
        <v>1</v>
      </c>
      <c r="H338" s="6">
        <v>44</v>
      </c>
      <c r="M338"/>
      <c r="O338"/>
      <c r="P338"/>
      <c r="Q338"/>
    </row>
    <row r="339" spans="1:17" ht="14.4" hidden="1">
      <c r="A339" t="s">
        <v>510</v>
      </c>
      <c r="B339" t="s">
        <v>582</v>
      </c>
      <c r="C339" t="s">
        <v>583</v>
      </c>
      <c r="D339" s="2">
        <v>45523</v>
      </c>
      <c r="E339">
        <v>1</v>
      </c>
      <c r="F339" s="2">
        <v>45524</v>
      </c>
      <c r="G339" s="6">
        <v>1</v>
      </c>
      <c r="M339"/>
      <c r="O339"/>
      <c r="P339"/>
      <c r="Q339"/>
    </row>
    <row r="340" spans="1:17" ht="14.4" hidden="1">
      <c r="A340" t="s">
        <v>510</v>
      </c>
      <c r="B340" t="s">
        <v>584</v>
      </c>
      <c r="C340" t="s">
        <v>585</v>
      </c>
      <c r="D340" s="2">
        <v>45547</v>
      </c>
      <c r="E340">
        <v>20</v>
      </c>
      <c r="F340" s="2">
        <v>45567</v>
      </c>
      <c r="G340" s="6">
        <v>1</v>
      </c>
      <c r="M340"/>
      <c r="O340"/>
      <c r="P340"/>
      <c r="Q340"/>
    </row>
    <row r="341" spans="1:17" ht="14.4" hidden="1">
      <c r="A341" t="s">
        <v>510</v>
      </c>
      <c r="B341">
        <v>6</v>
      </c>
      <c r="C341" t="s">
        <v>240</v>
      </c>
      <c r="D341" s="2">
        <v>45604</v>
      </c>
      <c r="E341">
        <v>11</v>
      </c>
      <c r="F341" s="2">
        <v>45615</v>
      </c>
      <c r="G341" s="6">
        <v>1</v>
      </c>
      <c r="H341" s="6">
        <v>11</v>
      </c>
      <c r="M341"/>
      <c r="O341"/>
      <c r="P341"/>
      <c r="Q341"/>
    </row>
    <row r="342" spans="1:17" ht="14.4" hidden="1">
      <c r="A342" t="s">
        <v>510</v>
      </c>
      <c r="B342" t="s">
        <v>586</v>
      </c>
      <c r="C342" t="s">
        <v>240</v>
      </c>
      <c r="D342" s="2">
        <v>45604</v>
      </c>
      <c r="E342">
        <v>7</v>
      </c>
      <c r="F342" s="2">
        <v>45615</v>
      </c>
      <c r="G342" s="6">
        <v>1</v>
      </c>
      <c r="M342"/>
      <c r="O342"/>
      <c r="P342"/>
      <c r="Q342"/>
    </row>
    <row r="343" spans="1:17" ht="14.4" hidden="1">
      <c r="A343" t="s">
        <v>510</v>
      </c>
      <c r="B343" t="s">
        <v>587</v>
      </c>
      <c r="C343" t="s">
        <v>169</v>
      </c>
      <c r="D343" s="2">
        <v>45604</v>
      </c>
      <c r="E343">
        <v>5</v>
      </c>
      <c r="F343" s="2">
        <v>45611</v>
      </c>
      <c r="G343" s="6">
        <v>1</v>
      </c>
      <c r="M343"/>
      <c r="O343"/>
      <c r="P343"/>
      <c r="Q343"/>
    </row>
    <row r="344" spans="1:17" ht="14.4" hidden="1">
      <c r="A344" t="s">
        <v>510</v>
      </c>
      <c r="B344">
        <v>7</v>
      </c>
      <c r="C344" t="s">
        <v>588</v>
      </c>
      <c r="D344" s="2">
        <v>45635</v>
      </c>
      <c r="E344">
        <v>2</v>
      </c>
      <c r="F344" s="2">
        <v>45637</v>
      </c>
      <c r="G344" s="6">
        <v>1</v>
      </c>
      <c r="H344" s="6">
        <v>2</v>
      </c>
      <c r="M344"/>
      <c r="O344"/>
      <c r="P344"/>
      <c r="Q344"/>
    </row>
    <row r="345" spans="1:17" ht="14.4" hidden="1">
      <c r="A345" t="s">
        <v>510</v>
      </c>
      <c r="B345">
        <v>7.1</v>
      </c>
      <c r="C345" t="s">
        <v>589</v>
      </c>
      <c r="D345" s="2">
        <v>45635</v>
      </c>
      <c r="E345">
        <v>2</v>
      </c>
      <c r="F345" s="2">
        <v>45637</v>
      </c>
      <c r="G345" s="6">
        <v>1</v>
      </c>
      <c r="M345"/>
      <c r="O345"/>
      <c r="P345"/>
      <c r="Q345"/>
    </row>
    <row r="346" spans="1:17" ht="14.4" hidden="1">
      <c r="A346" t="s">
        <v>510</v>
      </c>
      <c r="B346">
        <v>8</v>
      </c>
      <c r="C346" t="s">
        <v>590</v>
      </c>
      <c r="D346" s="2">
        <v>45613</v>
      </c>
      <c r="E346">
        <v>54</v>
      </c>
      <c r="F346" s="2">
        <v>45667</v>
      </c>
      <c r="G346" s="6">
        <v>1</v>
      </c>
      <c r="H346" s="6">
        <v>54</v>
      </c>
      <c r="M346"/>
      <c r="O346"/>
      <c r="P346"/>
      <c r="Q346"/>
    </row>
    <row r="347" spans="1:17" ht="14.4" hidden="1">
      <c r="A347" t="s">
        <v>510</v>
      </c>
      <c r="B347">
        <v>8.1</v>
      </c>
      <c r="C347" t="s">
        <v>591</v>
      </c>
      <c r="D347" s="2">
        <v>45637</v>
      </c>
      <c r="E347">
        <v>2</v>
      </c>
      <c r="F347" s="2">
        <v>45639</v>
      </c>
      <c r="G347" s="6">
        <v>1</v>
      </c>
      <c r="M347"/>
      <c r="O347"/>
      <c r="P347"/>
      <c r="Q347"/>
    </row>
    <row r="348" spans="1:17" ht="14.4" hidden="1">
      <c r="A348" t="s">
        <v>510</v>
      </c>
      <c r="B348">
        <v>8.1999999999999993</v>
      </c>
      <c r="C348" t="s">
        <v>592</v>
      </c>
      <c r="D348" s="2">
        <v>45639</v>
      </c>
      <c r="E348">
        <v>10</v>
      </c>
      <c r="F348" s="2">
        <v>45658</v>
      </c>
      <c r="G348" s="6">
        <v>1</v>
      </c>
      <c r="M348"/>
      <c r="O348"/>
      <c r="P348"/>
      <c r="Q348"/>
    </row>
    <row r="349" spans="1:17" ht="14.4" hidden="1">
      <c r="A349" t="s">
        <v>510</v>
      </c>
      <c r="B349">
        <v>8.3000000000000007</v>
      </c>
      <c r="C349" t="s">
        <v>593</v>
      </c>
      <c r="D349" s="2">
        <v>45658</v>
      </c>
      <c r="E349">
        <v>5</v>
      </c>
      <c r="F349" s="2">
        <v>45665</v>
      </c>
      <c r="G349" s="6">
        <v>1</v>
      </c>
      <c r="M349"/>
      <c r="O349"/>
      <c r="P349"/>
      <c r="Q349"/>
    </row>
    <row r="350" spans="1:17" ht="14.4" hidden="1">
      <c r="A350" t="s">
        <v>510</v>
      </c>
      <c r="B350">
        <v>8.4</v>
      </c>
      <c r="C350" t="s">
        <v>594</v>
      </c>
      <c r="D350" s="2">
        <v>45658</v>
      </c>
      <c r="E350">
        <v>4</v>
      </c>
      <c r="F350" s="2">
        <v>45664</v>
      </c>
      <c r="G350" s="6">
        <v>1</v>
      </c>
      <c r="M350"/>
      <c r="O350"/>
      <c r="P350"/>
      <c r="Q350"/>
    </row>
    <row r="351" spans="1:17" ht="14.4" hidden="1">
      <c r="A351" t="s">
        <v>510</v>
      </c>
      <c r="B351">
        <v>8.5</v>
      </c>
      <c r="C351" t="s">
        <v>595</v>
      </c>
      <c r="D351" s="2">
        <v>45664</v>
      </c>
      <c r="E351">
        <v>3</v>
      </c>
      <c r="F351" s="2">
        <v>45667</v>
      </c>
      <c r="G351" s="6">
        <v>1</v>
      </c>
      <c r="M351"/>
      <c r="O351"/>
      <c r="P351"/>
      <c r="Q351"/>
    </row>
    <row r="352" spans="1:17" ht="14.4" hidden="1">
      <c r="A352" t="s">
        <v>510</v>
      </c>
      <c r="B352">
        <v>8.6</v>
      </c>
      <c r="C352" t="s">
        <v>596</v>
      </c>
      <c r="D352" s="2">
        <v>45613</v>
      </c>
      <c r="E352">
        <v>5</v>
      </c>
      <c r="F352" s="2">
        <v>45618</v>
      </c>
      <c r="G352" s="6">
        <v>1</v>
      </c>
      <c r="M352"/>
      <c r="O352"/>
      <c r="P352"/>
      <c r="Q352"/>
    </row>
    <row r="353" spans="1:17" ht="14.4" hidden="1">
      <c r="A353" t="s">
        <v>175</v>
      </c>
      <c r="B353">
        <v>1</v>
      </c>
      <c r="C353" t="s">
        <v>802</v>
      </c>
      <c r="D353" s="2">
        <v>45744</v>
      </c>
      <c r="E353">
        <v>48</v>
      </c>
      <c r="F353" s="2">
        <v>45792</v>
      </c>
      <c r="G353" s="6">
        <v>1</v>
      </c>
      <c r="H353" s="6">
        <v>48</v>
      </c>
      <c r="M353"/>
      <c r="O353"/>
      <c r="P353"/>
      <c r="Q353"/>
    </row>
    <row r="354" spans="1:17" ht="14.4" hidden="1">
      <c r="A354" t="s">
        <v>175</v>
      </c>
      <c r="B354" t="s">
        <v>548</v>
      </c>
      <c r="C354" t="s">
        <v>803</v>
      </c>
      <c r="D354" s="2">
        <v>45744</v>
      </c>
      <c r="E354">
        <v>1</v>
      </c>
      <c r="F354" s="2">
        <v>45747</v>
      </c>
      <c r="G354" s="6">
        <v>1</v>
      </c>
      <c r="M354"/>
      <c r="O354"/>
      <c r="P354"/>
      <c r="Q354"/>
    </row>
    <row r="355" spans="1:17" ht="14.4" hidden="1">
      <c r="A355" t="s">
        <v>175</v>
      </c>
      <c r="B355" t="s">
        <v>550</v>
      </c>
      <c r="C355" t="s">
        <v>553</v>
      </c>
      <c r="D355" s="2">
        <v>45747</v>
      </c>
      <c r="E355">
        <v>2</v>
      </c>
      <c r="F355" s="2">
        <v>45749</v>
      </c>
      <c r="G355" s="6">
        <v>1</v>
      </c>
      <c r="M355"/>
      <c r="O355"/>
      <c r="P355"/>
      <c r="Q355"/>
    </row>
    <row r="356" spans="1:17" ht="14.4" hidden="1">
      <c r="A356" t="s">
        <v>175</v>
      </c>
      <c r="B356" t="s">
        <v>552</v>
      </c>
      <c r="C356" t="s">
        <v>804</v>
      </c>
      <c r="D356" s="2">
        <v>45744</v>
      </c>
      <c r="E356">
        <v>1</v>
      </c>
      <c r="F356" s="2">
        <v>45747</v>
      </c>
      <c r="G356" s="6">
        <v>1</v>
      </c>
      <c r="M356"/>
      <c r="O356"/>
      <c r="P356"/>
      <c r="Q356"/>
    </row>
    <row r="357" spans="1:17" ht="14.4" hidden="1">
      <c r="A357" t="s">
        <v>175</v>
      </c>
      <c r="B357" t="s">
        <v>554</v>
      </c>
      <c r="C357" t="s">
        <v>558</v>
      </c>
      <c r="D357" s="2">
        <v>45747</v>
      </c>
      <c r="E357">
        <v>1</v>
      </c>
      <c r="F357" s="2">
        <v>45748</v>
      </c>
      <c r="G357" s="6">
        <v>1</v>
      </c>
      <c r="M357"/>
      <c r="O357"/>
      <c r="P357"/>
      <c r="Q357"/>
    </row>
    <row r="358" spans="1:17" ht="14.4" hidden="1">
      <c r="A358" t="s">
        <v>175</v>
      </c>
      <c r="B358" t="s">
        <v>556</v>
      </c>
      <c r="C358" t="s">
        <v>805</v>
      </c>
      <c r="D358" s="2">
        <v>45748</v>
      </c>
      <c r="E358">
        <v>1</v>
      </c>
      <c r="F358" s="2">
        <v>45749</v>
      </c>
      <c r="G358" s="6">
        <v>1</v>
      </c>
      <c r="M358"/>
      <c r="O358"/>
      <c r="P358"/>
      <c r="Q358"/>
    </row>
    <row r="359" spans="1:17" ht="14.4" hidden="1">
      <c r="A359" t="s">
        <v>175</v>
      </c>
      <c r="B359" t="s">
        <v>606</v>
      </c>
      <c r="C359" t="s">
        <v>37</v>
      </c>
      <c r="D359" s="2">
        <v>45749</v>
      </c>
      <c r="E359">
        <v>10</v>
      </c>
      <c r="F359" s="2">
        <v>45763</v>
      </c>
      <c r="G359" s="6">
        <v>1</v>
      </c>
      <c r="M359"/>
      <c r="O359"/>
      <c r="P359"/>
      <c r="Q359"/>
    </row>
    <row r="360" spans="1:17" ht="14.4" hidden="1">
      <c r="A360" t="s">
        <v>175</v>
      </c>
      <c r="B360" t="s">
        <v>608</v>
      </c>
      <c r="C360" t="s">
        <v>806</v>
      </c>
      <c r="D360" s="2">
        <v>45763</v>
      </c>
      <c r="E360">
        <v>1</v>
      </c>
      <c r="F360" s="2">
        <v>45764</v>
      </c>
      <c r="G360" s="6">
        <v>1</v>
      </c>
      <c r="M360"/>
      <c r="O360"/>
      <c r="P360"/>
      <c r="Q360"/>
    </row>
    <row r="361" spans="1:17" ht="14.4" hidden="1">
      <c r="A361" t="s">
        <v>175</v>
      </c>
      <c r="B361" t="s">
        <v>610</v>
      </c>
      <c r="C361" t="s">
        <v>807</v>
      </c>
      <c r="D361" s="2">
        <v>45764</v>
      </c>
      <c r="E361">
        <v>5</v>
      </c>
      <c r="F361" s="2">
        <v>45775</v>
      </c>
      <c r="G361" s="6">
        <v>1</v>
      </c>
      <c r="M361"/>
      <c r="O361"/>
      <c r="P361"/>
      <c r="Q361"/>
    </row>
    <row r="362" spans="1:17" ht="14.4" hidden="1">
      <c r="A362" t="s">
        <v>175</v>
      </c>
      <c r="B362" t="s">
        <v>612</v>
      </c>
      <c r="C362" t="s">
        <v>808</v>
      </c>
      <c r="D362" s="2">
        <v>45764</v>
      </c>
      <c r="E362">
        <v>2</v>
      </c>
      <c r="F362" s="2">
        <v>45770</v>
      </c>
      <c r="G362" s="6">
        <v>1</v>
      </c>
      <c r="M362"/>
      <c r="O362"/>
      <c r="P362"/>
      <c r="Q362"/>
    </row>
    <row r="363" spans="1:17" ht="14.4" hidden="1">
      <c r="A363" t="s">
        <v>175</v>
      </c>
      <c r="B363" t="s">
        <v>665</v>
      </c>
      <c r="C363" t="s">
        <v>809</v>
      </c>
      <c r="D363" s="2">
        <v>45770</v>
      </c>
      <c r="E363">
        <v>3</v>
      </c>
      <c r="F363" s="2">
        <v>45775</v>
      </c>
      <c r="G363" s="6">
        <v>1</v>
      </c>
      <c r="M363"/>
      <c r="O363"/>
      <c r="P363"/>
      <c r="Q363"/>
    </row>
    <row r="364" spans="1:17" ht="14.4" hidden="1">
      <c r="A364" t="s">
        <v>175</v>
      </c>
      <c r="B364" t="s">
        <v>667</v>
      </c>
      <c r="C364" t="s">
        <v>810</v>
      </c>
      <c r="D364" s="2">
        <v>45775</v>
      </c>
      <c r="E364">
        <v>2</v>
      </c>
      <c r="F364" s="2">
        <v>45777</v>
      </c>
      <c r="G364" s="6">
        <v>1</v>
      </c>
      <c r="M364"/>
      <c r="O364"/>
      <c r="P364"/>
      <c r="Q364"/>
    </row>
    <row r="365" spans="1:17" ht="14.4" hidden="1">
      <c r="A365" t="s">
        <v>175</v>
      </c>
      <c r="B365" t="s">
        <v>811</v>
      </c>
      <c r="C365" t="s">
        <v>159</v>
      </c>
      <c r="D365" s="2">
        <v>45777</v>
      </c>
      <c r="E365">
        <v>5</v>
      </c>
      <c r="F365" s="2">
        <v>45785</v>
      </c>
      <c r="G365" s="6">
        <v>1</v>
      </c>
      <c r="M365"/>
      <c r="O365"/>
      <c r="P365"/>
      <c r="Q365"/>
    </row>
    <row r="366" spans="1:17" ht="14.4" hidden="1">
      <c r="A366" t="s">
        <v>175</v>
      </c>
      <c r="B366" t="s">
        <v>812</v>
      </c>
      <c r="C366" t="s">
        <v>813</v>
      </c>
      <c r="D366" s="2">
        <v>45785</v>
      </c>
      <c r="E366">
        <v>2</v>
      </c>
      <c r="F366" s="2">
        <v>45789</v>
      </c>
      <c r="G366" s="6">
        <v>1</v>
      </c>
      <c r="M366"/>
      <c r="O366"/>
      <c r="P366"/>
      <c r="Q366"/>
    </row>
    <row r="367" spans="1:17" ht="14.4" hidden="1">
      <c r="A367" t="s">
        <v>175</v>
      </c>
      <c r="B367" t="s">
        <v>814</v>
      </c>
      <c r="C367" t="s">
        <v>815</v>
      </c>
      <c r="D367" s="2">
        <v>45791</v>
      </c>
      <c r="E367">
        <v>1</v>
      </c>
      <c r="F367" s="2">
        <v>45792</v>
      </c>
      <c r="G367" s="6">
        <v>1</v>
      </c>
      <c r="M367"/>
      <c r="O367"/>
      <c r="P367"/>
      <c r="Q367"/>
    </row>
    <row r="368" spans="1:17" ht="14.4" hidden="1">
      <c r="A368" t="s">
        <v>178</v>
      </c>
      <c r="B368">
        <v>1</v>
      </c>
      <c r="C368" t="s">
        <v>802</v>
      </c>
      <c r="D368" s="2">
        <v>45785</v>
      </c>
      <c r="E368">
        <v>285</v>
      </c>
      <c r="F368" s="2">
        <v>46070</v>
      </c>
      <c r="G368" s="6">
        <v>0.92307692307692324</v>
      </c>
      <c r="H368" s="6">
        <v>0.94505494505494514</v>
      </c>
      <c r="M368"/>
      <c r="O368"/>
      <c r="P368"/>
      <c r="Q368"/>
    </row>
    <row r="369" spans="1:17" ht="14.4" hidden="1">
      <c r="A369" t="s">
        <v>178</v>
      </c>
      <c r="B369" t="s">
        <v>548</v>
      </c>
      <c r="C369" t="s">
        <v>803</v>
      </c>
      <c r="D369" s="2">
        <v>45785</v>
      </c>
      <c r="E369">
        <v>1</v>
      </c>
      <c r="F369" s="2">
        <v>45786</v>
      </c>
      <c r="G369" s="6">
        <v>1</v>
      </c>
      <c r="H369" s="6">
        <v>1</v>
      </c>
      <c r="M369"/>
      <c r="O369"/>
      <c r="P369"/>
      <c r="Q369"/>
    </row>
    <row r="370" spans="1:17" ht="14.4" hidden="1">
      <c r="A370" t="s">
        <v>178</v>
      </c>
      <c r="B370" t="s">
        <v>550</v>
      </c>
      <c r="C370" t="s">
        <v>553</v>
      </c>
      <c r="D370" s="2">
        <v>45786</v>
      </c>
      <c r="E370">
        <v>24</v>
      </c>
      <c r="F370" s="2">
        <v>45820</v>
      </c>
      <c r="G370" s="6">
        <v>1</v>
      </c>
      <c r="H370" s="6">
        <v>1</v>
      </c>
      <c r="M370"/>
      <c r="O370"/>
      <c r="P370"/>
      <c r="Q370"/>
    </row>
    <row r="371" spans="1:17" ht="14.4" hidden="1">
      <c r="A371" t="s">
        <v>178</v>
      </c>
      <c r="B371" t="s">
        <v>552</v>
      </c>
      <c r="C371" t="s">
        <v>804</v>
      </c>
      <c r="D371" s="2">
        <v>45820</v>
      </c>
      <c r="E371">
        <v>1</v>
      </c>
      <c r="F371" s="2">
        <v>45821</v>
      </c>
      <c r="G371" s="6">
        <v>1</v>
      </c>
      <c r="H371" s="6">
        <v>1</v>
      </c>
      <c r="M371"/>
      <c r="O371"/>
      <c r="P371"/>
      <c r="Q371"/>
    </row>
    <row r="372" spans="1:17" ht="14.4" hidden="1">
      <c r="A372" t="s">
        <v>178</v>
      </c>
      <c r="B372" t="s">
        <v>554</v>
      </c>
      <c r="C372" t="s">
        <v>558</v>
      </c>
      <c r="D372" s="2">
        <v>45821</v>
      </c>
      <c r="E372">
        <v>1</v>
      </c>
      <c r="F372" s="2">
        <v>45825</v>
      </c>
      <c r="G372" s="6">
        <v>1</v>
      </c>
      <c r="H372" s="6">
        <v>1</v>
      </c>
      <c r="M372"/>
      <c r="O372"/>
      <c r="P372"/>
      <c r="Q372"/>
    </row>
    <row r="373" spans="1:17" ht="14.4" hidden="1">
      <c r="A373" t="s">
        <v>178</v>
      </c>
      <c r="B373" t="s">
        <v>556</v>
      </c>
      <c r="C373" t="s">
        <v>805</v>
      </c>
      <c r="D373" s="2">
        <v>45825</v>
      </c>
      <c r="E373">
        <v>1</v>
      </c>
      <c r="F373" s="2">
        <v>45826</v>
      </c>
      <c r="G373" s="6">
        <v>1</v>
      </c>
      <c r="H373" s="6">
        <v>1</v>
      </c>
      <c r="M373"/>
      <c r="O373"/>
      <c r="P373"/>
      <c r="Q373"/>
    </row>
    <row r="374" spans="1:17" ht="14.4" hidden="1">
      <c r="A374" t="s">
        <v>178</v>
      </c>
      <c r="B374" t="s">
        <v>606</v>
      </c>
      <c r="C374" t="s">
        <v>816</v>
      </c>
      <c r="D374" s="2">
        <v>45821</v>
      </c>
      <c r="E374">
        <v>124</v>
      </c>
      <c r="F374" s="2">
        <v>45999</v>
      </c>
      <c r="G374" s="6">
        <v>1</v>
      </c>
      <c r="H374" s="6">
        <v>1</v>
      </c>
      <c r="M374"/>
      <c r="O374"/>
      <c r="P374"/>
      <c r="Q374"/>
    </row>
    <row r="375" spans="1:17" ht="14.4" hidden="1">
      <c r="A375" t="s">
        <v>178</v>
      </c>
      <c r="B375" t="s">
        <v>608</v>
      </c>
      <c r="C375" t="s">
        <v>37</v>
      </c>
      <c r="D375" s="2">
        <v>45999</v>
      </c>
      <c r="E375">
        <v>5</v>
      </c>
      <c r="F375" s="2">
        <v>46006</v>
      </c>
      <c r="G375" s="6">
        <v>1</v>
      </c>
      <c r="H375" s="6">
        <v>1</v>
      </c>
      <c r="M375"/>
      <c r="O375"/>
      <c r="P375"/>
      <c r="Q375"/>
    </row>
    <row r="376" spans="1:17" ht="14.4" hidden="1">
      <c r="A376" t="s">
        <v>178</v>
      </c>
      <c r="B376" t="s">
        <v>610</v>
      </c>
      <c r="C376" t="s">
        <v>806</v>
      </c>
      <c r="D376" s="2">
        <v>46008</v>
      </c>
      <c r="E376">
        <v>1</v>
      </c>
      <c r="F376" s="2">
        <v>46034</v>
      </c>
      <c r="G376" s="6">
        <v>1</v>
      </c>
      <c r="H376" s="6">
        <v>1</v>
      </c>
      <c r="M376"/>
      <c r="O376"/>
      <c r="P376"/>
      <c r="Q376"/>
    </row>
    <row r="377" spans="1:17" ht="14.4" hidden="1">
      <c r="A377" t="s">
        <v>178</v>
      </c>
      <c r="B377" t="s">
        <v>612</v>
      </c>
      <c r="C377" t="s">
        <v>807</v>
      </c>
      <c r="D377" s="2">
        <v>46008</v>
      </c>
      <c r="E377">
        <v>2</v>
      </c>
      <c r="F377" s="2">
        <v>46035</v>
      </c>
      <c r="G377" s="6">
        <v>1</v>
      </c>
      <c r="H377" s="6">
        <v>1</v>
      </c>
      <c r="M377"/>
      <c r="O377"/>
      <c r="P377"/>
      <c r="Q377"/>
    </row>
    <row r="378" spans="1:17" ht="14.4" hidden="1">
      <c r="A378" t="s">
        <v>178</v>
      </c>
      <c r="B378" t="s">
        <v>665</v>
      </c>
      <c r="C378" t="s">
        <v>808</v>
      </c>
      <c r="D378" s="2">
        <v>46035</v>
      </c>
      <c r="E378">
        <v>3</v>
      </c>
      <c r="F378" s="2">
        <v>46038</v>
      </c>
      <c r="G378" s="6">
        <v>1</v>
      </c>
      <c r="H378" s="6">
        <v>1</v>
      </c>
      <c r="M378"/>
      <c r="O378"/>
      <c r="P378"/>
      <c r="Q378"/>
    </row>
    <row r="379" spans="1:17" ht="14.4" hidden="1">
      <c r="A379" t="s">
        <v>178</v>
      </c>
      <c r="B379" t="s">
        <v>667</v>
      </c>
      <c r="C379" t="s">
        <v>809</v>
      </c>
      <c r="D379" s="2">
        <v>46038</v>
      </c>
      <c r="E379">
        <v>2</v>
      </c>
      <c r="F379" s="2">
        <v>46042</v>
      </c>
      <c r="G379" s="6">
        <v>1</v>
      </c>
      <c r="H379" s="6">
        <v>1</v>
      </c>
      <c r="M379"/>
      <c r="O379"/>
      <c r="P379"/>
      <c r="Q379"/>
    </row>
    <row r="380" spans="1:17" ht="14.4" hidden="1">
      <c r="A380" t="s">
        <v>178</v>
      </c>
      <c r="B380" t="s">
        <v>811</v>
      </c>
      <c r="C380" t="s">
        <v>159</v>
      </c>
      <c r="D380" s="2">
        <v>46042</v>
      </c>
      <c r="E380">
        <v>5</v>
      </c>
      <c r="F380" s="2">
        <v>46049</v>
      </c>
      <c r="G380" s="6">
        <v>1</v>
      </c>
      <c r="H380" s="6">
        <v>1</v>
      </c>
      <c r="M380"/>
      <c r="O380"/>
      <c r="P380"/>
      <c r="Q380"/>
    </row>
    <row r="381" spans="1:17" ht="14.4" hidden="1">
      <c r="A381" t="s">
        <v>178</v>
      </c>
      <c r="B381" t="s">
        <v>812</v>
      </c>
      <c r="E381"/>
      <c r="M381"/>
      <c r="O381"/>
      <c r="P381"/>
      <c r="Q381"/>
    </row>
    <row r="382" spans="1:17" ht="14.4" hidden="1">
      <c r="A382" t="s">
        <v>178</v>
      </c>
      <c r="B382" t="s">
        <v>814</v>
      </c>
      <c r="C382" t="s">
        <v>815</v>
      </c>
      <c r="D382" s="2">
        <v>46063</v>
      </c>
      <c r="E382">
        <v>5</v>
      </c>
      <c r="F382" s="2">
        <v>46070</v>
      </c>
      <c r="G382" s="6">
        <v>0</v>
      </c>
      <c r="H382" s="6">
        <v>0.2857142857142857</v>
      </c>
      <c r="M382"/>
      <c r="O382"/>
      <c r="P382"/>
      <c r="Q382"/>
    </row>
    <row r="383" spans="1:17" ht="14.4" hidden="1">
      <c r="A383" t="s">
        <v>182</v>
      </c>
      <c r="B383">
        <v>1</v>
      </c>
      <c r="C383" t="s">
        <v>547</v>
      </c>
      <c r="D383" s="2">
        <v>45796</v>
      </c>
      <c r="E383">
        <v>74</v>
      </c>
      <c r="F383" s="2">
        <v>45870</v>
      </c>
      <c r="G383" s="6">
        <v>1</v>
      </c>
      <c r="H383" s="6">
        <v>1</v>
      </c>
      <c r="M383"/>
      <c r="O383"/>
      <c r="P383"/>
      <c r="Q383"/>
    </row>
    <row r="384" spans="1:17" ht="14.4" hidden="1">
      <c r="A384" t="s">
        <v>182</v>
      </c>
      <c r="B384">
        <v>1.1000000000000001</v>
      </c>
      <c r="C384" t="s">
        <v>803</v>
      </c>
      <c r="D384" s="2">
        <v>45796</v>
      </c>
      <c r="E384">
        <v>1</v>
      </c>
      <c r="F384" s="2">
        <v>45797</v>
      </c>
      <c r="G384" s="6">
        <v>1</v>
      </c>
      <c r="H384" s="6">
        <v>1</v>
      </c>
      <c r="M384"/>
      <c r="O384"/>
      <c r="P384"/>
      <c r="Q384"/>
    </row>
    <row r="385" spans="1:17" ht="14.4" hidden="1">
      <c r="A385" t="s">
        <v>182</v>
      </c>
      <c r="B385">
        <v>1.2000000000000002</v>
      </c>
      <c r="C385" t="s">
        <v>33</v>
      </c>
      <c r="D385" s="2">
        <v>45808</v>
      </c>
      <c r="E385">
        <v>1</v>
      </c>
      <c r="F385" s="2">
        <v>45810</v>
      </c>
      <c r="G385" s="6">
        <v>1</v>
      </c>
      <c r="H385" s="6">
        <v>1</v>
      </c>
      <c r="M385"/>
      <c r="O385"/>
      <c r="P385"/>
      <c r="Q385"/>
    </row>
    <row r="386" spans="1:17" ht="14.4" hidden="1">
      <c r="A386" t="s">
        <v>182</v>
      </c>
      <c r="B386">
        <v>1.3000000000000005</v>
      </c>
      <c r="C386" t="s">
        <v>817</v>
      </c>
      <c r="D386" s="2">
        <v>45796</v>
      </c>
      <c r="E386">
        <v>1</v>
      </c>
      <c r="F386" s="2">
        <v>45797</v>
      </c>
      <c r="G386" s="6">
        <v>1</v>
      </c>
      <c r="H386" s="6">
        <v>1</v>
      </c>
      <c r="M386"/>
      <c r="O386"/>
      <c r="P386"/>
      <c r="Q386"/>
    </row>
    <row r="387" spans="1:17" ht="14.4" hidden="1">
      <c r="A387" t="s">
        <v>182</v>
      </c>
      <c r="B387">
        <v>1.4000000000000004</v>
      </c>
      <c r="C387" t="s">
        <v>551</v>
      </c>
      <c r="D387" s="2">
        <v>45867</v>
      </c>
      <c r="E387">
        <v>1</v>
      </c>
      <c r="F387" s="2">
        <v>45868</v>
      </c>
      <c r="G387" s="6">
        <v>1</v>
      </c>
      <c r="H387" s="6">
        <v>1</v>
      </c>
      <c r="M387"/>
      <c r="O387"/>
      <c r="P387"/>
      <c r="Q387"/>
    </row>
    <row r="388" spans="1:17" ht="14.4" hidden="1">
      <c r="A388" t="s">
        <v>182</v>
      </c>
      <c r="B388">
        <v>1.5000000000000004</v>
      </c>
      <c r="C388" t="s">
        <v>557</v>
      </c>
      <c r="D388" s="2">
        <v>45870</v>
      </c>
      <c r="E388">
        <v>0</v>
      </c>
      <c r="F388" s="2">
        <v>45870</v>
      </c>
      <c r="G388" s="6">
        <v>1</v>
      </c>
      <c r="H388" s="6">
        <v>1</v>
      </c>
      <c r="M388"/>
      <c r="O388"/>
      <c r="P388"/>
      <c r="Q388"/>
    </row>
    <row r="389" spans="1:17" ht="14.4" hidden="1">
      <c r="A389" t="s">
        <v>182</v>
      </c>
      <c r="B389">
        <v>2</v>
      </c>
      <c r="C389" t="s">
        <v>818</v>
      </c>
      <c r="D389" s="2">
        <v>45815</v>
      </c>
      <c r="E389">
        <v>95</v>
      </c>
      <c r="F389" s="2">
        <v>45910</v>
      </c>
      <c r="G389" s="6">
        <v>1</v>
      </c>
      <c r="H389" s="6">
        <v>1</v>
      </c>
      <c r="M389"/>
      <c r="O389"/>
      <c r="P389"/>
      <c r="Q389"/>
    </row>
    <row r="390" spans="1:17" ht="14.4" hidden="1">
      <c r="A390" t="s">
        <v>182</v>
      </c>
      <c r="B390">
        <v>2.1</v>
      </c>
      <c r="C390" t="s">
        <v>819</v>
      </c>
      <c r="D390" s="2">
        <v>45815</v>
      </c>
      <c r="E390">
        <v>5</v>
      </c>
      <c r="F390" s="2">
        <v>45821</v>
      </c>
      <c r="G390" s="6">
        <v>1</v>
      </c>
      <c r="H390" s="6">
        <v>1</v>
      </c>
      <c r="M390"/>
      <c r="O390"/>
      <c r="P390"/>
      <c r="Q390"/>
    </row>
    <row r="391" spans="1:17" ht="14.4" hidden="1">
      <c r="A391" t="s">
        <v>182</v>
      </c>
      <c r="B391">
        <v>2.2000000000000002</v>
      </c>
      <c r="C391" t="s">
        <v>820</v>
      </c>
      <c r="D391" s="2">
        <v>45821</v>
      </c>
      <c r="E391">
        <v>17</v>
      </c>
      <c r="F391" s="2">
        <v>45847</v>
      </c>
      <c r="G391" s="6">
        <v>1</v>
      </c>
      <c r="H391" s="6">
        <v>1</v>
      </c>
      <c r="M391"/>
      <c r="O391"/>
      <c r="P391"/>
      <c r="Q391"/>
    </row>
    <row r="392" spans="1:17" ht="14.4" hidden="1">
      <c r="A392" t="s">
        <v>182</v>
      </c>
      <c r="B392">
        <v>2.3000000000000003</v>
      </c>
      <c r="C392" t="s">
        <v>821</v>
      </c>
      <c r="D392" s="2">
        <v>45847</v>
      </c>
      <c r="E392">
        <v>31</v>
      </c>
      <c r="F392" s="2">
        <v>45890</v>
      </c>
      <c r="G392" s="6">
        <v>1</v>
      </c>
      <c r="H392" s="6">
        <v>1</v>
      </c>
      <c r="M392"/>
      <c r="O392"/>
      <c r="P392"/>
      <c r="Q392"/>
    </row>
    <row r="393" spans="1:17" ht="14.4" hidden="1">
      <c r="A393" t="s">
        <v>182</v>
      </c>
      <c r="B393">
        <v>2.4000000000000004</v>
      </c>
      <c r="C393" t="s">
        <v>822</v>
      </c>
      <c r="D393" s="2">
        <v>45875</v>
      </c>
      <c r="E393">
        <v>25</v>
      </c>
      <c r="F393" s="2">
        <v>45910</v>
      </c>
      <c r="G393" s="6">
        <v>1</v>
      </c>
      <c r="H393" s="6">
        <v>1</v>
      </c>
      <c r="M393"/>
      <c r="O393"/>
      <c r="P393"/>
      <c r="Q393"/>
    </row>
    <row r="394" spans="1:17" ht="14.4" hidden="1">
      <c r="A394" t="s">
        <v>182</v>
      </c>
      <c r="B394">
        <v>2.5000000000000004</v>
      </c>
      <c r="C394" t="s">
        <v>823</v>
      </c>
      <c r="D394" s="2">
        <v>45847</v>
      </c>
      <c r="E394">
        <v>31</v>
      </c>
      <c r="F394" s="2">
        <v>45890</v>
      </c>
      <c r="G394" s="6">
        <v>1</v>
      </c>
      <c r="H394" s="6">
        <v>1</v>
      </c>
      <c r="M394"/>
      <c r="O394"/>
      <c r="P394"/>
      <c r="Q394"/>
    </row>
    <row r="395" spans="1:17" ht="14.4" hidden="1">
      <c r="A395" t="s">
        <v>182</v>
      </c>
      <c r="B395">
        <v>2.6000000000000005</v>
      </c>
      <c r="C395" t="s">
        <v>824</v>
      </c>
      <c r="D395" s="2">
        <v>45847</v>
      </c>
      <c r="E395">
        <v>33</v>
      </c>
      <c r="F395" s="2">
        <v>45894</v>
      </c>
      <c r="G395" s="6">
        <v>1</v>
      </c>
      <c r="H395" s="6">
        <v>1</v>
      </c>
      <c r="M395"/>
      <c r="O395"/>
      <c r="P395"/>
      <c r="Q395"/>
    </row>
    <row r="396" spans="1:17" ht="14.4" hidden="1">
      <c r="A396" t="s">
        <v>182</v>
      </c>
      <c r="B396">
        <v>2.7000000000000006</v>
      </c>
      <c r="C396" t="s">
        <v>825</v>
      </c>
      <c r="D396" s="2">
        <v>45867</v>
      </c>
      <c r="E396">
        <v>0</v>
      </c>
      <c r="F396" s="2">
        <v>45867</v>
      </c>
      <c r="G396" s="6">
        <v>1</v>
      </c>
      <c r="H396" s="6">
        <v>1</v>
      </c>
      <c r="M396"/>
      <c r="O396"/>
      <c r="P396"/>
      <c r="Q396"/>
    </row>
    <row r="397" spans="1:17" ht="14.4" hidden="1">
      <c r="A397" t="s">
        <v>182</v>
      </c>
      <c r="B397">
        <v>2.8000000000000007</v>
      </c>
      <c r="C397" t="s">
        <v>826</v>
      </c>
      <c r="D397" s="2">
        <v>45867</v>
      </c>
      <c r="E397">
        <v>0</v>
      </c>
      <c r="F397" s="2">
        <v>45867</v>
      </c>
      <c r="G397" s="6">
        <v>1</v>
      </c>
      <c r="H397" s="6">
        <v>1</v>
      </c>
      <c r="M397"/>
      <c r="O397"/>
      <c r="P397"/>
      <c r="Q397"/>
    </row>
    <row r="398" spans="1:17" ht="14.4" hidden="1">
      <c r="A398" t="s">
        <v>182</v>
      </c>
      <c r="B398">
        <v>2.9000000000000008</v>
      </c>
      <c r="C398" t="s">
        <v>827</v>
      </c>
      <c r="D398" s="2">
        <v>45867</v>
      </c>
      <c r="E398">
        <v>0</v>
      </c>
      <c r="F398" s="2">
        <v>45867</v>
      </c>
      <c r="G398" s="6">
        <v>1</v>
      </c>
      <c r="H398" s="6">
        <v>1</v>
      </c>
      <c r="M398"/>
      <c r="O398"/>
      <c r="P398"/>
      <c r="Q398"/>
    </row>
    <row r="399" spans="1:17" ht="14.4" hidden="1">
      <c r="A399" t="s">
        <v>182</v>
      </c>
      <c r="B399">
        <v>2.1</v>
      </c>
      <c r="C399" t="s">
        <v>828</v>
      </c>
      <c r="D399" s="2">
        <v>45867</v>
      </c>
      <c r="E399">
        <v>0</v>
      </c>
      <c r="F399" s="2">
        <v>45867</v>
      </c>
      <c r="G399" s="6">
        <v>1</v>
      </c>
      <c r="H399" s="6">
        <v>1</v>
      </c>
      <c r="M399"/>
      <c r="O399"/>
      <c r="P399"/>
      <c r="Q399"/>
    </row>
    <row r="400" spans="1:17" ht="14.4" hidden="1">
      <c r="A400" t="s">
        <v>182</v>
      </c>
      <c r="B400">
        <v>2.11</v>
      </c>
      <c r="C400" t="s">
        <v>829</v>
      </c>
      <c r="D400" s="2">
        <v>45867</v>
      </c>
      <c r="E400">
        <v>21</v>
      </c>
      <c r="F400" s="2">
        <v>45896</v>
      </c>
      <c r="G400" s="6">
        <v>1</v>
      </c>
      <c r="H400" s="6">
        <v>1</v>
      </c>
      <c r="M400"/>
      <c r="O400"/>
      <c r="P400"/>
      <c r="Q400"/>
    </row>
    <row r="401" spans="1:17" ht="14.4" hidden="1">
      <c r="A401" t="s">
        <v>182</v>
      </c>
      <c r="B401">
        <v>2.12</v>
      </c>
      <c r="C401" t="s">
        <v>830</v>
      </c>
      <c r="D401" s="2">
        <v>45867</v>
      </c>
      <c r="E401">
        <v>23</v>
      </c>
      <c r="F401" s="2">
        <v>45890</v>
      </c>
      <c r="G401" s="6">
        <v>1</v>
      </c>
      <c r="H401" s="6">
        <v>1</v>
      </c>
      <c r="M401"/>
      <c r="O401"/>
      <c r="P401"/>
      <c r="Q401"/>
    </row>
    <row r="402" spans="1:17" ht="14.4" hidden="1">
      <c r="A402" t="s">
        <v>182</v>
      </c>
      <c r="B402">
        <v>3</v>
      </c>
      <c r="C402" t="s">
        <v>831</v>
      </c>
      <c r="D402" s="2">
        <v>45796</v>
      </c>
      <c r="E402">
        <v>193</v>
      </c>
      <c r="F402" s="2">
        <v>45989</v>
      </c>
      <c r="G402" s="6">
        <v>1</v>
      </c>
      <c r="H402" s="6">
        <v>1</v>
      </c>
      <c r="M402"/>
      <c r="O402"/>
      <c r="P402"/>
      <c r="Q402"/>
    </row>
    <row r="403" spans="1:17" ht="14.4" hidden="1">
      <c r="A403" t="s">
        <v>182</v>
      </c>
      <c r="B403">
        <v>3.1</v>
      </c>
      <c r="C403" t="s">
        <v>832</v>
      </c>
      <c r="D403" s="2">
        <v>45795</v>
      </c>
      <c r="E403">
        <v>138</v>
      </c>
      <c r="F403" s="2">
        <v>45989</v>
      </c>
      <c r="G403" s="6">
        <v>1</v>
      </c>
      <c r="H403" s="6">
        <v>1</v>
      </c>
      <c r="M403"/>
      <c r="O403"/>
      <c r="P403"/>
      <c r="Q403"/>
    </row>
    <row r="404" spans="1:17" ht="14.4" hidden="1">
      <c r="A404" t="s">
        <v>182</v>
      </c>
      <c r="B404">
        <v>3.2</v>
      </c>
      <c r="C404" t="s">
        <v>833</v>
      </c>
      <c r="D404" s="2">
        <v>45820</v>
      </c>
      <c r="E404">
        <v>93</v>
      </c>
      <c r="F404" s="2">
        <v>45953</v>
      </c>
      <c r="G404" s="6">
        <v>1</v>
      </c>
      <c r="H404" s="6">
        <v>1</v>
      </c>
      <c r="M404"/>
      <c r="O404"/>
      <c r="P404"/>
      <c r="Q404"/>
    </row>
    <row r="405" spans="1:17" ht="14.4" hidden="1">
      <c r="A405" t="s">
        <v>182</v>
      </c>
      <c r="B405">
        <v>3.3000000000000003</v>
      </c>
      <c r="C405" t="s">
        <v>834</v>
      </c>
      <c r="D405" s="2">
        <v>45820</v>
      </c>
      <c r="E405">
        <v>66</v>
      </c>
      <c r="F405" s="2">
        <v>45915</v>
      </c>
      <c r="G405" s="6">
        <v>1</v>
      </c>
      <c r="H405" s="6">
        <v>1</v>
      </c>
      <c r="M405"/>
      <c r="O405"/>
      <c r="P405"/>
      <c r="Q405"/>
    </row>
    <row r="406" spans="1:17" ht="14.4" hidden="1">
      <c r="A406" t="s">
        <v>182</v>
      </c>
      <c r="B406">
        <v>3.4000000000000004</v>
      </c>
      <c r="C406" t="s">
        <v>835</v>
      </c>
      <c r="D406" s="2">
        <v>45820</v>
      </c>
      <c r="E406">
        <v>18</v>
      </c>
      <c r="F406" s="2">
        <v>45847</v>
      </c>
      <c r="G406" s="6">
        <v>1</v>
      </c>
      <c r="H406" s="6">
        <v>1</v>
      </c>
      <c r="M406"/>
      <c r="O406"/>
      <c r="P406"/>
      <c r="Q406"/>
    </row>
    <row r="407" spans="1:17" ht="14.4" hidden="1">
      <c r="A407" t="s">
        <v>182</v>
      </c>
      <c r="B407">
        <v>3.5000000000000004</v>
      </c>
      <c r="C407" t="s">
        <v>836</v>
      </c>
      <c r="D407" s="2">
        <v>45820</v>
      </c>
      <c r="E407">
        <v>66</v>
      </c>
      <c r="F407" s="2">
        <v>45915</v>
      </c>
      <c r="G407" s="6">
        <v>1</v>
      </c>
      <c r="H407" s="6">
        <v>1</v>
      </c>
      <c r="M407"/>
      <c r="O407"/>
      <c r="P407"/>
      <c r="Q407"/>
    </row>
    <row r="408" spans="1:17" ht="14.4" hidden="1">
      <c r="A408" t="s">
        <v>182</v>
      </c>
      <c r="B408">
        <v>3.6000000000000005</v>
      </c>
      <c r="C408" t="s">
        <v>837</v>
      </c>
      <c r="D408" s="2">
        <v>45855</v>
      </c>
      <c r="E408">
        <v>10</v>
      </c>
      <c r="F408" s="2">
        <v>45869</v>
      </c>
      <c r="G408" s="6">
        <v>1</v>
      </c>
      <c r="H408" s="6">
        <v>1</v>
      </c>
      <c r="M408"/>
      <c r="O408"/>
      <c r="P408"/>
      <c r="Q408"/>
    </row>
    <row r="409" spans="1:17" ht="14.4" hidden="1">
      <c r="A409" t="s">
        <v>182</v>
      </c>
      <c r="B409">
        <v>3.7000000000000006</v>
      </c>
      <c r="C409" t="s">
        <v>838</v>
      </c>
      <c r="D409" s="2">
        <v>45855</v>
      </c>
      <c r="E409">
        <v>10</v>
      </c>
      <c r="F409" s="2">
        <v>45869</v>
      </c>
      <c r="G409" s="6">
        <v>1</v>
      </c>
      <c r="H409" s="6">
        <v>1</v>
      </c>
      <c r="M409"/>
      <c r="O409"/>
      <c r="P409"/>
      <c r="Q409"/>
    </row>
    <row r="410" spans="1:17" ht="14.4" hidden="1">
      <c r="A410" t="s">
        <v>182</v>
      </c>
      <c r="B410">
        <v>3.8000000000000007</v>
      </c>
      <c r="C410" t="s">
        <v>839</v>
      </c>
      <c r="D410" s="2">
        <v>45848</v>
      </c>
      <c r="E410">
        <v>34</v>
      </c>
      <c r="F410" s="2">
        <v>45896</v>
      </c>
      <c r="G410" s="6">
        <v>1</v>
      </c>
      <c r="H410" s="6">
        <v>1</v>
      </c>
      <c r="M410"/>
      <c r="O410"/>
      <c r="P410"/>
      <c r="Q410"/>
    </row>
    <row r="411" spans="1:17" ht="14.4" hidden="1">
      <c r="A411" t="s">
        <v>182</v>
      </c>
      <c r="B411">
        <v>4</v>
      </c>
      <c r="C411" t="s">
        <v>840</v>
      </c>
      <c r="D411" s="2">
        <v>45830</v>
      </c>
      <c r="E411">
        <v>212</v>
      </c>
      <c r="F411" s="2">
        <v>46042</v>
      </c>
      <c r="G411" s="6">
        <v>1</v>
      </c>
      <c r="H411" s="6">
        <v>1</v>
      </c>
      <c r="M411"/>
      <c r="O411"/>
      <c r="P411"/>
      <c r="Q411"/>
    </row>
    <row r="412" spans="1:17" ht="14.4" hidden="1">
      <c r="A412" t="s">
        <v>182</v>
      </c>
      <c r="B412">
        <v>4.0999999999999996</v>
      </c>
      <c r="C412" t="s">
        <v>841</v>
      </c>
      <c r="D412" s="2">
        <v>45830</v>
      </c>
      <c r="E412">
        <v>61</v>
      </c>
      <c r="F412" s="2">
        <v>45915</v>
      </c>
      <c r="G412" s="6">
        <v>1</v>
      </c>
      <c r="H412" s="6">
        <v>1</v>
      </c>
      <c r="M412"/>
      <c r="O412"/>
      <c r="P412"/>
      <c r="Q412"/>
    </row>
    <row r="413" spans="1:17" ht="14.4" hidden="1">
      <c r="A413" t="s">
        <v>182</v>
      </c>
      <c r="B413">
        <v>4.1999999999999993</v>
      </c>
      <c r="C413" t="s">
        <v>842</v>
      </c>
      <c r="D413" s="2">
        <v>45830</v>
      </c>
      <c r="E413">
        <v>135</v>
      </c>
      <c r="F413" s="2">
        <v>46042</v>
      </c>
      <c r="G413" s="6">
        <v>1</v>
      </c>
      <c r="H413" s="6">
        <v>1</v>
      </c>
      <c r="M413"/>
      <c r="O413"/>
      <c r="P413"/>
      <c r="Q413"/>
    </row>
    <row r="414" spans="1:17" ht="14.4" hidden="1">
      <c r="A414" t="s">
        <v>182</v>
      </c>
      <c r="B414">
        <v>4.2999999999999989</v>
      </c>
      <c r="C414" t="s">
        <v>843</v>
      </c>
      <c r="D414" s="2">
        <v>45854</v>
      </c>
      <c r="E414">
        <v>31</v>
      </c>
      <c r="F414" s="2">
        <v>45897</v>
      </c>
      <c r="G414" s="6">
        <v>1</v>
      </c>
      <c r="H414" s="6">
        <v>1</v>
      </c>
      <c r="M414"/>
      <c r="O414"/>
      <c r="P414"/>
      <c r="Q414"/>
    </row>
    <row r="415" spans="1:17" ht="14.4" hidden="1">
      <c r="A415" t="s">
        <v>182</v>
      </c>
      <c r="B415">
        <v>4.3999999999999986</v>
      </c>
      <c r="C415" t="s">
        <v>844</v>
      </c>
      <c r="D415" s="2">
        <v>45913</v>
      </c>
      <c r="E415">
        <v>15</v>
      </c>
      <c r="F415" s="2">
        <v>45936</v>
      </c>
      <c r="G415" s="6">
        <v>1</v>
      </c>
      <c r="H415" s="6">
        <v>1</v>
      </c>
      <c r="M415"/>
      <c r="O415"/>
      <c r="P415"/>
      <c r="Q415"/>
    </row>
    <row r="416" spans="1:17" ht="14.4" hidden="1">
      <c r="A416" t="s">
        <v>182</v>
      </c>
      <c r="B416">
        <v>4.4999999999999982</v>
      </c>
      <c r="C416" t="s">
        <v>845</v>
      </c>
      <c r="D416" s="2">
        <v>45947</v>
      </c>
      <c r="E416">
        <v>19</v>
      </c>
      <c r="F416" s="2">
        <v>45974</v>
      </c>
      <c r="G416" s="6">
        <v>1</v>
      </c>
      <c r="H416" s="6">
        <v>1</v>
      </c>
      <c r="M416"/>
      <c r="O416"/>
      <c r="P416"/>
      <c r="Q416"/>
    </row>
    <row r="417" spans="1:17" ht="14.4" hidden="1">
      <c r="A417" t="s">
        <v>182</v>
      </c>
      <c r="B417">
        <v>4.5999999999999979</v>
      </c>
      <c r="C417" t="s">
        <v>846</v>
      </c>
      <c r="D417" s="2">
        <v>45974</v>
      </c>
      <c r="E417">
        <v>5</v>
      </c>
      <c r="F417" s="2">
        <v>45981</v>
      </c>
      <c r="G417" s="6">
        <v>1</v>
      </c>
      <c r="H417" s="6">
        <v>1</v>
      </c>
      <c r="M417"/>
      <c r="O417"/>
      <c r="P417"/>
      <c r="Q417"/>
    </row>
    <row r="418" spans="1:17" ht="14.4" hidden="1">
      <c r="A418" t="s">
        <v>182</v>
      </c>
      <c r="B418">
        <v>4.6999999999999975</v>
      </c>
      <c r="C418" t="s">
        <v>847</v>
      </c>
      <c r="D418" s="2">
        <v>45953</v>
      </c>
      <c r="E418">
        <v>32</v>
      </c>
      <c r="F418" s="2">
        <v>45999</v>
      </c>
      <c r="G418" s="6">
        <v>1</v>
      </c>
      <c r="H418" s="6">
        <v>1</v>
      </c>
      <c r="M418"/>
      <c r="O418"/>
      <c r="P418"/>
      <c r="Q418"/>
    </row>
    <row r="419" spans="1:17" ht="14.4" hidden="1">
      <c r="A419" t="s">
        <v>182</v>
      </c>
      <c r="B419">
        <v>4.7999999999999972</v>
      </c>
      <c r="C419" t="s">
        <v>848</v>
      </c>
      <c r="D419" s="2">
        <v>45899</v>
      </c>
      <c r="E419">
        <v>10</v>
      </c>
      <c r="F419" s="2">
        <v>45912</v>
      </c>
      <c r="G419" s="6">
        <v>1</v>
      </c>
      <c r="H419" s="6">
        <v>1</v>
      </c>
      <c r="M419"/>
      <c r="O419"/>
      <c r="P419"/>
      <c r="Q419"/>
    </row>
    <row r="420" spans="1:17" ht="14.4" hidden="1">
      <c r="A420" t="s">
        <v>182</v>
      </c>
      <c r="B420">
        <v>4.8999999999999968</v>
      </c>
      <c r="C420" t="s">
        <v>849</v>
      </c>
      <c r="D420" s="2">
        <v>45894</v>
      </c>
      <c r="E420">
        <v>7</v>
      </c>
      <c r="F420" s="2">
        <v>45903</v>
      </c>
      <c r="G420" s="6">
        <v>1</v>
      </c>
      <c r="H420" s="6">
        <v>1</v>
      </c>
      <c r="M420"/>
      <c r="O420"/>
      <c r="P420"/>
      <c r="Q420"/>
    </row>
    <row r="421" spans="1:17" ht="14.4" hidden="1">
      <c r="A421" t="s">
        <v>182</v>
      </c>
      <c r="B421">
        <v>4.0999999999999996</v>
      </c>
      <c r="C421" t="s">
        <v>850</v>
      </c>
      <c r="D421" s="2">
        <v>45994</v>
      </c>
      <c r="E421">
        <v>2</v>
      </c>
      <c r="F421" s="2">
        <v>45996</v>
      </c>
      <c r="G421" s="6">
        <v>1</v>
      </c>
      <c r="H421" s="6">
        <v>1</v>
      </c>
      <c r="M421"/>
      <c r="O421"/>
      <c r="P421"/>
      <c r="Q421"/>
    </row>
    <row r="422" spans="1:17" ht="14.4" hidden="1">
      <c r="A422" t="s">
        <v>182</v>
      </c>
      <c r="B422">
        <v>4.1100000000000003</v>
      </c>
      <c r="C422" t="s">
        <v>851</v>
      </c>
      <c r="E422"/>
      <c r="G422" s="6">
        <v>1</v>
      </c>
      <c r="H422" s="6">
        <v>1</v>
      </c>
      <c r="M422"/>
      <c r="O422"/>
      <c r="P422"/>
      <c r="Q422"/>
    </row>
    <row r="423" spans="1:17" ht="14.4" hidden="1">
      <c r="A423" t="s">
        <v>182</v>
      </c>
      <c r="B423" t="s">
        <v>852</v>
      </c>
      <c r="C423" t="s">
        <v>853</v>
      </c>
      <c r="F423" s="171"/>
      <c r="G423" s="6">
        <v>1</v>
      </c>
      <c r="H423" s="6">
        <v>1</v>
      </c>
      <c r="M423"/>
      <c r="O423"/>
      <c r="P423"/>
      <c r="Q423"/>
    </row>
    <row r="424" spans="1:17" ht="14.4" hidden="1">
      <c r="A424" t="s">
        <v>182</v>
      </c>
      <c r="B424" t="s">
        <v>854</v>
      </c>
      <c r="C424" t="s">
        <v>855</v>
      </c>
      <c r="F424" s="171"/>
      <c r="G424" s="6">
        <v>1</v>
      </c>
      <c r="H424" s="6">
        <v>1</v>
      </c>
      <c r="M424"/>
      <c r="O424"/>
      <c r="P424"/>
      <c r="Q424"/>
    </row>
    <row r="425" spans="1:17" ht="14.4" hidden="1">
      <c r="A425" t="s">
        <v>182</v>
      </c>
      <c r="B425" t="s">
        <v>856</v>
      </c>
      <c r="C425" t="s">
        <v>857</v>
      </c>
      <c r="D425" s="2">
        <v>45992</v>
      </c>
      <c r="E425" s="172">
        <v>12</v>
      </c>
      <c r="F425" s="171">
        <v>46008</v>
      </c>
      <c r="G425" s="6">
        <v>1</v>
      </c>
      <c r="H425" s="6">
        <v>1</v>
      </c>
      <c r="M425"/>
      <c r="O425"/>
      <c r="P425"/>
      <c r="Q425"/>
    </row>
    <row r="426" spans="1:17" ht="14.4" hidden="1">
      <c r="A426" t="s">
        <v>182</v>
      </c>
      <c r="B426">
        <v>5</v>
      </c>
      <c r="C426" t="s">
        <v>858</v>
      </c>
      <c r="D426" s="2">
        <v>45894</v>
      </c>
      <c r="E426" s="172">
        <v>147</v>
      </c>
      <c r="F426" s="171">
        <v>46041</v>
      </c>
      <c r="G426" s="6">
        <v>1</v>
      </c>
      <c r="H426" s="6">
        <v>1</v>
      </c>
      <c r="M426"/>
      <c r="O426"/>
      <c r="P426"/>
      <c r="Q426"/>
    </row>
    <row r="427" spans="1:17" ht="14.4" hidden="1">
      <c r="A427" t="s">
        <v>182</v>
      </c>
      <c r="B427">
        <v>5.0999999999999996</v>
      </c>
      <c r="C427" t="s">
        <v>574</v>
      </c>
      <c r="D427" s="2">
        <v>45835</v>
      </c>
      <c r="E427" s="172">
        <v>1</v>
      </c>
      <c r="F427" s="171">
        <v>45838</v>
      </c>
      <c r="G427" s="6">
        <v>1</v>
      </c>
      <c r="H427" s="6">
        <v>1</v>
      </c>
      <c r="M427"/>
      <c r="O427"/>
      <c r="P427"/>
      <c r="Q427"/>
    </row>
    <row r="428" spans="1:17" ht="14.4" hidden="1">
      <c r="A428" t="s">
        <v>182</v>
      </c>
      <c r="B428">
        <v>5.2</v>
      </c>
      <c r="C428" t="s">
        <v>859</v>
      </c>
      <c r="D428" s="2">
        <v>45894</v>
      </c>
      <c r="E428" s="172">
        <v>5</v>
      </c>
      <c r="F428" s="171">
        <v>45901</v>
      </c>
      <c r="G428" s="6">
        <v>1</v>
      </c>
      <c r="H428" s="6">
        <v>1</v>
      </c>
      <c r="M428"/>
      <c r="O428"/>
      <c r="P428"/>
      <c r="Q428"/>
    </row>
    <row r="429" spans="1:17" ht="14.4" hidden="1">
      <c r="A429" t="s">
        <v>182</v>
      </c>
      <c r="B429">
        <v>5.3</v>
      </c>
      <c r="C429" t="s">
        <v>860</v>
      </c>
      <c r="D429" s="2">
        <v>45901</v>
      </c>
      <c r="E429" s="172">
        <v>5</v>
      </c>
      <c r="F429" s="171">
        <v>45908</v>
      </c>
      <c r="G429" s="6">
        <v>1</v>
      </c>
      <c r="H429" s="6">
        <v>1</v>
      </c>
      <c r="M429"/>
      <c r="O429"/>
      <c r="P429"/>
      <c r="Q429"/>
    </row>
    <row r="430" spans="1:17" ht="14.4" hidden="1">
      <c r="A430" t="s">
        <v>182</v>
      </c>
      <c r="B430">
        <v>5.4</v>
      </c>
      <c r="C430" t="s">
        <v>861</v>
      </c>
      <c r="D430" s="2">
        <v>45915</v>
      </c>
      <c r="E430" s="172">
        <v>24</v>
      </c>
      <c r="F430" s="171">
        <v>45950</v>
      </c>
      <c r="G430" s="6">
        <v>1</v>
      </c>
      <c r="H430" s="6">
        <v>1</v>
      </c>
      <c r="M430"/>
      <c r="O430"/>
      <c r="P430"/>
      <c r="Q430"/>
    </row>
    <row r="431" spans="1:17" ht="14.4" hidden="1">
      <c r="A431" t="s">
        <v>182</v>
      </c>
      <c r="B431">
        <v>5.5</v>
      </c>
      <c r="C431" t="s">
        <v>862</v>
      </c>
      <c r="D431" s="2">
        <v>45951</v>
      </c>
      <c r="E431" s="172">
        <v>22</v>
      </c>
      <c r="F431" s="171">
        <v>45981</v>
      </c>
      <c r="G431" s="6">
        <v>1</v>
      </c>
      <c r="H431" s="6">
        <v>1</v>
      </c>
      <c r="M431"/>
      <c r="O431"/>
      <c r="P431"/>
      <c r="Q431"/>
    </row>
    <row r="432" spans="1:17" ht="14.4" hidden="1">
      <c r="A432" t="s">
        <v>182</v>
      </c>
      <c r="B432">
        <v>5.6</v>
      </c>
      <c r="C432" t="s">
        <v>863</v>
      </c>
      <c r="D432" s="2">
        <v>45940</v>
      </c>
      <c r="E432" s="172">
        <v>55</v>
      </c>
      <c r="F432" s="171">
        <v>46041</v>
      </c>
      <c r="G432" s="6">
        <v>1</v>
      </c>
      <c r="H432" s="6">
        <v>1</v>
      </c>
      <c r="M432"/>
      <c r="O432"/>
      <c r="P432"/>
      <c r="Q432"/>
    </row>
    <row r="433" spans="1:17" ht="14.4" hidden="1">
      <c r="A433" t="s">
        <v>182</v>
      </c>
      <c r="B433">
        <v>5.7</v>
      </c>
      <c r="C433" t="s">
        <v>864</v>
      </c>
      <c r="D433" s="2">
        <v>45929</v>
      </c>
      <c r="E433" s="172">
        <v>9</v>
      </c>
      <c r="F433" s="171">
        <v>45940</v>
      </c>
      <c r="G433" s="6">
        <v>1</v>
      </c>
      <c r="H433" s="6">
        <v>1</v>
      </c>
      <c r="M433"/>
      <c r="O433"/>
      <c r="P433"/>
      <c r="Q433"/>
    </row>
    <row r="434" spans="1:17" ht="14.4" hidden="1">
      <c r="A434" t="s">
        <v>182</v>
      </c>
      <c r="B434">
        <v>6</v>
      </c>
      <c r="C434" t="s">
        <v>865</v>
      </c>
      <c r="D434" s="2">
        <v>45938</v>
      </c>
      <c r="E434" s="172">
        <v>120</v>
      </c>
      <c r="F434" s="171">
        <v>46058</v>
      </c>
      <c r="G434" s="6">
        <v>1</v>
      </c>
      <c r="H434" s="6">
        <v>1</v>
      </c>
      <c r="M434"/>
      <c r="O434"/>
      <c r="P434"/>
      <c r="Q434"/>
    </row>
    <row r="435" spans="1:17" ht="14.4" hidden="1">
      <c r="A435" t="s">
        <v>182</v>
      </c>
      <c r="B435">
        <v>6.1</v>
      </c>
      <c r="C435" t="s">
        <v>866</v>
      </c>
      <c r="D435" s="2">
        <v>45938</v>
      </c>
      <c r="E435" s="172">
        <v>34</v>
      </c>
      <c r="F435" s="171">
        <v>45986</v>
      </c>
      <c r="G435" s="6">
        <v>1</v>
      </c>
      <c r="H435" s="6">
        <v>1</v>
      </c>
      <c r="M435"/>
      <c r="O435"/>
      <c r="P435"/>
      <c r="Q435"/>
    </row>
    <row r="436" spans="1:17" ht="14.4" hidden="1">
      <c r="A436" t="s">
        <v>182</v>
      </c>
      <c r="B436">
        <v>6.2</v>
      </c>
      <c r="C436" t="s">
        <v>867</v>
      </c>
      <c r="D436" s="2">
        <v>45956</v>
      </c>
      <c r="E436" s="172">
        <v>37</v>
      </c>
      <c r="F436" s="171">
        <v>46007</v>
      </c>
      <c r="G436" s="6">
        <v>1</v>
      </c>
      <c r="H436" s="6">
        <v>1</v>
      </c>
      <c r="M436"/>
      <c r="O436"/>
      <c r="P436"/>
      <c r="Q436"/>
    </row>
    <row r="437" spans="1:17" ht="14.4" hidden="1">
      <c r="A437" t="s">
        <v>182</v>
      </c>
      <c r="B437">
        <v>6.3</v>
      </c>
      <c r="C437" t="s">
        <v>868</v>
      </c>
      <c r="D437" s="2">
        <v>45963</v>
      </c>
      <c r="E437" s="172">
        <v>42</v>
      </c>
      <c r="F437" s="171">
        <v>46043</v>
      </c>
      <c r="G437" s="6">
        <v>1</v>
      </c>
      <c r="H437" s="6">
        <v>1</v>
      </c>
      <c r="M437"/>
      <c r="O437"/>
      <c r="P437"/>
      <c r="Q437"/>
    </row>
    <row r="438" spans="1:17" ht="14.4" hidden="1">
      <c r="A438" t="s">
        <v>182</v>
      </c>
      <c r="B438">
        <v>6.4</v>
      </c>
      <c r="C438" t="s">
        <v>869</v>
      </c>
      <c r="D438" s="2">
        <v>45985</v>
      </c>
      <c r="E438" s="172">
        <v>33</v>
      </c>
      <c r="F438" s="171">
        <v>46052</v>
      </c>
      <c r="G438" s="6">
        <v>1</v>
      </c>
      <c r="H438" s="6">
        <v>1</v>
      </c>
      <c r="M438"/>
      <c r="O438"/>
      <c r="P438"/>
      <c r="Q438"/>
    </row>
    <row r="439" spans="1:17" ht="14.4" hidden="1">
      <c r="A439" t="s">
        <v>182</v>
      </c>
      <c r="B439">
        <v>6.5</v>
      </c>
      <c r="C439" t="s">
        <v>580</v>
      </c>
      <c r="D439" s="2">
        <v>46023</v>
      </c>
      <c r="E439" s="172">
        <v>18</v>
      </c>
      <c r="F439" s="171">
        <v>46058</v>
      </c>
      <c r="G439" s="6">
        <v>1</v>
      </c>
      <c r="H439" s="6">
        <v>1</v>
      </c>
      <c r="M439"/>
      <c r="O439"/>
      <c r="P439"/>
      <c r="Q439"/>
    </row>
    <row r="440" spans="1:17" ht="14.4" hidden="1">
      <c r="A440" t="s">
        <v>182</v>
      </c>
      <c r="B440">
        <v>7</v>
      </c>
      <c r="C440" t="s">
        <v>870</v>
      </c>
      <c r="D440" s="2">
        <v>45990</v>
      </c>
      <c r="E440" s="172">
        <v>17</v>
      </c>
      <c r="F440" s="171">
        <v>46007</v>
      </c>
      <c r="G440" s="6">
        <v>1</v>
      </c>
      <c r="H440" s="6">
        <v>1</v>
      </c>
      <c r="M440"/>
      <c r="O440"/>
      <c r="P440"/>
      <c r="Q440"/>
    </row>
    <row r="441" spans="1:17" ht="14.4" hidden="1">
      <c r="A441" t="s">
        <v>182</v>
      </c>
      <c r="B441">
        <v>7.1</v>
      </c>
      <c r="C441" t="s">
        <v>871</v>
      </c>
      <c r="D441" s="2">
        <v>45848</v>
      </c>
      <c r="E441" s="172">
        <v>1</v>
      </c>
      <c r="F441" s="171">
        <v>45849</v>
      </c>
      <c r="G441" s="6">
        <v>1</v>
      </c>
      <c r="H441" s="6">
        <v>1</v>
      </c>
      <c r="M441"/>
      <c r="O441"/>
      <c r="P441"/>
      <c r="Q441"/>
    </row>
    <row r="442" spans="1:17" ht="14.4" hidden="1">
      <c r="A442" t="s">
        <v>182</v>
      </c>
      <c r="B442">
        <v>7.2</v>
      </c>
      <c r="C442" t="s">
        <v>565</v>
      </c>
      <c r="D442" s="2">
        <v>45990</v>
      </c>
      <c r="E442" s="172">
        <v>4</v>
      </c>
      <c r="F442" s="171">
        <v>45995</v>
      </c>
      <c r="G442" s="6">
        <v>1</v>
      </c>
      <c r="H442" s="6">
        <v>1</v>
      </c>
      <c r="M442"/>
      <c r="O442"/>
      <c r="P442"/>
      <c r="Q442"/>
    </row>
    <row r="443" spans="1:17" ht="14.4" hidden="1">
      <c r="A443" t="s">
        <v>182</v>
      </c>
      <c r="B443">
        <v>7.3</v>
      </c>
      <c r="C443" t="s">
        <v>872</v>
      </c>
      <c r="D443" s="2">
        <v>45990</v>
      </c>
      <c r="E443" s="172">
        <v>4</v>
      </c>
      <c r="F443" s="171">
        <v>45995</v>
      </c>
      <c r="G443" s="6">
        <v>1</v>
      </c>
      <c r="H443" s="6">
        <v>1</v>
      </c>
      <c r="M443"/>
      <c r="O443"/>
      <c r="P443"/>
      <c r="Q443"/>
    </row>
    <row r="444" spans="1:17" ht="14.4" hidden="1">
      <c r="A444" t="s">
        <v>182</v>
      </c>
      <c r="B444">
        <v>7.4</v>
      </c>
      <c r="C444" t="s">
        <v>873</v>
      </c>
      <c r="D444" s="2">
        <v>45995</v>
      </c>
      <c r="E444" s="172">
        <v>5</v>
      </c>
      <c r="F444" s="171">
        <v>46002</v>
      </c>
      <c r="G444" s="6">
        <v>1</v>
      </c>
      <c r="H444" s="6">
        <v>1</v>
      </c>
      <c r="M444"/>
      <c r="O444"/>
      <c r="P444"/>
      <c r="Q444"/>
    </row>
    <row r="445" spans="1:17" ht="14.4" hidden="1">
      <c r="A445" t="s">
        <v>182</v>
      </c>
      <c r="B445">
        <v>7.5</v>
      </c>
      <c r="C445" t="s">
        <v>874</v>
      </c>
      <c r="D445" s="2">
        <v>45995</v>
      </c>
      <c r="E445" s="172">
        <v>8</v>
      </c>
      <c r="F445" s="171">
        <v>46007</v>
      </c>
      <c r="G445" s="6">
        <v>1</v>
      </c>
      <c r="H445" s="6">
        <v>1</v>
      </c>
      <c r="M445"/>
      <c r="O445"/>
      <c r="P445"/>
      <c r="Q445"/>
    </row>
    <row r="446" spans="1:17" ht="14.4" hidden="1">
      <c r="A446" t="s">
        <v>182</v>
      </c>
      <c r="B446">
        <v>8</v>
      </c>
      <c r="C446" t="s">
        <v>875</v>
      </c>
      <c r="D446" s="2">
        <v>45915</v>
      </c>
      <c r="E446" s="172">
        <v>92</v>
      </c>
      <c r="F446" s="171">
        <v>46007</v>
      </c>
      <c r="G446" s="6">
        <v>1</v>
      </c>
      <c r="H446" s="6">
        <v>1</v>
      </c>
      <c r="M446"/>
      <c r="O446"/>
      <c r="P446"/>
      <c r="Q446"/>
    </row>
    <row r="447" spans="1:17" ht="14.4" hidden="1">
      <c r="A447" t="s">
        <v>182</v>
      </c>
      <c r="B447">
        <v>8.1</v>
      </c>
      <c r="C447" t="s">
        <v>871</v>
      </c>
      <c r="D447" s="2">
        <v>45848</v>
      </c>
      <c r="E447" s="172">
        <v>1</v>
      </c>
      <c r="F447" s="171">
        <v>45849</v>
      </c>
      <c r="G447" s="6">
        <v>1</v>
      </c>
      <c r="H447" s="6">
        <v>1</v>
      </c>
      <c r="M447"/>
      <c r="O447"/>
      <c r="P447"/>
      <c r="Q447"/>
    </row>
    <row r="448" spans="1:17" ht="14.4" hidden="1">
      <c r="A448" t="s">
        <v>182</v>
      </c>
      <c r="B448">
        <v>8.1999999999999993</v>
      </c>
      <c r="C448" t="s">
        <v>565</v>
      </c>
      <c r="D448" s="2">
        <v>45915</v>
      </c>
      <c r="E448" s="172">
        <v>3</v>
      </c>
      <c r="F448" s="171">
        <v>45918</v>
      </c>
      <c r="G448" s="6">
        <v>1</v>
      </c>
      <c r="H448" s="6">
        <v>1</v>
      </c>
      <c r="M448"/>
      <c r="O448"/>
      <c r="P448"/>
      <c r="Q448"/>
    </row>
    <row r="449" spans="1:17" ht="14.4" hidden="1">
      <c r="A449" t="s">
        <v>182</v>
      </c>
      <c r="B449">
        <v>8.3000000000000007</v>
      </c>
      <c r="C449" t="s">
        <v>872</v>
      </c>
      <c r="D449" s="2">
        <v>45918</v>
      </c>
      <c r="E449" s="172">
        <v>2</v>
      </c>
      <c r="F449" s="171">
        <v>45922</v>
      </c>
      <c r="G449" s="6">
        <v>1</v>
      </c>
      <c r="H449" s="6">
        <v>1</v>
      </c>
      <c r="M449"/>
      <c r="O449"/>
      <c r="P449"/>
      <c r="Q449"/>
    </row>
    <row r="450" spans="1:17" ht="14.4" hidden="1">
      <c r="A450" t="s">
        <v>182</v>
      </c>
      <c r="B450">
        <v>8.4</v>
      </c>
      <c r="C450" t="s">
        <v>873</v>
      </c>
      <c r="D450" s="2">
        <v>45922</v>
      </c>
      <c r="E450" s="172">
        <v>7</v>
      </c>
      <c r="F450" s="171">
        <v>45932</v>
      </c>
      <c r="G450" s="6">
        <v>1</v>
      </c>
      <c r="H450" s="6">
        <v>1</v>
      </c>
      <c r="M450"/>
      <c r="O450"/>
      <c r="P450"/>
      <c r="Q450"/>
    </row>
    <row r="451" spans="1:17" ht="14.4" hidden="1">
      <c r="A451" t="s">
        <v>182</v>
      </c>
      <c r="B451">
        <v>8.5</v>
      </c>
      <c r="C451" t="s">
        <v>874</v>
      </c>
      <c r="D451" s="2">
        <v>45999</v>
      </c>
      <c r="E451" s="172">
        <v>6</v>
      </c>
      <c r="F451" s="171">
        <v>46007</v>
      </c>
      <c r="G451" s="6">
        <v>1</v>
      </c>
      <c r="H451" s="6">
        <v>1</v>
      </c>
      <c r="M451"/>
      <c r="O451"/>
      <c r="P451"/>
      <c r="Q451"/>
    </row>
    <row r="452" spans="1:17" ht="14.4" hidden="1">
      <c r="A452" t="s">
        <v>182</v>
      </c>
      <c r="B452">
        <v>9</v>
      </c>
      <c r="C452" t="s">
        <v>876</v>
      </c>
      <c r="D452" s="2">
        <v>45986</v>
      </c>
      <c r="E452" s="172">
        <v>22</v>
      </c>
      <c r="F452" s="171">
        <v>46008</v>
      </c>
      <c r="G452" s="6">
        <v>1</v>
      </c>
      <c r="H452" s="6">
        <v>1</v>
      </c>
      <c r="M452"/>
      <c r="O452"/>
      <c r="P452"/>
      <c r="Q452"/>
    </row>
    <row r="453" spans="1:17" ht="14.4" hidden="1">
      <c r="A453" t="s">
        <v>182</v>
      </c>
      <c r="B453">
        <v>9.1</v>
      </c>
      <c r="C453" t="s">
        <v>877</v>
      </c>
      <c r="D453" s="2">
        <v>45988</v>
      </c>
      <c r="E453" s="172">
        <v>1</v>
      </c>
      <c r="F453" s="171">
        <v>45989</v>
      </c>
      <c r="G453" s="6">
        <v>1</v>
      </c>
      <c r="H453" s="6">
        <v>1</v>
      </c>
      <c r="M453"/>
      <c r="O453"/>
      <c r="P453"/>
      <c r="Q453"/>
    </row>
    <row r="454" spans="1:17" ht="14.4" hidden="1">
      <c r="A454" t="s">
        <v>182</v>
      </c>
      <c r="B454">
        <v>9.1999999999999993</v>
      </c>
      <c r="C454" t="s">
        <v>878</v>
      </c>
      <c r="D454" s="2">
        <v>45995</v>
      </c>
      <c r="E454" s="172">
        <v>2</v>
      </c>
      <c r="F454" s="171">
        <v>45999</v>
      </c>
      <c r="G454" s="6">
        <v>1</v>
      </c>
      <c r="H454" s="6">
        <v>1</v>
      </c>
      <c r="M454"/>
      <c r="O454"/>
      <c r="P454"/>
      <c r="Q454"/>
    </row>
    <row r="455" spans="1:17" ht="14.4" hidden="1">
      <c r="A455" t="s">
        <v>182</v>
      </c>
      <c r="B455">
        <v>9.2999999999999989</v>
      </c>
      <c r="C455" t="s">
        <v>879</v>
      </c>
      <c r="D455" s="2">
        <v>46002</v>
      </c>
      <c r="E455" s="172">
        <v>0</v>
      </c>
      <c r="F455" s="171">
        <v>46002</v>
      </c>
      <c r="G455" s="6">
        <v>1</v>
      </c>
      <c r="H455" s="6">
        <v>1</v>
      </c>
      <c r="M455"/>
      <c r="O455"/>
      <c r="P455"/>
      <c r="Q455"/>
    </row>
    <row r="456" spans="1:17" ht="14.4" hidden="1">
      <c r="A456" t="s">
        <v>182</v>
      </c>
      <c r="B456">
        <v>9.3999999999999986</v>
      </c>
      <c r="C456" t="s">
        <v>880</v>
      </c>
      <c r="D456" s="2">
        <v>46002</v>
      </c>
      <c r="E456" s="172">
        <v>2</v>
      </c>
      <c r="F456" s="171">
        <v>46006</v>
      </c>
      <c r="G456" s="6">
        <v>1</v>
      </c>
      <c r="H456" s="6">
        <v>1</v>
      </c>
      <c r="M456"/>
      <c r="O456"/>
      <c r="P456"/>
      <c r="Q456"/>
    </row>
    <row r="457" spans="1:17" ht="14.4" hidden="1">
      <c r="A457" t="s">
        <v>182</v>
      </c>
      <c r="B457">
        <v>9.4999999999999982</v>
      </c>
      <c r="C457" t="s">
        <v>881</v>
      </c>
      <c r="D457" s="2">
        <v>46006</v>
      </c>
      <c r="E457" s="172">
        <v>2</v>
      </c>
      <c r="F457" s="171">
        <v>46008</v>
      </c>
      <c r="G457" s="6">
        <v>1</v>
      </c>
      <c r="H457" s="6">
        <v>1</v>
      </c>
      <c r="M457"/>
      <c r="O457"/>
      <c r="P457"/>
      <c r="Q457"/>
    </row>
    <row r="458" spans="1:17" ht="14.4" hidden="1">
      <c r="A458" t="s">
        <v>182</v>
      </c>
      <c r="B458">
        <v>9.5999999999999979</v>
      </c>
      <c r="C458" t="s">
        <v>882</v>
      </c>
      <c r="D458" s="2">
        <v>46006</v>
      </c>
      <c r="E458" s="172">
        <v>0</v>
      </c>
      <c r="F458" s="171">
        <v>46006</v>
      </c>
      <c r="G458" s="6">
        <v>1</v>
      </c>
      <c r="H458" s="6">
        <v>1</v>
      </c>
      <c r="M458"/>
      <c r="O458"/>
      <c r="P458"/>
      <c r="Q458"/>
    </row>
    <row r="459" spans="1:17" ht="14.4" hidden="1">
      <c r="A459" t="s">
        <v>182</v>
      </c>
      <c r="B459">
        <v>9.6999999999999975</v>
      </c>
      <c r="C459" t="s">
        <v>883</v>
      </c>
      <c r="D459" s="2">
        <v>46006</v>
      </c>
      <c r="E459" s="172">
        <v>2</v>
      </c>
      <c r="F459" s="171">
        <v>46008</v>
      </c>
      <c r="G459" s="6">
        <v>1</v>
      </c>
      <c r="H459" s="6">
        <v>1</v>
      </c>
      <c r="M459"/>
      <c r="O459"/>
      <c r="P459"/>
      <c r="Q459"/>
    </row>
    <row r="460" spans="1:17" ht="14.4" hidden="1">
      <c r="A460" t="s">
        <v>182</v>
      </c>
      <c r="B460">
        <v>10</v>
      </c>
      <c r="C460" t="s">
        <v>240</v>
      </c>
      <c r="D460" s="2">
        <v>46006</v>
      </c>
      <c r="E460" s="172">
        <v>59</v>
      </c>
      <c r="F460" s="171">
        <v>46065</v>
      </c>
      <c r="G460" s="6">
        <v>0.95</v>
      </c>
      <c r="H460" s="6">
        <v>1</v>
      </c>
      <c r="M460"/>
      <c r="O460"/>
      <c r="P460"/>
      <c r="Q460"/>
    </row>
    <row r="461" spans="1:17" ht="14.4" hidden="1">
      <c r="A461" t="s">
        <v>182</v>
      </c>
      <c r="B461">
        <v>10.1</v>
      </c>
      <c r="C461" t="s">
        <v>884</v>
      </c>
      <c r="D461" s="2">
        <v>46006</v>
      </c>
      <c r="E461" s="172">
        <v>3</v>
      </c>
      <c r="F461" s="171">
        <v>46009</v>
      </c>
      <c r="G461" s="6">
        <v>1</v>
      </c>
      <c r="H461" s="6">
        <v>1</v>
      </c>
      <c r="M461"/>
      <c r="O461"/>
      <c r="P461"/>
      <c r="Q461"/>
    </row>
    <row r="462" spans="1:17" ht="14.4" hidden="1">
      <c r="A462" t="s">
        <v>182</v>
      </c>
      <c r="B462">
        <v>10.199999999999999</v>
      </c>
      <c r="C462" t="s">
        <v>885</v>
      </c>
      <c r="D462" s="2">
        <v>46006</v>
      </c>
      <c r="E462" s="172">
        <v>2</v>
      </c>
      <c r="F462" s="171">
        <v>46008</v>
      </c>
      <c r="G462" s="6">
        <v>1</v>
      </c>
      <c r="H462" s="6">
        <v>1</v>
      </c>
      <c r="M462"/>
      <c r="O462"/>
      <c r="P462"/>
      <c r="Q462"/>
    </row>
    <row r="463" spans="1:17" ht="14.4" hidden="1">
      <c r="A463" t="s">
        <v>182</v>
      </c>
      <c r="B463">
        <v>10.3</v>
      </c>
      <c r="C463" t="s">
        <v>886</v>
      </c>
      <c r="D463" s="2">
        <v>46008</v>
      </c>
      <c r="E463" s="172">
        <v>2</v>
      </c>
      <c r="F463" s="171">
        <v>46010</v>
      </c>
      <c r="G463" s="6">
        <v>1</v>
      </c>
      <c r="H463" s="6">
        <v>1</v>
      </c>
      <c r="M463"/>
      <c r="O463"/>
      <c r="P463"/>
      <c r="Q463"/>
    </row>
    <row r="464" spans="1:17" ht="14.4" hidden="1">
      <c r="A464" t="s">
        <v>182</v>
      </c>
      <c r="B464">
        <v>10.4</v>
      </c>
      <c r="C464" t="s">
        <v>887</v>
      </c>
      <c r="D464" s="2">
        <v>46009</v>
      </c>
      <c r="E464" s="172">
        <v>1</v>
      </c>
      <c r="F464" s="171">
        <v>46010</v>
      </c>
      <c r="G464" s="6">
        <v>1</v>
      </c>
      <c r="H464" s="6">
        <v>1</v>
      </c>
      <c r="M464"/>
      <c r="O464"/>
      <c r="P464"/>
      <c r="Q464"/>
    </row>
    <row r="465" spans="1:17" ht="14.4" hidden="1">
      <c r="A465" t="s">
        <v>182</v>
      </c>
      <c r="B465">
        <v>10.5</v>
      </c>
      <c r="C465" t="s">
        <v>888</v>
      </c>
      <c r="D465" s="2">
        <v>46055</v>
      </c>
      <c r="E465" s="172">
        <v>3</v>
      </c>
      <c r="F465" s="171">
        <v>46058</v>
      </c>
      <c r="G465" s="6">
        <v>1</v>
      </c>
      <c r="H465" s="6">
        <v>1</v>
      </c>
      <c r="M465"/>
      <c r="O465"/>
      <c r="P465"/>
      <c r="Q465"/>
    </row>
    <row r="466" spans="1:17" ht="14.4" hidden="1">
      <c r="A466" t="s">
        <v>182</v>
      </c>
      <c r="B466">
        <v>10.6</v>
      </c>
      <c r="C466" t="s">
        <v>889</v>
      </c>
      <c r="D466" s="2">
        <v>46058</v>
      </c>
      <c r="E466" s="172">
        <v>5</v>
      </c>
      <c r="F466" s="171">
        <v>46065</v>
      </c>
      <c r="G466" s="6">
        <v>0.5</v>
      </c>
      <c r="H466" s="6">
        <v>1</v>
      </c>
      <c r="M466"/>
      <c r="O466"/>
      <c r="P466"/>
      <c r="Q466"/>
    </row>
    <row r="467" spans="1:17" ht="14.4" hidden="1">
      <c r="A467" t="s">
        <v>182</v>
      </c>
      <c r="B467">
        <v>10.7</v>
      </c>
      <c r="C467" t="s">
        <v>890</v>
      </c>
      <c r="D467" s="2">
        <v>46048</v>
      </c>
      <c r="E467" s="172">
        <v>2</v>
      </c>
      <c r="F467" s="171">
        <v>46050</v>
      </c>
      <c r="G467" s="6">
        <v>1</v>
      </c>
      <c r="H467" s="6">
        <v>1</v>
      </c>
      <c r="M467"/>
      <c r="O467"/>
      <c r="P467"/>
      <c r="Q467"/>
    </row>
    <row r="468" spans="1:17" ht="14.4" hidden="1">
      <c r="A468" t="s">
        <v>182</v>
      </c>
      <c r="B468">
        <v>10.8</v>
      </c>
      <c r="C468" t="s">
        <v>891</v>
      </c>
      <c r="D468" s="2">
        <v>46034</v>
      </c>
      <c r="E468" s="172">
        <v>10</v>
      </c>
      <c r="F468" s="171">
        <v>46048</v>
      </c>
      <c r="G468" s="6">
        <v>1</v>
      </c>
      <c r="H468" s="6">
        <v>1</v>
      </c>
      <c r="M468"/>
      <c r="O468"/>
      <c r="P468"/>
      <c r="Q468"/>
    </row>
    <row r="469" spans="1:17" ht="14.4" hidden="1">
      <c r="A469" t="s">
        <v>182</v>
      </c>
      <c r="B469">
        <v>10.9</v>
      </c>
      <c r="C469" t="s">
        <v>892</v>
      </c>
      <c r="D469" s="2">
        <v>46048</v>
      </c>
      <c r="E469" s="172">
        <v>2</v>
      </c>
      <c r="F469" s="171">
        <v>46050</v>
      </c>
      <c r="G469" s="6">
        <v>1</v>
      </c>
      <c r="H469" s="6">
        <v>1</v>
      </c>
      <c r="M469"/>
      <c r="O469"/>
      <c r="P469"/>
      <c r="Q469"/>
    </row>
    <row r="470" spans="1:17" ht="14.4" hidden="1">
      <c r="A470" t="s">
        <v>182</v>
      </c>
      <c r="B470">
        <v>10.1</v>
      </c>
      <c r="C470" t="s">
        <v>169</v>
      </c>
      <c r="D470" s="2">
        <v>46055</v>
      </c>
      <c r="E470" s="172">
        <v>0</v>
      </c>
      <c r="F470" s="171">
        <v>46055</v>
      </c>
      <c r="G470" s="6">
        <v>1</v>
      </c>
      <c r="H470" s="6">
        <v>1</v>
      </c>
      <c r="M470"/>
      <c r="O470"/>
      <c r="P470"/>
      <c r="Q470"/>
    </row>
    <row r="471" spans="1:17" ht="14.4" hidden="1">
      <c r="A471" t="s">
        <v>182</v>
      </c>
      <c r="B471">
        <v>11</v>
      </c>
      <c r="C471" t="s">
        <v>893</v>
      </c>
      <c r="D471" s="2">
        <v>46048</v>
      </c>
      <c r="E471" s="172">
        <v>22</v>
      </c>
      <c r="F471" s="171">
        <v>46070</v>
      </c>
      <c r="G471" s="6">
        <v>0.75</v>
      </c>
      <c r="H471" s="6">
        <v>0.9285714285714286</v>
      </c>
      <c r="M471"/>
      <c r="O471"/>
      <c r="P471"/>
      <c r="Q471"/>
    </row>
    <row r="472" spans="1:17" ht="14.4" hidden="1">
      <c r="A472" t="s">
        <v>182</v>
      </c>
      <c r="B472">
        <v>11.1</v>
      </c>
      <c r="C472" t="s">
        <v>894</v>
      </c>
      <c r="D472" s="2">
        <v>46048</v>
      </c>
      <c r="E472" s="172">
        <v>1</v>
      </c>
      <c r="F472" s="171">
        <v>46049</v>
      </c>
      <c r="G472" s="6">
        <v>1</v>
      </c>
      <c r="H472" s="6">
        <v>1</v>
      </c>
      <c r="M472"/>
      <c r="O472"/>
      <c r="P472"/>
      <c r="Q472"/>
    </row>
    <row r="473" spans="1:17" ht="14.4" hidden="1">
      <c r="A473" t="s">
        <v>182</v>
      </c>
      <c r="B473">
        <v>11.2</v>
      </c>
      <c r="C473" t="s">
        <v>895</v>
      </c>
      <c r="D473" s="2">
        <v>46048</v>
      </c>
      <c r="E473" s="172">
        <v>7</v>
      </c>
      <c r="F473" s="171">
        <v>46057</v>
      </c>
      <c r="G473" s="6">
        <v>0.5</v>
      </c>
      <c r="H473" s="6">
        <v>1</v>
      </c>
      <c r="M473"/>
      <c r="O473"/>
      <c r="P473"/>
      <c r="Q473"/>
    </row>
    <row r="474" spans="1:17" ht="14.4" hidden="1">
      <c r="A474" t="s">
        <v>182</v>
      </c>
      <c r="B474">
        <v>11.3</v>
      </c>
      <c r="C474" t="s">
        <v>896</v>
      </c>
      <c r="D474" s="2">
        <v>46055</v>
      </c>
      <c r="E474" s="172">
        <v>1</v>
      </c>
      <c r="F474" s="171">
        <v>46056</v>
      </c>
      <c r="G474" s="6">
        <v>1</v>
      </c>
      <c r="H474" s="6">
        <v>1</v>
      </c>
      <c r="M474"/>
      <c r="O474"/>
      <c r="P474"/>
      <c r="Q474"/>
    </row>
    <row r="475" spans="1:17" ht="14.4" hidden="1">
      <c r="A475" t="s">
        <v>182</v>
      </c>
      <c r="B475">
        <v>11.4</v>
      </c>
      <c r="C475" t="s">
        <v>897</v>
      </c>
      <c r="D475" s="2">
        <v>46050</v>
      </c>
      <c r="E475" s="172">
        <v>1</v>
      </c>
      <c r="F475" s="171">
        <v>46051</v>
      </c>
      <c r="G475" s="6">
        <v>1</v>
      </c>
      <c r="H475" s="6">
        <v>1</v>
      </c>
      <c r="M475"/>
      <c r="O475"/>
      <c r="P475"/>
      <c r="Q475"/>
    </row>
    <row r="476" spans="1:17" ht="14.4" hidden="1">
      <c r="A476" t="s">
        <v>182</v>
      </c>
      <c r="B476">
        <v>11.499999999999998</v>
      </c>
      <c r="C476" t="s">
        <v>898</v>
      </c>
      <c r="D476" s="2">
        <v>46056</v>
      </c>
      <c r="E476" s="172">
        <v>10</v>
      </c>
      <c r="F476" s="171">
        <v>46070</v>
      </c>
      <c r="G476" s="6">
        <v>0.25</v>
      </c>
      <c r="H476" s="6">
        <v>0.6428571428571429</v>
      </c>
      <c r="M476"/>
      <c r="O476"/>
      <c r="P476"/>
      <c r="Q476"/>
    </row>
    <row r="477" spans="1:17" ht="14.4" hidden="1">
      <c r="A477" t="s">
        <v>182</v>
      </c>
      <c r="B477">
        <v>12</v>
      </c>
      <c r="C477" t="s">
        <v>590</v>
      </c>
      <c r="D477" s="2">
        <v>46006</v>
      </c>
      <c r="E477" s="172">
        <v>72</v>
      </c>
      <c r="F477" s="171">
        <v>46078</v>
      </c>
      <c r="G477" s="6">
        <v>0.18333333333333335</v>
      </c>
      <c r="H477" s="6">
        <v>0.4682539682539682</v>
      </c>
      <c r="M477"/>
      <c r="O477"/>
      <c r="P477"/>
      <c r="Q477"/>
    </row>
    <row r="478" spans="1:17" ht="14.4" hidden="1">
      <c r="A478" t="s">
        <v>182</v>
      </c>
      <c r="B478">
        <v>12.1</v>
      </c>
      <c r="C478" t="s">
        <v>591</v>
      </c>
      <c r="D478" s="2">
        <v>46006</v>
      </c>
      <c r="E478" s="172">
        <v>5</v>
      </c>
      <c r="F478" s="171">
        <v>46035</v>
      </c>
      <c r="G478" s="6">
        <v>1</v>
      </c>
      <c r="H478" s="6">
        <v>1</v>
      </c>
      <c r="M478"/>
      <c r="O478"/>
      <c r="P478"/>
      <c r="Q478"/>
    </row>
    <row r="479" spans="1:17" ht="14.4" hidden="1">
      <c r="A479" t="s">
        <v>182</v>
      </c>
      <c r="B479">
        <v>12.2</v>
      </c>
      <c r="C479" t="s">
        <v>899</v>
      </c>
      <c r="D479" s="2">
        <v>46048</v>
      </c>
      <c r="E479" s="172">
        <v>15</v>
      </c>
      <c r="F479" s="171">
        <v>46069</v>
      </c>
      <c r="G479" s="6">
        <v>0</v>
      </c>
      <c r="H479" s="6">
        <v>0.80952380952380965</v>
      </c>
      <c r="M479"/>
      <c r="O479"/>
      <c r="P479"/>
      <c r="Q479"/>
    </row>
    <row r="480" spans="1:17" ht="14.4" hidden="1">
      <c r="A480" t="s">
        <v>182</v>
      </c>
      <c r="B480">
        <v>12.3</v>
      </c>
      <c r="C480" t="s">
        <v>593</v>
      </c>
      <c r="D480" s="2">
        <v>46055</v>
      </c>
      <c r="E480" s="172">
        <v>5</v>
      </c>
      <c r="F480" s="171">
        <v>46062</v>
      </c>
      <c r="G480" s="6">
        <v>0.1</v>
      </c>
      <c r="H480" s="6">
        <v>1</v>
      </c>
      <c r="M480"/>
      <c r="O480"/>
      <c r="P480"/>
      <c r="Q480"/>
    </row>
    <row r="481" spans="1:17" ht="14.4" hidden="1">
      <c r="A481" t="s">
        <v>182</v>
      </c>
      <c r="B481">
        <v>12.4</v>
      </c>
      <c r="C481" t="s">
        <v>594</v>
      </c>
      <c r="D481" s="2">
        <v>46070</v>
      </c>
      <c r="E481" s="172">
        <v>5</v>
      </c>
      <c r="F481" s="171">
        <v>46077</v>
      </c>
      <c r="G481" s="6">
        <v>0</v>
      </c>
      <c r="H481" s="6">
        <v>0</v>
      </c>
      <c r="M481"/>
      <c r="O481"/>
      <c r="P481"/>
      <c r="Q481"/>
    </row>
    <row r="482" spans="1:17" ht="14.4" hidden="1">
      <c r="A482" t="s">
        <v>182</v>
      </c>
      <c r="B482">
        <v>12.499999999999998</v>
      </c>
      <c r="C482" t="s">
        <v>595</v>
      </c>
      <c r="D482" s="2">
        <v>46077</v>
      </c>
      <c r="E482" s="172">
        <v>1</v>
      </c>
      <c r="F482" s="171">
        <v>46078</v>
      </c>
      <c r="G482" s="6">
        <v>0</v>
      </c>
      <c r="H482" s="6">
        <v>0</v>
      </c>
      <c r="M482"/>
      <c r="O482"/>
      <c r="P482"/>
      <c r="Q482"/>
    </row>
    <row r="483" spans="1:17" ht="14.4" hidden="1">
      <c r="A483" t="s">
        <v>182</v>
      </c>
      <c r="B483">
        <v>12.599999999999998</v>
      </c>
      <c r="C483" t="s">
        <v>596</v>
      </c>
      <c r="D483" s="2">
        <v>46070</v>
      </c>
      <c r="E483" s="172">
        <v>5</v>
      </c>
      <c r="F483" s="171">
        <v>46077</v>
      </c>
      <c r="G483" s="6">
        <v>0</v>
      </c>
      <c r="H483" s="6">
        <v>0</v>
      </c>
      <c r="M483"/>
      <c r="O483"/>
      <c r="P483"/>
      <c r="Q483"/>
    </row>
    <row r="484" spans="1:17" ht="14.4" hidden="1">
      <c r="A484" t="s">
        <v>184</v>
      </c>
      <c r="B484">
        <v>1</v>
      </c>
      <c r="C484" t="s">
        <v>547</v>
      </c>
      <c r="D484" s="2">
        <v>45769</v>
      </c>
      <c r="E484" s="172">
        <v>62</v>
      </c>
      <c r="F484" s="171">
        <v>45831</v>
      </c>
      <c r="G484" s="6">
        <v>1</v>
      </c>
      <c r="H484" s="6">
        <v>1</v>
      </c>
      <c r="M484"/>
      <c r="O484"/>
      <c r="P484"/>
      <c r="Q484"/>
    </row>
    <row r="485" spans="1:17" ht="14.4" hidden="1">
      <c r="A485" t="s">
        <v>184</v>
      </c>
      <c r="B485" t="s">
        <v>548</v>
      </c>
      <c r="C485" t="s">
        <v>549</v>
      </c>
      <c r="D485" s="2">
        <v>45769</v>
      </c>
      <c r="E485" s="172">
        <v>1</v>
      </c>
      <c r="F485" s="171">
        <v>45770</v>
      </c>
      <c r="G485" s="6">
        <v>1</v>
      </c>
      <c r="H485" s="6">
        <v>1</v>
      </c>
      <c r="M485"/>
      <c r="O485"/>
      <c r="P485"/>
      <c r="Q485"/>
    </row>
    <row r="486" spans="1:17" ht="14.4" hidden="1">
      <c r="A486" t="s">
        <v>184</v>
      </c>
      <c r="B486" t="s">
        <v>550</v>
      </c>
      <c r="C486" t="s">
        <v>551</v>
      </c>
      <c r="D486" s="2">
        <v>45815</v>
      </c>
      <c r="E486" s="172">
        <v>1</v>
      </c>
      <c r="F486" s="171">
        <v>45817</v>
      </c>
      <c r="G486" s="6">
        <v>1</v>
      </c>
      <c r="H486" s="6">
        <v>1</v>
      </c>
      <c r="M486"/>
      <c r="O486"/>
      <c r="P486"/>
      <c r="Q486"/>
    </row>
    <row r="487" spans="1:17" ht="14.4" hidden="1">
      <c r="A487" t="s">
        <v>184</v>
      </c>
      <c r="B487" t="s">
        <v>552</v>
      </c>
      <c r="C487" t="s">
        <v>553</v>
      </c>
      <c r="D487" s="2">
        <v>45815</v>
      </c>
      <c r="E487" s="172">
        <v>10</v>
      </c>
      <c r="F487" s="171">
        <v>45831</v>
      </c>
      <c r="G487" s="6">
        <v>1</v>
      </c>
      <c r="H487" s="6">
        <v>1</v>
      </c>
      <c r="M487"/>
      <c r="O487"/>
      <c r="P487"/>
      <c r="Q487"/>
    </row>
    <row r="488" spans="1:17" ht="14.4" hidden="1">
      <c r="A488" t="s">
        <v>184</v>
      </c>
      <c r="B488" t="s">
        <v>554</v>
      </c>
      <c r="C488" t="s">
        <v>555</v>
      </c>
      <c r="D488" s="2">
        <v>45815</v>
      </c>
      <c r="E488" s="172">
        <v>1</v>
      </c>
      <c r="F488" s="171">
        <v>45817</v>
      </c>
      <c r="G488" s="6">
        <v>1</v>
      </c>
      <c r="H488" s="6">
        <v>1</v>
      </c>
      <c r="M488"/>
      <c r="O488"/>
      <c r="P488"/>
      <c r="Q488"/>
    </row>
    <row r="489" spans="1:17" ht="14.4" hidden="1">
      <c r="A489" t="s">
        <v>184</v>
      </c>
      <c r="B489" t="s">
        <v>556</v>
      </c>
      <c r="C489" t="s">
        <v>557</v>
      </c>
      <c r="D489" s="2">
        <v>45811</v>
      </c>
      <c r="E489" s="172">
        <v>1</v>
      </c>
      <c r="F489" s="171">
        <v>45812</v>
      </c>
      <c r="G489" s="6">
        <v>1</v>
      </c>
      <c r="H489" s="6">
        <v>1</v>
      </c>
      <c r="M489"/>
      <c r="O489"/>
      <c r="P489"/>
      <c r="Q489"/>
    </row>
    <row r="490" spans="1:17" ht="14.4" hidden="1">
      <c r="A490" t="s">
        <v>184</v>
      </c>
      <c r="B490">
        <v>2</v>
      </c>
      <c r="C490" t="s">
        <v>558</v>
      </c>
      <c r="D490" s="2">
        <v>45815</v>
      </c>
      <c r="E490" s="172">
        <v>17</v>
      </c>
      <c r="F490" s="171">
        <v>45832</v>
      </c>
      <c r="G490" s="6">
        <v>1</v>
      </c>
      <c r="H490" s="6">
        <v>1</v>
      </c>
      <c r="M490"/>
      <c r="O490"/>
      <c r="P490"/>
      <c r="Q490"/>
    </row>
    <row r="491" spans="1:17" ht="14.4" hidden="1">
      <c r="A491" t="s">
        <v>184</v>
      </c>
      <c r="B491" t="s">
        <v>559</v>
      </c>
      <c r="C491" t="s">
        <v>560</v>
      </c>
      <c r="D491" s="2">
        <v>45831</v>
      </c>
      <c r="E491" s="172">
        <v>1</v>
      </c>
      <c r="F491" s="171">
        <v>45832</v>
      </c>
      <c r="G491" s="6">
        <v>1</v>
      </c>
      <c r="H491" s="6">
        <v>1</v>
      </c>
      <c r="M491"/>
      <c r="O491"/>
      <c r="P491"/>
      <c r="Q491"/>
    </row>
    <row r="492" spans="1:17" ht="14.4" hidden="1">
      <c r="A492" t="s">
        <v>184</v>
      </c>
      <c r="B492">
        <v>3</v>
      </c>
      <c r="C492" t="s">
        <v>561</v>
      </c>
      <c r="D492" s="2">
        <v>45810</v>
      </c>
      <c r="E492" s="172">
        <v>94</v>
      </c>
      <c r="F492" s="171">
        <v>45904</v>
      </c>
      <c r="G492" s="6">
        <v>1</v>
      </c>
      <c r="H492" s="6">
        <v>1</v>
      </c>
      <c r="M492"/>
      <c r="O492"/>
      <c r="P492"/>
      <c r="Q492"/>
    </row>
    <row r="493" spans="1:17" ht="14.4" hidden="1">
      <c r="A493" t="s">
        <v>184</v>
      </c>
      <c r="B493" t="s">
        <v>562</v>
      </c>
      <c r="C493" t="s">
        <v>563</v>
      </c>
      <c r="D493" s="2">
        <v>45832</v>
      </c>
      <c r="E493" s="172">
        <v>1</v>
      </c>
      <c r="F493" s="171">
        <v>45833</v>
      </c>
      <c r="G493" s="6">
        <v>1</v>
      </c>
      <c r="H493" s="6">
        <v>1</v>
      </c>
      <c r="M493"/>
      <c r="O493"/>
      <c r="P493"/>
      <c r="Q493"/>
    </row>
    <row r="494" spans="1:17" ht="14.4" hidden="1">
      <c r="A494" t="s">
        <v>184</v>
      </c>
      <c r="B494" t="s">
        <v>564</v>
      </c>
      <c r="C494" t="s">
        <v>565</v>
      </c>
      <c r="D494" s="2">
        <v>45860</v>
      </c>
      <c r="E494" s="172">
        <v>2</v>
      </c>
      <c r="F494" s="171">
        <v>45862</v>
      </c>
      <c r="G494" s="6">
        <v>1</v>
      </c>
      <c r="H494" s="6">
        <v>1</v>
      </c>
      <c r="M494"/>
      <c r="O494"/>
      <c r="P494"/>
      <c r="Q494"/>
    </row>
    <row r="495" spans="1:17" ht="14.4" hidden="1">
      <c r="A495" t="s">
        <v>184</v>
      </c>
      <c r="B495" t="s">
        <v>566</v>
      </c>
      <c r="C495" t="s">
        <v>567</v>
      </c>
      <c r="D495" s="2">
        <v>45810</v>
      </c>
      <c r="E495" s="172">
        <v>61</v>
      </c>
      <c r="F495" s="171">
        <v>45896</v>
      </c>
      <c r="G495" s="6">
        <v>1</v>
      </c>
      <c r="H495" s="6">
        <v>1</v>
      </c>
      <c r="M495"/>
      <c r="O495"/>
      <c r="P495"/>
      <c r="Q495"/>
    </row>
    <row r="496" spans="1:17" ht="14.4" hidden="1">
      <c r="A496" t="s">
        <v>184</v>
      </c>
      <c r="B496" t="s">
        <v>568</v>
      </c>
      <c r="C496" t="s">
        <v>569</v>
      </c>
      <c r="D496" s="2">
        <v>45896</v>
      </c>
      <c r="E496" s="172">
        <v>5</v>
      </c>
      <c r="F496" s="171">
        <v>45903</v>
      </c>
      <c r="G496" s="6">
        <v>1</v>
      </c>
      <c r="H496" s="6">
        <v>1</v>
      </c>
      <c r="M496"/>
      <c r="O496"/>
      <c r="P496"/>
      <c r="Q496"/>
    </row>
    <row r="497" spans="1:17" ht="14.4" hidden="1">
      <c r="A497" t="s">
        <v>184</v>
      </c>
      <c r="B497" t="s">
        <v>570</v>
      </c>
      <c r="C497" t="s">
        <v>571</v>
      </c>
      <c r="D497" s="2">
        <v>45903</v>
      </c>
      <c r="E497" s="172">
        <v>1</v>
      </c>
      <c r="F497" s="171">
        <v>45904</v>
      </c>
      <c r="G497" s="6">
        <v>1</v>
      </c>
      <c r="H497" s="6">
        <v>1</v>
      </c>
      <c r="M497"/>
      <c r="O497"/>
      <c r="P497"/>
      <c r="Q497"/>
    </row>
    <row r="498" spans="1:17" ht="14.4" hidden="1">
      <c r="A498" t="s">
        <v>184</v>
      </c>
      <c r="B498">
        <v>4</v>
      </c>
      <c r="C498" t="s">
        <v>572</v>
      </c>
      <c r="D498" s="2">
        <v>45831</v>
      </c>
      <c r="E498" s="172">
        <v>51</v>
      </c>
      <c r="F498" s="171">
        <v>45882</v>
      </c>
      <c r="G498" s="6">
        <v>1</v>
      </c>
      <c r="H498" s="6">
        <v>1</v>
      </c>
      <c r="M498"/>
      <c r="O498"/>
      <c r="P498"/>
      <c r="Q498"/>
    </row>
    <row r="499" spans="1:17" ht="14.4" hidden="1">
      <c r="A499" t="s">
        <v>184</v>
      </c>
      <c r="B499" t="s">
        <v>573</v>
      </c>
      <c r="C499" t="s">
        <v>613</v>
      </c>
      <c r="F499" s="171"/>
      <c r="G499" s="6">
        <v>0</v>
      </c>
      <c r="H499" s="6">
        <v>0</v>
      </c>
      <c r="M499"/>
      <c r="O499"/>
      <c r="P499"/>
      <c r="Q499"/>
    </row>
    <row r="500" spans="1:17" ht="14.4" hidden="1">
      <c r="A500" t="s">
        <v>184</v>
      </c>
      <c r="B500" t="s">
        <v>573</v>
      </c>
      <c r="C500" t="s">
        <v>574</v>
      </c>
      <c r="D500" s="2">
        <v>45831</v>
      </c>
      <c r="E500" s="172">
        <v>1</v>
      </c>
      <c r="F500" s="171">
        <v>45832</v>
      </c>
      <c r="G500" s="6">
        <v>1</v>
      </c>
      <c r="H500" s="6">
        <v>1</v>
      </c>
      <c r="M500"/>
      <c r="O500"/>
      <c r="P500"/>
      <c r="Q500"/>
    </row>
    <row r="501" spans="1:17" ht="14.4" hidden="1">
      <c r="A501" t="s">
        <v>184</v>
      </c>
      <c r="B501" t="s">
        <v>575</v>
      </c>
      <c r="C501" t="s">
        <v>576</v>
      </c>
      <c r="D501" s="2">
        <v>45832</v>
      </c>
      <c r="E501" s="172">
        <v>7</v>
      </c>
      <c r="F501" s="171">
        <v>45858</v>
      </c>
      <c r="G501" s="6">
        <v>1</v>
      </c>
      <c r="H501" s="6">
        <v>1</v>
      </c>
      <c r="M501"/>
      <c r="O501"/>
      <c r="P501"/>
      <c r="Q501"/>
    </row>
    <row r="502" spans="1:17" ht="14.4" hidden="1">
      <c r="A502" t="s">
        <v>184</v>
      </c>
      <c r="B502" t="s">
        <v>577</v>
      </c>
      <c r="C502" t="s">
        <v>578</v>
      </c>
      <c r="D502" s="2">
        <v>45832</v>
      </c>
      <c r="E502" s="172">
        <v>1</v>
      </c>
      <c r="F502" s="171">
        <v>45833</v>
      </c>
      <c r="G502" s="6">
        <v>1</v>
      </c>
      <c r="H502" s="6">
        <v>1</v>
      </c>
      <c r="M502"/>
      <c r="O502"/>
      <c r="P502"/>
      <c r="Q502"/>
    </row>
    <row r="503" spans="1:17" ht="14.4" hidden="1">
      <c r="A503" t="s">
        <v>184</v>
      </c>
      <c r="B503" t="s">
        <v>577</v>
      </c>
      <c r="C503" t="s">
        <v>580</v>
      </c>
      <c r="D503" s="2">
        <v>45855</v>
      </c>
      <c r="E503" s="172">
        <v>19</v>
      </c>
      <c r="F503" s="171">
        <v>45882</v>
      </c>
      <c r="G503" s="6">
        <v>1</v>
      </c>
      <c r="H503" s="6">
        <v>1</v>
      </c>
      <c r="M503"/>
      <c r="O503"/>
      <c r="P503"/>
      <c r="Q503"/>
    </row>
    <row r="504" spans="1:17" ht="14.4" hidden="1">
      <c r="A504" t="s">
        <v>184</v>
      </c>
      <c r="B504">
        <v>5</v>
      </c>
      <c r="C504" t="s">
        <v>581</v>
      </c>
      <c r="D504" s="2">
        <v>45832</v>
      </c>
      <c r="E504" s="172">
        <v>57</v>
      </c>
      <c r="F504" s="171">
        <v>45889</v>
      </c>
      <c r="G504" s="6">
        <v>1</v>
      </c>
      <c r="H504" s="6">
        <v>1</v>
      </c>
      <c r="M504"/>
      <c r="O504"/>
      <c r="P504"/>
      <c r="Q504"/>
    </row>
    <row r="505" spans="1:17" ht="14.4" hidden="1">
      <c r="A505" t="s">
        <v>184</v>
      </c>
      <c r="B505" t="s">
        <v>582</v>
      </c>
      <c r="C505" t="s">
        <v>583</v>
      </c>
      <c r="D505" s="2">
        <v>45832</v>
      </c>
      <c r="E505" s="172">
        <v>1</v>
      </c>
      <c r="F505" s="171">
        <v>45833</v>
      </c>
      <c r="G505" s="6">
        <v>1</v>
      </c>
      <c r="H505" s="6">
        <v>1</v>
      </c>
      <c r="M505"/>
      <c r="O505"/>
      <c r="P505"/>
      <c r="Q505"/>
    </row>
    <row r="506" spans="1:17" ht="14.4" hidden="1">
      <c r="A506" t="s">
        <v>184</v>
      </c>
      <c r="B506" t="s">
        <v>584</v>
      </c>
      <c r="C506" t="s">
        <v>585</v>
      </c>
      <c r="D506" s="2">
        <v>45877</v>
      </c>
      <c r="E506" s="172">
        <v>8</v>
      </c>
      <c r="F506" s="171">
        <v>45889</v>
      </c>
      <c r="G506" s="6">
        <v>1</v>
      </c>
      <c r="H506" s="6">
        <v>1</v>
      </c>
      <c r="M506"/>
      <c r="O506"/>
      <c r="P506"/>
      <c r="Q506"/>
    </row>
    <row r="507" spans="1:17" ht="14.4" hidden="1">
      <c r="A507" t="s">
        <v>184</v>
      </c>
      <c r="B507">
        <v>6</v>
      </c>
      <c r="C507" t="s">
        <v>240</v>
      </c>
      <c r="D507" s="2">
        <v>45911</v>
      </c>
      <c r="E507" s="172">
        <v>6</v>
      </c>
      <c r="F507" s="171">
        <v>45917</v>
      </c>
      <c r="G507" s="6">
        <v>1</v>
      </c>
      <c r="H507" s="6">
        <v>1</v>
      </c>
      <c r="M507"/>
      <c r="O507"/>
      <c r="P507"/>
      <c r="Q507"/>
    </row>
    <row r="508" spans="1:17" ht="14.4" hidden="1">
      <c r="A508" t="s">
        <v>184</v>
      </c>
      <c r="B508" t="s">
        <v>586</v>
      </c>
      <c r="C508" t="s">
        <v>240</v>
      </c>
      <c r="D508" s="2">
        <v>45911</v>
      </c>
      <c r="E508" s="172">
        <v>1</v>
      </c>
      <c r="F508" s="171">
        <v>45912</v>
      </c>
      <c r="G508" s="6">
        <v>1</v>
      </c>
      <c r="H508" s="6">
        <v>1</v>
      </c>
      <c r="M508"/>
      <c r="O508"/>
      <c r="P508"/>
      <c r="Q508"/>
    </row>
    <row r="509" spans="1:17" ht="14.4" hidden="1">
      <c r="A509" t="s">
        <v>184</v>
      </c>
      <c r="B509" t="s">
        <v>587</v>
      </c>
      <c r="C509" t="s">
        <v>169</v>
      </c>
      <c r="D509" s="2">
        <v>45912</v>
      </c>
      <c r="E509" s="172">
        <v>3</v>
      </c>
      <c r="F509" s="171">
        <v>45917</v>
      </c>
      <c r="G509" s="6">
        <v>1</v>
      </c>
      <c r="H509" s="6">
        <v>1</v>
      </c>
      <c r="M509"/>
      <c r="O509"/>
      <c r="P509"/>
      <c r="Q509"/>
    </row>
    <row r="510" spans="1:17" ht="14.4" hidden="1">
      <c r="A510" t="s">
        <v>184</v>
      </c>
      <c r="B510">
        <v>7</v>
      </c>
      <c r="C510" t="s">
        <v>588</v>
      </c>
      <c r="D510" s="2">
        <v>45912</v>
      </c>
      <c r="E510" s="172">
        <v>3</v>
      </c>
      <c r="F510" s="171">
        <v>45915</v>
      </c>
      <c r="G510" s="6">
        <v>1</v>
      </c>
      <c r="H510" s="6">
        <v>1</v>
      </c>
      <c r="M510"/>
      <c r="O510"/>
      <c r="P510"/>
      <c r="Q510"/>
    </row>
    <row r="511" spans="1:17" ht="14.4" hidden="1">
      <c r="A511" t="s">
        <v>184</v>
      </c>
      <c r="B511">
        <v>7.1</v>
      </c>
      <c r="C511" t="s">
        <v>589</v>
      </c>
      <c r="D511" s="2">
        <v>45912</v>
      </c>
      <c r="E511" s="172">
        <v>1</v>
      </c>
      <c r="F511" s="171">
        <v>45915</v>
      </c>
      <c r="G511" s="6">
        <v>1</v>
      </c>
      <c r="H511" s="6">
        <v>1</v>
      </c>
      <c r="M511"/>
      <c r="O511"/>
      <c r="P511"/>
      <c r="Q511"/>
    </row>
    <row r="512" spans="1:17" ht="14.4" hidden="1">
      <c r="A512" t="s">
        <v>184</v>
      </c>
      <c r="B512">
        <v>8</v>
      </c>
      <c r="C512" t="s">
        <v>590</v>
      </c>
      <c r="D512" s="2">
        <v>45915</v>
      </c>
      <c r="E512" s="172">
        <v>133</v>
      </c>
      <c r="F512" s="171">
        <v>46048</v>
      </c>
      <c r="G512" s="6">
        <v>0.95833333333333348</v>
      </c>
      <c r="H512" s="6">
        <v>1</v>
      </c>
      <c r="M512"/>
      <c r="O512"/>
      <c r="P512"/>
      <c r="Q512"/>
    </row>
    <row r="513" spans="1:17" ht="14.4" hidden="1">
      <c r="A513" t="s">
        <v>184</v>
      </c>
      <c r="B513">
        <v>8.1</v>
      </c>
      <c r="C513" t="s">
        <v>591</v>
      </c>
      <c r="D513" s="2">
        <v>45915</v>
      </c>
      <c r="E513" s="172">
        <v>2</v>
      </c>
      <c r="F513" s="171">
        <v>45917</v>
      </c>
      <c r="G513" s="6">
        <v>1</v>
      </c>
      <c r="H513" s="6">
        <v>1</v>
      </c>
      <c r="M513"/>
      <c r="O513"/>
      <c r="P513"/>
      <c r="Q513"/>
    </row>
    <row r="514" spans="1:17" ht="14.4" hidden="1">
      <c r="A514" t="s">
        <v>184</v>
      </c>
      <c r="B514">
        <v>8.1999999999999993</v>
      </c>
      <c r="C514" t="s">
        <v>592</v>
      </c>
      <c r="D514" s="2">
        <v>45916</v>
      </c>
      <c r="E514">
        <v>2</v>
      </c>
      <c r="F514" s="2">
        <v>45918</v>
      </c>
      <c r="G514" s="6">
        <v>1</v>
      </c>
      <c r="H514" s="6">
        <v>1</v>
      </c>
      <c r="M514"/>
      <c r="O514"/>
      <c r="P514"/>
      <c r="Q514"/>
    </row>
    <row r="515" spans="1:17" ht="14.4" hidden="1">
      <c r="A515" t="s">
        <v>184</v>
      </c>
      <c r="B515">
        <v>8.3000000000000007</v>
      </c>
      <c r="C515" t="s">
        <v>593</v>
      </c>
      <c r="D515" s="2">
        <v>45918</v>
      </c>
      <c r="E515">
        <v>5</v>
      </c>
      <c r="F515" s="2">
        <v>45926</v>
      </c>
      <c r="G515" s="6">
        <v>1</v>
      </c>
      <c r="H515" s="6">
        <v>1</v>
      </c>
      <c r="M515"/>
      <c r="O515"/>
      <c r="P515"/>
      <c r="Q515"/>
    </row>
    <row r="516" spans="1:17" ht="14.4" hidden="1">
      <c r="A516" t="s">
        <v>184</v>
      </c>
      <c r="B516">
        <v>8.4</v>
      </c>
      <c r="C516" t="s">
        <v>594</v>
      </c>
      <c r="D516" s="2">
        <v>45916</v>
      </c>
      <c r="E516">
        <v>4</v>
      </c>
      <c r="F516" s="2">
        <v>45922</v>
      </c>
      <c r="G516" s="6">
        <v>1</v>
      </c>
      <c r="H516" s="6">
        <v>1</v>
      </c>
      <c r="M516"/>
      <c r="O516"/>
      <c r="P516"/>
      <c r="Q516"/>
    </row>
    <row r="517" spans="1:17" ht="14.4" hidden="1">
      <c r="A517" t="s">
        <v>184</v>
      </c>
      <c r="B517">
        <v>8.5</v>
      </c>
      <c r="C517" t="s">
        <v>595</v>
      </c>
      <c r="D517" s="2">
        <v>46045</v>
      </c>
      <c r="E517">
        <v>1</v>
      </c>
      <c r="F517" s="2">
        <v>46048</v>
      </c>
      <c r="G517" s="6">
        <v>0</v>
      </c>
      <c r="H517" s="6">
        <v>1</v>
      </c>
      <c r="M517"/>
      <c r="O517"/>
      <c r="P517"/>
      <c r="Q517"/>
    </row>
    <row r="518" spans="1:17" ht="14.4" hidden="1">
      <c r="A518" t="s">
        <v>184</v>
      </c>
      <c r="B518">
        <v>8.6</v>
      </c>
      <c r="C518" t="s">
        <v>596</v>
      </c>
      <c r="D518" s="2">
        <v>45945</v>
      </c>
      <c r="E518">
        <v>10</v>
      </c>
      <c r="F518" s="2">
        <v>45959</v>
      </c>
      <c r="G518" s="6">
        <v>1</v>
      </c>
      <c r="H518" s="6">
        <v>1</v>
      </c>
      <c r="M518"/>
      <c r="O518"/>
      <c r="P518"/>
      <c r="Q518"/>
    </row>
    <row r="519" spans="1:17" ht="14.4" hidden="1">
      <c r="A519" t="s">
        <v>514</v>
      </c>
      <c r="B519">
        <v>1</v>
      </c>
      <c r="C519" t="s">
        <v>547</v>
      </c>
      <c r="D519" s="2">
        <v>45992</v>
      </c>
      <c r="E519">
        <v>127</v>
      </c>
      <c r="F519" s="2">
        <v>46119</v>
      </c>
      <c r="G519" s="6">
        <v>0.35714285714285715</v>
      </c>
      <c r="H519" s="6">
        <v>0.3482142857142857</v>
      </c>
      <c r="M519"/>
      <c r="O519"/>
      <c r="P519"/>
      <c r="Q519"/>
    </row>
    <row r="520" spans="1:17" ht="14.4" hidden="1">
      <c r="A520" t="s">
        <v>514</v>
      </c>
      <c r="B520" t="s">
        <v>548</v>
      </c>
      <c r="C520" t="s">
        <v>597</v>
      </c>
      <c r="D520" s="2">
        <v>46044</v>
      </c>
      <c r="E520">
        <v>1</v>
      </c>
      <c r="F520" s="2">
        <v>46045</v>
      </c>
      <c r="G520" s="6">
        <v>1</v>
      </c>
      <c r="H520" s="6">
        <v>1</v>
      </c>
      <c r="M520"/>
      <c r="O520"/>
      <c r="P520"/>
      <c r="Q520"/>
    </row>
    <row r="521" spans="1:17" ht="14.4" hidden="1">
      <c r="A521" t="s">
        <v>514</v>
      </c>
      <c r="B521" t="s">
        <v>550</v>
      </c>
      <c r="C521" t="s">
        <v>598</v>
      </c>
      <c r="D521" s="2">
        <v>46089</v>
      </c>
      <c r="E521">
        <v>15</v>
      </c>
      <c r="F521" s="2">
        <v>46108</v>
      </c>
      <c r="G521" s="6">
        <v>0</v>
      </c>
      <c r="H521" s="6">
        <v>0</v>
      </c>
      <c r="M521"/>
      <c r="O521"/>
      <c r="P521"/>
      <c r="Q521"/>
    </row>
    <row r="522" spans="1:17" ht="14.4" hidden="1">
      <c r="A522" t="s">
        <v>514</v>
      </c>
      <c r="B522" t="s">
        <v>552</v>
      </c>
      <c r="C522" t="s">
        <v>551</v>
      </c>
      <c r="D522" s="2">
        <v>46108</v>
      </c>
      <c r="E522">
        <v>1</v>
      </c>
      <c r="F522" s="2">
        <v>46111</v>
      </c>
      <c r="G522" s="6">
        <v>0</v>
      </c>
      <c r="H522" s="6">
        <v>0</v>
      </c>
      <c r="M522"/>
      <c r="O522"/>
      <c r="P522"/>
      <c r="Q522"/>
    </row>
    <row r="523" spans="1:17" ht="14.4" hidden="1">
      <c r="A523" t="s">
        <v>514</v>
      </c>
      <c r="B523" t="s">
        <v>554</v>
      </c>
      <c r="C523" t="s">
        <v>555</v>
      </c>
      <c r="D523" s="2">
        <v>46103</v>
      </c>
      <c r="E523">
        <v>1</v>
      </c>
      <c r="F523" s="2">
        <v>46104</v>
      </c>
      <c r="G523" s="6">
        <v>0</v>
      </c>
      <c r="H523" s="6">
        <v>0</v>
      </c>
      <c r="M523"/>
      <c r="O523"/>
      <c r="P523"/>
      <c r="Q523"/>
    </row>
    <row r="524" spans="1:17" ht="14.4" hidden="1">
      <c r="A524" t="s">
        <v>514</v>
      </c>
      <c r="B524" t="s">
        <v>556</v>
      </c>
      <c r="C524" t="s">
        <v>557</v>
      </c>
      <c r="D524" s="2">
        <v>46099</v>
      </c>
      <c r="E524">
        <v>1</v>
      </c>
      <c r="F524" s="2">
        <v>46100</v>
      </c>
      <c r="G524" s="6">
        <v>0</v>
      </c>
      <c r="H524" s="6">
        <v>0</v>
      </c>
      <c r="M524"/>
      <c r="O524"/>
      <c r="P524"/>
      <c r="Q524"/>
    </row>
    <row r="525" spans="1:17" ht="14.4" hidden="1">
      <c r="A525" t="s">
        <v>514</v>
      </c>
      <c r="B525">
        <v>2</v>
      </c>
      <c r="C525" t="s">
        <v>558</v>
      </c>
      <c r="D525" s="2">
        <v>46118</v>
      </c>
      <c r="E525">
        <v>1</v>
      </c>
      <c r="F525" s="2">
        <v>46119</v>
      </c>
      <c r="G525" s="6">
        <v>0</v>
      </c>
      <c r="H525" s="6">
        <v>0</v>
      </c>
      <c r="M525"/>
      <c r="O525"/>
      <c r="P525"/>
      <c r="Q525"/>
    </row>
    <row r="526" spans="1:17" ht="14.4" hidden="1">
      <c r="A526" t="s">
        <v>514</v>
      </c>
      <c r="B526" t="s">
        <v>559</v>
      </c>
      <c r="C526" t="s">
        <v>560</v>
      </c>
      <c r="D526" s="2">
        <v>46118</v>
      </c>
      <c r="E526">
        <v>1</v>
      </c>
      <c r="F526" s="2">
        <v>46119</v>
      </c>
      <c r="G526" s="6">
        <v>0</v>
      </c>
      <c r="H526" s="6">
        <v>0</v>
      </c>
      <c r="M526"/>
      <c r="O526"/>
      <c r="P526"/>
      <c r="Q526"/>
    </row>
    <row r="527" spans="1:17" ht="14.4" hidden="1">
      <c r="A527" t="s">
        <v>514</v>
      </c>
      <c r="B527">
        <v>3</v>
      </c>
      <c r="C527" t="s">
        <v>561</v>
      </c>
      <c r="D527" s="2">
        <v>46094</v>
      </c>
      <c r="E527">
        <v>47</v>
      </c>
      <c r="F527" s="2">
        <v>46141</v>
      </c>
      <c r="G527" s="6">
        <v>0</v>
      </c>
      <c r="H527" s="6">
        <v>0</v>
      </c>
      <c r="M527"/>
      <c r="O527"/>
      <c r="P527"/>
      <c r="Q527"/>
    </row>
    <row r="528" spans="1:17" ht="14.4" hidden="1">
      <c r="A528" t="s">
        <v>514</v>
      </c>
      <c r="B528" t="s">
        <v>562</v>
      </c>
      <c r="C528" t="s">
        <v>563</v>
      </c>
      <c r="D528" s="2">
        <v>46119</v>
      </c>
      <c r="E528">
        <v>1</v>
      </c>
      <c r="F528" s="2">
        <v>46120</v>
      </c>
      <c r="G528" s="6">
        <v>0</v>
      </c>
      <c r="H528" s="6">
        <v>0</v>
      </c>
      <c r="M528"/>
      <c r="O528"/>
      <c r="P528"/>
      <c r="Q528"/>
    </row>
    <row r="529" spans="1:8" ht="14.4" hidden="1">
      <c r="A529" t="s">
        <v>514</v>
      </c>
      <c r="B529" t="s">
        <v>564</v>
      </c>
      <c r="C529" t="s">
        <v>565</v>
      </c>
      <c r="D529" s="2">
        <v>46120</v>
      </c>
      <c r="E529">
        <v>1</v>
      </c>
      <c r="F529" s="2">
        <v>46121</v>
      </c>
      <c r="G529" s="6">
        <v>0</v>
      </c>
      <c r="H529" s="6">
        <v>0</v>
      </c>
    </row>
    <row r="530" spans="1:8" ht="14.4" hidden="1">
      <c r="A530" t="s">
        <v>514</v>
      </c>
      <c r="B530" t="s">
        <v>566</v>
      </c>
      <c r="C530" t="s">
        <v>567</v>
      </c>
      <c r="D530" s="2">
        <v>46094</v>
      </c>
      <c r="E530">
        <v>30</v>
      </c>
      <c r="F530" s="2">
        <v>46141</v>
      </c>
      <c r="G530" s="6">
        <v>0</v>
      </c>
      <c r="H530" s="6">
        <v>0</v>
      </c>
    </row>
    <row r="531" spans="1:8" ht="14.4" hidden="1">
      <c r="A531" t="s">
        <v>514</v>
      </c>
      <c r="B531" t="s">
        <v>568</v>
      </c>
      <c r="C531" t="s">
        <v>569</v>
      </c>
      <c r="D531" s="2">
        <v>46119</v>
      </c>
      <c r="E531">
        <v>15</v>
      </c>
      <c r="F531" s="2">
        <v>46141</v>
      </c>
      <c r="G531" s="6">
        <v>0</v>
      </c>
      <c r="H531" s="6">
        <v>0</v>
      </c>
    </row>
    <row r="532" spans="1:8" ht="14.4" hidden="1">
      <c r="A532" t="s">
        <v>514</v>
      </c>
      <c r="B532" t="s">
        <v>570</v>
      </c>
      <c r="C532" t="s">
        <v>571</v>
      </c>
      <c r="D532" s="2">
        <v>46119</v>
      </c>
      <c r="E532">
        <v>1</v>
      </c>
      <c r="F532" s="2">
        <v>46120</v>
      </c>
      <c r="G532" s="6">
        <v>0</v>
      </c>
      <c r="H532" s="6">
        <v>0</v>
      </c>
    </row>
    <row r="533" spans="1:8" ht="14.4" hidden="1">
      <c r="A533" t="s">
        <v>514</v>
      </c>
      <c r="B533">
        <v>4</v>
      </c>
      <c r="C533" t="s">
        <v>572</v>
      </c>
      <c r="D533" s="2">
        <v>46118</v>
      </c>
      <c r="E533">
        <v>57</v>
      </c>
      <c r="F533" s="2">
        <v>46175</v>
      </c>
      <c r="G533" s="6">
        <v>0</v>
      </c>
      <c r="H533" s="6">
        <v>0</v>
      </c>
    </row>
    <row r="534" spans="1:8" ht="14.4" hidden="1">
      <c r="A534" t="s">
        <v>514</v>
      </c>
      <c r="B534" t="s">
        <v>573</v>
      </c>
      <c r="C534" t="s">
        <v>574</v>
      </c>
      <c r="D534" s="2">
        <v>46118</v>
      </c>
      <c r="E534">
        <v>1</v>
      </c>
      <c r="F534" s="2">
        <v>46119</v>
      </c>
      <c r="G534" s="6">
        <v>0</v>
      </c>
      <c r="H534" s="6">
        <v>0</v>
      </c>
    </row>
    <row r="535" spans="1:8" ht="14.4" hidden="1">
      <c r="A535" t="s">
        <v>514</v>
      </c>
      <c r="B535" t="s">
        <v>575</v>
      </c>
      <c r="C535" t="s">
        <v>576</v>
      </c>
      <c r="D535" s="2">
        <v>46119</v>
      </c>
      <c r="E535">
        <v>5</v>
      </c>
      <c r="F535" s="2">
        <v>46126</v>
      </c>
      <c r="G535" s="6">
        <v>0</v>
      </c>
      <c r="H535" s="6">
        <v>0</v>
      </c>
    </row>
    <row r="536" spans="1:8" ht="14.4" hidden="1">
      <c r="A536" t="s">
        <v>514</v>
      </c>
      <c r="B536" t="s">
        <v>577</v>
      </c>
      <c r="C536" t="s">
        <v>578</v>
      </c>
      <c r="D536" s="2">
        <v>46118</v>
      </c>
      <c r="E536">
        <v>1</v>
      </c>
      <c r="F536" s="2">
        <v>46119</v>
      </c>
      <c r="G536" s="6">
        <v>0</v>
      </c>
      <c r="H536" s="6">
        <v>0</v>
      </c>
    </row>
    <row r="537" spans="1:8" ht="14.4" hidden="1">
      <c r="A537" t="s">
        <v>514</v>
      </c>
      <c r="B537" t="s">
        <v>579</v>
      </c>
      <c r="C537" t="s">
        <v>580</v>
      </c>
      <c r="D537" s="2">
        <v>46151</v>
      </c>
      <c r="E537">
        <v>17</v>
      </c>
      <c r="F537" s="2">
        <v>46175</v>
      </c>
      <c r="G537" s="6">
        <v>0</v>
      </c>
      <c r="H537" s="6">
        <v>0</v>
      </c>
    </row>
    <row r="538" spans="1:8" ht="14.4" hidden="1">
      <c r="A538" t="s">
        <v>514</v>
      </c>
      <c r="B538">
        <v>5</v>
      </c>
      <c r="C538" t="s">
        <v>581</v>
      </c>
      <c r="D538" s="2">
        <v>46118</v>
      </c>
      <c r="E538">
        <v>36</v>
      </c>
      <c r="F538" s="2">
        <v>46154</v>
      </c>
      <c r="G538" s="6">
        <v>0</v>
      </c>
      <c r="H538" s="6">
        <v>0</v>
      </c>
    </row>
    <row r="539" spans="1:8" ht="14.4" hidden="1">
      <c r="A539" t="s">
        <v>514</v>
      </c>
      <c r="B539" t="s">
        <v>582</v>
      </c>
      <c r="C539" t="s">
        <v>583</v>
      </c>
      <c r="D539" s="2">
        <v>46118</v>
      </c>
      <c r="E539">
        <v>1</v>
      </c>
      <c r="F539" s="2">
        <v>46119</v>
      </c>
      <c r="G539" s="6">
        <v>0</v>
      </c>
      <c r="H539" s="6">
        <v>0</v>
      </c>
    </row>
    <row r="540" spans="1:8" ht="14.4" hidden="1">
      <c r="A540" t="s">
        <v>514</v>
      </c>
      <c r="B540" t="s">
        <v>584</v>
      </c>
      <c r="C540" t="s">
        <v>585</v>
      </c>
      <c r="D540" s="2">
        <v>46126</v>
      </c>
      <c r="E540">
        <v>18</v>
      </c>
      <c r="F540" s="2">
        <v>46154</v>
      </c>
      <c r="G540" s="6">
        <v>0</v>
      </c>
      <c r="H540" s="6">
        <v>0</v>
      </c>
    </row>
    <row r="541" spans="1:8" ht="14.4" hidden="1">
      <c r="A541" t="s">
        <v>514</v>
      </c>
      <c r="B541">
        <v>6</v>
      </c>
      <c r="C541" t="s">
        <v>240</v>
      </c>
      <c r="D541" s="2">
        <v>46175</v>
      </c>
      <c r="E541">
        <v>15</v>
      </c>
      <c r="F541" s="2">
        <v>46190</v>
      </c>
      <c r="G541" s="6">
        <v>0</v>
      </c>
      <c r="H541" s="6">
        <v>0</v>
      </c>
    </row>
    <row r="542" spans="1:8" ht="14.4" hidden="1">
      <c r="A542" t="s">
        <v>514</v>
      </c>
      <c r="B542" t="s">
        <v>586</v>
      </c>
      <c r="C542" t="s">
        <v>240</v>
      </c>
      <c r="D542" s="2">
        <v>46175</v>
      </c>
      <c r="E542">
        <v>2</v>
      </c>
      <c r="F542" s="2">
        <v>46177</v>
      </c>
      <c r="G542" s="6">
        <v>0</v>
      </c>
      <c r="H542" s="6">
        <v>0</v>
      </c>
    </row>
    <row r="543" spans="1:8" ht="14.4" hidden="1">
      <c r="A543" t="s">
        <v>514</v>
      </c>
      <c r="B543" t="s">
        <v>587</v>
      </c>
      <c r="C543" t="s">
        <v>169</v>
      </c>
      <c r="D543" s="2">
        <v>46177</v>
      </c>
      <c r="E543">
        <v>3</v>
      </c>
      <c r="F543" s="2">
        <v>46182</v>
      </c>
      <c r="G543" s="6">
        <v>0</v>
      </c>
      <c r="H543" s="6">
        <v>0</v>
      </c>
    </row>
    <row r="544" spans="1:8" ht="14.4" hidden="1">
      <c r="A544" t="s">
        <v>514</v>
      </c>
      <c r="B544" t="s">
        <v>599</v>
      </c>
      <c r="C544" t="s">
        <v>593</v>
      </c>
      <c r="D544" s="2">
        <v>46182</v>
      </c>
      <c r="E544">
        <v>5</v>
      </c>
      <c r="F544" s="2">
        <v>46190</v>
      </c>
      <c r="G544" s="6">
        <v>0</v>
      </c>
      <c r="H544" s="6">
        <v>0</v>
      </c>
    </row>
    <row r="545" spans="1:8" ht="14.4" hidden="1">
      <c r="A545" t="s">
        <v>514</v>
      </c>
      <c r="B545">
        <v>7</v>
      </c>
      <c r="C545" t="s">
        <v>588</v>
      </c>
      <c r="D545" s="2">
        <v>46182</v>
      </c>
      <c r="E545">
        <v>9</v>
      </c>
      <c r="F545" s="2">
        <v>46191</v>
      </c>
      <c r="G545" s="6">
        <v>0</v>
      </c>
      <c r="H545" s="6">
        <v>0</v>
      </c>
    </row>
    <row r="546" spans="1:8" ht="14.4" hidden="1">
      <c r="A546" t="s">
        <v>514</v>
      </c>
      <c r="B546" t="s">
        <v>600</v>
      </c>
      <c r="C546" t="s">
        <v>589</v>
      </c>
      <c r="D546" s="2">
        <v>46182</v>
      </c>
      <c r="E546">
        <v>3</v>
      </c>
      <c r="F546" s="2">
        <v>46185</v>
      </c>
      <c r="G546" s="6">
        <v>0</v>
      </c>
      <c r="H546" s="6">
        <v>0</v>
      </c>
    </row>
    <row r="547" spans="1:8" ht="14.4" hidden="1">
      <c r="A547" t="s">
        <v>514</v>
      </c>
      <c r="B547" t="s">
        <v>601</v>
      </c>
      <c r="C547" t="s">
        <v>592</v>
      </c>
      <c r="D547" s="2">
        <v>46185</v>
      </c>
      <c r="E547">
        <v>3</v>
      </c>
      <c r="F547" s="2">
        <v>46191</v>
      </c>
      <c r="G547" s="6">
        <v>0</v>
      </c>
      <c r="H547" s="6">
        <v>0</v>
      </c>
    </row>
    <row r="548" spans="1:8" ht="14.4" hidden="1">
      <c r="A548" t="s">
        <v>514</v>
      </c>
      <c r="B548">
        <v>8</v>
      </c>
      <c r="C548" t="s">
        <v>590</v>
      </c>
      <c r="D548" s="2">
        <v>46185</v>
      </c>
      <c r="E548">
        <v>19</v>
      </c>
      <c r="F548" s="2">
        <v>46204</v>
      </c>
      <c r="G548" s="6">
        <v>0</v>
      </c>
      <c r="H548" s="6">
        <v>0</v>
      </c>
    </row>
    <row r="549" spans="1:8" ht="14.4" hidden="1">
      <c r="A549" t="s">
        <v>514</v>
      </c>
      <c r="B549" t="s">
        <v>602</v>
      </c>
      <c r="C549" t="s">
        <v>594</v>
      </c>
      <c r="D549" s="2">
        <v>46185</v>
      </c>
      <c r="E549">
        <v>7</v>
      </c>
      <c r="F549" s="2">
        <v>46197</v>
      </c>
      <c r="G549" s="6">
        <v>0</v>
      </c>
      <c r="H549" s="6">
        <v>0</v>
      </c>
    </row>
    <row r="550" spans="1:8" ht="14.4" hidden="1">
      <c r="A550" t="s">
        <v>514</v>
      </c>
      <c r="B550" t="s">
        <v>603</v>
      </c>
      <c r="C550" t="s">
        <v>595</v>
      </c>
      <c r="D550" s="2">
        <v>46197</v>
      </c>
      <c r="E550">
        <v>1</v>
      </c>
      <c r="F550" s="2">
        <v>46198</v>
      </c>
      <c r="G550" s="6">
        <v>0</v>
      </c>
      <c r="H550" s="6">
        <v>0</v>
      </c>
    </row>
    <row r="551" spans="1:8" ht="14.4" hidden="1">
      <c r="A551" t="s">
        <v>514</v>
      </c>
      <c r="B551" t="s">
        <v>604</v>
      </c>
      <c r="C551" t="s">
        <v>596</v>
      </c>
      <c r="D551" s="2">
        <v>46197</v>
      </c>
      <c r="E551">
        <v>5</v>
      </c>
      <c r="F551" s="2">
        <v>46204</v>
      </c>
      <c r="G551" s="6">
        <v>0</v>
      </c>
      <c r="H551" s="6">
        <v>0</v>
      </c>
    </row>
    <row r="552" spans="1:8" ht="14.4" hidden="1">
      <c r="A552" t="s">
        <v>187</v>
      </c>
      <c r="B552">
        <v>1</v>
      </c>
      <c r="C552" t="s">
        <v>547</v>
      </c>
      <c r="D552" s="2">
        <v>45769</v>
      </c>
      <c r="E552">
        <v>43</v>
      </c>
      <c r="F552" s="2">
        <v>45812</v>
      </c>
      <c r="G552" s="6">
        <v>1</v>
      </c>
      <c r="H552" s="6">
        <v>1</v>
      </c>
    </row>
    <row r="553" spans="1:8" ht="14.4" hidden="1">
      <c r="A553" t="s">
        <v>187</v>
      </c>
      <c r="B553" t="s">
        <v>548</v>
      </c>
      <c r="C553" t="s">
        <v>549</v>
      </c>
      <c r="D553" s="2">
        <v>45769</v>
      </c>
      <c r="E553">
        <v>1</v>
      </c>
      <c r="F553" s="2">
        <v>45770</v>
      </c>
      <c r="G553" s="6">
        <v>1</v>
      </c>
      <c r="H553" s="6">
        <v>1</v>
      </c>
    </row>
    <row r="554" spans="1:8" ht="14.4" hidden="1">
      <c r="A554" t="s">
        <v>187</v>
      </c>
      <c r="B554" t="s">
        <v>550</v>
      </c>
      <c r="C554" t="s">
        <v>551</v>
      </c>
      <c r="D554" s="2">
        <v>45811</v>
      </c>
      <c r="E554">
        <v>1</v>
      </c>
      <c r="F554" s="2">
        <v>45812</v>
      </c>
      <c r="G554" s="6">
        <v>1</v>
      </c>
      <c r="H554" s="6">
        <v>1</v>
      </c>
    </row>
    <row r="555" spans="1:8" ht="14.4" hidden="1">
      <c r="A555" t="s">
        <v>187</v>
      </c>
      <c r="B555" t="s">
        <v>552</v>
      </c>
      <c r="C555" t="s">
        <v>553</v>
      </c>
      <c r="D555" s="2">
        <v>45769</v>
      </c>
      <c r="E555">
        <v>10</v>
      </c>
      <c r="F555" s="2">
        <v>45784</v>
      </c>
      <c r="G555" s="6">
        <v>1</v>
      </c>
      <c r="H555" s="6">
        <v>1</v>
      </c>
    </row>
    <row r="556" spans="1:8" ht="14.4" hidden="1">
      <c r="A556" t="s">
        <v>187</v>
      </c>
      <c r="B556" t="s">
        <v>554</v>
      </c>
      <c r="C556" t="s">
        <v>555</v>
      </c>
      <c r="D556" s="2">
        <v>45804</v>
      </c>
      <c r="E556">
        <v>1</v>
      </c>
      <c r="F556" s="2">
        <v>45805</v>
      </c>
      <c r="G556" s="6">
        <v>1</v>
      </c>
      <c r="H556" s="6">
        <v>1</v>
      </c>
    </row>
    <row r="557" spans="1:8" ht="14.4" hidden="1">
      <c r="A557" t="s">
        <v>187</v>
      </c>
      <c r="B557" t="s">
        <v>556</v>
      </c>
      <c r="C557" t="s">
        <v>557</v>
      </c>
      <c r="D557" s="2">
        <v>45804</v>
      </c>
      <c r="E557">
        <v>1</v>
      </c>
      <c r="F557" s="2">
        <v>45805</v>
      </c>
      <c r="G557" s="6">
        <v>1</v>
      </c>
      <c r="H557" s="6">
        <v>1</v>
      </c>
    </row>
    <row r="558" spans="1:8" ht="14.4" hidden="1">
      <c r="A558" t="s">
        <v>187</v>
      </c>
      <c r="B558">
        <v>2</v>
      </c>
      <c r="C558" t="s">
        <v>558</v>
      </c>
      <c r="D558" s="2">
        <v>45818</v>
      </c>
      <c r="E558">
        <v>1</v>
      </c>
      <c r="F558" s="2">
        <v>45819</v>
      </c>
      <c r="G558" s="6">
        <v>1</v>
      </c>
      <c r="H558" s="6">
        <v>1</v>
      </c>
    </row>
    <row r="559" spans="1:8" ht="14.4" hidden="1">
      <c r="A559" t="s">
        <v>187</v>
      </c>
      <c r="B559" t="s">
        <v>559</v>
      </c>
      <c r="C559" t="s">
        <v>560</v>
      </c>
      <c r="D559" s="2">
        <v>45818</v>
      </c>
      <c r="E559">
        <v>1</v>
      </c>
      <c r="F559" s="2">
        <v>45819</v>
      </c>
      <c r="G559" s="6">
        <v>1</v>
      </c>
      <c r="H559" s="6">
        <v>1</v>
      </c>
    </row>
    <row r="560" spans="1:8" ht="14.4" hidden="1">
      <c r="A560" t="s">
        <v>187</v>
      </c>
      <c r="B560">
        <v>3</v>
      </c>
      <c r="C560" t="s">
        <v>561</v>
      </c>
      <c r="D560" s="2">
        <v>45797</v>
      </c>
      <c r="E560">
        <v>142</v>
      </c>
      <c r="F560" s="2">
        <v>45939</v>
      </c>
      <c r="G560" s="6">
        <v>1</v>
      </c>
      <c r="H560" s="6">
        <v>1</v>
      </c>
    </row>
    <row r="561" spans="1:8" ht="14.4" hidden="1">
      <c r="A561" t="s">
        <v>187</v>
      </c>
      <c r="B561" t="s">
        <v>562</v>
      </c>
      <c r="C561" t="s">
        <v>563</v>
      </c>
      <c r="D561" s="2">
        <v>45797</v>
      </c>
      <c r="E561">
        <v>1</v>
      </c>
      <c r="F561" s="2">
        <v>45798</v>
      </c>
      <c r="G561" s="6">
        <v>1</v>
      </c>
      <c r="H561" s="6">
        <v>1</v>
      </c>
    </row>
    <row r="562" spans="1:8" ht="14.4" hidden="1">
      <c r="A562" t="s">
        <v>187</v>
      </c>
      <c r="B562" t="s">
        <v>564</v>
      </c>
      <c r="C562" t="s">
        <v>565</v>
      </c>
      <c r="D562" s="2">
        <v>45861</v>
      </c>
      <c r="E562">
        <v>2</v>
      </c>
      <c r="F562" s="2">
        <v>45863</v>
      </c>
      <c r="G562" s="6">
        <v>1</v>
      </c>
      <c r="H562" s="6">
        <v>1</v>
      </c>
    </row>
    <row r="563" spans="1:8" ht="14.4" hidden="1">
      <c r="A563" t="s">
        <v>187</v>
      </c>
      <c r="B563" t="s">
        <v>566</v>
      </c>
      <c r="C563" t="s">
        <v>567</v>
      </c>
      <c r="D563" s="2">
        <v>45797</v>
      </c>
      <c r="E563">
        <v>35</v>
      </c>
      <c r="F563" s="2">
        <v>45847</v>
      </c>
      <c r="G563" s="6">
        <v>1</v>
      </c>
      <c r="H563" s="6">
        <v>1</v>
      </c>
    </row>
    <row r="564" spans="1:8" ht="14.4" hidden="1">
      <c r="A564" t="s">
        <v>187</v>
      </c>
      <c r="B564" t="s">
        <v>568</v>
      </c>
      <c r="C564" t="s">
        <v>569</v>
      </c>
      <c r="D564" s="2">
        <v>45871</v>
      </c>
      <c r="E564">
        <v>2</v>
      </c>
      <c r="F564" s="2">
        <v>45874</v>
      </c>
      <c r="G564" s="6">
        <v>1</v>
      </c>
      <c r="H564" s="6">
        <v>1</v>
      </c>
    </row>
    <row r="565" spans="1:8" ht="14.4" hidden="1">
      <c r="A565" t="s">
        <v>187</v>
      </c>
      <c r="B565" t="s">
        <v>570</v>
      </c>
      <c r="C565" t="s">
        <v>571</v>
      </c>
      <c r="D565" s="2">
        <v>45937</v>
      </c>
      <c r="E565">
        <v>2</v>
      </c>
      <c r="F565" s="2">
        <v>45939</v>
      </c>
      <c r="G565" s="6">
        <v>1</v>
      </c>
      <c r="H565" s="6">
        <v>1</v>
      </c>
    </row>
    <row r="566" spans="1:8" ht="14.4" hidden="1">
      <c r="A566" t="s">
        <v>187</v>
      </c>
      <c r="B566">
        <v>4</v>
      </c>
      <c r="C566" t="s">
        <v>572</v>
      </c>
      <c r="D566" s="2">
        <v>45797</v>
      </c>
      <c r="E566">
        <v>195</v>
      </c>
      <c r="F566" s="2">
        <v>45992</v>
      </c>
      <c r="G566" s="6">
        <v>1</v>
      </c>
      <c r="H566" s="6">
        <v>1</v>
      </c>
    </row>
    <row r="567" spans="1:8" ht="14.4" hidden="1">
      <c r="A567" t="s">
        <v>187</v>
      </c>
      <c r="B567" t="s">
        <v>573</v>
      </c>
      <c r="C567" t="s">
        <v>613</v>
      </c>
      <c r="E567"/>
      <c r="G567" s="6">
        <v>0</v>
      </c>
      <c r="H567" s="6">
        <v>0</v>
      </c>
    </row>
    <row r="568" spans="1:8" ht="14.4" hidden="1">
      <c r="A568" t="s">
        <v>187</v>
      </c>
      <c r="B568" t="s">
        <v>573</v>
      </c>
      <c r="C568" t="s">
        <v>574</v>
      </c>
      <c r="D568" s="2">
        <v>45803</v>
      </c>
      <c r="E568">
        <v>1</v>
      </c>
      <c r="F568" s="2">
        <v>45804</v>
      </c>
      <c r="G568" s="6">
        <v>1</v>
      </c>
      <c r="H568" s="6">
        <v>1</v>
      </c>
    </row>
    <row r="569" spans="1:8" ht="14.4" hidden="1">
      <c r="A569" t="s">
        <v>187</v>
      </c>
      <c r="B569" t="s">
        <v>575</v>
      </c>
      <c r="C569" t="s">
        <v>576</v>
      </c>
      <c r="D569" s="2">
        <v>45938</v>
      </c>
      <c r="E569">
        <v>15</v>
      </c>
      <c r="F569" s="2">
        <v>45959</v>
      </c>
      <c r="G569" s="6">
        <v>1</v>
      </c>
      <c r="H569" s="6">
        <v>1</v>
      </c>
    </row>
    <row r="570" spans="1:8" ht="14.4" hidden="1">
      <c r="A570" t="s">
        <v>187</v>
      </c>
      <c r="B570" t="s">
        <v>577</v>
      </c>
      <c r="C570" t="s">
        <v>578</v>
      </c>
      <c r="D570" s="2">
        <v>45797</v>
      </c>
      <c r="E570">
        <v>1</v>
      </c>
      <c r="F570" s="2">
        <v>45798</v>
      </c>
      <c r="G570" s="6">
        <v>1</v>
      </c>
      <c r="H570" s="6">
        <v>1</v>
      </c>
    </row>
    <row r="571" spans="1:8" ht="14.4" hidden="1">
      <c r="A571" t="s">
        <v>187</v>
      </c>
      <c r="B571" t="s">
        <v>577</v>
      </c>
      <c r="C571" t="s">
        <v>580</v>
      </c>
      <c r="D571" s="2">
        <v>45956</v>
      </c>
      <c r="E571">
        <v>26</v>
      </c>
      <c r="F571" s="2">
        <v>45992</v>
      </c>
      <c r="G571" s="6">
        <v>1</v>
      </c>
      <c r="H571" s="6">
        <v>1</v>
      </c>
    </row>
    <row r="572" spans="1:8" ht="14.4" hidden="1">
      <c r="A572" t="s">
        <v>187</v>
      </c>
      <c r="B572">
        <v>5</v>
      </c>
      <c r="C572" t="s">
        <v>581</v>
      </c>
      <c r="D572" s="2">
        <v>45818</v>
      </c>
      <c r="E572">
        <v>168</v>
      </c>
      <c r="F572" s="2">
        <v>45986</v>
      </c>
      <c r="G572" s="6">
        <v>1</v>
      </c>
      <c r="H572" s="6">
        <v>1</v>
      </c>
    </row>
    <row r="573" spans="1:8" ht="14.4" hidden="1">
      <c r="A573" t="s">
        <v>187</v>
      </c>
      <c r="B573" t="s">
        <v>582</v>
      </c>
      <c r="C573" t="s">
        <v>583</v>
      </c>
      <c r="D573" s="2">
        <v>45818</v>
      </c>
      <c r="E573">
        <v>1</v>
      </c>
      <c r="F573" s="2">
        <v>45819</v>
      </c>
      <c r="G573" s="6">
        <v>1</v>
      </c>
      <c r="H573" s="6">
        <v>1</v>
      </c>
    </row>
    <row r="574" spans="1:8" ht="14.4" hidden="1">
      <c r="A574" t="s">
        <v>187</v>
      </c>
      <c r="B574" t="s">
        <v>584</v>
      </c>
      <c r="C574" t="s">
        <v>585</v>
      </c>
      <c r="D574" s="2">
        <v>45959</v>
      </c>
      <c r="E574">
        <v>19</v>
      </c>
      <c r="F574" s="2">
        <v>45986</v>
      </c>
      <c r="G574" s="6">
        <v>1</v>
      </c>
      <c r="H574" s="6">
        <v>1</v>
      </c>
    </row>
    <row r="575" spans="1:8" ht="14.4" hidden="1">
      <c r="A575" t="s">
        <v>187</v>
      </c>
      <c r="B575">
        <v>6</v>
      </c>
      <c r="C575" t="s">
        <v>240</v>
      </c>
      <c r="D575" s="2">
        <v>45992</v>
      </c>
      <c r="E575">
        <v>3</v>
      </c>
      <c r="F575" s="2">
        <v>45995</v>
      </c>
      <c r="G575" s="6">
        <v>1</v>
      </c>
      <c r="H575" s="6">
        <v>1</v>
      </c>
    </row>
    <row r="576" spans="1:8" ht="14.4" hidden="1">
      <c r="A576" t="s">
        <v>187</v>
      </c>
      <c r="B576" t="s">
        <v>586</v>
      </c>
      <c r="C576" t="s">
        <v>240</v>
      </c>
      <c r="D576" s="2">
        <v>45992</v>
      </c>
      <c r="E576">
        <v>1</v>
      </c>
      <c r="F576" s="2">
        <v>45993</v>
      </c>
      <c r="G576" s="6">
        <v>1</v>
      </c>
      <c r="H576" s="6">
        <v>1</v>
      </c>
    </row>
    <row r="577" spans="1:8" ht="14.4" hidden="1">
      <c r="A577" t="s">
        <v>187</v>
      </c>
      <c r="B577" t="s">
        <v>587</v>
      </c>
      <c r="C577" t="s">
        <v>169</v>
      </c>
      <c r="D577" s="2">
        <v>45993</v>
      </c>
      <c r="E577">
        <v>2</v>
      </c>
      <c r="F577" s="2">
        <v>45995</v>
      </c>
      <c r="G577" s="6">
        <v>1</v>
      </c>
      <c r="H577" s="6">
        <v>1</v>
      </c>
    </row>
    <row r="578" spans="1:8" ht="14.4" hidden="1">
      <c r="A578" t="s">
        <v>187</v>
      </c>
      <c r="B578">
        <v>7</v>
      </c>
      <c r="C578" t="s">
        <v>588</v>
      </c>
      <c r="D578" s="2">
        <v>45995</v>
      </c>
      <c r="E578">
        <v>1</v>
      </c>
      <c r="F578" s="2">
        <v>45996</v>
      </c>
      <c r="G578" s="6">
        <v>1</v>
      </c>
      <c r="H578" s="6">
        <v>1</v>
      </c>
    </row>
    <row r="579" spans="1:8" ht="14.4" hidden="1">
      <c r="A579" t="s">
        <v>187</v>
      </c>
      <c r="B579">
        <v>7.1</v>
      </c>
      <c r="C579" t="s">
        <v>589</v>
      </c>
      <c r="D579" s="2">
        <v>45995</v>
      </c>
      <c r="E579">
        <v>1</v>
      </c>
      <c r="F579" s="2">
        <v>45996</v>
      </c>
      <c r="G579" s="6">
        <v>1</v>
      </c>
      <c r="H579" s="6">
        <v>1</v>
      </c>
    </row>
    <row r="580" spans="1:8" ht="14.4" hidden="1">
      <c r="A580" t="s">
        <v>187</v>
      </c>
      <c r="B580">
        <v>8</v>
      </c>
      <c r="C580" t="s">
        <v>590</v>
      </c>
      <c r="D580" s="2">
        <v>45996</v>
      </c>
      <c r="E580">
        <v>81</v>
      </c>
      <c r="F580" s="2">
        <v>46077</v>
      </c>
      <c r="G580" s="6">
        <v>0.32083333333333336</v>
      </c>
      <c r="H580" s="6">
        <v>0.52352219395282285</v>
      </c>
    </row>
    <row r="581" spans="1:8" ht="14.4" hidden="1">
      <c r="A581" t="s">
        <v>187</v>
      </c>
      <c r="B581">
        <v>8.1</v>
      </c>
      <c r="C581" t="s">
        <v>591</v>
      </c>
      <c r="D581" s="2">
        <v>45996</v>
      </c>
      <c r="E581">
        <v>2</v>
      </c>
      <c r="F581" s="2">
        <v>46000</v>
      </c>
      <c r="G581" s="6">
        <v>1</v>
      </c>
      <c r="H581" s="6">
        <v>1</v>
      </c>
    </row>
    <row r="582" spans="1:8" ht="14.4" hidden="1">
      <c r="A582" t="s">
        <v>187</v>
      </c>
      <c r="B582">
        <v>8.1999999999999993</v>
      </c>
      <c r="C582" t="s">
        <v>592</v>
      </c>
      <c r="D582" s="2">
        <v>46056</v>
      </c>
      <c r="E582">
        <v>14</v>
      </c>
      <c r="F582" s="2">
        <v>46076</v>
      </c>
      <c r="G582" s="6">
        <v>0.1</v>
      </c>
      <c r="H582" s="6">
        <v>0.45</v>
      </c>
    </row>
    <row r="583" spans="1:8" ht="14.4" hidden="1">
      <c r="A583" t="s">
        <v>187</v>
      </c>
      <c r="B583">
        <v>8.3000000000000007</v>
      </c>
      <c r="C583" t="s">
        <v>593</v>
      </c>
      <c r="D583" s="2">
        <v>46035</v>
      </c>
      <c r="E583">
        <v>5</v>
      </c>
      <c r="F583" s="2">
        <v>46042</v>
      </c>
      <c r="G583" s="6">
        <v>1</v>
      </c>
      <c r="H583" s="6">
        <v>1</v>
      </c>
    </row>
    <row r="584" spans="1:8" ht="14.4" hidden="1">
      <c r="A584" t="s">
        <v>187</v>
      </c>
      <c r="B584">
        <v>8.4</v>
      </c>
      <c r="C584" t="s">
        <v>594</v>
      </c>
      <c r="D584" s="2">
        <v>46056</v>
      </c>
      <c r="E584">
        <v>9</v>
      </c>
      <c r="F584" s="2">
        <v>46069</v>
      </c>
      <c r="G584" s="6">
        <v>0.35</v>
      </c>
      <c r="H584" s="6">
        <v>0.69230769230769229</v>
      </c>
    </row>
    <row r="585" spans="1:8" ht="14.4" hidden="1">
      <c r="A585" t="s">
        <v>187</v>
      </c>
      <c r="B585">
        <v>8.5</v>
      </c>
      <c r="C585" t="s">
        <v>595</v>
      </c>
      <c r="D585" s="2">
        <v>46073</v>
      </c>
      <c r="E585">
        <v>1</v>
      </c>
      <c r="F585" s="2">
        <v>46076</v>
      </c>
      <c r="G585" s="6">
        <v>0</v>
      </c>
      <c r="H585" s="6">
        <v>0</v>
      </c>
    </row>
    <row r="586" spans="1:8" ht="14.4" hidden="1">
      <c r="A586" t="s">
        <v>187</v>
      </c>
      <c r="B586">
        <v>8.6</v>
      </c>
      <c r="C586" t="s">
        <v>596</v>
      </c>
      <c r="D586" s="2">
        <v>46070</v>
      </c>
      <c r="E586">
        <v>5</v>
      </c>
      <c r="F586" s="2">
        <v>46077</v>
      </c>
      <c r="G586" s="6">
        <v>0</v>
      </c>
      <c r="H586" s="6">
        <v>0</v>
      </c>
    </row>
    <row r="587" spans="1:8" ht="14.4" hidden="1">
      <c r="A587" t="s">
        <v>9265</v>
      </c>
      <c r="B587">
        <v>1</v>
      </c>
      <c r="C587" t="s">
        <v>9266</v>
      </c>
      <c r="D587" s="2">
        <v>46077</v>
      </c>
      <c r="E587">
        <v>3</v>
      </c>
      <c r="F587" s="2">
        <v>46080</v>
      </c>
      <c r="G587" s="6">
        <v>0</v>
      </c>
    </row>
    <row r="588" spans="1:8" ht="14.4" hidden="1">
      <c r="A588" t="s">
        <v>9265</v>
      </c>
      <c r="B588" t="s">
        <v>548</v>
      </c>
      <c r="C588" t="s">
        <v>803</v>
      </c>
      <c r="D588" s="2">
        <v>46077</v>
      </c>
      <c r="E588">
        <v>1</v>
      </c>
      <c r="F588" s="2">
        <v>46078</v>
      </c>
      <c r="G588" s="6">
        <v>0</v>
      </c>
      <c r="H588" s="6">
        <v>0</v>
      </c>
    </row>
    <row r="589" spans="1:8" ht="14.4" hidden="1">
      <c r="A589" t="s">
        <v>9265</v>
      </c>
      <c r="B589" t="s">
        <v>550</v>
      </c>
      <c r="C589" t="s">
        <v>553</v>
      </c>
      <c r="D589" s="2">
        <v>46078</v>
      </c>
      <c r="E589">
        <v>2</v>
      </c>
      <c r="F589" s="2">
        <v>46080</v>
      </c>
      <c r="G589" s="6">
        <v>0</v>
      </c>
      <c r="H589" s="6">
        <v>0</v>
      </c>
    </row>
    <row r="590" spans="1:8" ht="14.4" hidden="1">
      <c r="A590" t="s">
        <v>9265</v>
      </c>
      <c r="B590" t="s">
        <v>552</v>
      </c>
      <c r="C590" t="s">
        <v>804</v>
      </c>
      <c r="D590" s="2">
        <v>46077</v>
      </c>
      <c r="E590">
        <v>1</v>
      </c>
      <c r="F590" s="2">
        <v>46078</v>
      </c>
      <c r="G590" s="6">
        <v>0</v>
      </c>
      <c r="H590" s="6">
        <v>0</v>
      </c>
    </row>
    <row r="591" spans="1:8" ht="14.4" hidden="1">
      <c r="A591" t="s">
        <v>9265</v>
      </c>
      <c r="B591" t="s">
        <v>554</v>
      </c>
      <c r="C591" t="s">
        <v>558</v>
      </c>
      <c r="D591" s="2">
        <v>46078</v>
      </c>
      <c r="E591">
        <v>1</v>
      </c>
      <c r="F591" s="2">
        <v>46079</v>
      </c>
      <c r="G591" s="6">
        <v>0</v>
      </c>
      <c r="H591" s="6">
        <v>0</v>
      </c>
    </row>
    <row r="592" spans="1:8" ht="14.4" hidden="1">
      <c r="A592" t="s">
        <v>9265</v>
      </c>
      <c r="B592">
        <v>1</v>
      </c>
      <c r="C592" t="s">
        <v>9267</v>
      </c>
      <c r="D592" s="2">
        <v>46077</v>
      </c>
      <c r="E592">
        <v>3</v>
      </c>
      <c r="F592" s="2">
        <v>46080</v>
      </c>
    </row>
    <row r="593" spans="1:8" ht="14.4" hidden="1">
      <c r="A593" t="s">
        <v>9265</v>
      </c>
      <c r="B593" t="s">
        <v>548</v>
      </c>
      <c r="C593" t="s">
        <v>37</v>
      </c>
      <c r="D593" s="2">
        <v>46077</v>
      </c>
      <c r="E593">
        <v>1</v>
      </c>
      <c r="F593" s="2">
        <v>46078</v>
      </c>
      <c r="G593" s="6">
        <v>0</v>
      </c>
      <c r="H593" s="6">
        <v>0</v>
      </c>
    </row>
    <row r="594" spans="1:8" ht="14.4" hidden="1">
      <c r="A594" t="s">
        <v>9265</v>
      </c>
      <c r="B594" t="s">
        <v>550</v>
      </c>
      <c r="C594" t="s">
        <v>806</v>
      </c>
      <c r="D594" s="2">
        <v>46078</v>
      </c>
      <c r="E594">
        <v>2</v>
      </c>
      <c r="F594" s="2">
        <v>46080</v>
      </c>
      <c r="G594" s="6">
        <v>0</v>
      </c>
      <c r="H594" s="6">
        <v>0</v>
      </c>
    </row>
    <row r="595" spans="1:8" ht="14.4" hidden="1">
      <c r="A595" t="s">
        <v>9265</v>
      </c>
      <c r="B595" t="s">
        <v>552</v>
      </c>
      <c r="C595" t="s">
        <v>807</v>
      </c>
      <c r="D595" s="2">
        <v>46077</v>
      </c>
      <c r="E595">
        <v>1</v>
      </c>
      <c r="F595" s="2">
        <v>46078</v>
      </c>
      <c r="G595" s="6">
        <v>0</v>
      </c>
      <c r="H595" s="6">
        <v>0</v>
      </c>
    </row>
    <row r="596" spans="1:8" ht="14.4" hidden="1">
      <c r="A596" t="s">
        <v>9265</v>
      </c>
      <c r="B596" t="s">
        <v>554</v>
      </c>
      <c r="C596" t="s">
        <v>808</v>
      </c>
      <c r="D596" s="2">
        <v>46078</v>
      </c>
      <c r="E596">
        <v>1</v>
      </c>
      <c r="F596" s="2">
        <v>46079</v>
      </c>
      <c r="G596" s="6">
        <v>0</v>
      </c>
      <c r="H596" s="6">
        <v>0</v>
      </c>
    </row>
    <row r="597" spans="1:8" ht="14.4" hidden="1">
      <c r="A597" t="s">
        <v>9265</v>
      </c>
      <c r="B597">
        <v>1</v>
      </c>
      <c r="C597" t="s">
        <v>9268</v>
      </c>
      <c r="D597" s="2">
        <v>46077</v>
      </c>
      <c r="E597">
        <v>3</v>
      </c>
      <c r="F597" s="2">
        <v>46080</v>
      </c>
    </row>
    <row r="598" spans="1:8" ht="14.4" hidden="1">
      <c r="A598" t="s">
        <v>9265</v>
      </c>
      <c r="B598" t="s">
        <v>548</v>
      </c>
      <c r="C598" t="s">
        <v>810</v>
      </c>
      <c r="D598" s="2">
        <v>46077</v>
      </c>
      <c r="E598">
        <v>1</v>
      </c>
      <c r="F598" s="2">
        <v>46078</v>
      </c>
      <c r="G598" s="6">
        <v>0</v>
      </c>
      <c r="H598" s="6">
        <v>0</v>
      </c>
    </row>
    <row r="599" spans="1:8" ht="14.4" hidden="1">
      <c r="A599" t="s">
        <v>9265</v>
      </c>
      <c r="B599" t="s">
        <v>550</v>
      </c>
      <c r="C599" t="s">
        <v>159</v>
      </c>
      <c r="D599" s="2">
        <v>46078</v>
      </c>
      <c r="E599">
        <v>2</v>
      </c>
      <c r="F599" s="2">
        <v>46080</v>
      </c>
      <c r="G599" s="6">
        <v>0</v>
      </c>
      <c r="H599" s="6">
        <v>0</v>
      </c>
    </row>
    <row r="600" spans="1:8" ht="14.4" hidden="1">
      <c r="A600" t="s">
        <v>9265</v>
      </c>
      <c r="B600" t="s">
        <v>552</v>
      </c>
      <c r="C600" t="s">
        <v>813</v>
      </c>
      <c r="D600" s="2">
        <v>46077</v>
      </c>
      <c r="E600">
        <v>1</v>
      </c>
      <c r="F600" s="2">
        <v>46078</v>
      </c>
      <c r="G600" s="6">
        <v>0</v>
      </c>
      <c r="H600" s="6">
        <v>0</v>
      </c>
    </row>
    <row r="601" spans="1:8" ht="14.4" hidden="1">
      <c r="A601" t="s">
        <v>9265</v>
      </c>
      <c r="B601" t="s">
        <v>554</v>
      </c>
      <c r="C601" t="s">
        <v>815</v>
      </c>
      <c r="D601" s="2">
        <v>46078</v>
      </c>
      <c r="E601">
        <v>1</v>
      </c>
      <c r="F601" s="2">
        <v>46079</v>
      </c>
      <c r="G601" s="6">
        <v>0</v>
      </c>
      <c r="H601" s="6">
        <v>0</v>
      </c>
    </row>
    <row r="602" spans="1:8" ht="14.4" hidden="1">
      <c r="A602" t="s">
        <v>192</v>
      </c>
      <c r="B602">
        <v>1</v>
      </c>
      <c r="C602" t="s">
        <v>547</v>
      </c>
      <c r="D602" s="2">
        <v>45776</v>
      </c>
      <c r="E602">
        <v>17</v>
      </c>
      <c r="F602" s="2">
        <v>45793</v>
      </c>
      <c r="G602" s="6">
        <v>1</v>
      </c>
      <c r="H602" s="6">
        <v>1</v>
      </c>
    </row>
    <row r="603" spans="1:8" ht="14.4" hidden="1">
      <c r="A603" t="s">
        <v>192</v>
      </c>
      <c r="B603" t="s">
        <v>548</v>
      </c>
      <c r="C603" t="s">
        <v>549</v>
      </c>
      <c r="D603" s="2">
        <v>45790</v>
      </c>
      <c r="E603">
        <v>1</v>
      </c>
      <c r="F603" s="2">
        <v>45791</v>
      </c>
      <c r="G603" s="6">
        <v>1</v>
      </c>
      <c r="H603" s="6">
        <v>1</v>
      </c>
    </row>
    <row r="604" spans="1:8" ht="14.4" hidden="1">
      <c r="A604" t="s">
        <v>192</v>
      </c>
      <c r="B604" t="s">
        <v>550</v>
      </c>
      <c r="C604" t="s">
        <v>551</v>
      </c>
      <c r="D604" s="2">
        <v>45792</v>
      </c>
      <c r="E604">
        <v>1</v>
      </c>
      <c r="F604" s="2">
        <v>45793</v>
      </c>
      <c r="G604" s="6">
        <v>1</v>
      </c>
      <c r="H604" s="6">
        <v>1</v>
      </c>
    </row>
    <row r="605" spans="1:8" ht="14.4" hidden="1">
      <c r="A605" t="s">
        <v>192</v>
      </c>
      <c r="B605" t="s">
        <v>552</v>
      </c>
      <c r="C605" t="s">
        <v>553</v>
      </c>
      <c r="D605" s="2">
        <v>45776</v>
      </c>
      <c r="E605">
        <v>10</v>
      </c>
      <c r="F605" s="2">
        <v>45791</v>
      </c>
      <c r="G605" s="6">
        <v>1</v>
      </c>
      <c r="H605" s="6">
        <v>1</v>
      </c>
    </row>
    <row r="606" spans="1:8" ht="14.4" hidden="1">
      <c r="A606" t="s">
        <v>192</v>
      </c>
      <c r="B606" t="s">
        <v>554</v>
      </c>
      <c r="C606" t="s">
        <v>555</v>
      </c>
      <c r="D606" s="2">
        <v>45791</v>
      </c>
      <c r="E606">
        <v>1</v>
      </c>
      <c r="F606" s="2">
        <v>45792</v>
      </c>
      <c r="G606" s="6">
        <v>1</v>
      </c>
      <c r="H606" s="6">
        <v>1</v>
      </c>
    </row>
    <row r="607" spans="1:8" ht="14.4" hidden="1">
      <c r="A607" t="s">
        <v>192</v>
      </c>
      <c r="B607" t="s">
        <v>556</v>
      </c>
      <c r="C607" t="s">
        <v>557</v>
      </c>
      <c r="D607" s="2">
        <v>45785</v>
      </c>
      <c r="E607">
        <v>1</v>
      </c>
      <c r="F607" s="2">
        <v>45786</v>
      </c>
      <c r="G607" s="6">
        <v>1</v>
      </c>
      <c r="H607" s="6">
        <v>1</v>
      </c>
    </row>
    <row r="608" spans="1:8" ht="14.4" hidden="1">
      <c r="A608" t="s">
        <v>192</v>
      </c>
      <c r="B608">
        <v>2</v>
      </c>
      <c r="C608" t="s">
        <v>558</v>
      </c>
      <c r="D608" s="2">
        <v>45929</v>
      </c>
      <c r="E608">
        <v>1</v>
      </c>
      <c r="F608" s="2">
        <v>45930</v>
      </c>
      <c r="G608" s="6">
        <v>1</v>
      </c>
      <c r="H608" s="6">
        <v>1</v>
      </c>
    </row>
    <row r="609" spans="1:8" ht="14.4" hidden="1">
      <c r="A609" t="s">
        <v>192</v>
      </c>
      <c r="B609" t="s">
        <v>559</v>
      </c>
      <c r="C609" t="s">
        <v>560</v>
      </c>
      <c r="D609" s="2">
        <v>45929</v>
      </c>
      <c r="E609">
        <v>1</v>
      </c>
      <c r="F609" s="2">
        <v>45930</v>
      </c>
      <c r="G609" s="6">
        <v>1</v>
      </c>
      <c r="H609" s="6">
        <v>1</v>
      </c>
    </row>
    <row r="610" spans="1:8" ht="14.4" hidden="1">
      <c r="A610" t="s">
        <v>192</v>
      </c>
      <c r="B610">
        <v>3</v>
      </c>
      <c r="C610" t="s">
        <v>561</v>
      </c>
      <c r="D610" s="2">
        <v>45835</v>
      </c>
      <c r="E610">
        <v>115</v>
      </c>
      <c r="F610" s="2">
        <v>45950</v>
      </c>
      <c r="G610" s="6">
        <v>1</v>
      </c>
      <c r="H610" s="6">
        <v>1</v>
      </c>
    </row>
    <row r="611" spans="1:8" ht="14.4" hidden="1">
      <c r="A611" t="s">
        <v>192</v>
      </c>
      <c r="B611" t="s">
        <v>562</v>
      </c>
      <c r="C611" t="s">
        <v>563</v>
      </c>
      <c r="D611" s="2">
        <v>45835</v>
      </c>
      <c r="E611">
        <v>1</v>
      </c>
      <c r="F611" s="2">
        <v>45838</v>
      </c>
      <c r="G611" s="6">
        <v>1</v>
      </c>
      <c r="H611" s="6">
        <v>1</v>
      </c>
    </row>
    <row r="612" spans="1:8" ht="14.4" hidden="1">
      <c r="A612" t="s">
        <v>192</v>
      </c>
      <c r="B612" t="s">
        <v>564</v>
      </c>
      <c r="C612" t="s">
        <v>565</v>
      </c>
      <c r="D612" s="2">
        <v>45932</v>
      </c>
      <c r="E612">
        <v>5</v>
      </c>
      <c r="F612" s="2">
        <v>45939</v>
      </c>
      <c r="G612" s="6">
        <v>1</v>
      </c>
      <c r="H612" s="6">
        <v>1</v>
      </c>
    </row>
    <row r="613" spans="1:8" ht="14.4" hidden="1">
      <c r="A613" t="s">
        <v>192</v>
      </c>
      <c r="B613" t="s">
        <v>566</v>
      </c>
      <c r="C613" t="s">
        <v>567</v>
      </c>
      <c r="D613" s="2">
        <v>45901</v>
      </c>
      <c r="E613">
        <v>29</v>
      </c>
      <c r="F613" s="2">
        <v>45943</v>
      </c>
      <c r="G613" s="6">
        <v>1</v>
      </c>
      <c r="H613" s="6">
        <v>1</v>
      </c>
    </row>
    <row r="614" spans="1:8" ht="14.4" hidden="1">
      <c r="A614" t="s">
        <v>192</v>
      </c>
      <c r="B614" t="s">
        <v>568</v>
      </c>
      <c r="C614" t="s">
        <v>569</v>
      </c>
      <c r="D614" s="2">
        <v>45932</v>
      </c>
      <c r="E614">
        <v>12</v>
      </c>
      <c r="F614" s="2">
        <v>45950</v>
      </c>
      <c r="G614" s="6">
        <v>1</v>
      </c>
      <c r="H614" s="6">
        <v>1</v>
      </c>
    </row>
    <row r="615" spans="1:8" ht="14.4" hidden="1">
      <c r="A615" t="s">
        <v>192</v>
      </c>
      <c r="B615" t="s">
        <v>570</v>
      </c>
      <c r="C615" t="s">
        <v>571</v>
      </c>
      <c r="D615" s="2">
        <v>45947</v>
      </c>
      <c r="E615">
        <v>1</v>
      </c>
      <c r="F615" s="2">
        <v>45950</v>
      </c>
      <c r="G615" s="6">
        <v>1</v>
      </c>
      <c r="H615" s="6">
        <v>1</v>
      </c>
    </row>
    <row r="616" spans="1:8" ht="14.4" hidden="1">
      <c r="A616" t="s">
        <v>192</v>
      </c>
      <c r="B616">
        <v>4</v>
      </c>
      <c r="C616" t="s">
        <v>572</v>
      </c>
      <c r="D616" s="2">
        <v>45835</v>
      </c>
      <c r="E616">
        <v>166</v>
      </c>
      <c r="F616" s="2">
        <v>46001</v>
      </c>
      <c r="G616" s="6">
        <v>1</v>
      </c>
      <c r="H616" s="6">
        <v>1</v>
      </c>
    </row>
    <row r="617" spans="1:8" ht="14.4" hidden="1">
      <c r="A617" t="s">
        <v>192</v>
      </c>
      <c r="B617" t="s">
        <v>573</v>
      </c>
      <c r="C617" t="s">
        <v>613</v>
      </c>
      <c r="E617"/>
      <c r="G617" s="6">
        <v>0</v>
      </c>
      <c r="H617" s="6">
        <v>0</v>
      </c>
    </row>
    <row r="618" spans="1:8" ht="14.4" hidden="1">
      <c r="A618" t="s">
        <v>192</v>
      </c>
      <c r="B618" t="s">
        <v>573</v>
      </c>
      <c r="C618" t="s">
        <v>574</v>
      </c>
      <c r="D618" s="2">
        <v>45835</v>
      </c>
      <c r="E618">
        <v>1</v>
      </c>
      <c r="F618" s="2">
        <v>45838</v>
      </c>
      <c r="G618" s="6">
        <v>1</v>
      </c>
      <c r="H618" s="6">
        <v>1</v>
      </c>
    </row>
    <row r="619" spans="1:8" ht="14.4" hidden="1">
      <c r="A619" t="s">
        <v>192</v>
      </c>
      <c r="B619" t="s">
        <v>575</v>
      </c>
      <c r="C619" t="s">
        <v>576</v>
      </c>
      <c r="D619" s="2">
        <v>45932</v>
      </c>
      <c r="E619">
        <v>25</v>
      </c>
      <c r="F619" s="2">
        <v>45967</v>
      </c>
      <c r="G619" s="6">
        <v>1</v>
      </c>
      <c r="H619" s="6">
        <v>1</v>
      </c>
    </row>
    <row r="620" spans="1:8" ht="14.4" hidden="1">
      <c r="A620" t="s">
        <v>192</v>
      </c>
      <c r="B620" t="s">
        <v>577</v>
      </c>
      <c r="C620" t="s">
        <v>578</v>
      </c>
      <c r="D620" s="2">
        <v>45835</v>
      </c>
      <c r="E620">
        <v>1</v>
      </c>
      <c r="F620" s="2">
        <v>45838</v>
      </c>
      <c r="G620" s="6">
        <v>1</v>
      </c>
      <c r="H620" s="6">
        <v>1</v>
      </c>
    </row>
    <row r="621" spans="1:8" ht="14.4" hidden="1">
      <c r="A621" t="s">
        <v>192</v>
      </c>
      <c r="B621" t="s">
        <v>579</v>
      </c>
      <c r="C621" t="s">
        <v>580</v>
      </c>
      <c r="D621" s="2">
        <v>45982</v>
      </c>
      <c r="E621">
        <v>13</v>
      </c>
      <c r="F621" s="2">
        <v>46001</v>
      </c>
      <c r="G621" s="6">
        <v>1</v>
      </c>
      <c r="H621" s="6">
        <v>1</v>
      </c>
    </row>
    <row r="622" spans="1:8" ht="14.4" hidden="1">
      <c r="A622" t="s">
        <v>192</v>
      </c>
      <c r="B622">
        <v>5</v>
      </c>
      <c r="C622" t="s">
        <v>581</v>
      </c>
      <c r="D622" s="2">
        <v>45835</v>
      </c>
      <c r="E622">
        <v>157</v>
      </c>
      <c r="F622" s="2">
        <v>45992</v>
      </c>
      <c r="G622" s="6">
        <v>1</v>
      </c>
      <c r="H622" s="6">
        <v>1</v>
      </c>
    </row>
    <row r="623" spans="1:8" ht="14.4" hidden="1">
      <c r="A623" t="s">
        <v>192</v>
      </c>
      <c r="B623" t="s">
        <v>582</v>
      </c>
      <c r="C623" t="s">
        <v>583</v>
      </c>
      <c r="D623" s="2">
        <v>45835</v>
      </c>
      <c r="E623">
        <v>1</v>
      </c>
      <c r="F623" s="2">
        <v>45838</v>
      </c>
      <c r="G623" s="6">
        <v>1</v>
      </c>
      <c r="H623" s="6">
        <v>1</v>
      </c>
    </row>
    <row r="624" spans="1:8" ht="14.4" hidden="1">
      <c r="A624" t="s">
        <v>192</v>
      </c>
      <c r="B624" t="s">
        <v>584</v>
      </c>
      <c r="C624" t="s">
        <v>585</v>
      </c>
      <c r="D624" s="2">
        <v>45957</v>
      </c>
      <c r="E624">
        <v>25</v>
      </c>
      <c r="F624" s="2">
        <v>45992</v>
      </c>
      <c r="G624" s="6">
        <v>1</v>
      </c>
      <c r="H624" s="6">
        <v>1</v>
      </c>
    </row>
    <row r="625" spans="1:8" ht="14.4" hidden="1">
      <c r="A625" t="s">
        <v>192</v>
      </c>
      <c r="B625">
        <v>6</v>
      </c>
      <c r="C625" t="s">
        <v>240</v>
      </c>
      <c r="D625" s="2">
        <v>46001</v>
      </c>
      <c r="E625">
        <v>2</v>
      </c>
      <c r="F625" s="2">
        <v>46003</v>
      </c>
      <c r="G625" s="6">
        <v>1</v>
      </c>
      <c r="H625" s="6">
        <v>1</v>
      </c>
    </row>
    <row r="626" spans="1:8" ht="14.4" hidden="1">
      <c r="A626" t="s">
        <v>192</v>
      </c>
      <c r="B626" t="s">
        <v>586</v>
      </c>
      <c r="C626" t="s">
        <v>240</v>
      </c>
      <c r="D626" s="2">
        <v>46001</v>
      </c>
      <c r="E626">
        <v>1</v>
      </c>
      <c r="F626" s="2">
        <v>46002</v>
      </c>
      <c r="G626" s="6">
        <v>1</v>
      </c>
      <c r="H626" s="6">
        <v>1</v>
      </c>
    </row>
    <row r="627" spans="1:8" ht="14.4" hidden="1">
      <c r="A627" t="s">
        <v>192</v>
      </c>
      <c r="B627" t="s">
        <v>587</v>
      </c>
      <c r="C627" t="s">
        <v>169</v>
      </c>
      <c r="D627" s="2">
        <v>46002</v>
      </c>
      <c r="E627">
        <v>1</v>
      </c>
      <c r="F627" s="2">
        <v>46003</v>
      </c>
      <c r="G627" s="6">
        <v>1</v>
      </c>
      <c r="H627" s="6">
        <v>1</v>
      </c>
    </row>
    <row r="628" spans="1:8" ht="14.4" hidden="1">
      <c r="A628" t="s">
        <v>192</v>
      </c>
      <c r="B628">
        <v>7</v>
      </c>
      <c r="C628" t="s">
        <v>588</v>
      </c>
      <c r="D628" s="2">
        <v>46003</v>
      </c>
      <c r="E628">
        <v>32</v>
      </c>
      <c r="F628" s="2">
        <v>46035</v>
      </c>
      <c r="G628" s="6">
        <v>1</v>
      </c>
      <c r="H628" s="6">
        <v>1</v>
      </c>
    </row>
    <row r="629" spans="1:8" ht="14.4" hidden="1">
      <c r="A629" t="s">
        <v>192</v>
      </c>
      <c r="B629">
        <v>7.1</v>
      </c>
      <c r="C629" t="s">
        <v>589</v>
      </c>
      <c r="D629" s="2">
        <v>46003</v>
      </c>
      <c r="E629">
        <v>20</v>
      </c>
      <c r="F629" s="2">
        <v>46035</v>
      </c>
      <c r="G629" s="6">
        <v>1</v>
      </c>
      <c r="H629" s="6">
        <v>1</v>
      </c>
    </row>
    <row r="630" spans="1:8" ht="14.4" hidden="1">
      <c r="A630" t="s">
        <v>192</v>
      </c>
      <c r="B630" t="s">
        <v>601</v>
      </c>
      <c r="C630" t="s">
        <v>900</v>
      </c>
      <c r="D630" s="2">
        <v>46045</v>
      </c>
      <c r="E630">
        <v>1</v>
      </c>
      <c r="F630" s="2">
        <v>46048</v>
      </c>
      <c r="G630" s="6">
        <v>1</v>
      </c>
      <c r="H630" s="6">
        <v>1</v>
      </c>
    </row>
    <row r="631" spans="1:8" ht="14.4" hidden="1">
      <c r="A631" t="s">
        <v>192</v>
      </c>
      <c r="B631">
        <v>8</v>
      </c>
      <c r="C631" t="s">
        <v>590</v>
      </c>
      <c r="D631" s="2">
        <v>46034</v>
      </c>
      <c r="E631">
        <v>38</v>
      </c>
      <c r="F631" s="2">
        <v>46072</v>
      </c>
      <c r="G631" s="6">
        <v>0.56086956521739129</v>
      </c>
      <c r="H631" s="6">
        <v>0.76659851415461333</v>
      </c>
    </row>
    <row r="632" spans="1:8" ht="14.4" hidden="1">
      <c r="A632" t="s">
        <v>192</v>
      </c>
      <c r="B632">
        <v>8.1</v>
      </c>
      <c r="C632" t="s">
        <v>591</v>
      </c>
      <c r="D632" s="2">
        <v>46035</v>
      </c>
      <c r="E632">
        <v>2</v>
      </c>
      <c r="F632" s="2">
        <v>46037</v>
      </c>
      <c r="G632" s="6">
        <v>0.9</v>
      </c>
      <c r="H632" s="6">
        <v>1</v>
      </c>
    </row>
    <row r="633" spans="1:8" ht="14.4" hidden="1">
      <c r="A633" t="s">
        <v>192</v>
      </c>
      <c r="B633">
        <v>8.1999999999999993</v>
      </c>
      <c r="C633" t="s">
        <v>592</v>
      </c>
      <c r="D633" s="2">
        <v>46048</v>
      </c>
      <c r="E633">
        <v>12</v>
      </c>
      <c r="F633" s="2">
        <v>46064</v>
      </c>
      <c r="G633" s="6">
        <v>0.45</v>
      </c>
      <c r="H633" s="6">
        <v>1</v>
      </c>
    </row>
    <row r="634" spans="1:8" ht="14.4" hidden="1">
      <c r="A634" t="s">
        <v>192</v>
      </c>
      <c r="B634">
        <v>8.3000000000000007</v>
      </c>
      <c r="C634" t="s">
        <v>593</v>
      </c>
      <c r="D634" s="2">
        <v>46034</v>
      </c>
      <c r="E634">
        <v>4</v>
      </c>
      <c r="F634" s="2">
        <v>46038</v>
      </c>
      <c r="G634" s="6">
        <v>0.8</v>
      </c>
      <c r="H634" s="6">
        <v>1</v>
      </c>
    </row>
    <row r="635" spans="1:8" ht="14.4" hidden="1">
      <c r="A635" t="s">
        <v>192</v>
      </c>
      <c r="B635">
        <v>8.4</v>
      </c>
      <c r="C635" t="s">
        <v>594</v>
      </c>
      <c r="D635" s="2">
        <v>46034</v>
      </c>
      <c r="E635">
        <v>22</v>
      </c>
      <c r="F635" s="2">
        <v>46064</v>
      </c>
      <c r="G635" s="6">
        <v>0.7</v>
      </c>
      <c r="H635" s="6">
        <v>1</v>
      </c>
    </row>
    <row r="636" spans="1:8" ht="14.4" hidden="1">
      <c r="A636" t="s">
        <v>192</v>
      </c>
      <c r="B636">
        <v>8.5</v>
      </c>
      <c r="C636" t="s">
        <v>595</v>
      </c>
      <c r="D636" s="2">
        <v>46071</v>
      </c>
      <c r="E636">
        <v>1</v>
      </c>
      <c r="F636" s="2">
        <v>46072</v>
      </c>
      <c r="G636" s="6">
        <v>0</v>
      </c>
      <c r="H636" s="6">
        <v>0</v>
      </c>
    </row>
    <row r="637" spans="1:8" ht="14.4" hidden="1">
      <c r="A637" t="s">
        <v>192</v>
      </c>
      <c r="B637">
        <v>8.6</v>
      </c>
      <c r="C637" t="s">
        <v>596</v>
      </c>
      <c r="D637" s="2">
        <v>46061</v>
      </c>
      <c r="E637">
        <v>5</v>
      </c>
      <c r="F637" s="2">
        <v>46066</v>
      </c>
      <c r="G637" s="6">
        <v>0</v>
      </c>
      <c r="H637" s="6">
        <v>0.6</v>
      </c>
    </row>
    <row r="638" spans="1:8" ht="14.4" hidden="1">
      <c r="A638" t="s">
        <v>197</v>
      </c>
      <c r="B638">
        <v>1</v>
      </c>
      <c r="C638" t="s">
        <v>547</v>
      </c>
      <c r="D638" s="2">
        <v>45776</v>
      </c>
      <c r="E638">
        <v>17</v>
      </c>
      <c r="F638" s="2">
        <v>45793</v>
      </c>
      <c r="G638" s="6">
        <v>1</v>
      </c>
      <c r="H638" s="6">
        <v>1</v>
      </c>
    </row>
    <row r="639" spans="1:8" ht="14.4" hidden="1">
      <c r="A639" t="s">
        <v>197</v>
      </c>
      <c r="B639" t="s">
        <v>548</v>
      </c>
      <c r="C639" t="s">
        <v>549</v>
      </c>
      <c r="D639" s="2">
        <v>45790</v>
      </c>
      <c r="E639">
        <v>1</v>
      </c>
      <c r="F639" s="2">
        <v>45791</v>
      </c>
      <c r="G639" s="6">
        <v>1</v>
      </c>
      <c r="H639" s="6">
        <v>1</v>
      </c>
    </row>
    <row r="640" spans="1:8" ht="14.4" hidden="1">
      <c r="A640" t="s">
        <v>197</v>
      </c>
      <c r="B640" t="s">
        <v>550</v>
      </c>
      <c r="C640" t="s">
        <v>551</v>
      </c>
      <c r="D640" s="2">
        <v>45792</v>
      </c>
      <c r="E640">
        <v>1</v>
      </c>
      <c r="F640" s="2">
        <v>45793</v>
      </c>
      <c r="G640" s="6">
        <v>1</v>
      </c>
      <c r="H640" s="6">
        <v>1</v>
      </c>
    </row>
    <row r="641" spans="1:8" ht="14.4" hidden="1">
      <c r="A641" t="s">
        <v>197</v>
      </c>
      <c r="B641" t="s">
        <v>552</v>
      </c>
      <c r="C641" t="s">
        <v>553</v>
      </c>
      <c r="D641" s="2">
        <v>45776</v>
      </c>
      <c r="E641">
        <v>10</v>
      </c>
      <c r="F641" s="2">
        <v>45791</v>
      </c>
      <c r="G641" s="6">
        <v>1</v>
      </c>
      <c r="H641" s="6">
        <v>1</v>
      </c>
    </row>
    <row r="642" spans="1:8" ht="14.4" hidden="1">
      <c r="A642" t="s">
        <v>197</v>
      </c>
      <c r="B642" t="s">
        <v>554</v>
      </c>
      <c r="C642" t="s">
        <v>555</v>
      </c>
      <c r="D642" s="2">
        <v>45791</v>
      </c>
      <c r="E642">
        <v>1</v>
      </c>
      <c r="F642" s="2">
        <v>45792</v>
      </c>
      <c r="G642" s="6">
        <v>1</v>
      </c>
      <c r="H642" s="6">
        <v>1</v>
      </c>
    </row>
    <row r="643" spans="1:8" ht="14.4" hidden="1">
      <c r="A643" t="s">
        <v>197</v>
      </c>
      <c r="B643" t="s">
        <v>556</v>
      </c>
      <c r="C643" t="s">
        <v>557</v>
      </c>
      <c r="D643" s="2">
        <v>45785</v>
      </c>
      <c r="E643">
        <v>1</v>
      </c>
      <c r="F643" s="2">
        <v>45786</v>
      </c>
      <c r="G643" s="6">
        <v>1</v>
      </c>
      <c r="H643" s="6">
        <v>1</v>
      </c>
    </row>
    <row r="644" spans="1:8" ht="14.4" hidden="1">
      <c r="A644" t="s">
        <v>197</v>
      </c>
      <c r="B644">
        <v>2</v>
      </c>
      <c r="C644" t="s">
        <v>558</v>
      </c>
      <c r="D644" s="2">
        <v>45799</v>
      </c>
      <c r="E644">
        <v>1</v>
      </c>
      <c r="F644" s="2">
        <v>45800</v>
      </c>
      <c r="G644" s="6">
        <v>1</v>
      </c>
      <c r="H644" s="6">
        <v>1</v>
      </c>
    </row>
    <row r="645" spans="1:8" ht="14.4" hidden="1">
      <c r="A645" t="s">
        <v>197</v>
      </c>
      <c r="B645" t="s">
        <v>559</v>
      </c>
      <c r="C645" t="s">
        <v>560</v>
      </c>
      <c r="D645" s="2">
        <v>45799</v>
      </c>
      <c r="E645">
        <v>1</v>
      </c>
      <c r="F645" s="2">
        <v>45800</v>
      </c>
      <c r="G645" s="6">
        <v>1</v>
      </c>
      <c r="H645" s="6">
        <v>1</v>
      </c>
    </row>
    <row r="646" spans="1:8" ht="14.4" hidden="1">
      <c r="A646" t="s">
        <v>197</v>
      </c>
      <c r="B646">
        <v>3</v>
      </c>
      <c r="C646" t="s">
        <v>561</v>
      </c>
      <c r="D646" s="2">
        <v>45778</v>
      </c>
      <c r="E646">
        <v>156</v>
      </c>
      <c r="F646" s="2">
        <v>45934</v>
      </c>
      <c r="G646" s="6">
        <v>1</v>
      </c>
      <c r="H646" s="6">
        <v>1</v>
      </c>
    </row>
    <row r="647" spans="1:8" ht="14.4" hidden="1">
      <c r="A647" t="s">
        <v>197</v>
      </c>
      <c r="B647" t="s">
        <v>562</v>
      </c>
      <c r="C647" t="s">
        <v>563</v>
      </c>
      <c r="D647" s="2">
        <v>45805</v>
      </c>
      <c r="E647">
        <v>1</v>
      </c>
      <c r="F647" s="2">
        <v>45806</v>
      </c>
      <c r="G647" s="6">
        <v>1</v>
      </c>
      <c r="H647" s="6">
        <v>1</v>
      </c>
    </row>
    <row r="648" spans="1:8" ht="14.4" hidden="1">
      <c r="A648" t="s">
        <v>197</v>
      </c>
      <c r="B648" t="s">
        <v>564</v>
      </c>
      <c r="C648" t="s">
        <v>565</v>
      </c>
      <c r="D648" s="2">
        <v>45862</v>
      </c>
      <c r="E648">
        <v>5</v>
      </c>
      <c r="F648" s="2">
        <v>45869</v>
      </c>
      <c r="G648" s="6">
        <v>1</v>
      </c>
      <c r="H648" s="6">
        <v>1</v>
      </c>
    </row>
    <row r="649" spans="1:8" ht="14.4" hidden="1">
      <c r="A649" t="s">
        <v>197</v>
      </c>
      <c r="B649" t="s">
        <v>566</v>
      </c>
      <c r="C649" t="s">
        <v>567</v>
      </c>
      <c r="D649" s="2">
        <v>45778</v>
      </c>
      <c r="E649">
        <v>40</v>
      </c>
      <c r="F649" s="2">
        <v>45835</v>
      </c>
      <c r="G649" s="6">
        <v>1</v>
      </c>
      <c r="H649" s="6">
        <v>1</v>
      </c>
    </row>
    <row r="650" spans="1:8" ht="14.4" hidden="1">
      <c r="A650" t="s">
        <v>197</v>
      </c>
      <c r="B650" t="s">
        <v>568</v>
      </c>
      <c r="C650" t="s">
        <v>569</v>
      </c>
      <c r="D650" s="2">
        <v>45862</v>
      </c>
      <c r="E650">
        <v>49</v>
      </c>
      <c r="F650" s="2">
        <v>45911</v>
      </c>
      <c r="G650" s="6">
        <v>1</v>
      </c>
      <c r="H650" s="6">
        <v>1</v>
      </c>
    </row>
    <row r="651" spans="1:8" ht="14.4" hidden="1">
      <c r="A651" t="s">
        <v>197</v>
      </c>
      <c r="B651" t="s">
        <v>570</v>
      </c>
      <c r="C651" t="s">
        <v>571</v>
      </c>
      <c r="D651" s="2">
        <v>45934</v>
      </c>
      <c r="E651">
        <v>0</v>
      </c>
      <c r="F651" s="2">
        <v>45934</v>
      </c>
      <c r="G651" s="6">
        <v>1</v>
      </c>
      <c r="H651" s="6">
        <v>1</v>
      </c>
    </row>
    <row r="652" spans="1:8" ht="14.4" hidden="1">
      <c r="A652" t="s">
        <v>197</v>
      </c>
      <c r="B652">
        <v>4</v>
      </c>
      <c r="C652" t="s">
        <v>572</v>
      </c>
      <c r="D652" s="2">
        <v>45800</v>
      </c>
      <c r="E652">
        <v>132</v>
      </c>
      <c r="F652" s="2">
        <v>45932</v>
      </c>
      <c r="G652" s="6">
        <v>1</v>
      </c>
      <c r="H652" s="6">
        <v>1</v>
      </c>
    </row>
    <row r="653" spans="1:8" ht="14.4" hidden="1">
      <c r="A653" t="s">
        <v>197</v>
      </c>
      <c r="B653" t="s">
        <v>573</v>
      </c>
      <c r="C653" t="s">
        <v>613</v>
      </c>
      <c r="E653"/>
      <c r="G653" s="6">
        <v>0</v>
      </c>
    </row>
    <row r="654" spans="1:8" ht="14.4" hidden="1">
      <c r="A654" t="s">
        <v>197</v>
      </c>
      <c r="B654" t="s">
        <v>573</v>
      </c>
      <c r="C654" t="s">
        <v>574</v>
      </c>
      <c r="D654" s="2">
        <v>45800</v>
      </c>
      <c r="E654">
        <v>1</v>
      </c>
      <c r="F654" s="2">
        <v>45803</v>
      </c>
      <c r="G654" s="6">
        <v>1</v>
      </c>
      <c r="H654" s="6">
        <v>1</v>
      </c>
    </row>
    <row r="655" spans="1:8" ht="14.4" hidden="1">
      <c r="A655" t="s">
        <v>197</v>
      </c>
      <c r="B655" t="s">
        <v>575</v>
      </c>
      <c r="C655" t="s">
        <v>576</v>
      </c>
      <c r="D655" s="2">
        <v>45803</v>
      </c>
      <c r="E655">
        <v>15</v>
      </c>
      <c r="F655" s="2">
        <v>45825</v>
      </c>
      <c r="G655" s="6">
        <v>1</v>
      </c>
      <c r="H655" s="6">
        <v>1</v>
      </c>
    </row>
    <row r="656" spans="1:8" ht="14.4" hidden="1">
      <c r="A656" t="s">
        <v>197</v>
      </c>
      <c r="B656" t="s">
        <v>577</v>
      </c>
      <c r="C656" t="s">
        <v>578</v>
      </c>
      <c r="D656" s="2">
        <v>45800</v>
      </c>
      <c r="E656">
        <v>1</v>
      </c>
      <c r="F656" s="2">
        <v>45803</v>
      </c>
      <c r="G656" s="6">
        <v>1</v>
      </c>
      <c r="H656" s="6">
        <v>1</v>
      </c>
    </row>
    <row r="657" spans="1:8" ht="14.4" hidden="1">
      <c r="A657" t="s">
        <v>197</v>
      </c>
      <c r="B657" t="s">
        <v>577</v>
      </c>
      <c r="C657" t="s">
        <v>580</v>
      </c>
      <c r="D657" s="2">
        <v>45822</v>
      </c>
      <c r="E657">
        <v>77</v>
      </c>
      <c r="F657" s="2">
        <v>45932</v>
      </c>
      <c r="G657" s="6">
        <v>1</v>
      </c>
      <c r="H657" s="6">
        <v>1</v>
      </c>
    </row>
    <row r="658" spans="1:8" ht="14.4" hidden="1">
      <c r="A658" t="s">
        <v>197</v>
      </c>
      <c r="B658">
        <v>5</v>
      </c>
      <c r="C658" t="s">
        <v>581</v>
      </c>
      <c r="D658" s="2">
        <v>45818</v>
      </c>
      <c r="E658">
        <v>115</v>
      </c>
      <c r="F658" s="2">
        <v>45933</v>
      </c>
      <c r="G658" s="6">
        <v>1</v>
      </c>
      <c r="H658" s="6">
        <v>1</v>
      </c>
    </row>
    <row r="659" spans="1:8" ht="14.4" hidden="1">
      <c r="A659" t="s">
        <v>197</v>
      </c>
      <c r="B659" t="s">
        <v>582</v>
      </c>
      <c r="C659" t="s">
        <v>583</v>
      </c>
      <c r="D659" s="2">
        <v>45818</v>
      </c>
      <c r="E659">
        <v>1</v>
      </c>
      <c r="F659" s="2">
        <v>45819</v>
      </c>
      <c r="G659" s="6">
        <v>1</v>
      </c>
      <c r="H659" s="6">
        <v>1</v>
      </c>
    </row>
    <row r="660" spans="1:8" ht="14.4" hidden="1">
      <c r="A660" t="s">
        <v>197</v>
      </c>
      <c r="B660" t="s">
        <v>584</v>
      </c>
      <c r="C660" t="s">
        <v>585</v>
      </c>
      <c r="D660" s="2">
        <v>45826</v>
      </c>
      <c r="E660">
        <v>76</v>
      </c>
      <c r="F660" s="2">
        <v>45933</v>
      </c>
      <c r="G660" s="6">
        <v>1</v>
      </c>
      <c r="H660" s="6">
        <v>1</v>
      </c>
    </row>
    <row r="661" spans="1:8" ht="14.4" hidden="1">
      <c r="A661" t="s">
        <v>197</v>
      </c>
      <c r="B661">
        <v>6</v>
      </c>
      <c r="C661" t="s">
        <v>240</v>
      </c>
      <c r="D661" s="2">
        <v>45934</v>
      </c>
      <c r="E661">
        <v>3</v>
      </c>
      <c r="F661" s="2">
        <v>45937</v>
      </c>
      <c r="G661" s="6">
        <v>1</v>
      </c>
      <c r="H661" s="6">
        <v>1</v>
      </c>
    </row>
    <row r="662" spans="1:8" ht="14.4" hidden="1">
      <c r="A662" t="s">
        <v>197</v>
      </c>
      <c r="B662" t="s">
        <v>586</v>
      </c>
      <c r="C662" t="s">
        <v>240</v>
      </c>
      <c r="D662" s="2">
        <v>45934</v>
      </c>
      <c r="E662">
        <v>1</v>
      </c>
      <c r="F662" s="2">
        <v>45936</v>
      </c>
      <c r="G662" s="6">
        <v>1</v>
      </c>
      <c r="H662" s="6">
        <v>1</v>
      </c>
    </row>
    <row r="663" spans="1:8" ht="14.4" hidden="1">
      <c r="A663" t="s">
        <v>197</v>
      </c>
      <c r="B663" t="s">
        <v>587</v>
      </c>
      <c r="C663" t="s">
        <v>169</v>
      </c>
      <c r="D663" s="2">
        <v>45936</v>
      </c>
      <c r="E663">
        <v>1</v>
      </c>
      <c r="F663" s="2">
        <v>45937</v>
      </c>
      <c r="G663" s="6">
        <v>1</v>
      </c>
      <c r="H663" s="6">
        <v>1</v>
      </c>
    </row>
    <row r="664" spans="1:8" ht="14.4" hidden="1">
      <c r="A664" t="s">
        <v>197</v>
      </c>
      <c r="B664">
        <v>7</v>
      </c>
      <c r="C664" t="s">
        <v>588</v>
      </c>
      <c r="D664" s="2">
        <v>45937</v>
      </c>
      <c r="E664">
        <v>7</v>
      </c>
      <c r="F664" s="2">
        <v>45944</v>
      </c>
      <c r="G664" s="6">
        <v>1</v>
      </c>
      <c r="H664" s="6">
        <v>1</v>
      </c>
    </row>
    <row r="665" spans="1:8" ht="14.4" hidden="1">
      <c r="A665" t="s">
        <v>197</v>
      </c>
      <c r="B665">
        <v>7.1</v>
      </c>
      <c r="C665" t="s">
        <v>589</v>
      </c>
      <c r="D665" s="2">
        <v>45937</v>
      </c>
      <c r="E665">
        <v>5</v>
      </c>
      <c r="F665" s="2">
        <v>45944</v>
      </c>
      <c r="G665" s="6">
        <v>1</v>
      </c>
      <c r="H665" s="6">
        <v>1</v>
      </c>
    </row>
    <row r="666" spans="1:8" ht="14.4" hidden="1">
      <c r="A666" t="s">
        <v>197</v>
      </c>
      <c r="B666">
        <v>8</v>
      </c>
      <c r="C666" t="s">
        <v>590</v>
      </c>
      <c r="D666" s="2">
        <v>45944</v>
      </c>
      <c r="E666">
        <v>135</v>
      </c>
      <c r="F666" s="2">
        <v>46079</v>
      </c>
      <c r="G666" s="6">
        <v>1</v>
      </c>
      <c r="H666" s="6">
        <v>1</v>
      </c>
    </row>
    <row r="667" spans="1:8" ht="14.4" hidden="1">
      <c r="A667" t="s">
        <v>197</v>
      </c>
      <c r="B667">
        <v>8.1</v>
      </c>
      <c r="C667" t="s">
        <v>591</v>
      </c>
      <c r="D667" s="2">
        <v>45944</v>
      </c>
      <c r="E667">
        <v>2</v>
      </c>
      <c r="F667" s="2">
        <v>45946</v>
      </c>
      <c r="G667" s="6">
        <v>1</v>
      </c>
      <c r="H667" s="6">
        <v>1</v>
      </c>
    </row>
    <row r="668" spans="1:8" ht="14.4" hidden="1">
      <c r="A668" t="s">
        <v>197</v>
      </c>
      <c r="B668">
        <v>8.1999999999999993</v>
      </c>
      <c r="C668" t="s">
        <v>592</v>
      </c>
      <c r="D668" s="2">
        <v>45955</v>
      </c>
      <c r="E668">
        <v>4</v>
      </c>
      <c r="F668" s="2">
        <v>45960</v>
      </c>
      <c r="G668" s="6">
        <v>1</v>
      </c>
      <c r="H668" s="6">
        <v>1</v>
      </c>
    </row>
    <row r="669" spans="1:8" ht="14.4" hidden="1">
      <c r="A669" t="s">
        <v>197</v>
      </c>
      <c r="B669">
        <v>8.3000000000000007</v>
      </c>
      <c r="C669" t="s">
        <v>593</v>
      </c>
      <c r="D669" s="2">
        <v>45960</v>
      </c>
      <c r="E669">
        <v>5</v>
      </c>
      <c r="F669" s="2">
        <v>45967</v>
      </c>
      <c r="G669" s="6">
        <v>1</v>
      </c>
      <c r="H669" s="6">
        <v>1</v>
      </c>
    </row>
    <row r="670" spans="1:8" ht="14.4" hidden="1">
      <c r="A670" t="s">
        <v>197</v>
      </c>
      <c r="B670">
        <v>8.4</v>
      </c>
      <c r="C670" t="s">
        <v>594</v>
      </c>
      <c r="D670" s="2">
        <v>45955</v>
      </c>
      <c r="E670">
        <v>10</v>
      </c>
      <c r="F670" s="2">
        <v>45968</v>
      </c>
      <c r="G670" s="6">
        <v>1</v>
      </c>
      <c r="H670" s="6">
        <v>1</v>
      </c>
    </row>
    <row r="671" spans="1:8" ht="14.4" hidden="1">
      <c r="A671" t="s">
        <v>197</v>
      </c>
      <c r="B671">
        <v>8.5</v>
      </c>
      <c r="C671" t="s">
        <v>595</v>
      </c>
      <c r="D671" s="2">
        <v>46078</v>
      </c>
      <c r="E671">
        <v>1</v>
      </c>
      <c r="F671" s="2">
        <v>46079</v>
      </c>
      <c r="G671" s="6">
        <v>1</v>
      </c>
      <c r="H671" s="6">
        <v>1</v>
      </c>
    </row>
    <row r="672" spans="1:8" ht="14.4" hidden="1">
      <c r="A672" t="s">
        <v>197</v>
      </c>
      <c r="B672">
        <v>8.6</v>
      </c>
      <c r="C672" t="s">
        <v>596</v>
      </c>
      <c r="D672" s="2">
        <v>45962</v>
      </c>
      <c r="E672">
        <v>5</v>
      </c>
      <c r="F672" s="2">
        <v>45968</v>
      </c>
      <c r="G672" s="6">
        <v>1</v>
      </c>
      <c r="H672" s="6">
        <v>1</v>
      </c>
    </row>
    <row r="673" spans="1:8" ht="14.4" hidden="1">
      <c r="A673" t="s">
        <v>200</v>
      </c>
      <c r="B673">
        <v>1</v>
      </c>
      <c r="C673" t="s">
        <v>547</v>
      </c>
      <c r="D673" s="2">
        <v>45931</v>
      </c>
      <c r="E673">
        <v>37</v>
      </c>
      <c r="F673" s="2">
        <v>45968</v>
      </c>
      <c r="G673" s="6">
        <v>1</v>
      </c>
      <c r="H673" s="6">
        <v>1</v>
      </c>
    </row>
    <row r="674" spans="1:8" ht="14.4" hidden="1">
      <c r="A674" t="s">
        <v>200</v>
      </c>
      <c r="B674" t="s">
        <v>548</v>
      </c>
      <c r="C674" t="s">
        <v>597</v>
      </c>
      <c r="D674" s="2">
        <v>45931</v>
      </c>
      <c r="E674">
        <v>1</v>
      </c>
      <c r="F674" s="2">
        <v>45932</v>
      </c>
      <c r="G674" s="6">
        <v>1</v>
      </c>
      <c r="H674" s="6">
        <v>1</v>
      </c>
    </row>
    <row r="675" spans="1:8" ht="14.4" hidden="1">
      <c r="A675" t="s">
        <v>200</v>
      </c>
      <c r="B675" t="s">
        <v>550</v>
      </c>
      <c r="C675" t="s">
        <v>598</v>
      </c>
      <c r="D675" s="2">
        <v>45932</v>
      </c>
      <c r="E675">
        <v>20</v>
      </c>
      <c r="F675" s="2">
        <v>45960</v>
      </c>
      <c r="G675" s="6">
        <v>1</v>
      </c>
      <c r="H675" s="6">
        <v>1</v>
      </c>
    </row>
    <row r="676" spans="1:8" ht="14.4" hidden="1">
      <c r="A676" t="s">
        <v>200</v>
      </c>
      <c r="B676" t="s">
        <v>552</v>
      </c>
      <c r="C676" t="s">
        <v>551</v>
      </c>
      <c r="D676" s="2">
        <v>45960</v>
      </c>
      <c r="E676">
        <v>1</v>
      </c>
      <c r="F676" s="2">
        <v>45961</v>
      </c>
      <c r="G676" s="6">
        <v>1</v>
      </c>
      <c r="H676" s="6">
        <v>1</v>
      </c>
    </row>
    <row r="677" spans="1:8" ht="14.4" hidden="1">
      <c r="A677" t="s">
        <v>200</v>
      </c>
      <c r="B677" t="s">
        <v>554</v>
      </c>
      <c r="C677" t="s">
        <v>555</v>
      </c>
      <c r="D677" s="2">
        <v>45967</v>
      </c>
      <c r="E677">
        <v>1</v>
      </c>
      <c r="F677" s="2">
        <v>45968</v>
      </c>
      <c r="G677" s="6">
        <v>1</v>
      </c>
      <c r="H677" s="6">
        <v>1</v>
      </c>
    </row>
    <row r="678" spans="1:8" ht="14.4" hidden="1">
      <c r="A678" t="s">
        <v>200</v>
      </c>
      <c r="B678" t="s">
        <v>556</v>
      </c>
      <c r="C678" t="s">
        <v>557</v>
      </c>
      <c r="D678" s="2">
        <v>45952</v>
      </c>
      <c r="E678">
        <v>1</v>
      </c>
      <c r="F678" s="2">
        <v>45953</v>
      </c>
      <c r="G678" s="6">
        <v>1</v>
      </c>
      <c r="H678" s="6">
        <v>1</v>
      </c>
    </row>
    <row r="679" spans="1:8" ht="14.4" hidden="1">
      <c r="A679" t="s">
        <v>200</v>
      </c>
      <c r="B679">
        <v>2</v>
      </c>
      <c r="C679" t="s">
        <v>558</v>
      </c>
      <c r="D679" s="2">
        <v>45967</v>
      </c>
      <c r="E679">
        <v>1</v>
      </c>
      <c r="F679" s="2">
        <v>45968</v>
      </c>
      <c r="G679" s="6">
        <v>1</v>
      </c>
      <c r="H679" s="6">
        <v>1</v>
      </c>
    </row>
    <row r="680" spans="1:8" ht="14.4" hidden="1">
      <c r="A680" t="s">
        <v>200</v>
      </c>
      <c r="B680" t="s">
        <v>559</v>
      </c>
      <c r="C680" t="s">
        <v>560</v>
      </c>
      <c r="D680" s="2">
        <v>45967</v>
      </c>
      <c r="E680">
        <v>1</v>
      </c>
      <c r="F680" s="2">
        <v>45968</v>
      </c>
      <c r="G680" s="6">
        <v>1</v>
      </c>
      <c r="H680" s="6">
        <v>1</v>
      </c>
    </row>
    <row r="681" spans="1:8" ht="14.4" hidden="1">
      <c r="A681" t="s">
        <v>200</v>
      </c>
      <c r="B681">
        <v>3</v>
      </c>
      <c r="C681" t="s">
        <v>561</v>
      </c>
      <c r="D681" s="2">
        <v>45924</v>
      </c>
      <c r="E681">
        <v>58</v>
      </c>
      <c r="F681" s="2">
        <v>45982</v>
      </c>
      <c r="G681" s="6">
        <v>1</v>
      </c>
      <c r="H681" s="6">
        <v>1</v>
      </c>
    </row>
    <row r="682" spans="1:8" ht="14.4" hidden="1">
      <c r="A682" t="s">
        <v>200</v>
      </c>
      <c r="B682" t="s">
        <v>562</v>
      </c>
      <c r="C682" t="s">
        <v>563</v>
      </c>
      <c r="D682" s="2">
        <v>45971</v>
      </c>
      <c r="E682">
        <v>1</v>
      </c>
      <c r="F682" s="2">
        <v>45972</v>
      </c>
      <c r="G682" s="6">
        <v>1</v>
      </c>
      <c r="H682" s="6">
        <v>1</v>
      </c>
    </row>
    <row r="683" spans="1:8" ht="14.4" hidden="1">
      <c r="A683" t="s">
        <v>200</v>
      </c>
      <c r="B683" t="s">
        <v>564</v>
      </c>
      <c r="C683" t="s">
        <v>565</v>
      </c>
      <c r="D683" s="2">
        <v>45972</v>
      </c>
      <c r="E683">
        <v>2</v>
      </c>
      <c r="F683" s="2">
        <v>45974</v>
      </c>
      <c r="G683" s="6">
        <v>1</v>
      </c>
      <c r="H683" s="6">
        <v>1</v>
      </c>
    </row>
    <row r="684" spans="1:8" ht="14.4" hidden="1">
      <c r="A684" t="s">
        <v>200</v>
      </c>
      <c r="B684" t="s">
        <v>566</v>
      </c>
      <c r="C684" t="s">
        <v>567</v>
      </c>
      <c r="D684" s="2">
        <v>45924</v>
      </c>
      <c r="E684">
        <v>33</v>
      </c>
      <c r="F684" s="2">
        <v>45971</v>
      </c>
      <c r="G684" s="6">
        <v>1</v>
      </c>
      <c r="H684" s="6">
        <v>1</v>
      </c>
    </row>
    <row r="685" spans="1:8" ht="14.4" hidden="1">
      <c r="A685" t="s">
        <v>200</v>
      </c>
      <c r="B685" t="s">
        <v>568</v>
      </c>
      <c r="C685" t="s">
        <v>569</v>
      </c>
      <c r="D685" s="2">
        <v>45976</v>
      </c>
      <c r="E685">
        <v>5</v>
      </c>
      <c r="F685" s="2">
        <v>45982</v>
      </c>
      <c r="G685" s="6">
        <v>1</v>
      </c>
      <c r="H685" s="6">
        <v>1</v>
      </c>
    </row>
    <row r="686" spans="1:8" ht="14.4" hidden="1">
      <c r="A686" t="s">
        <v>200</v>
      </c>
      <c r="B686" t="s">
        <v>570</v>
      </c>
      <c r="C686" t="s">
        <v>571</v>
      </c>
      <c r="D686" s="2">
        <v>45981</v>
      </c>
      <c r="E686">
        <v>1</v>
      </c>
      <c r="F686" s="2">
        <v>45982</v>
      </c>
      <c r="G686" s="6">
        <v>1</v>
      </c>
      <c r="H686" s="6">
        <v>1</v>
      </c>
    </row>
    <row r="687" spans="1:8" ht="14.4" hidden="1">
      <c r="A687" t="s">
        <v>200</v>
      </c>
      <c r="B687">
        <v>4</v>
      </c>
      <c r="C687" t="s">
        <v>572</v>
      </c>
      <c r="D687" s="2">
        <v>45971</v>
      </c>
      <c r="E687">
        <v>9</v>
      </c>
      <c r="F687" s="2">
        <v>45980</v>
      </c>
      <c r="G687" s="6">
        <v>1</v>
      </c>
      <c r="H687" s="6">
        <v>1</v>
      </c>
    </row>
    <row r="688" spans="1:8" ht="14.4" hidden="1">
      <c r="A688" t="s">
        <v>200</v>
      </c>
      <c r="B688" t="s">
        <v>573</v>
      </c>
      <c r="C688" t="s">
        <v>574</v>
      </c>
      <c r="D688" s="2">
        <v>45971</v>
      </c>
      <c r="E688">
        <v>1</v>
      </c>
      <c r="F688" s="2">
        <v>45972</v>
      </c>
      <c r="G688" s="6">
        <v>1</v>
      </c>
      <c r="H688" s="6">
        <v>1</v>
      </c>
    </row>
    <row r="689" spans="1:8" ht="14.4" hidden="1">
      <c r="A689" t="s">
        <v>200</v>
      </c>
      <c r="B689" t="s">
        <v>575</v>
      </c>
      <c r="C689" t="s">
        <v>576</v>
      </c>
      <c r="D689" s="2">
        <v>45972</v>
      </c>
      <c r="E689">
        <v>2</v>
      </c>
      <c r="F689" s="2">
        <v>45974</v>
      </c>
      <c r="G689" s="6">
        <v>1</v>
      </c>
      <c r="H689" s="6">
        <v>1</v>
      </c>
    </row>
    <row r="690" spans="1:8" ht="14.4" hidden="1">
      <c r="A690" t="s">
        <v>200</v>
      </c>
      <c r="B690" t="s">
        <v>577</v>
      </c>
      <c r="C690" t="s">
        <v>578</v>
      </c>
      <c r="D690" s="2">
        <v>45971</v>
      </c>
      <c r="E690">
        <v>1</v>
      </c>
      <c r="F690" s="2">
        <v>45972</v>
      </c>
      <c r="G690" s="6">
        <v>1</v>
      </c>
      <c r="H690" s="6">
        <v>1</v>
      </c>
    </row>
    <row r="691" spans="1:8" ht="14.4" hidden="1">
      <c r="A691" t="s">
        <v>200</v>
      </c>
      <c r="B691" t="s">
        <v>579</v>
      </c>
      <c r="C691" t="s">
        <v>580</v>
      </c>
      <c r="D691" s="2">
        <v>45976</v>
      </c>
      <c r="E691">
        <v>3</v>
      </c>
      <c r="F691" s="2">
        <v>45980</v>
      </c>
      <c r="G691" s="6">
        <v>1</v>
      </c>
      <c r="H691" s="6">
        <v>1</v>
      </c>
    </row>
    <row r="692" spans="1:8" ht="14.4" hidden="1">
      <c r="A692" t="s">
        <v>200</v>
      </c>
      <c r="B692">
        <v>5</v>
      </c>
      <c r="C692" t="s">
        <v>581</v>
      </c>
      <c r="D692" s="2">
        <v>45967</v>
      </c>
      <c r="E692">
        <v>12</v>
      </c>
      <c r="F692" s="2">
        <v>45979</v>
      </c>
      <c r="G692" s="6">
        <v>1</v>
      </c>
      <c r="H692" s="6">
        <v>1</v>
      </c>
    </row>
    <row r="693" spans="1:8" ht="14.4" hidden="1">
      <c r="A693" t="s">
        <v>200</v>
      </c>
      <c r="B693" t="s">
        <v>582</v>
      </c>
      <c r="C693" t="s">
        <v>583</v>
      </c>
      <c r="D693" s="2">
        <v>45967</v>
      </c>
      <c r="E693">
        <v>1</v>
      </c>
      <c r="F693" s="2">
        <v>45968</v>
      </c>
      <c r="G693" s="6">
        <v>1</v>
      </c>
      <c r="H693" s="6">
        <v>1</v>
      </c>
    </row>
    <row r="694" spans="1:8" ht="14.4" hidden="1">
      <c r="A694" t="s">
        <v>200</v>
      </c>
      <c r="B694" t="s">
        <v>584</v>
      </c>
      <c r="C694" t="s">
        <v>585</v>
      </c>
      <c r="D694" s="2">
        <v>45974</v>
      </c>
      <c r="E694">
        <v>3</v>
      </c>
      <c r="F694" s="2">
        <v>45979</v>
      </c>
      <c r="G694" s="6">
        <v>1</v>
      </c>
      <c r="H694" s="6">
        <v>1</v>
      </c>
    </row>
    <row r="695" spans="1:8" ht="14.4" hidden="1">
      <c r="A695" t="s">
        <v>200</v>
      </c>
      <c r="B695">
        <v>6</v>
      </c>
      <c r="C695" t="s">
        <v>240</v>
      </c>
      <c r="D695" s="2">
        <v>45982</v>
      </c>
      <c r="E695">
        <v>11</v>
      </c>
      <c r="F695" s="2">
        <v>45993</v>
      </c>
      <c r="G695" s="6">
        <v>1</v>
      </c>
      <c r="H695" s="6">
        <v>1</v>
      </c>
    </row>
    <row r="696" spans="1:8" ht="14.4" hidden="1">
      <c r="A696" t="s">
        <v>200</v>
      </c>
      <c r="B696" t="s">
        <v>586</v>
      </c>
      <c r="C696" t="s">
        <v>240</v>
      </c>
      <c r="D696" s="2">
        <v>45982</v>
      </c>
      <c r="E696">
        <v>1</v>
      </c>
      <c r="F696" s="2">
        <v>45985</v>
      </c>
      <c r="G696" s="6">
        <v>1</v>
      </c>
      <c r="H696" s="6">
        <v>1</v>
      </c>
    </row>
    <row r="697" spans="1:8" ht="14.4" hidden="1">
      <c r="A697" t="s">
        <v>200</v>
      </c>
      <c r="B697" t="s">
        <v>587</v>
      </c>
      <c r="C697" t="s">
        <v>169</v>
      </c>
      <c r="D697" s="2">
        <v>45985</v>
      </c>
      <c r="E697">
        <v>1</v>
      </c>
      <c r="F697" s="2">
        <v>45986</v>
      </c>
      <c r="G697" s="6">
        <v>1</v>
      </c>
      <c r="H697" s="6">
        <v>1</v>
      </c>
    </row>
    <row r="698" spans="1:8" ht="14.4" hidden="1">
      <c r="A698" t="s">
        <v>200</v>
      </c>
      <c r="B698" t="s">
        <v>599</v>
      </c>
      <c r="C698" t="s">
        <v>593</v>
      </c>
      <c r="D698" s="2">
        <v>45986</v>
      </c>
      <c r="E698">
        <v>5</v>
      </c>
      <c r="F698" s="2">
        <v>45993</v>
      </c>
      <c r="G698" s="6">
        <v>1</v>
      </c>
      <c r="H698" s="6">
        <v>1</v>
      </c>
    </row>
    <row r="699" spans="1:8" ht="14.4" hidden="1">
      <c r="A699" t="s">
        <v>200</v>
      </c>
      <c r="B699">
        <v>7</v>
      </c>
      <c r="C699" t="s">
        <v>588</v>
      </c>
      <c r="D699" s="2">
        <v>45986</v>
      </c>
      <c r="E699">
        <v>8</v>
      </c>
      <c r="F699" s="2">
        <v>45994</v>
      </c>
      <c r="G699" s="6">
        <v>1</v>
      </c>
      <c r="H699" s="6">
        <v>1</v>
      </c>
    </row>
    <row r="700" spans="1:8" ht="14.4" hidden="1">
      <c r="A700" t="s">
        <v>200</v>
      </c>
      <c r="B700" t="s">
        <v>600</v>
      </c>
      <c r="C700" t="s">
        <v>589</v>
      </c>
      <c r="D700" s="2">
        <v>45986</v>
      </c>
      <c r="E700">
        <v>3</v>
      </c>
      <c r="F700" s="2">
        <v>45989</v>
      </c>
      <c r="G700" s="6">
        <v>1</v>
      </c>
      <c r="H700" s="6">
        <v>1</v>
      </c>
    </row>
    <row r="701" spans="1:8" ht="14.4" hidden="1">
      <c r="A701" t="s">
        <v>200</v>
      </c>
      <c r="B701" t="s">
        <v>601</v>
      </c>
      <c r="C701" t="s">
        <v>592</v>
      </c>
      <c r="D701" s="2">
        <v>45989</v>
      </c>
      <c r="E701">
        <v>3</v>
      </c>
      <c r="F701" s="2">
        <v>45994</v>
      </c>
      <c r="G701" s="6">
        <v>1</v>
      </c>
      <c r="H701" s="6">
        <v>1</v>
      </c>
    </row>
    <row r="702" spans="1:8" ht="14.4" hidden="1">
      <c r="A702" t="s">
        <v>200</v>
      </c>
      <c r="B702">
        <v>8</v>
      </c>
      <c r="C702" t="s">
        <v>590</v>
      </c>
      <c r="D702" s="2">
        <v>45989</v>
      </c>
      <c r="E702">
        <v>19</v>
      </c>
      <c r="F702" s="2">
        <v>46008</v>
      </c>
      <c r="G702" s="6">
        <v>1</v>
      </c>
      <c r="H702" s="6">
        <v>0.99993478572763916</v>
      </c>
    </row>
    <row r="703" spans="1:8" ht="14.4" hidden="1">
      <c r="A703" t="s">
        <v>200</v>
      </c>
      <c r="B703" t="s">
        <v>602</v>
      </c>
      <c r="C703" t="s">
        <v>594</v>
      </c>
      <c r="D703" s="2">
        <v>45989</v>
      </c>
      <c r="E703">
        <v>7</v>
      </c>
      <c r="F703" s="2">
        <v>46000</v>
      </c>
      <c r="G703" s="6">
        <v>1</v>
      </c>
      <c r="H703" s="6">
        <v>1</v>
      </c>
    </row>
    <row r="704" spans="1:8" ht="14.4" hidden="1">
      <c r="A704" t="s">
        <v>200</v>
      </c>
      <c r="B704" t="s">
        <v>603</v>
      </c>
      <c r="C704" t="s">
        <v>595</v>
      </c>
      <c r="D704" s="2">
        <v>46000</v>
      </c>
      <c r="E704">
        <v>1</v>
      </c>
      <c r="F704" s="2">
        <v>46001</v>
      </c>
      <c r="G704" s="6">
        <v>1</v>
      </c>
      <c r="H704" s="6">
        <v>1</v>
      </c>
    </row>
    <row r="705" spans="1:8" ht="14.4" hidden="1">
      <c r="A705" t="s">
        <v>200</v>
      </c>
      <c r="B705" t="s">
        <v>604</v>
      </c>
      <c r="C705" t="s">
        <v>596</v>
      </c>
      <c r="D705" s="2">
        <v>46000</v>
      </c>
      <c r="E705">
        <v>5</v>
      </c>
      <c r="F705" s="2">
        <v>46008</v>
      </c>
      <c r="G705" s="6">
        <v>1</v>
      </c>
      <c r="H705" s="6">
        <v>1</v>
      </c>
    </row>
    <row r="706" spans="1:8" ht="14.4" hidden="1">
      <c r="A706" t="s">
        <v>203</v>
      </c>
      <c r="B706">
        <v>1</v>
      </c>
      <c r="C706" t="s">
        <v>547</v>
      </c>
      <c r="D706" s="2">
        <v>45873</v>
      </c>
      <c r="E706">
        <v>24</v>
      </c>
      <c r="F706" s="2">
        <v>45897</v>
      </c>
      <c r="G706" s="6">
        <v>1</v>
      </c>
      <c r="H706" s="6">
        <v>1</v>
      </c>
    </row>
    <row r="707" spans="1:8" ht="14.4" hidden="1">
      <c r="A707" t="s">
        <v>203</v>
      </c>
      <c r="B707" t="s">
        <v>548</v>
      </c>
      <c r="C707" t="s">
        <v>549</v>
      </c>
      <c r="D707" s="2">
        <v>45873</v>
      </c>
      <c r="E707">
        <v>1</v>
      </c>
      <c r="F707" s="2">
        <v>45874</v>
      </c>
      <c r="G707" s="6">
        <v>1</v>
      </c>
      <c r="H707" s="6">
        <v>1</v>
      </c>
    </row>
    <row r="708" spans="1:8" ht="14.4" hidden="1">
      <c r="A708" t="s">
        <v>203</v>
      </c>
      <c r="B708" t="s">
        <v>550</v>
      </c>
      <c r="C708" t="s">
        <v>551</v>
      </c>
      <c r="D708" s="2">
        <v>45896</v>
      </c>
      <c r="E708">
        <v>1</v>
      </c>
      <c r="F708" s="2">
        <v>45897</v>
      </c>
      <c r="G708" s="6">
        <v>1</v>
      </c>
      <c r="H708" s="6">
        <v>1</v>
      </c>
    </row>
    <row r="709" spans="1:8" ht="14.4" hidden="1">
      <c r="A709" t="s">
        <v>203</v>
      </c>
      <c r="B709" t="s">
        <v>552</v>
      </c>
      <c r="C709" t="s">
        <v>553</v>
      </c>
      <c r="D709" s="2">
        <v>45882</v>
      </c>
      <c r="E709">
        <v>4</v>
      </c>
      <c r="F709" s="2">
        <v>45888</v>
      </c>
      <c r="G709" s="6">
        <v>1</v>
      </c>
      <c r="H709" s="6">
        <v>1</v>
      </c>
    </row>
    <row r="710" spans="1:8" ht="14.4" hidden="1">
      <c r="A710" t="s">
        <v>203</v>
      </c>
      <c r="B710" t="s">
        <v>554</v>
      </c>
      <c r="C710" t="s">
        <v>555</v>
      </c>
      <c r="D710" s="2">
        <v>45888</v>
      </c>
      <c r="E710">
        <v>1</v>
      </c>
      <c r="F710" s="2">
        <v>45889</v>
      </c>
      <c r="G710" s="6">
        <v>1</v>
      </c>
      <c r="H710" s="6">
        <v>1</v>
      </c>
    </row>
    <row r="711" spans="1:8" ht="14.4" hidden="1">
      <c r="A711" t="s">
        <v>203</v>
      </c>
      <c r="B711" t="s">
        <v>556</v>
      </c>
      <c r="C711" t="s">
        <v>557</v>
      </c>
      <c r="D711" s="2">
        <v>45894</v>
      </c>
      <c r="E711">
        <v>1</v>
      </c>
      <c r="F711" s="2">
        <v>45895</v>
      </c>
      <c r="G711" s="6">
        <v>1</v>
      </c>
      <c r="H711" s="6">
        <v>1</v>
      </c>
    </row>
    <row r="712" spans="1:8" ht="14.4" hidden="1">
      <c r="A712" t="s">
        <v>203</v>
      </c>
      <c r="B712">
        <v>2</v>
      </c>
      <c r="C712" t="s">
        <v>558</v>
      </c>
      <c r="D712" s="2">
        <v>45910</v>
      </c>
      <c r="E712">
        <v>1</v>
      </c>
      <c r="F712" s="2">
        <v>45911</v>
      </c>
      <c r="G712" s="6">
        <v>1</v>
      </c>
      <c r="H712" s="6">
        <v>1</v>
      </c>
    </row>
    <row r="713" spans="1:8" ht="14.4" hidden="1">
      <c r="A713" t="s">
        <v>203</v>
      </c>
      <c r="B713" t="s">
        <v>559</v>
      </c>
      <c r="C713" t="s">
        <v>560</v>
      </c>
      <c r="D713" s="2">
        <v>45910</v>
      </c>
      <c r="E713">
        <v>1</v>
      </c>
      <c r="F713" s="2">
        <v>45911</v>
      </c>
      <c r="G713" s="6">
        <v>1</v>
      </c>
      <c r="H713" s="6">
        <v>1</v>
      </c>
    </row>
    <row r="714" spans="1:8" ht="14.4" hidden="1">
      <c r="A714" t="s">
        <v>203</v>
      </c>
      <c r="B714">
        <v>3</v>
      </c>
      <c r="C714" t="s">
        <v>561</v>
      </c>
      <c r="D714" s="2">
        <v>45904</v>
      </c>
      <c r="E714">
        <v>36</v>
      </c>
      <c r="F714" s="2">
        <v>45940</v>
      </c>
      <c r="G714" s="6">
        <v>1</v>
      </c>
      <c r="H714" s="6">
        <v>1</v>
      </c>
    </row>
    <row r="715" spans="1:8" ht="14.4" hidden="1">
      <c r="A715" t="s">
        <v>203</v>
      </c>
      <c r="B715" t="s">
        <v>562</v>
      </c>
      <c r="C715" t="s">
        <v>563</v>
      </c>
      <c r="D715" s="2">
        <v>45897</v>
      </c>
      <c r="E715">
        <v>1</v>
      </c>
      <c r="F715" s="2">
        <v>45898</v>
      </c>
      <c r="G715" s="6">
        <v>1</v>
      </c>
      <c r="H715" s="6">
        <v>1</v>
      </c>
    </row>
    <row r="716" spans="1:8" ht="14.4" hidden="1">
      <c r="A716" t="s">
        <v>203</v>
      </c>
      <c r="B716" t="s">
        <v>564</v>
      </c>
      <c r="C716" t="s">
        <v>565</v>
      </c>
      <c r="D716" s="2">
        <v>45928</v>
      </c>
      <c r="E716">
        <v>2</v>
      </c>
      <c r="F716" s="2">
        <v>45930</v>
      </c>
      <c r="G716" s="6">
        <v>1</v>
      </c>
      <c r="H716" s="6">
        <v>1</v>
      </c>
    </row>
    <row r="717" spans="1:8" ht="14.4" hidden="1">
      <c r="A717" t="s">
        <v>203</v>
      </c>
      <c r="B717" t="s">
        <v>566</v>
      </c>
      <c r="C717" t="s">
        <v>567</v>
      </c>
      <c r="D717" s="2">
        <v>45904</v>
      </c>
      <c r="E717">
        <v>20</v>
      </c>
      <c r="F717" s="2">
        <v>45933</v>
      </c>
      <c r="G717" s="6">
        <v>1</v>
      </c>
      <c r="H717" s="6">
        <v>1</v>
      </c>
    </row>
    <row r="718" spans="1:8" ht="14.4" hidden="1">
      <c r="A718" t="s">
        <v>203</v>
      </c>
      <c r="B718" t="s">
        <v>568</v>
      </c>
      <c r="C718" t="s">
        <v>569</v>
      </c>
      <c r="D718" s="2">
        <v>45933</v>
      </c>
      <c r="E718">
        <v>5</v>
      </c>
      <c r="F718" s="2">
        <v>45940</v>
      </c>
      <c r="G718" s="6">
        <v>1</v>
      </c>
      <c r="H718" s="6">
        <v>1</v>
      </c>
    </row>
    <row r="719" spans="1:8" ht="14.4" hidden="1">
      <c r="A719" t="s">
        <v>203</v>
      </c>
      <c r="B719" t="s">
        <v>570</v>
      </c>
      <c r="C719" t="s">
        <v>571</v>
      </c>
      <c r="D719" s="2">
        <v>45933</v>
      </c>
      <c r="E719">
        <v>1</v>
      </c>
      <c r="F719" s="2">
        <v>45936</v>
      </c>
      <c r="G719" s="6">
        <v>1</v>
      </c>
      <c r="H719" s="6">
        <v>1</v>
      </c>
    </row>
    <row r="720" spans="1:8" ht="14.4" hidden="1">
      <c r="A720" t="s">
        <v>203</v>
      </c>
      <c r="B720">
        <v>4</v>
      </c>
      <c r="C720" t="s">
        <v>572</v>
      </c>
      <c r="D720" s="2">
        <v>45904</v>
      </c>
      <c r="E720">
        <v>32</v>
      </c>
      <c r="F720" s="2">
        <v>45936</v>
      </c>
      <c r="G720" s="6">
        <v>1</v>
      </c>
      <c r="H720" s="6">
        <v>1</v>
      </c>
    </row>
    <row r="721" spans="1:8" ht="14.4" hidden="1">
      <c r="A721" t="s">
        <v>203</v>
      </c>
      <c r="B721" t="s">
        <v>573</v>
      </c>
      <c r="E721"/>
      <c r="G721" s="6">
        <v>0</v>
      </c>
      <c r="H721" s="6">
        <v>0</v>
      </c>
    </row>
    <row r="722" spans="1:8" ht="14.4" hidden="1">
      <c r="A722" t="s">
        <v>203</v>
      </c>
      <c r="B722" t="s">
        <v>573</v>
      </c>
      <c r="C722" t="s">
        <v>574</v>
      </c>
      <c r="D722" s="2">
        <v>45904</v>
      </c>
      <c r="E722">
        <v>1</v>
      </c>
      <c r="F722" s="2">
        <v>45905</v>
      </c>
      <c r="G722" s="6">
        <v>1</v>
      </c>
      <c r="H722" s="6">
        <v>1</v>
      </c>
    </row>
    <row r="723" spans="1:8" ht="14.4" hidden="1">
      <c r="A723" t="s">
        <v>203</v>
      </c>
      <c r="B723" t="s">
        <v>575</v>
      </c>
      <c r="C723" t="s">
        <v>576</v>
      </c>
      <c r="D723" s="2">
        <v>45910</v>
      </c>
      <c r="E723">
        <v>6</v>
      </c>
      <c r="F723" s="2">
        <v>45918</v>
      </c>
      <c r="G723" s="6">
        <v>1</v>
      </c>
      <c r="H723" s="6">
        <v>1</v>
      </c>
    </row>
    <row r="724" spans="1:8" ht="14.4" hidden="1">
      <c r="A724" t="s">
        <v>203</v>
      </c>
      <c r="B724" t="s">
        <v>629</v>
      </c>
      <c r="C724" t="s">
        <v>578</v>
      </c>
      <c r="D724" s="2">
        <v>45904</v>
      </c>
      <c r="E724">
        <v>1</v>
      </c>
      <c r="F724" s="2">
        <v>45905</v>
      </c>
      <c r="G724" s="6">
        <v>1</v>
      </c>
      <c r="H724" s="6">
        <v>1</v>
      </c>
    </row>
    <row r="725" spans="1:8" ht="14.4" hidden="1">
      <c r="A725" t="s">
        <v>203</v>
      </c>
      <c r="B725" t="s">
        <v>630</v>
      </c>
      <c r="C725" t="s">
        <v>580</v>
      </c>
      <c r="D725" s="2">
        <v>45930</v>
      </c>
      <c r="E725">
        <v>4</v>
      </c>
      <c r="F725" s="2">
        <v>45936</v>
      </c>
      <c r="G725" s="6">
        <v>1</v>
      </c>
      <c r="H725" s="6">
        <v>1</v>
      </c>
    </row>
    <row r="726" spans="1:8" ht="14.4" hidden="1">
      <c r="A726" t="s">
        <v>203</v>
      </c>
      <c r="B726">
        <v>5</v>
      </c>
      <c r="C726" t="s">
        <v>581</v>
      </c>
      <c r="D726" s="2">
        <v>45918</v>
      </c>
      <c r="E726">
        <v>15</v>
      </c>
      <c r="F726" s="2">
        <v>45933</v>
      </c>
      <c r="G726" s="6">
        <v>1</v>
      </c>
      <c r="H726" s="6">
        <v>1</v>
      </c>
    </row>
    <row r="727" spans="1:8" ht="14.4" hidden="1">
      <c r="A727" t="s">
        <v>203</v>
      </c>
      <c r="B727" t="s">
        <v>582</v>
      </c>
      <c r="C727" t="s">
        <v>583</v>
      </c>
      <c r="D727" s="2">
        <v>45897</v>
      </c>
      <c r="E727">
        <v>1</v>
      </c>
      <c r="F727" s="2">
        <v>45898</v>
      </c>
      <c r="G727" s="6">
        <v>1</v>
      </c>
      <c r="H727" s="6">
        <v>1</v>
      </c>
    </row>
    <row r="728" spans="1:8" ht="14.4" hidden="1">
      <c r="A728" t="s">
        <v>203</v>
      </c>
      <c r="B728" t="s">
        <v>584</v>
      </c>
      <c r="C728" t="s">
        <v>585</v>
      </c>
      <c r="D728" s="2">
        <v>45918</v>
      </c>
      <c r="E728">
        <v>10</v>
      </c>
      <c r="F728" s="2">
        <v>45933</v>
      </c>
      <c r="G728" s="6">
        <v>1</v>
      </c>
      <c r="H728" s="6">
        <v>1</v>
      </c>
    </row>
    <row r="729" spans="1:8" ht="14.4" hidden="1">
      <c r="A729" t="s">
        <v>203</v>
      </c>
      <c r="B729">
        <v>6</v>
      </c>
      <c r="C729" t="s">
        <v>240</v>
      </c>
      <c r="D729" s="2">
        <v>45940</v>
      </c>
      <c r="E729">
        <v>4</v>
      </c>
      <c r="F729" s="2">
        <v>45944</v>
      </c>
      <c r="G729" s="6">
        <v>1</v>
      </c>
      <c r="H729" s="6">
        <v>1</v>
      </c>
    </row>
    <row r="730" spans="1:8" ht="14.4" hidden="1">
      <c r="A730" t="s">
        <v>203</v>
      </c>
      <c r="B730" t="s">
        <v>586</v>
      </c>
      <c r="C730" t="s">
        <v>240</v>
      </c>
      <c r="D730" s="2">
        <v>45940</v>
      </c>
      <c r="E730">
        <v>1</v>
      </c>
      <c r="F730" s="2">
        <v>45943</v>
      </c>
      <c r="G730" s="6">
        <v>1</v>
      </c>
      <c r="H730" s="6">
        <v>1</v>
      </c>
    </row>
    <row r="731" spans="1:8" ht="14.4" hidden="1">
      <c r="A731" t="s">
        <v>203</v>
      </c>
      <c r="B731" t="s">
        <v>587</v>
      </c>
      <c r="C731" t="s">
        <v>169</v>
      </c>
      <c r="D731" s="2">
        <v>45943</v>
      </c>
      <c r="E731">
        <v>1</v>
      </c>
      <c r="F731" s="2">
        <v>45944</v>
      </c>
      <c r="G731" s="6">
        <v>1</v>
      </c>
      <c r="H731" s="6">
        <v>1</v>
      </c>
    </row>
    <row r="732" spans="1:8" ht="14.4" hidden="1">
      <c r="A732" t="s">
        <v>203</v>
      </c>
      <c r="B732">
        <v>7</v>
      </c>
      <c r="C732" t="s">
        <v>588</v>
      </c>
      <c r="D732" s="2">
        <v>45943</v>
      </c>
      <c r="E732">
        <v>1</v>
      </c>
      <c r="F732" s="2">
        <v>45944</v>
      </c>
      <c r="G732" s="6">
        <v>1</v>
      </c>
      <c r="H732" s="6">
        <v>1</v>
      </c>
    </row>
    <row r="733" spans="1:8" ht="14.4" hidden="1">
      <c r="A733" t="s">
        <v>203</v>
      </c>
      <c r="B733">
        <v>7.1</v>
      </c>
      <c r="C733" t="s">
        <v>589</v>
      </c>
      <c r="D733" s="2">
        <v>45943</v>
      </c>
      <c r="E733">
        <v>1</v>
      </c>
      <c r="F733" s="2">
        <v>45944</v>
      </c>
      <c r="G733" s="6">
        <v>1</v>
      </c>
      <c r="H733" s="6">
        <v>1</v>
      </c>
    </row>
    <row r="734" spans="1:8" ht="14.4" hidden="1">
      <c r="A734" t="s">
        <v>203</v>
      </c>
      <c r="B734">
        <v>8</v>
      </c>
      <c r="C734" t="s">
        <v>590</v>
      </c>
      <c r="D734" s="2">
        <v>45944</v>
      </c>
      <c r="E734">
        <v>106</v>
      </c>
      <c r="F734" s="2">
        <v>46050</v>
      </c>
      <c r="G734" s="6">
        <v>1</v>
      </c>
      <c r="H734" s="6">
        <v>1</v>
      </c>
    </row>
    <row r="735" spans="1:8" ht="14.4" hidden="1">
      <c r="A735" t="s">
        <v>203</v>
      </c>
      <c r="B735">
        <v>8.1</v>
      </c>
      <c r="C735" t="s">
        <v>591</v>
      </c>
      <c r="D735" s="2">
        <v>45944</v>
      </c>
      <c r="E735">
        <v>1</v>
      </c>
      <c r="F735" s="2">
        <v>45945</v>
      </c>
      <c r="G735" s="6">
        <v>1</v>
      </c>
      <c r="H735" s="6">
        <v>1</v>
      </c>
    </row>
    <row r="736" spans="1:8" ht="14.4" hidden="1">
      <c r="A736" t="s">
        <v>203</v>
      </c>
      <c r="B736">
        <v>8.1999999999999993</v>
      </c>
      <c r="C736" t="s">
        <v>901</v>
      </c>
      <c r="D736" s="2">
        <v>45944</v>
      </c>
      <c r="E736">
        <v>74</v>
      </c>
      <c r="F736" s="2">
        <v>46050</v>
      </c>
      <c r="G736" s="6">
        <v>1</v>
      </c>
      <c r="H736" s="6">
        <v>1</v>
      </c>
    </row>
    <row r="737" spans="1:8" ht="14.4" hidden="1">
      <c r="A737" t="s">
        <v>203</v>
      </c>
      <c r="B737">
        <v>8.3000000000000007</v>
      </c>
      <c r="C737" t="s">
        <v>593</v>
      </c>
      <c r="D737" s="2">
        <v>45944</v>
      </c>
      <c r="E737">
        <v>5</v>
      </c>
      <c r="F737" s="2">
        <v>45951</v>
      </c>
      <c r="G737" s="6">
        <v>1</v>
      </c>
      <c r="H737" s="6">
        <v>1</v>
      </c>
    </row>
    <row r="738" spans="1:8" ht="14.4" hidden="1">
      <c r="A738" t="s">
        <v>203</v>
      </c>
      <c r="B738">
        <v>8.4</v>
      </c>
      <c r="C738" t="s">
        <v>594</v>
      </c>
      <c r="D738" s="2">
        <v>45969</v>
      </c>
      <c r="E738">
        <v>1</v>
      </c>
      <c r="F738" s="2">
        <v>45971</v>
      </c>
      <c r="G738" s="6">
        <v>1</v>
      </c>
      <c r="H738" s="6">
        <v>1</v>
      </c>
    </row>
    <row r="739" spans="1:8" ht="14.4" hidden="1">
      <c r="A739" t="s">
        <v>203</v>
      </c>
      <c r="B739">
        <v>8.5</v>
      </c>
      <c r="C739" t="s">
        <v>595</v>
      </c>
      <c r="D739" s="2">
        <v>45973</v>
      </c>
      <c r="E739">
        <v>1</v>
      </c>
      <c r="F739" s="2">
        <v>45974</v>
      </c>
      <c r="G739" s="6">
        <v>1</v>
      </c>
      <c r="H739" s="6">
        <v>1</v>
      </c>
    </row>
    <row r="740" spans="1:8" ht="14.4" hidden="1">
      <c r="A740" t="s">
        <v>203</v>
      </c>
      <c r="B740">
        <v>8.6</v>
      </c>
      <c r="C740" t="s">
        <v>596</v>
      </c>
      <c r="D740" s="2">
        <v>45985</v>
      </c>
      <c r="E740">
        <v>5</v>
      </c>
      <c r="F740" s="2">
        <v>45992</v>
      </c>
      <c r="G740" s="6">
        <v>1</v>
      </c>
      <c r="H740" s="6">
        <v>1</v>
      </c>
    </row>
    <row r="741" spans="1:8" ht="14.4" hidden="1">
      <c r="A741" t="s">
        <v>516</v>
      </c>
      <c r="B741">
        <v>1</v>
      </c>
      <c r="C741" t="s">
        <v>547</v>
      </c>
      <c r="D741" s="2">
        <v>45776</v>
      </c>
      <c r="E741">
        <v>17</v>
      </c>
      <c r="F741" s="2">
        <v>45793</v>
      </c>
      <c r="G741" s="6">
        <v>1</v>
      </c>
      <c r="H741" s="6">
        <v>1</v>
      </c>
    </row>
    <row r="742" spans="1:8" ht="14.4" hidden="1">
      <c r="A742" t="s">
        <v>516</v>
      </c>
      <c r="B742" t="s">
        <v>548</v>
      </c>
      <c r="C742" t="s">
        <v>549</v>
      </c>
      <c r="D742" s="2">
        <v>45790</v>
      </c>
      <c r="E742">
        <v>1</v>
      </c>
      <c r="F742" s="2">
        <v>45791</v>
      </c>
      <c r="G742" s="6">
        <v>1</v>
      </c>
      <c r="H742" s="6">
        <v>1</v>
      </c>
    </row>
    <row r="743" spans="1:8" ht="14.4" hidden="1">
      <c r="A743" t="s">
        <v>516</v>
      </c>
      <c r="B743" t="s">
        <v>550</v>
      </c>
      <c r="C743" t="s">
        <v>551</v>
      </c>
      <c r="D743" s="2">
        <v>45792</v>
      </c>
      <c r="E743">
        <v>1</v>
      </c>
      <c r="F743" s="2">
        <v>45793</v>
      </c>
      <c r="G743" s="6">
        <v>1</v>
      </c>
      <c r="H743" s="6">
        <v>1</v>
      </c>
    </row>
    <row r="744" spans="1:8" ht="14.4" hidden="1">
      <c r="A744" t="s">
        <v>516</v>
      </c>
      <c r="B744" t="s">
        <v>552</v>
      </c>
      <c r="C744" t="s">
        <v>553</v>
      </c>
      <c r="D744" s="2">
        <v>45776</v>
      </c>
      <c r="E744">
        <v>10</v>
      </c>
      <c r="F744" s="2">
        <v>45791</v>
      </c>
      <c r="G744" s="6">
        <v>1</v>
      </c>
      <c r="H744" s="6">
        <v>1</v>
      </c>
    </row>
    <row r="745" spans="1:8" ht="14.4" hidden="1">
      <c r="A745" t="s">
        <v>516</v>
      </c>
      <c r="B745" t="s">
        <v>554</v>
      </c>
      <c r="C745" t="s">
        <v>555</v>
      </c>
      <c r="D745" s="2">
        <v>45791</v>
      </c>
      <c r="E745">
        <v>1</v>
      </c>
      <c r="F745" s="2">
        <v>45792</v>
      </c>
      <c r="G745" s="6">
        <v>1</v>
      </c>
      <c r="H745" s="6">
        <v>1</v>
      </c>
    </row>
    <row r="746" spans="1:8" ht="14.4" hidden="1">
      <c r="A746" t="s">
        <v>516</v>
      </c>
      <c r="B746" t="s">
        <v>556</v>
      </c>
      <c r="C746" t="s">
        <v>557</v>
      </c>
      <c r="D746" s="2">
        <v>45785</v>
      </c>
      <c r="E746">
        <v>1</v>
      </c>
      <c r="F746" s="2">
        <v>45786</v>
      </c>
      <c r="G746" s="6">
        <v>1</v>
      </c>
      <c r="H746" s="6">
        <v>1</v>
      </c>
    </row>
    <row r="747" spans="1:8" ht="14.4" hidden="1">
      <c r="A747" t="s">
        <v>516</v>
      </c>
      <c r="B747">
        <v>2</v>
      </c>
      <c r="C747" t="s">
        <v>558</v>
      </c>
      <c r="D747" s="2">
        <v>45810</v>
      </c>
      <c r="E747">
        <v>1</v>
      </c>
      <c r="F747" s="2">
        <v>45811</v>
      </c>
      <c r="G747" s="6">
        <v>1</v>
      </c>
      <c r="H747" s="6">
        <v>1</v>
      </c>
    </row>
    <row r="748" spans="1:8" ht="14.4" hidden="1">
      <c r="A748" t="s">
        <v>516</v>
      </c>
      <c r="B748" t="s">
        <v>559</v>
      </c>
      <c r="C748" t="s">
        <v>560</v>
      </c>
      <c r="D748" s="2">
        <v>45810</v>
      </c>
      <c r="E748">
        <v>1</v>
      </c>
      <c r="F748" s="2">
        <v>45811</v>
      </c>
      <c r="G748" s="6">
        <v>1</v>
      </c>
      <c r="H748" s="6">
        <v>1</v>
      </c>
    </row>
    <row r="749" spans="1:8" ht="14.4" hidden="1">
      <c r="A749" t="s">
        <v>516</v>
      </c>
      <c r="B749">
        <v>3</v>
      </c>
      <c r="C749" t="s">
        <v>561</v>
      </c>
      <c r="D749" s="2">
        <v>45782</v>
      </c>
      <c r="E749">
        <v>91</v>
      </c>
      <c r="F749" s="2">
        <v>45873</v>
      </c>
      <c r="G749" s="6">
        <v>1</v>
      </c>
      <c r="H749" s="6">
        <v>1</v>
      </c>
    </row>
    <row r="750" spans="1:8" ht="14.4" hidden="1">
      <c r="A750" t="s">
        <v>516</v>
      </c>
      <c r="B750" t="s">
        <v>562</v>
      </c>
      <c r="C750" t="s">
        <v>563</v>
      </c>
      <c r="D750" s="2">
        <v>45806</v>
      </c>
      <c r="E750">
        <v>1</v>
      </c>
      <c r="F750" s="2">
        <v>45807</v>
      </c>
      <c r="G750" s="6">
        <v>1</v>
      </c>
      <c r="H750" s="6">
        <v>1</v>
      </c>
    </row>
    <row r="751" spans="1:8" ht="14.4" hidden="1">
      <c r="A751" t="s">
        <v>516</v>
      </c>
      <c r="B751" t="s">
        <v>564</v>
      </c>
      <c r="C751" t="s">
        <v>565</v>
      </c>
      <c r="D751" s="2">
        <v>45860</v>
      </c>
      <c r="E751">
        <v>5</v>
      </c>
      <c r="F751" s="2">
        <v>45867</v>
      </c>
      <c r="G751" s="6">
        <v>1</v>
      </c>
      <c r="H751" s="6">
        <v>1</v>
      </c>
    </row>
    <row r="752" spans="1:8" ht="14.4" hidden="1">
      <c r="A752" t="s">
        <v>516</v>
      </c>
      <c r="B752" t="s">
        <v>566</v>
      </c>
      <c r="C752" t="s">
        <v>567</v>
      </c>
      <c r="D752" s="2">
        <v>45782</v>
      </c>
      <c r="E752">
        <v>37</v>
      </c>
      <c r="F752" s="2">
        <v>45834</v>
      </c>
      <c r="G752" s="6">
        <v>1</v>
      </c>
      <c r="H752" s="6">
        <v>1</v>
      </c>
    </row>
    <row r="753" spans="1:8" ht="14.4" hidden="1">
      <c r="A753" t="s">
        <v>516</v>
      </c>
      <c r="B753" t="s">
        <v>568</v>
      </c>
      <c r="C753" t="s">
        <v>569</v>
      </c>
      <c r="D753" s="2">
        <v>45860</v>
      </c>
      <c r="E753">
        <v>6</v>
      </c>
      <c r="F753" s="2">
        <v>45868</v>
      </c>
      <c r="G753" s="6">
        <v>1</v>
      </c>
      <c r="H753" s="6">
        <v>1</v>
      </c>
    </row>
    <row r="754" spans="1:8" ht="14.4" hidden="1">
      <c r="A754" t="s">
        <v>516</v>
      </c>
      <c r="B754" t="s">
        <v>570</v>
      </c>
      <c r="C754" t="s">
        <v>571</v>
      </c>
      <c r="D754" s="2">
        <v>45868</v>
      </c>
      <c r="E754">
        <v>3</v>
      </c>
      <c r="F754" s="2">
        <v>45873</v>
      </c>
      <c r="G754" s="6">
        <v>1</v>
      </c>
      <c r="H754" s="6">
        <v>1</v>
      </c>
    </row>
    <row r="755" spans="1:8" ht="14.4" hidden="1">
      <c r="A755" t="s">
        <v>516</v>
      </c>
      <c r="B755">
        <v>4</v>
      </c>
      <c r="C755" t="s">
        <v>572</v>
      </c>
      <c r="D755" s="2">
        <v>45799</v>
      </c>
      <c r="E755">
        <v>62</v>
      </c>
      <c r="F755" s="2">
        <v>45861</v>
      </c>
      <c r="G755" s="6">
        <v>1</v>
      </c>
      <c r="H755" s="6">
        <v>1</v>
      </c>
    </row>
    <row r="756" spans="1:8" ht="14.4" hidden="1">
      <c r="A756" t="s">
        <v>516</v>
      </c>
      <c r="B756" t="s">
        <v>573</v>
      </c>
      <c r="C756" t="s">
        <v>613</v>
      </c>
      <c r="E756"/>
      <c r="G756" s="6">
        <v>0</v>
      </c>
      <c r="H756" s="6">
        <v>0</v>
      </c>
    </row>
    <row r="757" spans="1:8" ht="14.4" hidden="1">
      <c r="A757" t="s">
        <v>516</v>
      </c>
      <c r="B757" t="s">
        <v>573</v>
      </c>
      <c r="C757" t="s">
        <v>574</v>
      </c>
      <c r="D757" s="2">
        <v>45799</v>
      </c>
      <c r="E757">
        <v>1</v>
      </c>
      <c r="F757" s="2">
        <v>45800</v>
      </c>
      <c r="G757" s="6">
        <v>1</v>
      </c>
      <c r="H757" s="6">
        <v>1</v>
      </c>
    </row>
    <row r="758" spans="1:8" ht="14.4" hidden="1">
      <c r="A758" t="s">
        <v>516</v>
      </c>
      <c r="B758" t="s">
        <v>575</v>
      </c>
      <c r="C758" t="s">
        <v>576</v>
      </c>
      <c r="D758" s="2">
        <v>45803</v>
      </c>
      <c r="E758">
        <v>10</v>
      </c>
      <c r="F758" s="2">
        <v>45817</v>
      </c>
      <c r="G758" s="6">
        <v>1</v>
      </c>
      <c r="H758" s="6">
        <v>1</v>
      </c>
    </row>
    <row r="759" spans="1:8" ht="14.4" hidden="1">
      <c r="A759" t="s">
        <v>516</v>
      </c>
      <c r="B759" t="s">
        <v>577</v>
      </c>
      <c r="C759" t="s">
        <v>578</v>
      </c>
      <c r="D759" s="2">
        <v>45860</v>
      </c>
      <c r="E759">
        <v>1</v>
      </c>
      <c r="F759" s="2">
        <v>45861</v>
      </c>
      <c r="G759" s="6">
        <v>1</v>
      </c>
      <c r="H759" s="6">
        <v>1</v>
      </c>
    </row>
    <row r="760" spans="1:8" ht="14.4" hidden="1">
      <c r="A760" t="s">
        <v>516</v>
      </c>
      <c r="B760" t="s">
        <v>577</v>
      </c>
      <c r="C760" t="s">
        <v>580</v>
      </c>
      <c r="D760" s="2">
        <v>45831</v>
      </c>
      <c r="E760">
        <v>15</v>
      </c>
      <c r="F760" s="2">
        <v>45852</v>
      </c>
      <c r="G760" s="6">
        <v>1</v>
      </c>
      <c r="H760" s="6">
        <v>1</v>
      </c>
    </row>
    <row r="761" spans="1:8" ht="14.4" hidden="1">
      <c r="A761" t="s">
        <v>516</v>
      </c>
      <c r="B761">
        <v>5</v>
      </c>
      <c r="C761" t="s">
        <v>581</v>
      </c>
      <c r="D761" s="2">
        <v>45811</v>
      </c>
      <c r="E761">
        <v>20</v>
      </c>
      <c r="F761" s="2">
        <v>45831</v>
      </c>
      <c r="G761" s="6">
        <v>1</v>
      </c>
      <c r="H761" s="6">
        <v>1</v>
      </c>
    </row>
    <row r="762" spans="1:8" ht="14.4" hidden="1">
      <c r="A762" t="s">
        <v>516</v>
      </c>
      <c r="B762" t="s">
        <v>582</v>
      </c>
      <c r="C762" t="s">
        <v>583</v>
      </c>
      <c r="D762" s="2">
        <v>45811</v>
      </c>
      <c r="E762">
        <v>1</v>
      </c>
      <c r="F762" s="2">
        <v>45812</v>
      </c>
      <c r="G762" s="6">
        <v>1</v>
      </c>
      <c r="H762" s="6">
        <v>1</v>
      </c>
    </row>
    <row r="763" spans="1:8" ht="14.4" hidden="1">
      <c r="A763" t="s">
        <v>516</v>
      </c>
      <c r="B763" t="s">
        <v>584</v>
      </c>
      <c r="C763" t="s">
        <v>585</v>
      </c>
      <c r="D763" s="2">
        <v>45812</v>
      </c>
      <c r="E763">
        <v>12</v>
      </c>
      <c r="F763" s="2">
        <v>45831</v>
      </c>
      <c r="G763" s="6">
        <v>1</v>
      </c>
      <c r="H763" s="6">
        <v>1</v>
      </c>
    </row>
    <row r="764" spans="1:8" ht="14.4" hidden="1">
      <c r="A764" t="s">
        <v>516</v>
      </c>
      <c r="B764">
        <v>6</v>
      </c>
      <c r="C764" t="s">
        <v>240</v>
      </c>
      <c r="D764" s="2">
        <v>45873</v>
      </c>
      <c r="E764">
        <v>28</v>
      </c>
      <c r="F764" s="2">
        <v>45901</v>
      </c>
      <c r="G764" s="6">
        <v>1</v>
      </c>
      <c r="H764" s="6">
        <v>1</v>
      </c>
    </row>
    <row r="765" spans="1:8" ht="14.4" hidden="1">
      <c r="A765" t="s">
        <v>516</v>
      </c>
      <c r="B765" t="s">
        <v>586</v>
      </c>
      <c r="C765" t="s">
        <v>240</v>
      </c>
      <c r="D765" s="2">
        <v>45873</v>
      </c>
      <c r="E765">
        <v>7</v>
      </c>
      <c r="F765" s="2">
        <v>45882</v>
      </c>
      <c r="G765" s="6">
        <v>1</v>
      </c>
      <c r="H765" s="6">
        <v>1</v>
      </c>
    </row>
    <row r="766" spans="1:8" ht="14.4" hidden="1">
      <c r="A766" t="s">
        <v>516</v>
      </c>
      <c r="B766" t="s">
        <v>587</v>
      </c>
      <c r="C766" t="s">
        <v>169</v>
      </c>
      <c r="D766" s="2">
        <v>45882</v>
      </c>
      <c r="E766">
        <v>13</v>
      </c>
      <c r="F766" s="2">
        <v>45901</v>
      </c>
      <c r="G766" s="6">
        <v>1</v>
      </c>
      <c r="H766" s="6">
        <v>1</v>
      </c>
    </row>
    <row r="767" spans="1:8" ht="14.4" hidden="1">
      <c r="A767" t="s">
        <v>516</v>
      </c>
      <c r="B767">
        <v>7</v>
      </c>
      <c r="C767" t="s">
        <v>588</v>
      </c>
      <c r="D767" s="2">
        <v>45901</v>
      </c>
      <c r="E767">
        <v>1</v>
      </c>
      <c r="F767" s="2">
        <v>45902</v>
      </c>
      <c r="G767" s="6">
        <v>1</v>
      </c>
      <c r="H767" s="6">
        <v>1</v>
      </c>
    </row>
    <row r="768" spans="1:8" ht="14.4" hidden="1">
      <c r="A768" t="s">
        <v>516</v>
      </c>
      <c r="B768">
        <v>7.1</v>
      </c>
      <c r="C768" t="s">
        <v>589</v>
      </c>
      <c r="D768" s="2">
        <v>45901</v>
      </c>
      <c r="E768">
        <v>1</v>
      </c>
      <c r="F768" s="2">
        <v>45902</v>
      </c>
      <c r="G768" s="6">
        <v>1</v>
      </c>
      <c r="H768" s="6">
        <v>1</v>
      </c>
    </row>
    <row r="769" spans="1:8" ht="14.4" hidden="1">
      <c r="A769" t="s">
        <v>516</v>
      </c>
      <c r="B769">
        <v>8</v>
      </c>
      <c r="C769" t="s">
        <v>590</v>
      </c>
      <c r="D769" s="2">
        <v>45902</v>
      </c>
      <c r="E769">
        <v>24</v>
      </c>
      <c r="F769" s="2">
        <v>45926</v>
      </c>
      <c r="G769" s="6">
        <v>1</v>
      </c>
      <c r="H769" s="6">
        <v>1</v>
      </c>
    </row>
    <row r="770" spans="1:8" ht="14.4" hidden="1">
      <c r="A770" t="s">
        <v>516</v>
      </c>
      <c r="B770">
        <v>8.1</v>
      </c>
      <c r="C770" t="s">
        <v>591</v>
      </c>
      <c r="D770" s="2">
        <v>45902</v>
      </c>
      <c r="E770">
        <v>2</v>
      </c>
      <c r="F770" s="2">
        <v>45904</v>
      </c>
      <c r="G770" s="6">
        <v>1</v>
      </c>
      <c r="H770" s="6">
        <v>1</v>
      </c>
    </row>
    <row r="771" spans="1:8" ht="14.4" hidden="1">
      <c r="A771" t="s">
        <v>516</v>
      </c>
      <c r="B771">
        <v>8.1999999999999993</v>
      </c>
      <c r="C771" t="s">
        <v>592</v>
      </c>
      <c r="D771" s="2">
        <v>45902</v>
      </c>
      <c r="E771">
        <v>4</v>
      </c>
      <c r="F771" s="2">
        <v>45908</v>
      </c>
      <c r="G771" s="6">
        <v>1</v>
      </c>
      <c r="H771" s="6">
        <v>1</v>
      </c>
    </row>
    <row r="772" spans="1:8" ht="14.4" hidden="1">
      <c r="A772" t="s">
        <v>516</v>
      </c>
      <c r="B772">
        <v>8.3000000000000007</v>
      </c>
      <c r="C772" t="s">
        <v>593</v>
      </c>
      <c r="D772" s="2">
        <v>45908</v>
      </c>
      <c r="E772">
        <v>5</v>
      </c>
      <c r="F772" s="2">
        <v>45915</v>
      </c>
      <c r="G772" s="6">
        <v>1</v>
      </c>
      <c r="H772" s="6">
        <v>1</v>
      </c>
    </row>
    <row r="773" spans="1:8" ht="14.4" hidden="1">
      <c r="A773" t="s">
        <v>516</v>
      </c>
      <c r="B773">
        <v>8.4</v>
      </c>
      <c r="C773" t="s">
        <v>594</v>
      </c>
      <c r="D773" s="2">
        <v>45915</v>
      </c>
      <c r="E773">
        <v>4</v>
      </c>
      <c r="F773" s="2">
        <v>45919</v>
      </c>
      <c r="G773" s="6">
        <v>1</v>
      </c>
      <c r="H773" s="6">
        <v>1</v>
      </c>
    </row>
    <row r="774" spans="1:8" ht="14.4" hidden="1">
      <c r="A774" t="s">
        <v>516</v>
      </c>
      <c r="B774">
        <v>8.5</v>
      </c>
      <c r="C774" t="s">
        <v>595</v>
      </c>
      <c r="D774" s="2">
        <v>45919</v>
      </c>
      <c r="E774">
        <v>1</v>
      </c>
      <c r="F774" s="2">
        <v>45922</v>
      </c>
      <c r="G774" s="6">
        <v>1</v>
      </c>
      <c r="H774" s="6">
        <v>1</v>
      </c>
    </row>
    <row r="775" spans="1:8" ht="14.4" hidden="1">
      <c r="A775" t="s">
        <v>516</v>
      </c>
      <c r="B775">
        <v>8.6</v>
      </c>
      <c r="C775" t="s">
        <v>596</v>
      </c>
      <c r="D775" s="2">
        <v>45922</v>
      </c>
      <c r="E775">
        <v>3</v>
      </c>
      <c r="F775" s="2">
        <v>45926</v>
      </c>
      <c r="G775" s="6">
        <v>1</v>
      </c>
      <c r="H775" s="6">
        <v>1</v>
      </c>
    </row>
    <row r="776" spans="1:8" ht="14.4" hidden="1">
      <c r="A776" t="s">
        <v>517</v>
      </c>
      <c r="B776">
        <v>1</v>
      </c>
      <c r="C776" t="s">
        <v>547</v>
      </c>
      <c r="D776" s="2">
        <v>45685</v>
      </c>
      <c r="E776">
        <v>140</v>
      </c>
      <c r="F776" s="2">
        <v>45825</v>
      </c>
      <c r="G776" s="6">
        <v>1</v>
      </c>
      <c r="H776" s="6">
        <v>1</v>
      </c>
    </row>
    <row r="777" spans="1:8" ht="14.4" hidden="1">
      <c r="A777" t="s">
        <v>517</v>
      </c>
      <c r="B777" t="s">
        <v>548</v>
      </c>
      <c r="C777" t="s">
        <v>549</v>
      </c>
      <c r="D777" s="2">
        <v>45685</v>
      </c>
      <c r="E777">
        <v>1</v>
      </c>
      <c r="F777" s="2">
        <v>45686</v>
      </c>
      <c r="G777" s="6">
        <v>1</v>
      </c>
      <c r="H777" s="6">
        <v>1</v>
      </c>
    </row>
    <row r="778" spans="1:8" ht="14.4" hidden="1">
      <c r="A778" t="s">
        <v>517</v>
      </c>
      <c r="B778" t="s">
        <v>550</v>
      </c>
      <c r="C778" t="s">
        <v>551</v>
      </c>
      <c r="D778" s="2">
        <v>45721</v>
      </c>
      <c r="E778">
        <v>1</v>
      </c>
      <c r="F778" s="2">
        <v>45722</v>
      </c>
      <c r="G778" s="6">
        <v>1</v>
      </c>
      <c r="H778" s="6">
        <v>1</v>
      </c>
    </row>
    <row r="779" spans="1:8" ht="14.4" hidden="1">
      <c r="A779" t="s">
        <v>517</v>
      </c>
      <c r="B779" t="s">
        <v>552</v>
      </c>
      <c r="C779" t="s">
        <v>553</v>
      </c>
      <c r="D779" s="2">
        <v>45699</v>
      </c>
      <c r="E779">
        <v>126</v>
      </c>
      <c r="F779" s="2">
        <v>45825</v>
      </c>
      <c r="G779" s="6">
        <v>1</v>
      </c>
      <c r="H779" s="6">
        <v>1</v>
      </c>
    </row>
    <row r="780" spans="1:8" ht="14.4" hidden="1">
      <c r="A780" t="s">
        <v>517</v>
      </c>
      <c r="B780" t="s">
        <v>554</v>
      </c>
      <c r="C780" t="s">
        <v>555</v>
      </c>
      <c r="D780" s="2">
        <v>45818</v>
      </c>
      <c r="E780">
        <v>1</v>
      </c>
      <c r="F780" s="2">
        <v>45819</v>
      </c>
      <c r="G780" s="6">
        <v>1</v>
      </c>
      <c r="H780" s="6">
        <v>1</v>
      </c>
    </row>
    <row r="781" spans="1:8" ht="14.4" hidden="1">
      <c r="A781" t="s">
        <v>517</v>
      </c>
      <c r="B781" t="s">
        <v>556</v>
      </c>
      <c r="C781" t="s">
        <v>557</v>
      </c>
      <c r="D781" s="2">
        <v>45818</v>
      </c>
      <c r="E781">
        <v>1</v>
      </c>
      <c r="F781" s="2">
        <v>45819</v>
      </c>
      <c r="G781" s="6">
        <v>1</v>
      </c>
      <c r="H781" s="6">
        <v>1</v>
      </c>
    </row>
    <row r="782" spans="1:8" ht="14.4" hidden="1">
      <c r="A782" t="s">
        <v>517</v>
      </c>
      <c r="B782">
        <v>2</v>
      </c>
      <c r="C782" t="s">
        <v>558</v>
      </c>
      <c r="D782" s="2">
        <v>45826</v>
      </c>
      <c r="E782">
        <v>1</v>
      </c>
      <c r="F782" s="2">
        <v>45827</v>
      </c>
      <c r="G782" s="6">
        <v>1</v>
      </c>
      <c r="H782" s="6">
        <v>1</v>
      </c>
    </row>
    <row r="783" spans="1:8" ht="14.4" hidden="1">
      <c r="A783" t="s">
        <v>517</v>
      </c>
      <c r="B783" t="s">
        <v>559</v>
      </c>
      <c r="C783" t="s">
        <v>788</v>
      </c>
      <c r="D783" s="2">
        <v>45826</v>
      </c>
      <c r="E783">
        <v>1</v>
      </c>
      <c r="F783" s="2">
        <v>45827</v>
      </c>
      <c r="G783" s="6">
        <v>1</v>
      </c>
      <c r="H783" s="6">
        <v>1</v>
      </c>
    </row>
    <row r="784" spans="1:8" ht="14.4" hidden="1">
      <c r="A784" t="s">
        <v>517</v>
      </c>
      <c r="B784">
        <v>3</v>
      </c>
      <c r="C784" t="s">
        <v>561</v>
      </c>
      <c r="D784" s="2">
        <v>45825</v>
      </c>
      <c r="E784">
        <v>59</v>
      </c>
      <c r="F784" s="2">
        <v>45884</v>
      </c>
      <c r="G784" s="6">
        <v>1</v>
      </c>
      <c r="H784" s="6">
        <v>1</v>
      </c>
    </row>
    <row r="785" spans="1:8" ht="14.4" hidden="1">
      <c r="A785" t="s">
        <v>517</v>
      </c>
      <c r="B785" t="s">
        <v>562</v>
      </c>
      <c r="C785" t="s">
        <v>563</v>
      </c>
      <c r="D785" s="2">
        <v>45825</v>
      </c>
      <c r="E785">
        <v>1</v>
      </c>
      <c r="F785" s="2">
        <v>45826</v>
      </c>
      <c r="G785" s="6">
        <v>1</v>
      </c>
      <c r="H785" s="6">
        <v>1</v>
      </c>
    </row>
    <row r="786" spans="1:8" ht="14.4" hidden="1">
      <c r="A786" t="s">
        <v>517</v>
      </c>
      <c r="B786" t="s">
        <v>564</v>
      </c>
      <c r="C786" t="s">
        <v>565</v>
      </c>
      <c r="D786" s="2">
        <v>45827</v>
      </c>
      <c r="E786">
        <v>5</v>
      </c>
      <c r="F786" s="2">
        <v>45834</v>
      </c>
      <c r="G786" s="6">
        <v>1</v>
      </c>
      <c r="H786" s="6">
        <v>1</v>
      </c>
    </row>
    <row r="787" spans="1:8" ht="14.4" hidden="1">
      <c r="A787" t="s">
        <v>517</v>
      </c>
      <c r="B787" t="s">
        <v>566</v>
      </c>
      <c r="C787" t="s">
        <v>567</v>
      </c>
      <c r="D787" s="2">
        <v>45826</v>
      </c>
      <c r="E787">
        <v>30</v>
      </c>
      <c r="F787" s="2">
        <v>45869</v>
      </c>
      <c r="G787" s="6">
        <v>1</v>
      </c>
      <c r="H787" s="6">
        <v>1</v>
      </c>
    </row>
    <row r="788" spans="1:8" ht="14.4" hidden="1">
      <c r="A788" t="s">
        <v>517</v>
      </c>
      <c r="B788" t="s">
        <v>568</v>
      </c>
      <c r="C788" t="s">
        <v>569</v>
      </c>
      <c r="D788" s="2">
        <v>45860</v>
      </c>
      <c r="E788">
        <v>17</v>
      </c>
      <c r="F788" s="2">
        <v>45883</v>
      </c>
      <c r="G788" s="6">
        <v>1</v>
      </c>
      <c r="H788" s="6">
        <v>1</v>
      </c>
    </row>
    <row r="789" spans="1:8" ht="14.4" hidden="1">
      <c r="A789" t="s">
        <v>517</v>
      </c>
      <c r="B789" t="s">
        <v>570</v>
      </c>
      <c r="C789" t="s">
        <v>571</v>
      </c>
      <c r="D789" s="2">
        <v>45882</v>
      </c>
      <c r="E789">
        <v>2</v>
      </c>
      <c r="F789" s="2">
        <v>45884</v>
      </c>
      <c r="G789" s="6">
        <v>1</v>
      </c>
      <c r="H789" s="6">
        <v>1</v>
      </c>
    </row>
    <row r="790" spans="1:8" ht="14.4" hidden="1">
      <c r="A790" t="s">
        <v>517</v>
      </c>
      <c r="B790">
        <v>4</v>
      </c>
      <c r="C790" t="s">
        <v>572</v>
      </c>
      <c r="D790" s="2">
        <v>45825</v>
      </c>
      <c r="E790">
        <v>72</v>
      </c>
      <c r="F790" s="2">
        <v>45897</v>
      </c>
      <c r="G790" s="6">
        <v>1</v>
      </c>
      <c r="H790" s="6">
        <v>1</v>
      </c>
    </row>
    <row r="791" spans="1:8" ht="14.4" hidden="1">
      <c r="A791" t="s">
        <v>517</v>
      </c>
      <c r="B791" t="s">
        <v>573</v>
      </c>
      <c r="C791" t="s">
        <v>613</v>
      </c>
      <c r="E791"/>
      <c r="G791" s="6">
        <v>0</v>
      </c>
      <c r="H791" s="6">
        <v>0</v>
      </c>
    </row>
    <row r="792" spans="1:8" ht="14.4" hidden="1">
      <c r="A792" t="s">
        <v>517</v>
      </c>
      <c r="B792" t="s">
        <v>573</v>
      </c>
      <c r="C792" t="s">
        <v>574</v>
      </c>
      <c r="D792" s="2">
        <v>45825</v>
      </c>
      <c r="E792">
        <v>1</v>
      </c>
      <c r="F792" s="2">
        <v>45826</v>
      </c>
      <c r="G792" s="6">
        <v>1</v>
      </c>
      <c r="H792" s="6">
        <v>1</v>
      </c>
    </row>
    <row r="793" spans="1:8" ht="14.4" hidden="1">
      <c r="A793" t="s">
        <v>517</v>
      </c>
      <c r="B793" t="s">
        <v>575</v>
      </c>
      <c r="C793" t="s">
        <v>576</v>
      </c>
      <c r="D793" s="2">
        <v>45826</v>
      </c>
      <c r="E793">
        <v>35</v>
      </c>
      <c r="F793" s="2">
        <v>45875</v>
      </c>
      <c r="G793" s="6">
        <v>1</v>
      </c>
      <c r="H793" s="6">
        <v>1</v>
      </c>
    </row>
    <row r="794" spans="1:8" ht="14.4" hidden="1">
      <c r="A794" t="s">
        <v>517</v>
      </c>
      <c r="B794" t="s">
        <v>577</v>
      </c>
      <c r="C794" t="s">
        <v>578</v>
      </c>
      <c r="D794" s="2">
        <v>45861</v>
      </c>
      <c r="E794">
        <v>1</v>
      </c>
      <c r="F794" s="2">
        <v>45862</v>
      </c>
      <c r="G794" s="6">
        <v>1</v>
      </c>
      <c r="H794" s="6">
        <v>1</v>
      </c>
    </row>
    <row r="795" spans="1:8" ht="14.4" hidden="1">
      <c r="A795" t="s">
        <v>517</v>
      </c>
      <c r="B795" t="s">
        <v>579</v>
      </c>
      <c r="C795" t="s">
        <v>902</v>
      </c>
      <c r="D795" s="2">
        <v>45856</v>
      </c>
      <c r="E795">
        <v>9</v>
      </c>
      <c r="F795" s="2">
        <v>45869</v>
      </c>
      <c r="G795" s="6">
        <v>1</v>
      </c>
      <c r="H795" s="6">
        <v>1</v>
      </c>
    </row>
    <row r="796" spans="1:8" ht="14.4" hidden="1">
      <c r="A796" t="s">
        <v>517</v>
      </c>
      <c r="B796" t="s">
        <v>615</v>
      </c>
      <c r="C796" t="s">
        <v>580</v>
      </c>
      <c r="D796" s="2">
        <v>45867</v>
      </c>
      <c r="E796">
        <v>22</v>
      </c>
      <c r="F796" s="2">
        <v>45897</v>
      </c>
      <c r="G796" s="6">
        <v>1</v>
      </c>
      <c r="H796" s="6">
        <v>1</v>
      </c>
    </row>
    <row r="797" spans="1:8" ht="14.4" hidden="1">
      <c r="A797" t="s">
        <v>517</v>
      </c>
      <c r="B797">
        <v>5</v>
      </c>
      <c r="C797" t="s">
        <v>581</v>
      </c>
      <c r="D797" s="2">
        <v>45861</v>
      </c>
      <c r="E797">
        <v>22</v>
      </c>
      <c r="F797" s="2">
        <v>45883</v>
      </c>
      <c r="G797" s="6">
        <v>1</v>
      </c>
      <c r="H797" s="6">
        <v>1</v>
      </c>
    </row>
    <row r="798" spans="1:8" ht="14.4" hidden="1">
      <c r="A798" t="s">
        <v>517</v>
      </c>
      <c r="B798" t="s">
        <v>582</v>
      </c>
      <c r="C798" t="s">
        <v>583</v>
      </c>
      <c r="D798" s="2">
        <v>45861</v>
      </c>
      <c r="E798">
        <v>1</v>
      </c>
      <c r="F798" s="2">
        <v>45862</v>
      </c>
      <c r="G798" s="6">
        <v>1</v>
      </c>
      <c r="H798" s="6">
        <v>1</v>
      </c>
    </row>
    <row r="799" spans="1:8" ht="14.4" hidden="1">
      <c r="A799" t="s">
        <v>517</v>
      </c>
      <c r="B799" t="s">
        <v>584</v>
      </c>
      <c r="C799" t="s">
        <v>585</v>
      </c>
      <c r="D799" s="2">
        <v>45862</v>
      </c>
      <c r="E799">
        <v>15</v>
      </c>
      <c r="F799" s="2">
        <v>45883</v>
      </c>
      <c r="G799" s="6">
        <v>1</v>
      </c>
      <c r="H799" s="6">
        <v>1</v>
      </c>
    </row>
    <row r="800" spans="1:8" ht="14.4" hidden="1">
      <c r="A800" t="s">
        <v>517</v>
      </c>
      <c r="B800">
        <v>6</v>
      </c>
      <c r="C800" t="s">
        <v>240</v>
      </c>
      <c r="D800" s="2">
        <v>45897</v>
      </c>
      <c r="E800">
        <v>19</v>
      </c>
      <c r="F800" s="2">
        <v>45916</v>
      </c>
      <c r="G800" s="6">
        <v>1</v>
      </c>
      <c r="H800" s="6">
        <v>1</v>
      </c>
    </row>
    <row r="801" spans="1:8" ht="14.4" hidden="1">
      <c r="A801" t="s">
        <v>517</v>
      </c>
      <c r="B801" t="s">
        <v>586</v>
      </c>
      <c r="C801" t="s">
        <v>240</v>
      </c>
      <c r="D801" s="2">
        <v>45897</v>
      </c>
      <c r="E801">
        <v>3</v>
      </c>
      <c r="F801" s="2">
        <v>45902</v>
      </c>
      <c r="G801" s="6">
        <v>1</v>
      </c>
      <c r="H801" s="6">
        <v>1</v>
      </c>
    </row>
    <row r="802" spans="1:8" ht="14.4" hidden="1">
      <c r="A802" t="s">
        <v>517</v>
      </c>
      <c r="B802" t="s">
        <v>587</v>
      </c>
      <c r="C802" t="s">
        <v>169</v>
      </c>
      <c r="D802" s="2">
        <v>45902</v>
      </c>
      <c r="E802">
        <v>10</v>
      </c>
      <c r="F802" s="2">
        <v>45916</v>
      </c>
      <c r="G802" s="6">
        <v>1</v>
      </c>
      <c r="H802" s="6">
        <v>1</v>
      </c>
    </row>
    <row r="803" spans="1:8" ht="14.4" hidden="1">
      <c r="A803" t="s">
        <v>517</v>
      </c>
      <c r="B803">
        <v>7</v>
      </c>
      <c r="C803" t="s">
        <v>588</v>
      </c>
      <c r="D803" s="2">
        <v>45911</v>
      </c>
      <c r="E803">
        <v>1</v>
      </c>
      <c r="F803" s="2">
        <v>45912</v>
      </c>
      <c r="G803" s="6">
        <v>1</v>
      </c>
      <c r="H803" s="6">
        <v>1</v>
      </c>
    </row>
    <row r="804" spans="1:8" ht="14.4" hidden="1">
      <c r="A804" t="s">
        <v>517</v>
      </c>
      <c r="B804">
        <v>7.1</v>
      </c>
      <c r="C804" t="s">
        <v>589</v>
      </c>
      <c r="D804" s="2">
        <v>45911</v>
      </c>
      <c r="E804">
        <v>1</v>
      </c>
      <c r="F804" s="2">
        <v>45912</v>
      </c>
      <c r="G804" s="6">
        <v>1</v>
      </c>
      <c r="H804" s="6">
        <v>1</v>
      </c>
    </row>
    <row r="805" spans="1:8" ht="14.4" hidden="1">
      <c r="A805" t="s">
        <v>517</v>
      </c>
      <c r="B805">
        <v>8</v>
      </c>
      <c r="C805" t="s">
        <v>590</v>
      </c>
      <c r="D805" s="2">
        <v>45912</v>
      </c>
      <c r="E805">
        <v>41</v>
      </c>
      <c r="F805" s="2">
        <v>45953</v>
      </c>
      <c r="G805" s="6">
        <v>1</v>
      </c>
      <c r="H805" s="6">
        <v>1</v>
      </c>
    </row>
    <row r="806" spans="1:8" ht="14.4" hidden="1">
      <c r="A806" t="s">
        <v>517</v>
      </c>
      <c r="B806">
        <v>8.1</v>
      </c>
      <c r="C806" t="s">
        <v>591</v>
      </c>
      <c r="D806" s="2">
        <v>45912</v>
      </c>
      <c r="E806">
        <v>2</v>
      </c>
      <c r="F806" s="2">
        <v>45916</v>
      </c>
      <c r="G806" s="6">
        <v>1</v>
      </c>
      <c r="H806" s="6">
        <v>1</v>
      </c>
    </row>
    <row r="807" spans="1:8" ht="14.4" hidden="1">
      <c r="A807" t="s">
        <v>517</v>
      </c>
      <c r="B807">
        <v>8.1999999999999993</v>
      </c>
      <c r="C807" t="s">
        <v>592</v>
      </c>
      <c r="D807" s="2">
        <v>45912</v>
      </c>
      <c r="E807">
        <v>2</v>
      </c>
      <c r="F807" s="2">
        <v>45916</v>
      </c>
      <c r="G807" s="6">
        <v>1</v>
      </c>
      <c r="H807" s="6">
        <v>1</v>
      </c>
    </row>
    <row r="808" spans="1:8" ht="14.4" hidden="1">
      <c r="A808" t="s">
        <v>517</v>
      </c>
      <c r="B808">
        <v>8.3000000000000007</v>
      </c>
      <c r="C808" t="s">
        <v>593</v>
      </c>
      <c r="D808" s="2">
        <v>45916</v>
      </c>
      <c r="E808">
        <v>5</v>
      </c>
      <c r="F808" s="2">
        <v>45923</v>
      </c>
      <c r="G808" s="6">
        <v>1</v>
      </c>
      <c r="H808" s="6">
        <v>1</v>
      </c>
    </row>
    <row r="809" spans="1:8" ht="14.4" hidden="1">
      <c r="A809" t="s">
        <v>517</v>
      </c>
      <c r="B809">
        <v>8.4</v>
      </c>
      <c r="C809" t="s">
        <v>594</v>
      </c>
      <c r="D809" s="2">
        <v>45923</v>
      </c>
      <c r="E809">
        <v>10</v>
      </c>
      <c r="F809" s="2">
        <v>45938</v>
      </c>
      <c r="G809" s="6">
        <v>1</v>
      </c>
      <c r="H809" s="6">
        <v>1</v>
      </c>
    </row>
    <row r="810" spans="1:8" ht="14.4" hidden="1">
      <c r="A810" t="s">
        <v>517</v>
      </c>
      <c r="B810">
        <v>8.5</v>
      </c>
      <c r="C810" t="s">
        <v>595</v>
      </c>
      <c r="D810" s="2">
        <v>45947</v>
      </c>
      <c r="E810">
        <v>0</v>
      </c>
      <c r="F810" s="2">
        <v>45947</v>
      </c>
      <c r="G810" s="6">
        <v>1</v>
      </c>
      <c r="H810" s="6">
        <v>1</v>
      </c>
    </row>
    <row r="811" spans="1:8" ht="14.4" hidden="1">
      <c r="A811" t="s">
        <v>517</v>
      </c>
      <c r="B811">
        <v>8.6</v>
      </c>
      <c r="C811" t="s">
        <v>596</v>
      </c>
      <c r="D811" s="2">
        <v>45946</v>
      </c>
      <c r="E811">
        <v>5</v>
      </c>
      <c r="F811" s="2">
        <v>45953</v>
      </c>
      <c r="G811" s="6">
        <v>1</v>
      </c>
      <c r="H811" s="6">
        <v>1</v>
      </c>
    </row>
    <row r="812" spans="1:8" ht="14.4" hidden="1">
      <c r="A812" t="s">
        <v>205</v>
      </c>
      <c r="B812">
        <v>1</v>
      </c>
      <c r="C812" t="s">
        <v>547</v>
      </c>
      <c r="D812" s="2">
        <v>45939</v>
      </c>
      <c r="E812">
        <v>27</v>
      </c>
      <c r="F812" s="2">
        <v>45966</v>
      </c>
      <c r="G812" s="6">
        <v>1</v>
      </c>
      <c r="H812" s="6">
        <v>1</v>
      </c>
    </row>
    <row r="813" spans="1:8" ht="14.4" hidden="1">
      <c r="A813" t="s">
        <v>205</v>
      </c>
      <c r="B813" t="s">
        <v>548</v>
      </c>
      <c r="C813" t="s">
        <v>597</v>
      </c>
      <c r="D813" s="2">
        <v>45939</v>
      </c>
      <c r="E813">
        <v>1</v>
      </c>
      <c r="F813" s="2">
        <v>45940</v>
      </c>
      <c r="G813" s="6">
        <v>1</v>
      </c>
      <c r="H813" s="6">
        <v>1</v>
      </c>
    </row>
    <row r="814" spans="1:8" ht="14.4" hidden="1">
      <c r="A814" t="s">
        <v>205</v>
      </c>
      <c r="B814" t="s">
        <v>550</v>
      </c>
      <c r="C814" t="s">
        <v>598</v>
      </c>
      <c r="D814" s="2">
        <v>45940</v>
      </c>
      <c r="E814">
        <v>18</v>
      </c>
      <c r="F814" s="2">
        <v>45966</v>
      </c>
      <c r="G814" s="6">
        <v>1</v>
      </c>
      <c r="H814" s="6">
        <v>1</v>
      </c>
    </row>
    <row r="815" spans="1:8" ht="14.4" hidden="1">
      <c r="A815" t="s">
        <v>205</v>
      </c>
      <c r="B815" t="s">
        <v>552</v>
      </c>
      <c r="C815" t="s">
        <v>551</v>
      </c>
      <c r="D815" s="2">
        <v>45943</v>
      </c>
      <c r="E815">
        <v>1</v>
      </c>
      <c r="F815" s="2">
        <v>45944</v>
      </c>
      <c r="G815" s="6">
        <v>1</v>
      </c>
      <c r="H815" s="6">
        <v>1</v>
      </c>
    </row>
    <row r="816" spans="1:8" ht="14.4" hidden="1">
      <c r="A816" t="s">
        <v>205</v>
      </c>
      <c r="B816" t="s">
        <v>554</v>
      </c>
      <c r="C816" t="s">
        <v>903</v>
      </c>
      <c r="D816" s="2">
        <v>45953</v>
      </c>
      <c r="E816">
        <v>1</v>
      </c>
      <c r="F816" s="2">
        <v>45954</v>
      </c>
      <c r="G816" s="6">
        <v>1</v>
      </c>
      <c r="H816" s="6">
        <v>1</v>
      </c>
    </row>
    <row r="817" spans="1:8" ht="14.4" hidden="1">
      <c r="A817" t="s">
        <v>205</v>
      </c>
      <c r="B817" t="s">
        <v>556</v>
      </c>
      <c r="C817" t="s">
        <v>555</v>
      </c>
      <c r="D817" s="2">
        <v>45951</v>
      </c>
      <c r="E817">
        <v>1</v>
      </c>
      <c r="F817" s="2">
        <v>45952</v>
      </c>
      <c r="G817" s="6">
        <v>1</v>
      </c>
      <c r="H817" s="6">
        <v>1</v>
      </c>
    </row>
    <row r="818" spans="1:8" ht="14.4" hidden="1">
      <c r="A818" t="s">
        <v>205</v>
      </c>
      <c r="B818" t="s">
        <v>606</v>
      </c>
      <c r="C818" t="s">
        <v>557</v>
      </c>
      <c r="D818" s="2">
        <v>45951</v>
      </c>
      <c r="E818">
        <v>1</v>
      </c>
      <c r="F818" s="2">
        <v>45952</v>
      </c>
      <c r="G818" s="6">
        <v>1</v>
      </c>
      <c r="H818" s="6">
        <v>1</v>
      </c>
    </row>
    <row r="819" spans="1:8" ht="14.4" hidden="1">
      <c r="A819" t="s">
        <v>205</v>
      </c>
      <c r="B819">
        <v>2</v>
      </c>
      <c r="C819" t="s">
        <v>558</v>
      </c>
      <c r="D819" s="2">
        <v>45959</v>
      </c>
      <c r="E819">
        <v>1</v>
      </c>
      <c r="F819" s="2">
        <v>45960</v>
      </c>
      <c r="G819" s="6">
        <v>1</v>
      </c>
      <c r="H819" s="6">
        <v>1</v>
      </c>
    </row>
    <row r="820" spans="1:8" ht="14.4" hidden="1">
      <c r="A820" t="s">
        <v>205</v>
      </c>
      <c r="B820" t="s">
        <v>559</v>
      </c>
      <c r="C820" t="s">
        <v>560</v>
      </c>
      <c r="D820" s="2">
        <v>45959</v>
      </c>
      <c r="E820">
        <v>1</v>
      </c>
      <c r="F820" s="2">
        <v>45960</v>
      </c>
      <c r="G820" s="6">
        <v>1</v>
      </c>
      <c r="H820" s="6">
        <v>1</v>
      </c>
    </row>
    <row r="821" spans="1:8" ht="14.4" hidden="1">
      <c r="A821" t="s">
        <v>205</v>
      </c>
      <c r="B821">
        <v>3</v>
      </c>
      <c r="C821" t="s">
        <v>561</v>
      </c>
      <c r="D821" s="2">
        <v>45954</v>
      </c>
      <c r="E821">
        <v>34</v>
      </c>
      <c r="F821" s="2">
        <v>45988</v>
      </c>
      <c r="G821" s="6">
        <v>1</v>
      </c>
      <c r="H821" s="6">
        <v>1</v>
      </c>
    </row>
    <row r="822" spans="1:8" ht="14.4" hidden="1">
      <c r="A822" t="s">
        <v>205</v>
      </c>
      <c r="B822" t="s">
        <v>562</v>
      </c>
      <c r="C822" t="s">
        <v>563</v>
      </c>
      <c r="D822" s="2">
        <v>45960</v>
      </c>
      <c r="E822">
        <v>1</v>
      </c>
      <c r="F822" s="2">
        <v>45961</v>
      </c>
      <c r="G822" s="6">
        <v>1</v>
      </c>
      <c r="H822" s="6">
        <v>1</v>
      </c>
    </row>
    <row r="823" spans="1:8" ht="14.4" hidden="1">
      <c r="A823" t="s">
        <v>205</v>
      </c>
      <c r="B823" t="s">
        <v>564</v>
      </c>
      <c r="C823" t="s">
        <v>565</v>
      </c>
      <c r="D823" s="2">
        <v>45979</v>
      </c>
      <c r="E823">
        <v>1</v>
      </c>
      <c r="F823" s="2">
        <v>45980</v>
      </c>
      <c r="G823" s="6">
        <v>1</v>
      </c>
      <c r="H823" s="6">
        <v>1</v>
      </c>
    </row>
    <row r="824" spans="1:8" ht="14.4" hidden="1">
      <c r="A824" t="s">
        <v>205</v>
      </c>
      <c r="B824" t="s">
        <v>566</v>
      </c>
      <c r="C824" t="s">
        <v>567</v>
      </c>
      <c r="D824" s="2">
        <v>45954</v>
      </c>
      <c r="E824">
        <v>20</v>
      </c>
      <c r="F824" s="2">
        <v>45982</v>
      </c>
      <c r="G824" s="6">
        <v>1</v>
      </c>
      <c r="H824" s="6">
        <v>1</v>
      </c>
    </row>
    <row r="825" spans="1:8" ht="14.4" hidden="1">
      <c r="A825" t="s">
        <v>205</v>
      </c>
      <c r="B825" t="s">
        <v>568</v>
      </c>
      <c r="C825" t="s">
        <v>569</v>
      </c>
      <c r="D825" s="2">
        <v>45979</v>
      </c>
      <c r="E825">
        <v>7</v>
      </c>
      <c r="F825" s="2">
        <v>45988</v>
      </c>
      <c r="G825" s="6">
        <v>1</v>
      </c>
      <c r="H825" s="6">
        <v>1</v>
      </c>
    </row>
    <row r="826" spans="1:8" ht="14.4" hidden="1">
      <c r="A826" t="s">
        <v>205</v>
      </c>
      <c r="B826" t="s">
        <v>570</v>
      </c>
      <c r="C826" t="s">
        <v>571</v>
      </c>
      <c r="D826" s="2">
        <v>45979</v>
      </c>
      <c r="E826">
        <v>1</v>
      </c>
      <c r="F826" s="2">
        <v>45980</v>
      </c>
      <c r="G826" s="6">
        <v>1</v>
      </c>
      <c r="H826" s="6">
        <v>1</v>
      </c>
    </row>
    <row r="827" spans="1:8" ht="14.4" hidden="1">
      <c r="A827" t="s">
        <v>205</v>
      </c>
      <c r="B827">
        <v>4</v>
      </c>
      <c r="C827" t="s">
        <v>572</v>
      </c>
      <c r="D827" s="2">
        <v>45960</v>
      </c>
      <c r="E827">
        <v>12</v>
      </c>
      <c r="F827" s="2">
        <v>45972</v>
      </c>
      <c r="G827" s="6">
        <v>0.90909090909090917</v>
      </c>
      <c r="H827" s="6">
        <v>0.75002311528817966</v>
      </c>
    </row>
    <row r="828" spans="1:8" ht="14.4" hidden="1">
      <c r="A828" t="s">
        <v>205</v>
      </c>
      <c r="B828" t="s">
        <v>573</v>
      </c>
      <c r="C828" t="s">
        <v>574</v>
      </c>
      <c r="D828" s="2">
        <v>45960</v>
      </c>
      <c r="E828">
        <v>1</v>
      </c>
      <c r="F828" s="2">
        <v>45961</v>
      </c>
      <c r="G828" s="6">
        <v>1</v>
      </c>
      <c r="H828" s="6">
        <v>1</v>
      </c>
    </row>
    <row r="829" spans="1:8" ht="14.4" hidden="1">
      <c r="A829" t="s">
        <v>205</v>
      </c>
      <c r="B829" t="s">
        <v>575</v>
      </c>
      <c r="C829" t="s">
        <v>576</v>
      </c>
      <c r="D829" s="2">
        <v>45961</v>
      </c>
      <c r="E829">
        <v>4</v>
      </c>
      <c r="F829" s="2">
        <v>45967</v>
      </c>
      <c r="G829" s="6">
        <v>1</v>
      </c>
      <c r="H829" s="6">
        <v>1</v>
      </c>
    </row>
    <row r="830" spans="1:8" ht="14.4" hidden="1">
      <c r="A830" t="s">
        <v>205</v>
      </c>
      <c r="B830" t="s">
        <v>577</v>
      </c>
      <c r="C830" t="s">
        <v>578</v>
      </c>
      <c r="D830" s="2">
        <v>45960</v>
      </c>
      <c r="E830">
        <v>1</v>
      </c>
      <c r="F830" s="2">
        <v>45961</v>
      </c>
      <c r="G830" s="6">
        <v>1</v>
      </c>
      <c r="H830" s="6">
        <v>1</v>
      </c>
    </row>
    <row r="831" spans="1:8" ht="14.4" hidden="1">
      <c r="A831" t="s">
        <v>205</v>
      </c>
      <c r="B831" t="s">
        <v>579</v>
      </c>
      <c r="C831" t="s">
        <v>580</v>
      </c>
      <c r="D831" s="2">
        <v>45965</v>
      </c>
      <c r="E831">
        <v>5</v>
      </c>
      <c r="F831" s="2">
        <v>45972</v>
      </c>
      <c r="G831" s="6">
        <v>1</v>
      </c>
      <c r="H831" s="6">
        <v>1</v>
      </c>
    </row>
    <row r="832" spans="1:8" ht="14.4" hidden="1">
      <c r="A832" t="s">
        <v>205</v>
      </c>
      <c r="B832">
        <v>5</v>
      </c>
      <c r="C832" t="s">
        <v>581</v>
      </c>
      <c r="D832" s="2">
        <v>45960</v>
      </c>
      <c r="E832">
        <v>19</v>
      </c>
      <c r="F832" s="2">
        <v>45979</v>
      </c>
      <c r="G832" s="6">
        <v>1</v>
      </c>
      <c r="H832" s="6">
        <v>1</v>
      </c>
    </row>
    <row r="833" spans="1:8" ht="14.4" hidden="1">
      <c r="A833" t="s">
        <v>205</v>
      </c>
      <c r="B833" t="s">
        <v>582</v>
      </c>
      <c r="C833" t="s">
        <v>583</v>
      </c>
      <c r="D833" s="2">
        <v>45960</v>
      </c>
      <c r="E833">
        <v>1</v>
      </c>
      <c r="F833" s="2">
        <v>45961</v>
      </c>
      <c r="G833" s="6">
        <v>1</v>
      </c>
      <c r="H833" s="6">
        <v>1</v>
      </c>
    </row>
    <row r="834" spans="1:8" ht="14.4" hidden="1">
      <c r="A834" t="s">
        <v>205</v>
      </c>
      <c r="B834" t="s">
        <v>584</v>
      </c>
      <c r="C834" t="s">
        <v>585</v>
      </c>
      <c r="D834" s="2">
        <v>45967</v>
      </c>
      <c r="E834">
        <v>8</v>
      </c>
      <c r="F834" s="2">
        <v>45979</v>
      </c>
      <c r="G834" s="6">
        <v>1</v>
      </c>
      <c r="H834" s="6">
        <v>1</v>
      </c>
    </row>
    <row r="835" spans="1:8" ht="14.4" hidden="1">
      <c r="A835" t="s">
        <v>205</v>
      </c>
      <c r="B835">
        <v>6</v>
      </c>
      <c r="C835" t="s">
        <v>904</v>
      </c>
      <c r="D835" s="2">
        <v>45988</v>
      </c>
      <c r="E835">
        <v>7</v>
      </c>
      <c r="F835" s="2">
        <v>45995</v>
      </c>
      <c r="G835" s="6">
        <v>1</v>
      </c>
      <c r="H835" s="6">
        <v>1</v>
      </c>
    </row>
    <row r="836" spans="1:8" ht="14.4" hidden="1">
      <c r="A836" t="s">
        <v>205</v>
      </c>
      <c r="B836" t="s">
        <v>586</v>
      </c>
      <c r="C836" t="s">
        <v>905</v>
      </c>
      <c r="D836" s="2">
        <v>45988</v>
      </c>
      <c r="E836">
        <v>1</v>
      </c>
      <c r="F836" s="2">
        <v>45989</v>
      </c>
      <c r="G836" s="6">
        <v>1</v>
      </c>
      <c r="H836" s="6">
        <v>1</v>
      </c>
    </row>
    <row r="837" spans="1:8" ht="14.4" hidden="1">
      <c r="A837" t="s">
        <v>205</v>
      </c>
      <c r="B837" t="s">
        <v>587</v>
      </c>
      <c r="C837" t="s">
        <v>906</v>
      </c>
      <c r="D837" s="2">
        <v>45988</v>
      </c>
      <c r="E837">
        <v>5</v>
      </c>
      <c r="F837" s="2">
        <v>45995</v>
      </c>
      <c r="G837" s="6">
        <v>1</v>
      </c>
      <c r="H837" s="6">
        <v>1</v>
      </c>
    </row>
    <row r="838" spans="1:8" ht="14.4" hidden="1">
      <c r="A838" t="s">
        <v>205</v>
      </c>
      <c r="B838" t="s">
        <v>599</v>
      </c>
      <c r="C838" t="s">
        <v>593</v>
      </c>
      <c r="D838" s="2">
        <v>45988</v>
      </c>
      <c r="E838">
        <v>5</v>
      </c>
      <c r="F838" s="2">
        <v>45995</v>
      </c>
      <c r="G838" s="6">
        <v>1</v>
      </c>
      <c r="H838" s="6">
        <v>1</v>
      </c>
    </row>
    <row r="839" spans="1:8" ht="14.4" hidden="1">
      <c r="A839" t="s">
        <v>205</v>
      </c>
      <c r="B839">
        <v>7</v>
      </c>
      <c r="C839" t="s">
        <v>907</v>
      </c>
      <c r="D839" s="2">
        <v>45988</v>
      </c>
      <c r="E839">
        <v>76</v>
      </c>
      <c r="F839" s="2">
        <v>46064</v>
      </c>
      <c r="G839" s="6">
        <v>0.81666666666666676</v>
      </c>
      <c r="H839" s="6">
        <v>1</v>
      </c>
    </row>
    <row r="840" spans="1:8" ht="14.4" hidden="1">
      <c r="A840" t="s">
        <v>205</v>
      </c>
      <c r="B840" t="s">
        <v>600</v>
      </c>
      <c r="C840" t="s">
        <v>589</v>
      </c>
      <c r="D840" s="2">
        <v>45988</v>
      </c>
      <c r="E840">
        <v>1</v>
      </c>
      <c r="F840" s="2">
        <v>45989</v>
      </c>
      <c r="G840" s="6">
        <v>1</v>
      </c>
      <c r="H840" s="6">
        <v>1</v>
      </c>
    </row>
    <row r="841" spans="1:8" ht="14.4" hidden="1">
      <c r="A841" t="s">
        <v>205</v>
      </c>
      <c r="B841" t="s">
        <v>601</v>
      </c>
      <c r="C841" t="s">
        <v>592</v>
      </c>
      <c r="D841" s="2">
        <v>45989</v>
      </c>
      <c r="E841">
        <v>11</v>
      </c>
      <c r="F841" s="2">
        <v>46041</v>
      </c>
      <c r="G841" s="6">
        <v>0.8</v>
      </c>
      <c r="H841" s="6">
        <v>1</v>
      </c>
    </row>
    <row r="842" spans="1:8" ht="14.4" hidden="1">
      <c r="A842" t="s">
        <v>205</v>
      </c>
      <c r="B842" t="s">
        <v>908</v>
      </c>
      <c r="C842" t="s">
        <v>909</v>
      </c>
      <c r="D842" s="2">
        <v>46058</v>
      </c>
      <c r="E842">
        <v>4</v>
      </c>
      <c r="F842" s="2">
        <v>46064</v>
      </c>
      <c r="G842" s="6">
        <v>0</v>
      </c>
      <c r="H842" s="6">
        <v>1</v>
      </c>
    </row>
    <row r="843" spans="1:8" ht="14.4" hidden="1">
      <c r="A843" t="s">
        <v>205</v>
      </c>
      <c r="B843">
        <v>8</v>
      </c>
      <c r="C843" t="s">
        <v>910</v>
      </c>
      <c r="D843" s="2">
        <v>45989</v>
      </c>
      <c r="E843">
        <v>88</v>
      </c>
      <c r="F843" s="2">
        <v>46077</v>
      </c>
      <c r="G843" s="6">
        <v>0.57692307692307687</v>
      </c>
      <c r="H843" s="6">
        <v>0.49953498471058683</v>
      </c>
    </row>
    <row r="844" spans="1:8" ht="14.4" hidden="1">
      <c r="A844" t="s">
        <v>205</v>
      </c>
      <c r="B844" t="s">
        <v>602</v>
      </c>
      <c r="C844" t="s">
        <v>594</v>
      </c>
      <c r="D844" s="2">
        <v>45989</v>
      </c>
      <c r="E844">
        <v>10</v>
      </c>
      <c r="F844" s="2">
        <v>46003</v>
      </c>
      <c r="G844" s="6">
        <v>0.75</v>
      </c>
      <c r="H844" s="6">
        <v>1</v>
      </c>
    </row>
    <row r="845" spans="1:8" ht="14.4" hidden="1">
      <c r="A845" t="s">
        <v>205</v>
      </c>
      <c r="B845" t="s">
        <v>603</v>
      </c>
      <c r="C845" t="s">
        <v>595</v>
      </c>
      <c r="D845" s="2">
        <v>46072</v>
      </c>
      <c r="E845">
        <v>1</v>
      </c>
      <c r="F845" s="2">
        <v>46073</v>
      </c>
      <c r="G845" s="6">
        <v>0</v>
      </c>
      <c r="H845" s="6">
        <v>0</v>
      </c>
    </row>
    <row r="846" spans="1:8" ht="14.4" hidden="1">
      <c r="A846" t="s">
        <v>205</v>
      </c>
      <c r="B846" t="s">
        <v>604</v>
      </c>
      <c r="C846" t="s">
        <v>596</v>
      </c>
      <c r="D846" s="2">
        <v>46074</v>
      </c>
      <c r="E846">
        <v>2</v>
      </c>
      <c r="F846" s="2">
        <v>46077</v>
      </c>
      <c r="G846" s="6">
        <v>0</v>
      </c>
      <c r="H846" s="6">
        <v>0</v>
      </c>
    </row>
    <row r="847" spans="1:8" ht="14.4" hidden="1">
      <c r="A847" t="s">
        <v>208</v>
      </c>
      <c r="B847">
        <v>1</v>
      </c>
      <c r="C847" t="s">
        <v>547</v>
      </c>
      <c r="D847" s="2">
        <v>45910</v>
      </c>
      <c r="E847">
        <v>47</v>
      </c>
      <c r="F847" s="2">
        <v>45957</v>
      </c>
      <c r="G847" s="6">
        <v>1</v>
      </c>
      <c r="H847" s="6">
        <v>1</v>
      </c>
    </row>
    <row r="848" spans="1:8" ht="14.4" hidden="1">
      <c r="A848" t="s">
        <v>208</v>
      </c>
      <c r="B848" t="s">
        <v>548</v>
      </c>
      <c r="C848" t="s">
        <v>597</v>
      </c>
      <c r="D848" s="2">
        <v>45910</v>
      </c>
      <c r="E848">
        <v>1</v>
      </c>
      <c r="F848" s="2">
        <v>45911</v>
      </c>
      <c r="G848" s="6">
        <v>1</v>
      </c>
      <c r="H848" s="6">
        <v>1</v>
      </c>
    </row>
    <row r="849" spans="1:8" ht="14.4" hidden="1">
      <c r="A849" t="s">
        <v>208</v>
      </c>
      <c r="B849" t="s">
        <v>550</v>
      </c>
      <c r="C849" t="s">
        <v>598</v>
      </c>
      <c r="D849" s="2">
        <v>45938</v>
      </c>
      <c r="E849">
        <v>12</v>
      </c>
      <c r="F849" s="2">
        <v>45954</v>
      </c>
      <c r="G849" s="6">
        <v>1</v>
      </c>
      <c r="H849" s="6">
        <v>1</v>
      </c>
    </row>
    <row r="850" spans="1:8" ht="14.4" hidden="1">
      <c r="A850" t="s">
        <v>208</v>
      </c>
      <c r="B850" t="s">
        <v>552</v>
      </c>
      <c r="C850" t="s">
        <v>551</v>
      </c>
      <c r="D850" s="2">
        <v>45947</v>
      </c>
      <c r="E850">
        <v>1</v>
      </c>
      <c r="F850" s="2">
        <v>45950</v>
      </c>
      <c r="G850" s="6">
        <v>1</v>
      </c>
      <c r="H850" s="6">
        <v>1</v>
      </c>
    </row>
    <row r="851" spans="1:8" ht="14.4" hidden="1">
      <c r="A851" t="s">
        <v>208</v>
      </c>
      <c r="B851" t="s">
        <v>554</v>
      </c>
      <c r="C851" t="s">
        <v>555</v>
      </c>
      <c r="D851" s="2">
        <v>45954</v>
      </c>
      <c r="E851">
        <v>1</v>
      </c>
      <c r="F851" s="2">
        <v>45957</v>
      </c>
      <c r="G851" s="6">
        <v>1</v>
      </c>
      <c r="H851" s="6">
        <v>1</v>
      </c>
    </row>
    <row r="852" spans="1:8" ht="14.4" hidden="1">
      <c r="A852" t="s">
        <v>208</v>
      </c>
      <c r="B852" t="s">
        <v>556</v>
      </c>
      <c r="C852" t="s">
        <v>557</v>
      </c>
      <c r="D852" s="2">
        <v>45953</v>
      </c>
      <c r="E852">
        <v>1</v>
      </c>
      <c r="F852" s="2">
        <v>45954</v>
      </c>
      <c r="G852" s="6">
        <v>1</v>
      </c>
      <c r="H852" s="6">
        <v>1</v>
      </c>
    </row>
    <row r="853" spans="1:8" ht="14.4" hidden="1">
      <c r="A853" t="s">
        <v>208</v>
      </c>
      <c r="B853">
        <v>2</v>
      </c>
      <c r="C853" t="s">
        <v>558</v>
      </c>
      <c r="D853" s="2">
        <v>45957</v>
      </c>
      <c r="E853">
        <v>1</v>
      </c>
      <c r="F853" s="2">
        <v>45958</v>
      </c>
      <c r="G853" s="6">
        <v>1</v>
      </c>
      <c r="H853" s="6">
        <v>1</v>
      </c>
    </row>
    <row r="854" spans="1:8" ht="14.4" hidden="1">
      <c r="A854" t="s">
        <v>208</v>
      </c>
      <c r="B854" t="s">
        <v>559</v>
      </c>
      <c r="C854" t="s">
        <v>560</v>
      </c>
      <c r="D854" s="2">
        <v>45957</v>
      </c>
      <c r="E854">
        <v>1</v>
      </c>
      <c r="F854" s="2">
        <v>45958</v>
      </c>
      <c r="G854" s="6">
        <v>1</v>
      </c>
      <c r="H854" s="6">
        <v>1</v>
      </c>
    </row>
    <row r="855" spans="1:8" ht="14.4" hidden="1">
      <c r="A855" t="s">
        <v>208</v>
      </c>
      <c r="B855">
        <v>3</v>
      </c>
      <c r="C855" t="s">
        <v>561</v>
      </c>
      <c r="D855" s="2">
        <v>45957</v>
      </c>
      <c r="E855">
        <v>28</v>
      </c>
      <c r="F855" s="2">
        <v>45985</v>
      </c>
      <c r="G855" s="6">
        <v>1</v>
      </c>
      <c r="H855" s="6">
        <v>1</v>
      </c>
    </row>
    <row r="856" spans="1:8" ht="14.4" hidden="1">
      <c r="A856" t="s">
        <v>208</v>
      </c>
      <c r="B856" t="s">
        <v>562</v>
      </c>
      <c r="C856" t="s">
        <v>563</v>
      </c>
      <c r="D856" s="2">
        <v>45958</v>
      </c>
      <c r="E856">
        <v>1</v>
      </c>
      <c r="F856" s="2">
        <v>45959</v>
      </c>
      <c r="G856" s="6">
        <v>1</v>
      </c>
      <c r="H856" s="6">
        <v>1</v>
      </c>
    </row>
    <row r="857" spans="1:8" ht="14.4" hidden="1">
      <c r="A857" t="s">
        <v>208</v>
      </c>
      <c r="B857" t="s">
        <v>564</v>
      </c>
      <c r="C857" t="s">
        <v>565</v>
      </c>
      <c r="D857" s="2">
        <v>45959</v>
      </c>
      <c r="E857">
        <v>2</v>
      </c>
      <c r="F857" s="2">
        <v>45961</v>
      </c>
      <c r="G857" s="6">
        <v>1</v>
      </c>
      <c r="H857" s="6">
        <v>1</v>
      </c>
    </row>
    <row r="858" spans="1:8" ht="14.4" hidden="1">
      <c r="A858" t="s">
        <v>208</v>
      </c>
      <c r="B858" t="s">
        <v>566</v>
      </c>
      <c r="C858" t="s">
        <v>567</v>
      </c>
      <c r="D858" s="2">
        <v>45957</v>
      </c>
      <c r="E858">
        <v>15</v>
      </c>
      <c r="F858" s="2">
        <v>45978</v>
      </c>
      <c r="G858" s="6">
        <v>1</v>
      </c>
      <c r="H858" s="6">
        <v>1</v>
      </c>
    </row>
    <row r="859" spans="1:8" ht="14.4" hidden="1">
      <c r="A859" t="s">
        <v>208</v>
      </c>
      <c r="B859" t="s">
        <v>568</v>
      </c>
      <c r="C859" t="s">
        <v>569</v>
      </c>
      <c r="D859" s="2">
        <v>45978</v>
      </c>
      <c r="E859">
        <v>5</v>
      </c>
      <c r="F859" s="2">
        <v>45985</v>
      </c>
      <c r="G859" s="6">
        <v>1</v>
      </c>
      <c r="H859" s="6">
        <v>1</v>
      </c>
    </row>
    <row r="860" spans="1:8" ht="14.4" hidden="1">
      <c r="A860" t="s">
        <v>208</v>
      </c>
      <c r="B860" t="s">
        <v>570</v>
      </c>
      <c r="C860" t="s">
        <v>571</v>
      </c>
      <c r="D860" s="2">
        <v>45978</v>
      </c>
      <c r="E860">
        <v>1</v>
      </c>
      <c r="F860" s="2">
        <v>45979</v>
      </c>
      <c r="G860" s="6">
        <v>1</v>
      </c>
      <c r="H860" s="6">
        <v>1</v>
      </c>
    </row>
    <row r="861" spans="1:8" ht="14.4" hidden="1">
      <c r="A861" t="s">
        <v>208</v>
      </c>
      <c r="B861">
        <v>4</v>
      </c>
      <c r="C861" t="s">
        <v>572</v>
      </c>
      <c r="D861" s="2">
        <v>45957</v>
      </c>
      <c r="E861">
        <v>23</v>
      </c>
      <c r="F861" s="2">
        <v>45980</v>
      </c>
      <c r="G861" s="6">
        <v>0.94736842105263153</v>
      </c>
      <c r="H861" s="6">
        <v>0.75005710432143746</v>
      </c>
    </row>
    <row r="862" spans="1:8" ht="14.4" hidden="1">
      <c r="A862" t="s">
        <v>208</v>
      </c>
      <c r="B862" t="s">
        <v>573</v>
      </c>
      <c r="C862" t="s">
        <v>574</v>
      </c>
      <c r="D862" s="2">
        <v>45957</v>
      </c>
      <c r="E862">
        <v>1</v>
      </c>
      <c r="F862" s="2">
        <v>45958</v>
      </c>
      <c r="G862" s="6">
        <v>1</v>
      </c>
      <c r="H862" s="6">
        <v>1</v>
      </c>
    </row>
    <row r="863" spans="1:8" ht="14.4" hidden="1">
      <c r="A863" t="s">
        <v>208</v>
      </c>
      <c r="B863" t="s">
        <v>575</v>
      </c>
      <c r="C863" t="s">
        <v>576</v>
      </c>
      <c r="D863" s="2">
        <v>45958</v>
      </c>
      <c r="E863">
        <v>14</v>
      </c>
      <c r="F863" s="2">
        <v>45978</v>
      </c>
      <c r="G863" s="6">
        <v>1</v>
      </c>
      <c r="H863" s="6">
        <v>1</v>
      </c>
    </row>
    <row r="864" spans="1:8" ht="14.4" hidden="1">
      <c r="A864" t="s">
        <v>208</v>
      </c>
      <c r="B864" t="s">
        <v>577</v>
      </c>
      <c r="C864" t="s">
        <v>578</v>
      </c>
      <c r="D864" s="2">
        <v>45957</v>
      </c>
      <c r="E864">
        <v>1</v>
      </c>
      <c r="F864" s="2">
        <v>45958</v>
      </c>
      <c r="G864" s="6">
        <v>1</v>
      </c>
      <c r="H864" s="6">
        <v>1</v>
      </c>
    </row>
    <row r="865" spans="1:8" ht="14.4" hidden="1">
      <c r="A865" t="s">
        <v>208</v>
      </c>
      <c r="B865" t="s">
        <v>579</v>
      </c>
      <c r="C865" t="s">
        <v>580</v>
      </c>
      <c r="D865" s="2">
        <v>45975</v>
      </c>
      <c r="E865">
        <v>3</v>
      </c>
      <c r="F865" s="2">
        <v>45980</v>
      </c>
      <c r="G865" s="6">
        <v>1</v>
      </c>
      <c r="H865" s="6">
        <v>1</v>
      </c>
    </row>
    <row r="866" spans="1:8" ht="14.4" hidden="1">
      <c r="A866" t="s">
        <v>208</v>
      </c>
      <c r="B866">
        <v>5</v>
      </c>
      <c r="C866" t="s">
        <v>581</v>
      </c>
      <c r="D866" s="2">
        <v>45958</v>
      </c>
      <c r="E866">
        <v>24</v>
      </c>
      <c r="F866" s="2">
        <v>45982</v>
      </c>
      <c r="G866" s="6">
        <v>1</v>
      </c>
      <c r="H866" s="6">
        <v>1</v>
      </c>
    </row>
    <row r="867" spans="1:8" ht="14.4" hidden="1">
      <c r="A867" t="s">
        <v>208</v>
      </c>
      <c r="B867" t="s">
        <v>582</v>
      </c>
      <c r="C867" t="s">
        <v>583</v>
      </c>
      <c r="D867" s="2">
        <v>45958</v>
      </c>
      <c r="E867">
        <v>1</v>
      </c>
      <c r="F867" s="2">
        <v>45959</v>
      </c>
      <c r="G867" s="6">
        <v>1</v>
      </c>
      <c r="H867" s="6">
        <v>1</v>
      </c>
    </row>
    <row r="868" spans="1:8" ht="14.4" hidden="1">
      <c r="A868" t="s">
        <v>208</v>
      </c>
      <c r="B868" t="s">
        <v>584</v>
      </c>
      <c r="C868" t="s">
        <v>585</v>
      </c>
      <c r="D868" s="2">
        <v>45978</v>
      </c>
      <c r="E868">
        <v>4</v>
      </c>
      <c r="F868" s="2">
        <v>45982</v>
      </c>
      <c r="G868" s="6">
        <v>1</v>
      </c>
      <c r="H868" s="6">
        <v>1</v>
      </c>
    </row>
    <row r="869" spans="1:8" ht="14.4" hidden="1">
      <c r="A869" t="s">
        <v>208</v>
      </c>
      <c r="B869">
        <v>6</v>
      </c>
      <c r="C869" t="s">
        <v>240</v>
      </c>
      <c r="D869" s="2">
        <v>45985</v>
      </c>
      <c r="E869">
        <v>9</v>
      </c>
      <c r="F869" s="2">
        <v>45994</v>
      </c>
      <c r="G869" s="6">
        <v>1</v>
      </c>
      <c r="H869" s="6">
        <v>1</v>
      </c>
    </row>
    <row r="870" spans="1:8" ht="14.4" hidden="1">
      <c r="A870" t="s">
        <v>208</v>
      </c>
      <c r="B870" t="s">
        <v>586</v>
      </c>
      <c r="C870" t="s">
        <v>240</v>
      </c>
      <c r="D870" s="2">
        <v>45985</v>
      </c>
      <c r="E870">
        <v>1</v>
      </c>
      <c r="F870" s="2">
        <v>45986</v>
      </c>
      <c r="G870" s="6">
        <v>1</v>
      </c>
      <c r="H870" s="6">
        <v>1</v>
      </c>
    </row>
    <row r="871" spans="1:8" ht="14.4" hidden="1">
      <c r="A871" t="s">
        <v>208</v>
      </c>
      <c r="B871" t="s">
        <v>587</v>
      </c>
      <c r="C871" t="s">
        <v>169</v>
      </c>
      <c r="D871" s="2">
        <v>45986</v>
      </c>
      <c r="E871">
        <v>1</v>
      </c>
      <c r="F871" s="2">
        <v>45987</v>
      </c>
      <c r="G871" s="6">
        <v>1</v>
      </c>
      <c r="H871" s="6">
        <v>1</v>
      </c>
    </row>
    <row r="872" spans="1:8" ht="14.4" hidden="1">
      <c r="A872" t="s">
        <v>208</v>
      </c>
      <c r="B872" t="s">
        <v>599</v>
      </c>
      <c r="C872" t="s">
        <v>593</v>
      </c>
      <c r="D872" s="2">
        <v>45987</v>
      </c>
      <c r="E872">
        <v>5</v>
      </c>
      <c r="F872" s="2">
        <v>45994</v>
      </c>
      <c r="G872" s="6">
        <v>1</v>
      </c>
      <c r="H872" s="6">
        <v>1</v>
      </c>
    </row>
    <row r="873" spans="1:8" ht="14.4" hidden="1">
      <c r="A873" t="s">
        <v>208</v>
      </c>
      <c r="B873">
        <v>7</v>
      </c>
      <c r="C873" t="s">
        <v>588</v>
      </c>
      <c r="D873" s="2">
        <v>45985</v>
      </c>
      <c r="E873">
        <v>3</v>
      </c>
      <c r="F873" s="2">
        <v>45988</v>
      </c>
      <c r="G873" s="6">
        <v>1</v>
      </c>
      <c r="H873" s="6">
        <v>1</v>
      </c>
    </row>
    <row r="874" spans="1:8" ht="14.4" hidden="1">
      <c r="A874" t="s">
        <v>208</v>
      </c>
      <c r="B874" t="s">
        <v>600</v>
      </c>
      <c r="C874" t="s">
        <v>589</v>
      </c>
      <c r="D874" s="2">
        <v>45985</v>
      </c>
      <c r="E874">
        <v>1</v>
      </c>
      <c r="F874" s="2">
        <v>45986</v>
      </c>
      <c r="G874" s="6">
        <v>1</v>
      </c>
      <c r="H874" s="6">
        <v>1</v>
      </c>
    </row>
    <row r="875" spans="1:8" ht="14.4" hidden="1">
      <c r="A875" t="s">
        <v>208</v>
      </c>
      <c r="B875" t="s">
        <v>601</v>
      </c>
      <c r="C875" t="s">
        <v>592</v>
      </c>
      <c r="D875" s="2">
        <v>45986</v>
      </c>
      <c r="E875">
        <v>2</v>
      </c>
      <c r="F875" s="2">
        <v>45988</v>
      </c>
      <c r="G875" s="6">
        <v>1</v>
      </c>
      <c r="H875" s="6">
        <v>1</v>
      </c>
    </row>
    <row r="876" spans="1:8" ht="14.4" hidden="1">
      <c r="A876" t="s">
        <v>208</v>
      </c>
      <c r="B876">
        <v>8</v>
      </c>
      <c r="C876" t="s">
        <v>590</v>
      </c>
      <c r="D876" s="2">
        <v>46055</v>
      </c>
      <c r="E876">
        <v>32</v>
      </c>
      <c r="F876" s="2">
        <v>46087</v>
      </c>
      <c r="G876" s="6">
        <v>0.68181818181818177</v>
      </c>
      <c r="H876" s="6">
        <v>0.59941299571903683</v>
      </c>
    </row>
    <row r="877" spans="1:8" ht="14.4" hidden="1">
      <c r="A877" t="s">
        <v>208</v>
      </c>
      <c r="B877" t="s">
        <v>602</v>
      </c>
      <c r="C877" t="s">
        <v>594</v>
      </c>
      <c r="D877" s="2">
        <v>46055</v>
      </c>
      <c r="E877">
        <v>15</v>
      </c>
      <c r="F877" s="2">
        <v>46076</v>
      </c>
      <c r="G877" s="6">
        <v>1</v>
      </c>
      <c r="H877" s="6">
        <v>1</v>
      </c>
    </row>
    <row r="878" spans="1:8" ht="14.4" hidden="1">
      <c r="A878" t="s">
        <v>208</v>
      </c>
      <c r="B878" t="s">
        <v>603</v>
      </c>
      <c r="C878" t="s">
        <v>595</v>
      </c>
      <c r="D878" s="2">
        <v>46086</v>
      </c>
      <c r="E878">
        <v>1</v>
      </c>
      <c r="F878" s="2">
        <v>46087</v>
      </c>
      <c r="G878" s="6">
        <v>0</v>
      </c>
      <c r="H878" s="6">
        <v>0</v>
      </c>
    </row>
    <row r="879" spans="1:8" ht="14.4" hidden="1">
      <c r="A879" t="s">
        <v>208</v>
      </c>
      <c r="B879" t="s">
        <v>604</v>
      </c>
      <c r="C879" t="s">
        <v>596</v>
      </c>
      <c r="D879" s="2">
        <v>46076</v>
      </c>
      <c r="E879">
        <v>6</v>
      </c>
      <c r="F879" s="2">
        <v>46084</v>
      </c>
      <c r="G879" s="6">
        <v>0</v>
      </c>
      <c r="H879" s="6">
        <v>0</v>
      </c>
    </row>
    <row r="880" spans="1:8" ht="14.4" hidden="1">
      <c r="A880" t="s">
        <v>211</v>
      </c>
      <c r="B880">
        <v>1</v>
      </c>
      <c r="C880" t="s">
        <v>547</v>
      </c>
      <c r="D880" s="2">
        <v>45769</v>
      </c>
      <c r="E880">
        <v>97</v>
      </c>
      <c r="F880" s="2">
        <v>45866</v>
      </c>
      <c r="G880" s="6">
        <v>1</v>
      </c>
      <c r="H880" s="6">
        <v>1</v>
      </c>
    </row>
    <row r="881" spans="1:8" ht="14.4" hidden="1">
      <c r="A881" t="s">
        <v>211</v>
      </c>
      <c r="B881" t="s">
        <v>548</v>
      </c>
      <c r="C881" t="s">
        <v>549</v>
      </c>
      <c r="D881" s="2">
        <v>45769</v>
      </c>
      <c r="E881">
        <v>1</v>
      </c>
      <c r="F881" s="2">
        <v>45770</v>
      </c>
      <c r="G881" s="6">
        <v>1</v>
      </c>
      <c r="H881" s="6">
        <v>1</v>
      </c>
    </row>
    <row r="882" spans="1:8" ht="14.4" hidden="1">
      <c r="A882" t="s">
        <v>211</v>
      </c>
      <c r="B882" t="s">
        <v>550</v>
      </c>
      <c r="C882" t="s">
        <v>551</v>
      </c>
      <c r="D882" s="2">
        <v>45863</v>
      </c>
      <c r="E882">
        <v>1</v>
      </c>
      <c r="F882" s="2">
        <v>45866</v>
      </c>
      <c r="G882" s="6">
        <v>1</v>
      </c>
      <c r="H882" s="6">
        <v>1</v>
      </c>
    </row>
    <row r="883" spans="1:8" ht="14.4" hidden="1">
      <c r="A883" t="s">
        <v>211</v>
      </c>
      <c r="B883" t="s">
        <v>552</v>
      </c>
      <c r="C883" t="s">
        <v>553</v>
      </c>
      <c r="D883" s="2">
        <v>45769</v>
      </c>
      <c r="E883">
        <v>10</v>
      </c>
      <c r="F883" s="2">
        <v>45784</v>
      </c>
      <c r="G883" s="6">
        <v>1</v>
      </c>
      <c r="H883" s="6">
        <v>1</v>
      </c>
    </row>
    <row r="884" spans="1:8" ht="14.4" hidden="1">
      <c r="A884" t="s">
        <v>211</v>
      </c>
      <c r="B884" t="s">
        <v>554</v>
      </c>
      <c r="C884" t="s">
        <v>555</v>
      </c>
      <c r="D884" s="2">
        <v>45856</v>
      </c>
      <c r="E884">
        <v>1</v>
      </c>
      <c r="F884" s="2">
        <v>45859</v>
      </c>
      <c r="G884" s="6">
        <v>1</v>
      </c>
      <c r="H884" s="6">
        <v>1</v>
      </c>
    </row>
    <row r="885" spans="1:8" ht="14.4" hidden="1">
      <c r="A885" t="s">
        <v>211</v>
      </c>
      <c r="B885" t="s">
        <v>556</v>
      </c>
      <c r="C885" t="s">
        <v>557</v>
      </c>
      <c r="D885" s="2">
        <v>45856</v>
      </c>
      <c r="E885">
        <v>1</v>
      </c>
      <c r="F885" s="2">
        <v>45859</v>
      </c>
      <c r="G885" s="6">
        <v>1</v>
      </c>
      <c r="H885" s="6">
        <v>1</v>
      </c>
    </row>
    <row r="886" spans="1:8" ht="14.4" hidden="1">
      <c r="A886" t="s">
        <v>211</v>
      </c>
      <c r="B886">
        <v>2</v>
      </c>
      <c r="C886" t="s">
        <v>558</v>
      </c>
      <c r="D886" s="2">
        <v>45870</v>
      </c>
      <c r="E886">
        <v>1</v>
      </c>
      <c r="F886" s="2">
        <v>45871</v>
      </c>
      <c r="G886" s="6">
        <v>1</v>
      </c>
      <c r="H886" s="6">
        <v>1</v>
      </c>
    </row>
    <row r="887" spans="1:8" ht="14.4" hidden="1">
      <c r="A887" t="s">
        <v>211</v>
      </c>
      <c r="B887" t="s">
        <v>559</v>
      </c>
      <c r="C887" t="s">
        <v>560</v>
      </c>
      <c r="D887" s="2">
        <v>45870</v>
      </c>
      <c r="E887">
        <v>1</v>
      </c>
      <c r="F887" s="2">
        <v>45871</v>
      </c>
      <c r="G887" s="6">
        <v>1</v>
      </c>
      <c r="H887" s="6">
        <v>1</v>
      </c>
    </row>
    <row r="888" spans="1:8" ht="14.4" hidden="1">
      <c r="A888" t="s">
        <v>211</v>
      </c>
      <c r="B888">
        <v>3</v>
      </c>
      <c r="C888" t="s">
        <v>561</v>
      </c>
      <c r="D888" s="2">
        <v>45823</v>
      </c>
      <c r="E888">
        <v>80</v>
      </c>
      <c r="F888" s="2">
        <v>45903</v>
      </c>
      <c r="G888" s="6">
        <v>1</v>
      </c>
      <c r="H888" s="6">
        <v>1</v>
      </c>
    </row>
    <row r="889" spans="1:8" ht="14.4" hidden="1">
      <c r="A889" t="s">
        <v>211</v>
      </c>
      <c r="B889" t="s">
        <v>562</v>
      </c>
      <c r="C889" t="s">
        <v>563</v>
      </c>
      <c r="D889" s="2">
        <v>45831</v>
      </c>
      <c r="E889">
        <v>1</v>
      </c>
      <c r="F889" s="2">
        <v>45832</v>
      </c>
      <c r="G889" s="6">
        <v>1</v>
      </c>
      <c r="H889" s="6">
        <v>1</v>
      </c>
    </row>
    <row r="890" spans="1:8" ht="14.4" hidden="1">
      <c r="A890" t="s">
        <v>211</v>
      </c>
      <c r="B890" t="s">
        <v>564</v>
      </c>
      <c r="C890" t="s">
        <v>565</v>
      </c>
      <c r="D890" s="2">
        <v>45894</v>
      </c>
      <c r="E890">
        <v>5</v>
      </c>
      <c r="F890" s="2">
        <v>45901</v>
      </c>
      <c r="G890" s="6">
        <v>1</v>
      </c>
      <c r="H890" s="6">
        <v>1</v>
      </c>
    </row>
    <row r="891" spans="1:8" ht="14.4" hidden="1">
      <c r="A891" t="s">
        <v>211</v>
      </c>
      <c r="B891" t="s">
        <v>566</v>
      </c>
      <c r="C891" t="s">
        <v>567</v>
      </c>
      <c r="D891" s="2">
        <v>45823</v>
      </c>
      <c r="E891">
        <v>20</v>
      </c>
      <c r="F891" s="2">
        <v>45852</v>
      </c>
      <c r="G891" s="6">
        <v>1</v>
      </c>
      <c r="H891" s="6">
        <v>1</v>
      </c>
    </row>
    <row r="892" spans="1:8" ht="14.4" hidden="1">
      <c r="A892" t="s">
        <v>211</v>
      </c>
      <c r="B892" t="s">
        <v>568</v>
      </c>
      <c r="C892" t="s">
        <v>569</v>
      </c>
      <c r="D892" s="2">
        <v>45894</v>
      </c>
      <c r="E892">
        <v>5</v>
      </c>
      <c r="F892" s="2">
        <v>45901</v>
      </c>
      <c r="G892" s="6">
        <v>1</v>
      </c>
      <c r="H892" s="6">
        <v>1</v>
      </c>
    </row>
    <row r="893" spans="1:8" ht="14.4" hidden="1">
      <c r="A893" t="s">
        <v>211</v>
      </c>
      <c r="B893" t="s">
        <v>570</v>
      </c>
      <c r="C893" t="s">
        <v>571</v>
      </c>
      <c r="D893" s="2">
        <v>45903</v>
      </c>
      <c r="E893">
        <v>0</v>
      </c>
      <c r="F893" s="2">
        <v>45903</v>
      </c>
      <c r="G893" s="6">
        <v>1</v>
      </c>
      <c r="H893" s="6">
        <v>1</v>
      </c>
    </row>
    <row r="894" spans="1:8" ht="14.4" hidden="1">
      <c r="A894" t="s">
        <v>211</v>
      </c>
      <c r="B894">
        <v>4</v>
      </c>
      <c r="C894" t="s">
        <v>572</v>
      </c>
      <c r="D894" s="2">
        <v>45831</v>
      </c>
      <c r="E894">
        <v>114</v>
      </c>
      <c r="F894" s="2">
        <v>45945</v>
      </c>
      <c r="G894" s="6">
        <v>1</v>
      </c>
      <c r="H894" s="6">
        <v>1</v>
      </c>
    </row>
    <row r="895" spans="1:8" ht="14.4" hidden="1">
      <c r="A895" t="s">
        <v>211</v>
      </c>
      <c r="B895" t="s">
        <v>573</v>
      </c>
      <c r="C895" t="s">
        <v>613</v>
      </c>
      <c r="E895"/>
      <c r="G895" s="6">
        <v>0</v>
      </c>
      <c r="H895" s="6">
        <v>0</v>
      </c>
    </row>
    <row r="896" spans="1:8" ht="14.4" hidden="1">
      <c r="A896" t="s">
        <v>211</v>
      </c>
      <c r="B896" t="s">
        <v>573</v>
      </c>
      <c r="C896" t="s">
        <v>574</v>
      </c>
      <c r="D896" s="2">
        <v>45831</v>
      </c>
      <c r="E896">
        <v>1</v>
      </c>
      <c r="F896" s="2">
        <v>45832</v>
      </c>
      <c r="G896" s="6">
        <v>1</v>
      </c>
      <c r="H896" s="6">
        <v>1</v>
      </c>
    </row>
    <row r="897" spans="1:8" ht="14.4" hidden="1">
      <c r="A897" t="s">
        <v>211</v>
      </c>
      <c r="B897" t="s">
        <v>575</v>
      </c>
      <c r="C897" t="s">
        <v>576</v>
      </c>
      <c r="D897" s="2">
        <v>45926</v>
      </c>
      <c r="E897">
        <v>5</v>
      </c>
      <c r="F897" s="2">
        <v>45933</v>
      </c>
      <c r="G897" s="6">
        <v>1</v>
      </c>
      <c r="H897" s="6">
        <v>1</v>
      </c>
    </row>
    <row r="898" spans="1:8" ht="14.4" hidden="1">
      <c r="A898" t="s">
        <v>211</v>
      </c>
      <c r="B898" t="s">
        <v>577</v>
      </c>
      <c r="C898" t="s">
        <v>578</v>
      </c>
      <c r="D898" s="2">
        <v>45831</v>
      </c>
      <c r="E898">
        <v>1</v>
      </c>
      <c r="F898" s="2">
        <v>45832</v>
      </c>
      <c r="G898" s="6">
        <v>1</v>
      </c>
      <c r="H898" s="6">
        <v>1</v>
      </c>
    </row>
    <row r="899" spans="1:8" ht="14.4" hidden="1">
      <c r="A899" t="s">
        <v>211</v>
      </c>
      <c r="B899" t="s">
        <v>577</v>
      </c>
      <c r="C899" t="s">
        <v>580</v>
      </c>
      <c r="D899" s="2">
        <v>45941</v>
      </c>
      <c r="E899">
        <v>3</v>
      </c>
      <c r="F899" s="2">
        <v>45945</v>
      </c>
      <c r="G899" s="6">
        <v>1</v>
      </c>
      <c r="H899" s="6">
        <v>1</v>
      </c>
    </row>
    <row r="900" spans="1:8" ht="14.4" hidden="1">
      <c r="A900" t="s">
        <v>211</v>
      </c>
      <c r="B900">
        <v>5</v>
      </c>
      <c r="C900" t="s">
        <v>581</v>
      </c>
      <c r="D900" s="2">
        <v>45831</v>
      </c>
      <c r="E900">
        <v>113</v>
      </c>
      <c r="F900" s="2">
        <v>45944</v>
      </c>
      <c r="G900" s="6">
        <v>1</v>
      </c>
      <c r="H900" s="6">
        <v>1</v>
      </c>
    </row>
    <row r="901" spans="1:8" ht="14.4" hidden="1">
      <c r="A901" t="s">
        <v>211</v>
      </c>
      <c r="B901" t="s">
        <v>582</v>
      </c>
      <c r="C901" t="s">
        <v>583</v>
      </c>
      <c r="D901" s="2">
        <v>45831</v>
      </c>
      <c r="E901">
        <v>1</v>
      </c>
      <c r="F901" s="2">
        <v>45832</v>
      </c>
      <c r="G901" s="6">
        <v>1</v>
      </c>
      <c r="H901" s="6">
        <v>1</v>
      </c>
    </row>
    <row r="902" spans="1:8" ht="14.4" hidden="1">
      <c r="A902" t="s">
        <v>211</v>
      </c>
      <c r="B902" t="s">
        <v>584</v>
      </c>
      <c r="C902" t="s">
        <v>585</v>
      </c>
      <c r="D902" s="2">
        <v>45933</v>
      </c>
      <c r="E902">
        <v>7</v>
      </c>
      <c r="F902" s="2">
        <v>45944</v>
      </c>
      <c r="G902" s="6">
        <v>1</v>
      </c>
      <c r="H902" s="6">
        <v>1</v>
      </c>
    </row>
    <row r="903" spans="1:8" ht="14.4" hidden="1">
      <c r="A903" t="s">
        <v>211</v>
      </c>
      <c r="B903">
        <v>6</v>
      </c>
      <c r="C903" t="s">
        <v>240</v>
      </c>
      <c r="D903" s="2">
        <v>45945</v>
      </c>
      <c r="E903">
        <v>2</v>
      </c>
      <c r="F903" s="2">
        <v>45947</v>
      </c>
      <c r="G903" s="6">
        <v>1</v>
      </c>
      <c r="H903" s="6">
        <v>1</v>
      </c>
    </row>
    <row r="904" spans="1:8" ht="14.4" hidden="1">
      <c r="A904" t="s">
        <v>211</v>
      </c>
      <c r="B904" t="s">
        <v>586</v>
      </c>
      <c r="C904" t="s">
        <v>240</v>
      </c>
      <c r="D904" s="2">
        <v>45945</v>
      </c>
      <c r="E904">
        <v>1</v>
      </c>
      <c r="F904" s="2">
        <v>45946</v>
      </c>
      <c r="G904" s="6">
        <v>1</v>
      </c>
      <c r="H904" s="6">
        <v>1</v>
      </c>
    </row>
    <row r="905" spans="1:8" ht="14.4" hidden="1">
      <c r="A905" t="s">
        <v>211</v>
      </c>
      <c r="B905" t="s">
        <v>587</v>
      </c>
      <c r="C905" t="s">
        <v>169</v>
      </c>
      <c r="D905" s="2">
        <v>45946</v>
      </c>
      <c r="E905">
        <v>1</v>
      </c>
      <c r="F905" s="2">
        <v>45947</v>
      </c>
      <c r="G905" s="6">
        <v>1</v>
      </c>
      <c r="H905" s="6">
        <v>1</v>
      </c>
    </row>
    <row r="906" spans="1:8" ht="14.4" hidden="1">
      <c r="A906" t="s">
        <v>211</v>
      </c>
      <c r="B906">
        <v>7</v>
      </c>
      <c r="C906" t="s">
        <v>588</v>
      </c>
      <c r="D906" s="2">
        <v>45950</v>
      </c>
      <c r="E906">
        <v>1</v>
      </c>
      <c r="F906" s="2">
        <v>45951</v>
      </c>
      <c r="G906" s="6">
        <v>1</v>
      </c>
      <c r="H906" s="6">
        <v>1</v>
      </c>
    </row>
    <row r="907" spans="1:8" ht="14.4" hidden="1">
      <c r="A907" t="s">
        <v>211</v>
      </c>
      <c r="B907">
        <v>7.1</v>
      </c>
      <c r="C907" t="s">
        <v>589</v>
      </c>
      <c r="D907" s="2">
        <v>45950</v>
      </c>
      <c r="E907">
        <v>1</v>
      </c>
      <c r="F907" s="2">
        <v>45951</v>
      </c>
      <c r="G907" s="6">
        <v>1</v>
      </c>
      <c r="H907" s="6">
        <v>1</v>
      </c>
    </row>
    <row r="908" spans="1:8" ht="14.4" hidden="1">
      <c r="A908" t="s">
        <v>211</v>
      </c>
      <c r="B908">
        <v>8</v>
      </c>
      <c r="C908" t="s">
        <v>590</v>
      </c>
      <c r="D908" s="2">
        <v>45950</v>
      </c>
      <c r="E908">
        <v>42</v>
      </c>
      <c r="F908" s="2">
        <v>45992</v>
      </c>
      <c r="G908" s="6">
        <v>1</v>
      </c>
      <c r="H908" s="6">
        <v>1</v>
      </c>
    </row>
    <row r="909" spans="1:8" ht="14.4" hidden="1">
      <c r="A909" t="s">
        <v>211</v>
      </c>
      <c r="B909">
        <v>8.1</v>
      </c>
      <c r="C909" t="s">
        <v>591</v>
      </c>
      <c r="D909" s="2">
        <v>45951</v>
      </c>
      <c r="E909">
        <v>2</v>
      </c>
      <c r="F909" s="2">
        <v>45953</v>
      </c>
      <c r="G909" s="6">
        <v>1</v>
      </c>
      <c r="H909" s="6">
        <v>1</v>
      </c>
    </row>
    <row r="910" spans="1:8" ht="14.4" hidden="1">
      <c r="A910" t="s">
        <v>211</v>
      </c>
      <c r="B910">
        <v>8.1999999999999993</v>
      </c>
      <c r="C910" t="s">
        <v>592</v>
      </c>
      <c r="D910" s="2">
        <v>45951</v>
      </c>
      <c r="E910">
        <v>5</v>
      </c>
      <c r="F910" s="2">
        <v>45958</v>
      </c>
      <c r="G910" s="6">
        <v>1</v>
      </c>
      <c r="H910" s="6">
        <v>1</v>
      </c>
    </row>
    <row r="911" spans="1:8" ht="14.4" hidden="1">
      <c r="A911" t="s">
        <v>211</v>
      </c>
      <c r="B911">
        <v>8.3000000000000007</v>
      </c>
      <c r="C911" t="s">
        <v>593</v>
      </c>
      <c r="D911" s="2">
        <v>45958</v>
      </c>
      <c r="E911">
        <v>5</v>
      </c>
      <c r="F911" s="2">
        <v>45965</v>
      </c>
      <c r="G911" s="6">
        <v>1</v>
      </c>
      <c r="H911" s="6">
        <v>1</v>
      </c>
    </row>
    <row r="912" spans="1:8" ht="14.4" hidden="1">
      <c r="A912" t="s">
        <v>211</v>
      </c>
      <c r="B912">
        <v>8.4</v>
      </c>
      <c r="C912" t="s">
        <v>594</v>
      </c>
      <c r="D912" s="2">
        <v>45950</v>
      </c>
      <c r="E912">
        <v>5</v>
      </c>
      <c r="F912" s="2">
        <v>45957</v>
      </c>
      <c r="G912" s="6">
        <v>1</v>
      </c>
      <c r="H912" s="6">
        <v>1</v>
      </c>
    </row>
    <row r="913" spans="1:8" ht="14.4" hidden="1">
      <c r="A913" t="s">
        <v>211</v>
      </c>
      <c r="B913">
        <v>8.5</v>
      </c>
      <c r="C913" t="s">
        <v>595</v>
      </c>
      <c r="D913" s="2">
        <v>45985</v>
      </c>
      <c r="E913">
        <v>5</v>
      </c>
      <c r="F913" s="2">
        <v>45992</v>
      </c>
      <c r="G913" s="6">
        <v>1</v>
      </c>
      <c r="H913" s="6">
        <v>1</v>
      </c>
    </row>
    <row r="914" spans="1:8" ht="14.4" hidden="1">
      <c r="A914" t="s">
        <v>211</v>
      </c>
      <c r="B914">
        <v>8.6</v>
      </c>
      <c r="C914" t="s">
        <v>596</v>
      </c>
      <c r="D914" s="2">
        <v>45953</v>
      </c>
      <c r="E914">
        <v>5</v>
      </c>
      <c r="F914" s="2">
        <v>45960</v>
      </c>
      <c r="G914" s="6">
        <v>1</v>
      </c>
      <c r="H914" s="6">
        <v>1</v>
      </c>
    </row>
    <row r="915" spans="1:8" ht="14.4" hidden="1">
      <c r="A915" t="s">
        <v>213</v>
      </c>
      <c r="B915">
        <v>1</v>
      </c>
      <c r="C915" t="s">
        <v>547</v>
      </c>
      <c r="D915" s="2">
        <v>45776</v>
      </c>
      <c r="E915">
        <v>17</v>
      </c>
      <c r="F915" s="2">
        <v>45793</v>
      </c>
      <c r="G915" s="6">
        <v>1</v>
      </c>
      <c r="H915" s="6">
        <v>1</v>
      </c>
    </row>
    <row r="916" spans="1:8" ht="14.4" hidden="1">
      <c r="A916" t="s">
        <v>213</v>
      </c>
      <c r="B916" t="s">
        <v>548</v>
      </c>
      <c r="C916" t="s">
        <v>549</v>
      </c>
      <c r="D916" s="2">
        <v>45790</v>
      </c>
      <c r="E916">
        <v>1</v>
      </c>
      <c r="F916" s="2">
        <v>45791</v>
      </c>
      <c r="G916" s="6">
        <v>1</v>
      </c>
      <c r="H916" s="6">
        <v>1</v>
      </c>
    </row>
    <row r="917" spans="1:8" ht="14.4" hidden="1">
      <c r="A917" t="s">
        <v>213</v>
      </c>
      <c r="B917" t="s">
        <v>550</v>
      </c>
      <c r="C917" t="s">
        <v>551</v>
      </c>
      <c r="D917" s="2">
        <v>45792</v>
      </c>
      <c r="E917">
        <v>1</v>
      </c>
      <c r="F917" s="2">
        <v>45793</v>
      </c>
      <c r="G917" s="6">
        <v>1</v>
      </c>
      <c r="H917" s="6">
        <v>1</v>
      </c>
    </row>
    <row r="918" spans="1:8" ht="14.4" hidden="1">
      <c r="A918" t="s">
        <v>213</v>
      </c>
      <c r="B918" t="s">
        <v>552</v>
      </c>
      <c r="C918" t="s">
        <v>553</v>
      </c>
      <c r="D918" s="2">
        <v>45776</v>
      </c>
      <c r="E918">
        <v>10</v>
      </c>
      <c r="F918" s="2">
        <v>45791</v>
      </c>
      <c r="G918" s="6">
        <v>1</v>
      </c>
      <c r="H918" s="6">
        <v>1</v>
      </c>
    </row>
    <row r="919" spans="1:8" ht="14.4" hidden="1">
      <c r="A919" t="s">
        <v>213</v>
      </c>
      <c r="B919" t="s">
        <v>554</v>
      </c>
      <c r="C919" t="s">
        <v>555</v>
      </c>
      <c r="D919" s="2">
        <v>45791</v>
      </c>
      <c r="E919">
        <v>1</v>
      </c>
      <c r="F919" s="2">
        <v>45792</v>
      </c>
      <c r="G919" s="6">
        <v>1</v>
      </c>
      <c r="H919" s="6">
        <v>1</v>
      </c>
    </row>
    <row r="920" spans="1:8" ht="14.4" hidden="1">
      <c r="A920" t="s">
        <v>213</v>
      </c>
      <c r="B920" t="s">
        <v>556</v>
      </c>
      <c r="C920" t="s">
        <v>557</v>
      </c>
      <c r="D920" s="2">
        <v>45785</v>
      </c>
      <c r="E920">
        <v>1</v>
      </c>
      <c r="F920" s="2">
        <v>45786</v>
      </c>
      <c r="G920" s="6">
        <v>1</v>
      </c>
      <c r="H920" s="6">
        <v>1</v>
      </c>
    </row>
    <row r="921" spans="1:8" ht="14.4" hidden="1">
      <c r="A921" t="s">
        <v>213</v>
      </c>
      <c r="B921">
        <v>2</v>
      </c>
      <c r="C921" t="s">
        <v>558</v>
      </c>
      <c r="D921" s="2">
        <v>45819</v>
      </c>
      <c r="E921">
        <v>1</v>
      </c>
      <c r="F921" s="2">
        <v>45820</v>
      </c>
      <c r="G921" s="6">
        <v>1</v>
      </c>
      <c r="H921" s="6">
        <v>1</v>
      </c>
    </row>
    <row r="922" spans="1:8" ht="14.4" hidden="1">
      <c r="A922" t="s">
        <v>213</v>
      </c>
      <c r="B922" t="s">
        <v>559</v>
      </c>
      <c r="C922" t="s">
        <v>560</v>
      </c>
      <c r="D922" s="2">
        <v>45819</v>
      </c>
      <c r="E922">
        <v>1</v>
      </c>
      <c r="F922" s="2">
        <v>45820</v>
      </c>
      <c r="G922" s="6">
        <v>1</v>
      </c>
      <c r="H922" s="6">
        <v>1</v>
      </c>
    </row>
    <row r="923" spans="1:8" ht="14.4" hidden="1">
      <c r="A923" t="s">
        <v>213</v>
      </c>
      <c r="B923">
        <v>3</v>
      </c>
      <c r="C923" t="s">
        <v>561</v>
      </c>
      <c r="D923" s="2">
        <v>45798</v>
      </c>
      <c r="E923">
        <v>105</v>
      </c>
      <c r="F923" s="2">
        <v>45903</v>
      </c>
      <c r="G923" s="6">
        <v>1</v>
      </c>
      <c r="H923" s="6">
        <v>1</v>
      </c>
    </row>
    <row r="924" spans="1:8" ht="14.4" hidden="1">
      <c r="A924" t="s">
        <v>213</v>
      </c>
      <c r="B924" t="s">
        <v>562</v>
      </c>
      <c r="C924" t="s">
        <v>563</v>
      </c>
      <c r="D924" s="2">
        <v>45820</v>
      </c>
      <c r="E924">
        <v>1</v>
      </c>
      <c r="F924" s="2">
        <v>45821</v>
      </c>
      <c r="G924" s="6">
        <v>1</v>
      </c>
      <c r="H924" s="6">
        <v>1</v>
      </c>
    </row>
    <row r="925" spans="1:8" ht="14.4" hidden="1">
      <c r="A925" t="s">
        <v>213</v>
      </c>
      <c r="B925" t="s">
        <v>564</v>
      </c>
      <c r="C925" t="s">
        <v>565</v>
      </c>
      <c r="D925" s="2">
        <v>45861</v>
      </c>
      <c r="E925">
        <v>9</v>
      </c>
      <c r="F925" s="2">
        <v>45874</v>
      </c>
      <c r="G925" s="6">
        <v>1</v>
      </c>
      <c r="H925" s="6">
        <v>1</v>
      </c>
    </row>
    <row r="926" spans="1:8" ht="14.4" hidden="1">
      <c r="A926" t="s">
        <v>213</v>
      </c>
      <c r="B926" t="s">
        <v>566</v>
      </c>
      <c r="C926" t="s">
        <v>567</v>
      </c>
      <c r="D926" s="2">
        <v>45798</v>
      </c>
      <c r="E926">
        <v>40</v>
      </c>
      <c r="F926" s="2">
        <v>45855</v>
      </c>
      <c r="G926" s="6">
        <v>1</v>
      </c>
      <c r="H926" s="6">
        <v>1</v>
      </c>
    </row>
    <row r="927" spans="1:8" ht="14.4" hidden="1">
      <c r="A927" t="s">
        <v>213</v>
      </c>
      <c r="B927" t="s">
        <v>568</v>
      </c>
      <c r="C927" t="s">
        <v>569</v>
      </c>
      <c r="D927" s="2">
        <v>45874</v>
      </c>
      <c r="E927">
        <v>19</v>
      </c>
      <c r="F927" s="2">
        <v>45901</v>
      </c>
      <c r="G927" s="6">
        <v>1</v>
      </c>
      <c r="H927" s="6">
        <v>1</v>
      </c>
    </row>
    <row r="928" spans="1:8" ht="14.4" hidden="1">
      <c r="A928" t="s">
        <v>213</v>
      </c>
      <c r="B928" t="s">
        <v>570</v>
      </c>
      <c r="C928" t="s">
        <v>571</v>
      </c>
      <c r="D928" s="2">
        <v>45903</v>
      </c>
      <c r="E928">
        <v>0</v>
      </c>
      <c r="F928" s="2">
        <v>45903</v>
      </c>
      <c r="G928" s="6">
        <v>1</v>
      </c>
      <c r="H928" s="6">
        <v>1</v>
      </c>
    </row>
    <row r="929" spans="1:8" ht="14.4" hidden="1">
      <c r="A929" t="s">
        <v>213</v>
      </c>
      <c r="B929">
        <v>4</v>
      </c>
      <c r="C929" t="s">
        <v>572</v>
      </c>
      <c r="D929" s="2">
        <v>45819</v>
      </c>
      <c r="E929">
        <v>112</v>
      </c>
      <c r="F929" s="2">
        <v>45931</v>
      </c>
      <c r="G929" s="6">
        <v>1</v>
      </c>
      <c r="H929" s="6">
        <v>1</v>
      </c>
    </row>
    <row r="930" spans="1:8" ht="14.4" hidden="1">
      <c r="A930" t="s">
        <v>213</v>
      </c>
      <c r="B930" t="s">
        <v>573</v>
      </c>
      <c r="C930" t="s">
        <v>613</v>
      </c>
      <c r="E930"/>
      <c r="G930" s="6">
        <v>0</v>
      </c>
      <c r="H930" s="6">
        <v>0</v>
      </c>
    </row>
    <row r="931" spans="1:8" ht="14.4" hidden="1">
      <c r="A931" t="s">
        <v>213</v>
      </c>
      <c r="B931" t="s">
        <v>573</v>
      </c>
      <c r="C931" t="s">
        <v>574</v>
      </c>
      <c r="D931" s="2">
        <v>45819</v>
      </c>
      <c r="E931">
        <v>1</v>
      </c>
      <c r="F931" s="2">
        <v>45820</v>
      </c>
      <c r="G931" s="6">
        <v>1</v>
      </c>
      <c r="H931" s="6">
        <v>1</v>
      </c>
    </row>
    <row r="932" spans="1:8" ht="14.4" hidden="1">
      <c r="A932" t="s">
        <v>213</v>
      </c>
      <c r="B932" t="s">
        <v>575</v>
      </c>
      <c r="C932" t="s">
        <v>576</v>
      </c>
      <c r="D932" s="2">
        <v>45820</v>
      </c>
      <c r="E932">
        <v>52</v>
      </c>
      <c r="F932" s="2">
        <v>45895</v>
      </c>
      <c r="G932" s="6">
        <v>1</v>
      </c>
      <c r="H932" s="6">
        <v>1</v>
      </c>
    </row>
    <row r="933" spans="1:8" ht="14.4" hidden="1">
      <c r="A933" t="s">
        <v>213</v>
      </c>
      <c r="B933" t="s">
        <v>579</v>
      </c>
      <c r="C933" t="s">
        <v>578</v>
      </c>
      <c r="D933" s="2">
        <v>45888</v>
      </c>
      <c r="E933">
        <v>1</v>
      </c>
      <c r="F933" s="2">
        <v>45889</v>
      </c>
      <c r="G933" s="6">
        <v>1</v>
      </c>
      <c r="H933" s="6">
        <v>1</v>
      </c>
    </row>
    <row r="934" spans="1:8" ht="14.4" hidden="1">
      <c r="A934" t="s">
        <v>213</v>
      </c>
      <c r="B934" t="s">
        <v>615</v>
      </c>
      <c r="C934" t="s">
        <v>580</v>
      </c>
      <c r="D934" s="2">
        <v>45915</v>
      </c>
      <c r="E934">
        <v>11</v>
      </c>
      <c r="F934" s="2">
        <v>45931</v>
      </c>
      <c r="G934" s="6">
        <v>1</v>
      </c>
      <c r="H934" s="6">
        <v>1</v>
      </c>
    </row>
    <row r="935" spans="1:8" ht="14.4" hidden="1">
      <c r="A935" t="s">
        <v>213</v>
      </c>
      <c r="B935">
        <v>5</v>
      </c>
      <c r="C935" t="s">
        <v>581</v>
      </c>
      <c r="D935" s="2">
        <v>45888</v>
      </c>
      <c r="E935">
        <v>42</v>
      </c>
      <c r="F935" s="2">
        <v>45930</v>
      </c>
      <c r="G935" s="6">
        <v>1</v>
      </c>
      <c r="H935" s="6">
        <v>1</v>
      </c>
    </row>
    <row r="936" spans="1:8" ht="14.4" hidden="1">
      <c r="A936" t="s">
        <v>213</v>
      </c>
      <c r="B936" t="s">
        <v>582</v>
      </c>
      <c r="C936" t="s">
        <v>583</v>
      </c>
      <c r="D936" s="2">
        <v>45888</v>
      </c>
      <c r="E936">
        <v>1</v>
      </c>
      <c r="F936" s="2">
        <v>45889</v>
      </c>
      <c r="G936" s="6">
        <v>1</v>
      </c>
      <c r="H936" s="6">
        <v>1</v>
      </c>
    </row>
    <row r="937" spans="1:8" ht="14.4" hidden="1">
      <c r="A937" t="s">
        <v>213</v>
      </c>
      <c r="B937" t="s">
        <v>584</v>
      </c>
      <c r="C937" t="s">
        <v>585</v>
      </c>
      <c r="D937" s="2">
        <v>45895</v>
      </c>
      <c r="E937">
        <v>24</v>
      </c>
      <c r="F937" s="2">
        <v>45930</v>
      </c>
      <c r="G937" s="6">
        <v>1</v>
      </c>
      <c r="H937" s="6">
        <v>1</v>
      </c>
    </row>
    <row r="938" spans="1:8" ht="14.4" hidden="1">
      <c r="A938" t="s">
        <v>213</v>
      </c>
      <c r="B938">
        <v>6</v>
      </c>
      <c r="C938" t="s">
        <v>240</v>
      </c>
      <c r="D938" s="2">
        <v>45931</v>
      </c>
      <c r="E938">
        <v>5</v>
      </c>
      <c r="F938" s="2">
        <v>45936</v>
      </c>
      <c r="G938" s="6">
        <v>1</v>
      </c>
      <c r="H938" s="6">
        <v>1</v>
      </c>
    </row>
    <row r="939" spans="1:8" ht="14.4" hidden="1">
      <c r="A939" t="s">
        <v>213</v>
      </c>
      <c r="B939" t="s">
        <v>586</v>
      </c>
      <c r="C939" t="s">
        <v>240</v>
      </c>
      <c r="D939" s="2">
        <v>45931</v>
      </c>
      <c r="E939">
        <v>1</v>
      </c>
      <c r="F939" s="2">
        <v>45932</v>
      </c>
      <c r="G939" s="6">
        <v>1</v>
      </c>
      <c r="H939" s="6">
        <v>1</v>
      </c>
    </row>
    <row r="940" spans="1:8" ht="14.4" hidden="1">
      <c r="A940" t="s">
        <v>213</v>
      </c>
      <c r="B940" t="s">
        <v>587</v>
      </c>
      <c r="C940" t="s">
        <v>169</v>
      </c>
      <c r="D940" s="2">
        <v>45932</v>
      </c>
      <c r="E940">
        <v>2</v>
      </c>
      <c r="F940" s="2">
        <v>45936</v>
      </c>
      <c r="G940" s="6">
        <v>1</v>
      </c>
      <c r="H940" s="6">
        <v>1</v>
      </c>
    </row>
    <row r="941" spans="1:8" ht="14.4" hidden="1">
      <c r="A941" t="s">
        <v>213</v>
      </c>
      <c r="B941">
        <v>7</v>
      </c>
      <c r="C941" t="s">
        <v>588</v>
      </c>
      <c r="D941" s="2">
        <v>45954</v>
      </c>
      <c r="E941">
        <v>3</v>
      </c>
      <c r="F941" s="2">
        <v>45957</v>
      </c>
      <c r="G941" s="6">
        <v>1</v>
      </c>
      <c r="H941" s="6">
        <v>1</v>
      </c>
    </row>
    <row r="942" spans="1:8" ht="14.4" hidden="1">
      <c r="A942" t="s">
        <v>213</v>
      </c>
      <c r="B942">
        <v>7.1</v>
      </c>
      <c r="C942" t="s">
        <v>589</v>
      </c>
      <c r="D942" s="2">
        <v>45954</v>
      </c>
      <c r="E942">
        <v>1</v>
      </c>
      <c r="F942" s="2">
        <v>45957</v>
      </c>
      <c r="G942" s="6">
        <v>1</v>
      </c>
      <c r="H942" s="6">
        <v>1</v>
      </c>
    </row>
    <row r="943" spans="1:8" ht="14.4" hidden="1">
      <c r="A943" t="s">
        <v>213</v>
      </c>
      <c r="B943">
        <v>8</v>
      </c>
      <c r="C943" t="s">
        <v>590</v>
      </c>
      <c r="D943" s="2">
        <v>45957</v>
      </c>
      <c r="E943">
        <v>35</v>
      </c>
      <c r="F943" s="2">
        <v>45992</v>
      </c>
      <c r="G943" s="6">
        <v>1</v>
      </c>
      <c r="H943" s="6">
        <v>1</v>
      </c>
    </row>
    <row r="944" spans="1:8" ht="14.4" hidden="1">
      <c r="A944" t="s">
        <v>213</v>
      </c>
      <c r="B944">
        <v>8.1</v>
      </c>
      <c r="C944" t="s">
        <v>591</v>
      </c>
      <c r="D944" s="2">
        <v>45957</v>
      </c>
      <c r="E944">
        <v>2</v>
      </c>
      <c r="F944" s="2">
        <v>45959</v>
      </c>
      <c r="G944" s="6">
        <v>1</v>
      </c>
      <c r="H944" s="6">
        <v>1</v>
      </c>
    </row>
    <row r="945" spans="1:8" ht="14.4" hidden="1">
      <c r="A945" t="s">
        <v>213</v>
      </c>
      <c r="B945">
        <v>8.1999999999999993</v>
      </c>
      <c r="C945" t="s">
        <v>592</v>
      </c>
      <c r="D945" s="2">
        <v>45957</v>
      </c>
      <c r="E945">
        <v>5</v>
      </c>
      <c r="F945" s="2">
        <v>45964</v>
      </c>
      <c r="G945" s="6">
        <v>1</v>
      </c>
      <c r="H945" s="6">
        <v>1</v>
      </c>
    </row>
    <row r="946" spans="1:8" ht="14.4" hidden="1">
      <c r="A946" t="s">
        <v>213</v>
      </c>
      <c r="B946">
        <v>8.3000000000000007</v>
      </c>
      <c r="C946" t="s">
        <v>593</v>
      </c>
      <c r="D946" s="2">
        <v>45964</v>
      </c>
      <c r="E946">
        <v>5</v>
      </c>
      <c r="F946" s="2">
        <v>45971</v>
      </c>
      <c r="G946" s="6">
        <v>1</v>
      </c>
      <c r="H946" s="6">
        <v>1</v>
      </c>
    </row>
    <row r="947" spans="1:8" ht="14.4" hidden="1">
      <c r="A947" t="s">
        <v>213</v>
      </c>
      <c r="B947">
        <v>8.4</v>
      </c>
      <c r="C947" t="s">
        <v>594</v>
      </c>
      <c r="D947" s="2">
        <v>45957</v>
      </c>
      <c r="E947">
        <v>4</v>
      </c>
      <c r="F947" s="2">
        <v>45961</v>
      </c>
      <c r="G947" s="6">
        <v>1</v>
      </c>
      <c r="H947" s="6">
        <v>1</v>
      </c>
    </row>
    <row r="948" spans="1:8" ht="14.4" hidden="1">
      <c r="A948" t="s">
        <v>213</v>
      </c>
      <c r="B948">
        <v>8.5</v>
      </c>
      <c r="C948" t="s">
        <v>595</v>
      </c>
      <c r="D948" s="2">
        <v>45985</v>
      </c>
      <c r="E948">
        <v>5</v>
      </c>
      <c r="F948" s="2">
        <v>45992</v>
      </c>
      <c r="G948" s="6">
        <v>1</v>
      </c>
      <c r="H948" s="6">
        <v>1</v>
      </c>
    </row>
    <row r="949" spans="1:8" ht="14.4" hidden="1">
      <c r="A949" t="s">
        <v>213</v>
      </c>
      <c r="B949">
        <v>8.6</v>
      </c>
      <c r="C949" t="s">
        <v>596</v>
      </c>
      <c r="D949" s="2">
        <v>45959</v>
      </c>
      <c r="E949">
        <v>5</v>
      </c>
      <c r="F949" s="2">
        <v>45966</v>
      </c>
      <c r="G949" s="6">
        <v>1</v>
      </c>
      <c r="H949" s="6">
        <v>1</v>
      </c>
    </row>
    <row r="950" spans="1:8" ht="14.4" hidden="1">
      <c r="A950" t="s">
        <v>214</v>
      </c>
      <c r="B950">
        <v>1</v>
      </c>
      <c r="C950" t="s">
        <v>547</v>
      </c>
      <c r="D950" s="2">
        <v>45611</v>
      </c>
      <c r="E950">
        <v>25</v>
      </c>
      <c r="F950" s="2">
        <v>45685</v>
      </c>
      <c r="G950" s="6">
        <v>1</v>
      </c>
      <c r="H950" s="6">
        <v>1</v>
      </c>
    </row>
    <row r="951" spans="1:8" ht="14.4" hidden="1">
      <c r="A951" t="s">
        <v>214</v>
      </c>
      <c r="B951" t="s">
        <v>548</v>
      </c>
      <c r="C951" t="s">
        <v>549</v>
      </c>
      <c r="D951" s="2">
        <v>45611</v>
      </c>
      <c r="E951">
        <v>1</v>
      </c>
      <c r="F951" s="2">
        <v>45614</v>
      </c>
      <c r="G951" s="6">
        <v>1</v>
      </c>
      <c r="H951" s="6">
        <v>1</v>
      </c>
    </row>
    <row r="952" spans="1:8" ht="14.4" hidden="1">
      <c r="A952" t="s">
        <v>214</v>
      </c>
      <c r="B952" t="s">
        <v>550</v>
      </c>
      <c r="C952" t="s">
        <v>551</v>
      </c>
      <c r="D952" s="2">
        <v>45673</v>
      </c>
      <c r="E952">
        <v>1</v>
      </c>
      <c r="F952" s="2">
        <v>45674</v>
      </c>
      <c r="G952" s="6">
        <v>1</v>
      </c>
      <c r="H952" s="6">
        <v>1</v>
      </c>
    </row>
    <row r="953" spans="1:8" ht="14.4" hidden="1">
      <c r="A953" t="s">
        <v>214</v>
      </c>
      <c r="B953" t="s">
        <v>552</v>
      </c>
      <c r="C953" t="s">
        <v>553</v>
      </c>
      <c r="D953" s="2">
        <v>45667</v>
      </c>
      <c r="E953">
        <v>10</v>
      </c>
      <c r="F953" s="2">
        <v>45681</v>
      </c>
      <c r="G953" s="6">
        <v>1</v>
      </c>
      <c r="H953" s="6">
        <v>1</v>
      </c>
    </row>
    <row r="954" spans="1:8" ht="14.4" hidden="1">
      <c r="A954" t="s">
        <v>214</v>
      </c>
      <c r="B954" t="s">
        <v>554</v>
      </c>
      <c r="C954" t="s">
        <v>555</v>
      </c>
      <c r="D954" s="2">
        <v>45684</v>
      </c>
      <c r="E954">
        <v>1</v>
      </c>
      <c r="F954" s="2">
        <v>45685</v>
      </c>
      <c r="G954" s="6">
        <v>1</v>
      </c>
      <c r="H954" s="6">
        <v>1</v>
      </c>
    </row>
    <row r="955" spans="1:8" ht="14.4" hidden="1">
      <c r="A955" t="s">
        <v>214</v>
      </c>
      <c r="B955" t="s">
        <v>556</v>
      </c>
      <c r="C955" t="s">
        <v>557</v>
      </c>
      <c r="D955" s="2">
        <v>45679</v>
      </c>
      <c r="E955">
        <v>1</v>
      </c>
      <c r="F955" s="2">
        <v>45680</v>
      </c>
      <c r="G955" s="6">
        <v>1</v>
      </c>
      <c r="H955" s="6">
        <v>1</v>
      </c>
    </row>
    <row r="956" spans="1:8" ht="14.4" hidden="1">
      <c r="A956" t="s">
        <v>214</v>
      </c>
      <c r="B956">
        <v>2</v>
      </c>
      <c r="C956" t="s">
        <v>558</v>
      </c>
      <c r="D956" s="2">
        <v>45684</v>
      </c>
      <c r="E956">
        <v>9</v>
      </c>
      <c r="F956" s="2">
        <v>45693</v>
      </c>
      <c r="G956" s="6">
        <v>1</v>
      </c>
      <c r="H956" s="6">
        <v>1</v>
      </c>
    </row>
    <row r="957" spans="1:8" ht="14.4" hidden="1">
      <c r="A957" t="s">
        <v>214</v>
      </c>
      <c r="B957" t="s">
        <v>559</v>
      </c>
      <c r="C957" t="s">
        <v>788</v>
      </c>
      <c r="D957" s="2">
        <v>45691</v>
      </c>
      <c r="E957">
        <v>2</v>
      </c>
      <c r="F957" s="2">
        <v>45693</v>
      </c>
      <c r="G957" s="6">
        <v>1</v>
      </c>
      <c r="H957" s="6">
        <v>1</v>
      </c>
    </row>
    <row r="958" spans="1:8" ht="14.4" hidden="1">
      <c r="A958" t="s">
        <v>214</v>
      </c>
      <c r="B958" t="s">
        <v>671</v>
      </c>
      <c r="C958" t="s">
        <v>911</v>
      </c>
      <c r="D958" s="2">
        <v>45684</v>
      </c>
      <c r="E958">
        <v>40</v>
      </c>
      <c r="F958" s="2">
        <v>45741</v>
      </c>
      <c r="G958" s="6">
        <v>1</v>
      </c>
      <c r="H958" s="6">
        <v>1</v>
      </c>
    </row>
    <row r="959" spans="1:8" ht="14.4" hidden="1">
      <c r="A959" t="s">
        <v>214</v>
      </c>
      <c r="B959">
        <v>3</v>
      </c>
      <c r="C959" t="s">
        <v>561</v>
      </c>
      <c r="D959" s="2">
        <v>45672</v>
      </c>
      <c r="E959">
        <v>90</v>
      </c>
      <c r="F959" s="2">
        <v>45762</v>
      </c>
      <c r="G959" s="6">
        <v>1</v>
      </c>
      <c r="H959" s="6">
        <v>1</v>
      </c>
    </row>
    <row r="960" spans="1:8" ht="14.4" hidden="1">
      <c r="A960" t="s">
        <v>214</v>
      </c>
      <c r="B960" t="s">
        <v>912</v>
      </c>
      <c r="C960" t="s">
        <v>563</v>
      </c>
      <c r="D960" s="2">
        <v>45708</v>
      </c>
      <c r="E960">
        <v>1</v>
      </c>
      <c r="F960" s="2">
        <v>45709</v>
      </c>
      <c r="G960" s="6">
        <v>1</v>
      </c>
      <c r="H960" s="6">
        <v>1</v>
      </c>
    </row>
    <row r="961" spans="1:8" ht="14.4" hidden="1">
      <c r="A961" t="s">
        <v>214</v>
      </c>
      <c r="B961" t="s">
        <v>913</v>
      </c>
      <c r="C961" t="s">
        <v>914</v>
      </c>
      <c r="D961" s="2">
        <v>45729</v>
      </c>
      <c r="E961">
        <v>1</v>
      </c>
      <c r="F961" s="2">
        <v>45730</v>
      </c>
      <c r="G961" s="6">
        <v>1</v>
      </c>
      <c r="H961" s="6">
        <v>1</v>
      </c>
    </row>
    <row r="962" spans="1:8" ht="14.4" hidden="1">
      <c r="A962" t="s">
        <v>214</v>
      </c>
      <c r="B962" t="s">
        <v>915</v>
      </c>
      <c r="C962" t="s">
        <v>916</v>
      </c>
      <c r="D962" s="2">
        <v>45672</v>
      </c>
      <c r="E962">
        <v>41</v>
      </c>
      <c r="F962" s="2">
        <v>45729</v>
      </c>
      <c r="G962" s="6">
        <v>1</v>
      </c>
      <c r="H962" s="6">
        <v>1</v>
      </c>
    </row>
    <row r="963" spans="1:8" ht="14.4" hidden="1">
      <c r="A963" t="s">
        <v>214</v>
      </c>
      <c r="B963" t="s">
        <v>564</v>
      </c>
      <c r="C963" t="s">
        <v>565</v>
      </c>
      <c r="D963" s="2">
        <v>45730</v>
      </c>
      <c r="E963">
        <v>1</v>
      </c>
      <c r="F963" s="2">
        <v>45733</v>
      </c>
      <c r="G963" s="6">
        <v>1</v>
      </c>
      <c r="H963" s="6">
        <v>1</v>
      </c>
    </row>
    <row r="964" spans="1:8" ht="14.4" hidden="1">
      <c r="A964" t="s">
        <v>214</v>
      </c>
      <c r="B964" t="s">
        <v>566</v>
      </c>
      <c r="C964" t="s">
        <v>567</v>
      </c>
      <c r="D964" s="2">
        <v>45684</v>
      </c>
      <c r="E964">
        <v>40</v>
      </c>
      <c r="F964" s="2">
        <v>45741</v>
      </c>
      <c r="G964" s="6">
        <v>1</v>
      </c>
      <c r="H964" s="6">
        <v>1</v>
      </c>
    </row>
    <row r="965" spans="1:8" ht="14.4" hidden="1">
      <c r="A965" t="s">
        <v>214</v>
      </c>
      <c r="B965" t="s">
        <v>568</v>
      </c>
      <c r="C965" t="s">
        <v>569</v>
      </c>
      <c r="D965" s="2">
        <v>45733</v>
      </c>
      <c r="E965">
        <v>20</v>
      </c>
      <c r="F965" s="2">
        <v>45762</v>
      </c>
      <c r="G965" s="6">
        <v>1</v>
      </c>
      <c r="H965" s="6">
        <v>1</v>
      </c>
    </row>
    <row r="966" spans="1:8" ht="14.4" hidden="1">
      <c r="A966" t="s">
        <v>214</v>
      </c>
      <c r="B966" t="s">
        <v>570</v>
      </c>
      <c r="C966" t="s">
        <v>571</v>
      </c>
      <c r="D966" s="2">
        <v>45755</v>
      </c>
      <c r="E966">
        <v>1</v>
      </c>
      <c r="F966" s="2">
        <v>45756</v>
      </c>
      <c r="G966" s="6">
        <v>1</v>
      </c>
      <c r="H966" s="6">
        <v>1</v>
      </c>
    </row>
    <row r="967" spans="1:8" ht="14.4" hidden="1">
      <c r="A967" t="s">
        <v>214</v>
      </c>
      <c r="B967">
        <v>4</v>
      </c>
      <c r="C967" t="s">
        <v>572</v>
      </c>
      <c r="D967" s="2">
        <v>45700</v>
      </c>
      <c r="E967">
        <v>64</v>
      </c>
      <c r="F967" s="2">
        <v>45764</v>
      </c>
      <c r="G967" s="6">
        <v>1</v>
      </c>
      <c r="H967" s="6">
        <v>1</v>
      </c>
    </row>
    <row r="968" spans="1:8" ht="14.4" hidden="1">
      <c r="A968" t="s">
        <v>214</v>
      </c>
      <c r="B968" t="s">
        <v>573</v>
      </c>
      <c r="C968" t="s">
        <v>574</v>
      </c>
      <c r="D968" s="2">
        <v>45700</v>
      </c>
      <c r="E968">
        <v>1</v>
      </c>
      <c r="F968" s="2">
        <v>45701</v>
      </c>
      <c r="G968" s="6">
        <v>1</v>
      </c>
      <c r="H968" s="6">
        <v>1</v>
      </c>
    </row>
    <row r="969" spans="1:8" ht="14.4" hidden="1">
      <c r="A969" t="s">
        <v>214</v>
      </c>
      <c r="B969" t="s">
        <v>575</v>
      </c>
      <c r="C969" t="s">
        <v>576</v>
      </c>
      <c r="D969" s="2">
        <v>45701</v>
      </c>
      <c r="E969">
        <v>12</v>
      </c>
      <c r="F969" s="2">
        <v>45719</v>
      </c>
      <c r="G969" s="6">
        <v>1</v>
      </c>
      <c r="H969" s="6">
        <v>1</v>
      </c>
    </row>
    <row r="970" spans="1:8" ht="14.4" hidden="1">
      <c r="A970" t="s">
        <v>214</v>
      </c>
      <c r="B970" t="s">
        <v>577</v>
      </c>
      <c r="C970" t="s">
        <v>578</v>
      </c>
      <c r="D970" s="2">
        <v>45708</v>
      </c>
      <c r="E970">
        <v>1</v>
      </c>
      <c r="F970" s="2">
        <v>45709</v>
      </c>
      <c r="G970" s="6">
        <v>1</v>
      </c>
      <c r="H970" s="6">
        <v>1</v>
      </c>
    </row>
    <row r="971" spans="1:8" ht="14.4" hidden="1">
      <c r="A971" t="s">
        <v>214</v>
      </c>
      <c r="B971" t="s">
        <v>579</v>
      </c>
      <c r="C971" t="s">
        <v>580</v>
      </c>
      <c r="D971" s="2">
        <v>45738</v>
      </c>
      <c r="E971">
        <v>19</v>
      </c>
      <c r="F971" s="2">
        <v>45764</v>
      </c>
      <c r="G971" s="6">
        <v>1</v>
      </c>
      <c r="H971" s="6">
        <v>1</v>
      </c>
    </row>
    <row r="972" spans="1:8" ht="14.4" hidden="1">
      <c r="A972" t="s">
        <v>214</v>
      </c>
      <c r="B972">
        <v>5</v>
      </c>
      <c r="C972" t="s">
        <v>581</v>
      </c>
      <c r="D972" s="2">
        <v>45708</v>
      </c>
      <c r="E972">
        <v>40</v>
      </c>
      <c r="F972" s="2">
        <v>45748</v>
      </c>
      <c r="G972" s="6">
        <v>1</v>
      </c>
      <c r="H972" s="6">
        <v>1</v>
      </c>
    </row>
    <row r="973" spans="1:8" ht="14.4" hidden="1">
      <c r="A973" t="s">
        <v>214</v>
      </c>
      <c r="B973" t="s">
        <v>582</v>
      </c>
      <c r="C973" t="s">
        <v>583</v>
      </c>
      <c r="D973" s="2">
        <v>45708</v>
      </c>
      <c r="E973">
        <v>1</v>
      </c>
      <c r="F973" s="2">
        <v>45709</v>
      </c>
      <c r="G973" s="6">
        <v>1</v>
      </c>
      <c r="H973" s="6">
        <v>1</v>
      </c>
    </row>
    <row r="974" spans="1:8" ht="14.4" hidden="1">
      <c r="A974" t="s">
        <v>214</v>
      </c>
      <c r="B974" t="s">
        <v>584</v>
      </c>
      <c r="C974" t="s">
        <v>585</v>
      </c>
      <c r="D974" s="2">
        <v>45712</v>
      </c>
      <c r="E974">
        <v>25</v>
      </c>
      <c r="F974" s="2">
        <v>45748</v>
      </c>
      <c r="G974" s="6">
        <v>1</v>
      </c>
      <c r="H974" s="6">
        <v>1</v>
      </c>
    </row>
    <row r="975" spans="1:8" ht="14.4" hidden="1">
      <c r="A975" t="s">
        <v>214</v>
      </c>
      <c r="B975">
        <v>6</v>
      </c>
      <c r="C975" t="s">
        <v>240</v>
      </c>
      <c r="D975" s="2">
        <v>45764</v>
      </c>
      <c r="E975">
        <v>20</v>
      </c>
      <c r="F975" s="2">
        <v>45784</v>
      </c>
      <c r="G975" s="6">
        <v>1</v>
      </c>
      <c r="H975" s="6">
        <v>1</v>
      </c>
    </row>
    <row r="976" spans="1:8" ht="14.4" hidden="1">
      <c r="A976" t="s">
        <v>214</v>
      </c>
      <c r="B976" t="s">
        <v>586</v>
      </c>
      <c r="C976" t="s">
        <v>240</v>
      </c>
      <c r="D976" s="2">
        <v>45764</v>
      </c>
      <c r="E976">
        <v>5</v>
      </c>
      <c r="F976" s="2">
        <v>45776</v>
      </c>
      <c r="G976" s="6">
        <v>1</v>
      </c>
      <c r="H976" s="6">
        <v>1</v>
      </c>
    </row>
    <row r="977" spans="1:8" ht="14.4" hidden="1">
      <c r="A977" t="s">
        <v>214</v>
      </c>
      <c r="B977" t="s">
        <v>587</v>
      </c>
      <c r="C977" t="s">
        <v>169</v>
      </c>
      <c r="D977" s="2">
        <v>45776</v>
      </c>
      <c r="E977">
        <v>5</v>
      </c>
      <c r="F977" s="2">
        <v>45784</v>
      </c>
      <c r="G977" s="6">
        <v>1</v>
      </c>
      <c r="H977" s="6">
        <v>1</v>
      </c>
    </row>
    <row r="978" spans="1:8" ht="14.4" hidden="1">
      <c r="A978" t="s">
        <v>214</v>
      </c>
      <c r="B978" t="s">
        <v>599</v>
      </c>
      <c r="C978" t="s">
        <v>917</v>
      </c>
      <c r="D978" s="2">
        <v>45784</v>
      </c>
      <c r="E978">
        <v>15</v>
      </c>
      <c r="F978" s="2">
        <v>45805</v>
      </c>
      <c r="G978" s="6">
        <v>1</v>
      </c>
      <c r="H978" s="6">
        <v>1</v>
      </c>
    </row>
    <row r="979" spans="1:8" ht="14.4" hidden="1">
      <c r="A979" t="s">
        <v>214</v>
      </c>
      <c r="B979">
        <v>7</v>
      </c>
      <c r="C979" t="s">
        <v>588</v>
      </c>
      <c r="D979" s="2">
        <v>45784</v>
      </c>
      <c r="E979">
        <v>19</v>
      </c>
      <c r="F979" s="2">
        <v>45803</v>
      </c>
      <c r="G979" s="6">
        <v>1</v>
      </c>
      <c r="H979" s="6">
        <v>1</v>
      </c>
    </row>
    <row r="980" spans="1:8" ht="14.4" hidden="1">
      <c r="A980" t="s">
        <v>214</v>
      </c>
      <c r="B980">
        <v>7.1</v>
      </c>
      <c r="C980" t="s">
        <v>589</v>
      </c>
      <c r="D980" s="2">
        <v>45784</v>
      </c>
      <c r="E980">
        <v>13</v>
      </c>
      <c r="F980" s="2">
        <v>45803</v>
      </c>
      <c r="G980" s="6">
        <v>1</v>
      </c>
      <c r="H980" s="6">
        <v>1</v>
      </c>
    </row>
    <row r="981" spans="1:8" ht="14.4" hidden="1">
      <c r="A981" t="s">
        <v>214</v>
      </c>
      <c r="B981">
        <v>8</v>
      </c>
      <c r="C981" t="s">
        <v>590</v>
      </c>
      <c r="D981" s="2">
        <v>45780</v>
      </c>
      <c r="E981">
        <v>131</v>
      </c>
      <c r="F981" s="2">
        <v>45911</v>
      </c>
      <c r="G981" s="6">
        <v>1</v>
      </c>
      <c r="H981" s="6">
        <v>1</v>
      </c>
    </row>
    <row r="982" spans="1:8" ht="14.4" hidden="1">
      <c r="A982" t="s">
        <v>214</v>
      </c>
      <c r="B982">
        <v>8.1</v>
      </c>
      <c r="C982" t="s">
        <v>591</v>
      </c>
      <c r="D982" s="2">
        <v>45780</v>
      </c>
      <c r="E982">
        <v>2</v>
      </c>
      <c r="F982" s="2">
        <v>45783</v>
      </c>
      <c r="G982" s="6">
        <v>1</v>
      </c>
      <c r="H982" s="6">
        <v>1</v>
      </c>
    </row>
    <row r="983" spans="1:8" ht="14.4" hidden="1">
      <c r="A983" t="s">
        <v>214</v>
      </c>
      <c r="B983">
        <v>8.1999999999999993</v>
      </c>
      <c r="C983" t="s">
        <v>592</v>
      </c>
      <c r="D983" s="2">
        <v>45803</v>
      </c>
      <c r="E983">
        <v>73</v>
      </c>
      <c r="F983" s="2">
        <v>45905</v>
      </c>
      <c r="G983" s="6">
        <v>1</v>
      </c>
      <c r="H983" s="6">
        <v>1</v>
      </c>
    </row>
    <row r="984" spans="1:8" ht="14.4" hidden="1">
      <c r="A984" t="s">
        <v>214</v>
      </c>
      <c r="B984">
        <v>8.3000000000000007</v>
      </c>
      <c r="C984" t="s">
        <v>593</v>
      </c>
      <c r="D984" s="2">
        <v>45891</v>
      </c>
      <c r="E984">
        <v>10</v>
      </c>
      <c r="F984" s="2">
        <v>45905</v>
      </c>
      <c r="G984" s="6">
        <v>1</v>
      </c>
      <c r="H984" s="6">
        <v>1</v>
      </c>
    </row>
    <row r="985" spans="1:8" ht="14.4" hidden="1">
      <c r="A985" t="s">
        <v>214</v>
      </c>
      <c r="B985">
        <v>8.4</v>
      </c>
      <c r="C985" t="s">
        <v>594</v>
      </c>
      <c r="D985" s="2">
        <v>45780</v>
      </c>
      <c r="E985">
        <v>5</v>
      </c>
      <c r="F985" s="2">
        <v>45786</v>
      </c>
      <c r="G985" s="6">
        <v>1</v>
      </c>
      <c r="H985" s="6">
        <v>1</v>
      </c>
    </row>
    <row r="986" spans="1:8" ht="14.4" hidden="1">
      <c r="A986" t="s">
        <v>214</v>
      </c>
      <c r="B986">
        <v>8.5</v>
      </c>
      <c r="C986" t="s">
        <v>595</v>
      </c>
      <c r="D986" s="2">
        <v>45910</v>
      </c>
      <c r="E986">
        <v>1</v>
      </c>
      <c r="F986" s="2">
        <v>45911</v>
      </c>
      <c r="G986" s="6">
        <v>1</v>
      </c>
      <c r="H986" s="6">
        <v>1</v>
      </c>
    </row>
    <row r="987" spans="1:8" ht="14.4" hidden="1">
      <c r="A987" t="s">
        <v>214</v>
      </c>
      <c r="B987">
        <v>8.6</v>
      </c>
      <c r="C987" t="s">
        <v>596</v>
      </c>
      <c r="D987" s="2">
        <v>45855</v>
      </c>
      <c r="E987">
        <v>25</v>
      </c>
      <c r="F987" s="2">
        <v>45890</v>
      </c>
      <c r="G987" s="6">
        <v>1</v>
      </c>
      <c r="H987" s="6">
        <v>1</v>
      </c>
    </row>
    <row r="988" spans="1:8" ht="14.4" hidden="1">
      <c r="A988" t="s">
        <v>217</v>
      </c>
      <c r="B988">
        <v>1</v>
      </c>
      <c r="C988" t="s">
        <v>547</v>
      </c>
      <c r="D988" s="2">
        <v>44798</v>
      </c>
      <c r="E988">
        <v>3</v>
      </c>
      <c r="F988" s="2">
        <v>45062</v>
      </c>
      <c r="G988" s="6">
        <v>1</v>
      </c>
    </row>
    <row r="989" spans="1:8" ht="14.4" hidden="1">
      <c r="A989" t="s">
        <v>217</v>
      </c>
      <c r="B989" t="s">
        <v>548</v>
      </c>
      <c r="C989" t="s">
        <v>918</v>
      </c>
      <c r="D989" s="2">
        <v>44798</v>
      </c>
      <c r="E989">
        <v>1</v>
      </c>
      <c r="F989" s="2">
        <v>44799</v>
      </c>
      <c r="G989" s="6">
        <v>1</v>
      </c>
    </row>
    <row r="990" spans="1:8" ht="14.4" hidden="1">
      <c r="A990" t="s">
        <v>217</v>
      </c>
      <c r="B990" t="s">
        <v>550</v>
      </c>
      <c r="C990" t="s">
        <v>919</v>
      </c>
      <c r="D990" s="2">
        <v>44963</v>
      </c>
      <c r="E990">
        <v>1</v>
      </c>
      <c r="F990" s="2">
        <v>44964</v>
      </c>
      <c r="G990" s="6">
        <v>1</v>
      </c>
    </row>
    <row r="991" spans="1:8" ht="14.4" hidden="1">
      <c r="A991" t="s">
        <v>217</v>
      </c>
      <c r="B991" t="s">
        <v>552</v>
      </c>
      <c r="C991" t="s">
        <v>633</v>
      </c>
      <c r="D991" s="2">
        <v>45061</v>
      </c>
      <c r="E991">
        <v>1</v>
      </c>
      <c r="F991" s="2">
        <v>45062</v>
      </c>
      <c r="G991" s="6">
        <v>1</v>
      </c>
    </row>
    <row r="992" spans="1:8" ht="14.4" hidden="1">
      <c r="A992" t="s">
        <v>217</v>
      </c>
      <c r="B992">
        <v>2</v>
      </c>
      <c r="C992" t="s">
        <v>558</v>
      </c>
      <c r="D992" s="2">
        <v>45096</v>
      </c>
      <c r="E992">
        <v>3</v>
      </c>
      <c r="F992" s="2">
        <v>45099</v>
      </c>
      <c r="G992" s="6">
        <v>1</v>
      </c>
    </row>
    <row r="993" spans="1:7" ht="14.4" hidden="1">
      <c r="A993" t="s">
        <v>217</v>
      </c>
      <c r="B993" t="s">
        <v>559</v>
      </c>
      <c r="C993" t="s">
        <v>634</v>
      </c>
      <c r="D993" s="2">
        <v>45096</v>
      </c>
      <c r="E993">
        <v>3</v>
      </c>
      <c r="F993" s="2">
        <v>45099</v>
      </c>
      <c r="G993" s="6">
        <v>1</v>
      </c>
    </row>
    <row r="994" spans="1:7" ht="14.4" hidden="1">
      <c r="A994" t="s">
        <v>217</v>
      </c>
      <c r="B994">
        <v>3</v>
      </c>
      <c r="C994" t="s">
        <v>561</v>
      </c>
      <c r="D994" s="2">
        <v>45092</v>
      </c>
      <c r="E994">
        <v>179</v>
      </c>
      <c r="F994" s="2">
        <v>45335</v>
      </c>
      <c r="G994" s="6">
        <v>1</v>
      </c>
    </row>
    <row r="995" spans="1:7" ht="14.4" hidden="1">
      <c r="A995" t="s">
        <v>217</v>
      </c>
      <c r="B995" t="s">
        <v>562</v>
      </c>
      <c r="C995" t="s">
        <v>563</v>
      </c>
      <c r="D995" s="2">
        <v>45153</v>
      </c>
      <c r="E995">
        <v>1</v>
      </c>
      <c r="F995" s="2">
        <v>45154</v>
      </c>
      <c r="G995" s="6">
        <v>1</v>
      </c>
    </row>
    <row r="996" spans="1:7" ht="14.4" hidden="1">
      <c r="A996" t="s">
        <v>217</v>
      </c>
      <c r="B996" t="s">
        <v>564</v>
      </c>
      <c r="C996" t="s">
        <v>565</v>
      </c>
      <c r="D996" s="2">
        <v>45261</v>
      </c>
      <c r="E996">
        <v>4</v>
      </c>
      <c r="F996" s="2">
        <v>45267</v>
      </c>
      <c r="G996" s="6">
        <v>1</v>
      </c>
    </row>
    <row r="997" spans="1:7" ht="14.4" hidden="1">
      <c r="A997" t="s">
        <v>217</v>
      </c>
      <c r="B997" t="s">
        <v>566</v>
      </c>
      <c r="C997" t="s">
        <v>635</v>
      </c>
      <c r="D997" s="2">
        <v>45092</v>
      </c>
      <c r="E997">
        <v>73</v>
      </c>
      <c r="F997" s="2">
        <v>45195</v>
      </c>
      <c r="G997" s="6">
        <v>1</v>
      </c>
    </row>
    <row r="998" spans="1:7" ht="14.4" hidden="1">
      <c r="A998" t="s">
        <v>217</v>
      </c>
      <c r="B998" t="s">
        <v>568</v>
      </c>
      <c r="C998" t="s">
        <v>569</v>
      </c>
      <c r="D998" s="2">
        <v>45195</v>
      </c>
      <c r="E998">
        <v>100</v>
      </c>
      <c r="F998" s="2">
        <v>45335</v>
      </c>
      <c r="G998" s="6">
        <v>1</v>
      </c>
    </row>
    <row r="999" spans="1:7" ht="14.4" hidden="1">
      <c r="A999" t="s">
        <v>217</v>
      </c>
      <c r="B999" t="s">
        <v>570</v>
      </c>
      <c r="C999" t="s">
        <v>636</v>
      </c>
      <c r="D999" s="2">
        <v>45223</v>
      </c>
      <c r="E999">
        <v>1</v>
      </c>
      <c r="F999" s="2">
        <v>45224</v>
      </c>
      <c r="G999" s="6">
        <v>1</v>
      </c>
    </row>
    <row r="1000" spans="1:7" ht="14.4" hidden="1">
      <c r="A1000" t="s">
        <v>217</v>
      </c>
      <c r="B1000">
        <v>4</v>
      </c>
      <c r="C1000" t="s">
        <v>572</v>
      </c>
      <c r="D1000" s="2">
        <v>45099</v>
      </c>
      <c r="E1000">
        <v>155</v>
      </c>
      <c r="F1000" s="2">
        <v>45273</v>
      </c>
      <c r="G1000" s="6">
        <v>1</v>
      </c>
    </row>
    <row r="1001" spans="1:7" ht="14.4" hidden="1">
      <c r="A1001" t="s">
        <v>217</v>
      </c>
      <c r="B1001" t="s">
        <v>573</v>
      </c>
      <c r="C1001" t="s">
        <v>574</v>
      </c>
      <c r="D1001" s="2">
        <v>45099</v>
      </c>
      <c r="E1001">
        <v>1</v>
      </c>
      <c r="F1001" s="2">
        <v>45100</v>
      </c>
      <c r="G1001" s="6">
        <v>1</v>
      </c>
    </row>
    <row r="1002" spans="1:7" ht="14.4" hidden="1">
      <c r="A1002" t="s">
        <v>217</v>
      </c>
      <c r="B1002" t="s">
        <v>575</v>
      </c>
      <c r="C1002" t="s">
        <v>576</v>
      </c>
      <c r="D1002" s="2">
        <v>45100</v>
      </c>
      <c r="E1002">
        <v>50</v>
      </c>
      <c r="F1002" s="2">
        <v>45170</v>
      </c>
      <c r="G1002" s="6">
        <v>1</v>
      </c>
    </row>
    <row r="1003" spans="1:7" ht="14.4" hidden="1">
      <c r="A1003" t="s">
        <v>217</v>
      </c>
      <c r="B1003" t="s">
        <v>577</v>
      </c>
      <c r="C1003" t="s">
        <v>578</v>
      </c>
      <c r="D1003" s="2">
        <v>45170</v>
      </c>
      <c r="E1003">
        <v>1</v>
      </c>
      <c r="F1003" s="2">
        <v>45173</v>
      </c>
      <c r="G1003" s="6">
        <v>1</v>
      </c>
    </row>
    <row r="1004" spans="1:7" ht="14.4" hidden="1">
      <c r="A1004" t="s">
        <v>217</v>
      </c>
      <c r="B1004" t="s">
        <v>579</v>
      </c>
      <c r="C1004" t="s">
        <v>637</v>
      </c>
      <c r="D1004" s="2">
        <v>45173</v>
      </c>
      <c r="E1004">
        <v>72</v>
      </c>
      <c r="F1004" s="2">
        <v>45273</v>
      </c>
      <c r="G1004" s="6">
        <v>1</v>
      </c>
    </row>
    <row r="1005" spans="1:7" ht="14.4" hidden="1">
      <c r="A1005" t="s">
        <v>217</v>
      </c>
      <c r="B1005" t="s">
        <v>615</v>
      </c>
      <c r="C1005" t="s">
        <v>638</v>
      </c>
      <c r="D1005" s="2">
        <v>45145</v>
      </c>
      <c r="E1005">
        <v>31</v>
      </c>
      <c r="F1005" s="2">
        <v>45188</v>
      </c>
      <c r="G1005" s="6">
        <v>1</v>
      </c>
    </row>
    <row r="1006" spans="1:7" ht="14.4" hidden="1">
      <c r="A1006" t="s">
        <v>217</v>
      </c>
      <c r="B1006">
        <v>5</v>
      </c>
      <c r="C1006" t="s">
        <v>581</v>
      </c>
      <c r="D1006" s="2">
        <v>45170</v>
      </c>
      <c r="E1006">
        <v>51</v>
      </c>
      <c r="F1006" s="2">
        <v>45240</v>
      </c>
      <c r="G1006" s="6">
        <v>1</v>
      </c>
    </row>
    <row r="1007" spans="1:7" ht="14.4" hidden="1">
      <c r="A1007" t="s">
        <v>217</v>
      </c>
      <c r="B1007" t="s">
        <v>582</v>
      </c>
      <c r="C1007" t="s">
        <v>920</v>
      </c>
      <c r="D1007" s="2">
        <v>45170</v>
      </c>
      <c r="E1007">
        <v>1</v>
      </c>
      <c r="F1007" s="2">
        <v>45173</v>
      </c>
      <c r="G1007" s="6">
        <v>1</v>
      </c>
    </row>
    <row r="1008" spans="1:7" ht="14.4" hidden="1">
      <c r="A1008" t="s">
        <v>217</v>
      </c>
      <c r="B1008">
        <v>5.2</v>
      </c>
      <c r="C1008" t="s">
        <v>921</v>
      </c>
      <c r="D1008" s="2">
        <v>45180</v>
      </c>
      <c r="E1008">
        <v>1</v>
      </c>
      <c r="F1008" s="2">
        <v>45181</v>
      </c>
      <c r="G1008" s="6">
        <v>1</v>
      </c>
    </row>
    <row r="1009" spans="1:7" ht="14.4" hidden="1">
      <c r="A1009" t="s">
        <v>217</v>
      </c>
      <c r="B1009">
        <v>5.3</v>
      </c>
      <c r="C1009" t="s">
        <v>922</v>
      </c>
      <c r="D1009" s="2">
        <v>45188</v>
      </c>
      <c r="E1009">
        <v>1</v>
      </c>
      <c r="F1009" s="2">
        <v>45189</v>
      </c>
      <c r="G1009" s="6">
        <v>1</v>
      </c>
    </row>
    <row r="1010" spans="1:7" ht="14.4" hidden="1">
      <c r="A1010" t="s">
        <v>217</v>
      </c>
      <c r="B1010">
        <v>5.4</v>
      </c>
      <c r="C1010" t="s">
        <v>585</v>
      </c>
      <c r="D1010" s="2">
        <v>45174</v>
      </c>
      <c r="E1010">
        <v>48</v>
      </c>
      <c r="F1010" s="2">
        <v>45240</v>
      </c>
      <c r="G1010" s="6">
        <v>1</v>
      </c>
    </row>
    <row r="1011" spans="1:7" ht="14.4" hidden="1">
      <c r="A1011" t="s">
        <v>217</v>
      </c>
      <c r="B1011">
        <v>6</v>
      </c>
      <c r="C1011" t="s">
        <v>240</v>
      </c>
      <c r="D1011" s="2">
        <v>45317</v>
      </c>
      <c r="E1011">
        <v>6</v>
      </c>
      <c r="F1011" s="2">
        <v>45330</v>
      </c>
      <c r="G1011" s="6">
        <v>1</v>
      </c>
    </row>
    <row r="1012" spans="1:7" ht="14.4" hidden="1">
      <c r="A1012" t="s">
        <v>217</v>
      </c>
      <c r="B1012" t="s">
        <v>586</v>
      </c>
      <c r="C1012" t="s">
        <v>639</v>
      </c>
      <c r="D1012" s="2">
        <v>45317</v>
      </c>
      <c r="E1012">
        <v>1</v>
      </c>
      <c r="F1012" s="2">
        <v>45320</v>
      </c>
      <c r="G1012" s="6">
        <v>1</v>
      </c>
    </row>
    <row r="1013" spans="1:7" ht="14.4" hidden="1">
      <c r="A1013" t="s">
        <v>217</v>
      </c>
      <c r="B1013">
        <v>6.2</v>
      </c>
      <c r="C1013" t="s">
        <v>923</v>
      </c>
      <c r="D1013" s="2">
        <v>45321</v>
      </c>
      <c r="E1013">
        <v>1</v>
      </c>
      <c r="F1013" s="2">
        <v>45322</v>
      </c>
      <c r="G1013" s="6">
        <v>1</v>
      </c>
    </row>
    <row r="1014" spans="1:7" ht="14.4" hidden="1">
      <c r="A1014" t="s">
        <v>217</v>
      </c>
      <c r="B1014" t="s">
        <v>599</v>
      </c>
      <c r="C1014" t="s">
        <v>169</v>
      </c>
      <c r="D1014" s="2">
        <v>45324</v>
      </c>
      <c r="E1014">
        <v>4</v>
      </c>
      <c r="F1014" s="2">
        <v>45330</v>
      </c>
      <c r="G1014" s="6">
        <v>1</v>
      </c>
    </row>
    <row r="1015" spans="1:7" ht="14.4" hidden="1">
      <c r="A1015" t="s">
        <v>217</v>
      </c>
      <c r="B1015">
        <v>7</v>
      </c>
      <c r="C1015" t="s">
        <v>590</v>
      </c>
      <c r="D1015" s="2">
        <v>45330</v>
      </c>
      <c r="E1015">
        <v>58</v>
      </c>
      <c r="F1015" s="2">
        <v>45425</v>
      </c>
      <c r="G1015" s="6">
        <v>1</v>
      </c>
    </row>
    <row r="1016" spans="1:7" ht="14.4" hidden="1">
      <c r="A1016" t="s">
        <v>217</v>
      </c>
      <c r="B1016" t="s">
        <v>600</v>
      </c>
      <c r="C1016" t="s">
        <v>591</v>
      </c>
      <c r="D1016" s="2">
        <v>45330</v>
      </c>
      <c r="E1016">
        <v>1</v>
      </c>
      <c r="F1016" s="2">
        <v>45331</v>
      </c>
      <c r="G1016" s="6">
        <v>1</v>
      </c>
    </row>
    <row r="1017" spans="1:7" ht="14.4" hidden="1">
      <c r="A1017" t="s">
        <v>217</v>
      </c>
      <c r="B1017" t="s">
        <v>601</v>
      </c>
      <c r="C1017" t="s">
        <v>924</v>
      </c>
      <c r="D1017" s="2">
        <v>45356</v>
      </c>
      <c r="E1017">
        <v>15</v>
      </c>
      <c r="F1017" s="2">
        <v>45377</v>
      </c>
      <c r="G1017" s="6">
        <v>1</v>
      </c>
    </row>
    <row r="1018" spans="1:7" ht="14.4" hidden="1">
      <c r="A1018" t="s">
        <v>217</v>
      </c>
      <c r="B1018" t="s">
        <v>908</v>
      </c>
      <c r="C1018" t="s">
        <v>925</v>
      </c>
      <c r="E1018"/>
    </row>
    <row r="1019" spans="1:7" ht="14.4" hidden="1">
      <c r="A1019" t="s">
        <v>217</v>
      </c>
      <c r="B1019" t="s">
        <v>926</v>
      </c>
      <c r="C1019" t="s">
        <v>927</v>
      </c>
      <c r="D1019" s="2">
        <v>45352</v>
      </c>
      <c r="E1019">
        <v>20</v>
      </c>
      <c r="F1019" s="2">
        <v>45380</v>
      </c>
      <c r="G1019" s="6">
        <v>1</v>
      </c>
    </row>
    <row r="1020" spans="1:7" ht="14.4" hidden="1">
      <c r="A1020" t="s">
        <v>217</v>
      </c>
      <c r="B1020" t="s">
        <v>926</v>
      </c>
      <c r="C1020" t="s">
        <v>928</v>
      </c>
      <c r="D1020" s="2">
        <v>45397</v>
      </c>
      <c r="E1020">
        <v>20</v>
      </c>
      <c r="F1020" s="2">
        <v>45425</v>
      </c>
      <c r="G1020" s="6">
        <v>1</v>
      </c>
    </row>
    <row r="1021" spans="1:7" ht="14.4" hidden="1">
      <c r="A1021" t="s">
        <v>217</v>
      </c>
      <c r="B1021" t="s">
        <v>929</v>
      </c>
      <c r="C1021" t="s">
        <v>593</v>
      </c>
      <c r="D1021" s="2">
        <v>45380</v>
      </c>
      <c r="E1021">
        <v>1</v>
      </c>
      <c r="F1021" s="2">
        <v>45383</v>
      </c>
      <c r="G1021" s="6">
        <v>1</v>
      </c>
    </row>
    <row r="1022" spans="1:7" ht="14.4" hidden="1">
      <c r="A1022" t="s">
        <v>217</v>
      </c>
      <c r="B1022" t="s">
        <v>930</v>
      </c>
      <c r="C1022" t="s">
        <v>594</v>
      </c>
      <c r="D1022" s="2">
        <v>45391</v>
      </c>
      <c r="E1022">
        <v>1</v>
      </c>
      <c r="F1022" s="2">
        <v>45392</v>
      </c>
      <c r="G1022" s="6">
        <v>1</v>
      </c>
    </row>
    <row r="1023" spans="1:7" ht="14.4" hidden="1">
      <c r="A1023" t="s">
        <v>217</v>
      </c>
      <c r="B1023" t="s">
        <v>931</v>
      </c>
      <c r="C1023" t="s">
        <v>595</v>
      </c>
      <c r="D1023" s="2">
        <v>45392</v>
      </c>
      <c r="E1023">
        <v>1</v>
      </c>
      <c r="F1023" s="2">
        <v>45393</v>
      </c>
      <c r="G1023" s="6">
        <v>1</v>
      </c>
    </row>
    <row r="1024" spans="1:7" ht="14.4" hidden="1">
      <c r="A1024" t="s">
        <v>217</v>
      </c>
      <c r="B1024" t="s">
        <v>932</v>
      </c>
      <c r="C1024" t="s">
        <v>933</v>
      </c>
      <c r="D1024" s="2">
        <v>45393</v>
      </c>
      <c r="E1024">
        <v>1</v>
      </c>
      <c r="F1024" s="2">
        <v>45394</v>
      </c>
      <c r="G1024" s="6">
        <v>1</v>
      </c>
    </row>
    <row r="1025" spans="1:8" ht="14.4" hidden="1">
      <c r="A1025" t="s">
        <v>217</v>
      </c>
      <c r="B1025">
        <v>8</v>
      </c>
      <c r="C1025" t="s">
        <v>588</v>
      </c>
      <c r="D1025" s="2">
        <v>45333</v>
      </c>
      <c r="E1025">
        <v>15</v>
      </c>
      <c r="F1025" s="2">
        <v>45352</v>
      </c>
      <c r="G1025" s="6">
        <v>1</v>
      </c>
    </row>
    <row r="1026" spans="1:8" ht="14.4" hidden="1">
      <c r="A1026" t="s">
        <v>217</v>
      </c>
      <c r="B1026" t="s">
        <v>602</v>
      </c>
      <c r="C1026" t="s">
        <v>934</v>
      </c>
      <c r="D1026" s="2">
        <v>45333</v>
      </c>
      <c r="E1026">
        <v>15</v>
      </c>
      <c r="F1026" s="2">
        <v>45352</v>
      </c>
      <c r="G1026" s="6">
        <v>1</v>
      </c>
    </row>
    <row r="1027" spans="1:8" ht="14.4" hidden="1">
      <c r="A1027" t="s">
        <v>524</v>
      </c>
      <c r="B1027">
        <v>1</v>
      </c>
      <c r="C1027" t="s">
        <v>547</v>
      </c>
      <c r="D1027" s="2">
        <v>45684</v>
      </c>
      <c r="E1027">
        <v>23</v>
      </c>
      <c r="F1027" s="2">
        <v>45707</v>
      </c>
      <c r="G1027" s="6">
        <v>1</v>
      </c>
      <c r="H1027" s="6">
        <v>1</v>
      </c>
    </row>
    <row r="1028" spans="1:8" ht="14.4" hidden="1">
      <c r="A1028" t="s">
        <v>524</v>
      </c>
      <c r="B1028" t="s">
        <v>548</v>
      </c>
      <c r="C1028" t="s">
        <v>549</v>
      </c>
      <c r="D1028" s="2">
        <v>45684</v>
      </c>
      <c r="E1028">
        <v>1</v>
      </c>
      <c r="F1028" s="2">
        <v>45685</v>
      </c>
      <c r="G1028" s="6">
        <v>1</v>
      </c>
      <c r="H1028" s="6">
        <v>1</v>
      </c>
    </row>
    <row r="1029" spans="1:8" ht="14.4" hidden="1">
      <c r="A1029" t="s">
        <v>524</v>
      </c>
      <c r="B1029" t="s">
        <v>550</v>
      </c>
      <c r="C1029" t="s">
        <v>551</v>
      </c>
      <c r="D1029" s="2">
        <v>45698</v>
      </c>
      <c r="E1029">
        <v>1</v>
      </c>
      <c r="F1029" s="2">
        <v>45699</v>
      </c>
      <c r="G1029" s="6">
        <v>1</v>
      </c>
      <c r="H1029" s="6">
        <v>1</v>
      </c>
    </row>
    <row r="1030" spans="1:8" ht="14.4" hidden="1">
      <c r="A1030" t="s">
        <v>524</v>
      </c>
      <c r="B1030" t="s">
        <v>552</v>
      </c>
      <c r="C1030" t="s">
        <v>553</v>
      </c>
      <c r="D1030" s="2">
        <v>45698</v>
      </c>
      <c r="E1030">
        <v>7</v>
      </c>
      <c r="F1030" s="2">
        <v>45707</v>
      </c>
      <c r="G1030" s="6">
        <v>1</v>
      </c>
      <c r="H1030" s="6">
        <v>1</v>
      </c>
    </row>
    <row r="1031" spans="1:8" ht="14.4" hidden="1">
      <c r="A1031" t="s">
        <v>524</v>
      </c>
      <c r="B1031" t="s">
        <v>554</v>
      </c>
      <c r="C1031" t="s">
        <v>555</v>
      </c>
      <c r="D1031" s="2">
        <v>45698</v>
      </c>
      <c r="E1031">
        <v>1</v>
      </c>
      <c r="F1031" s="2">
        <v>45699</v>
      </c>
      <c r="G1031" s="6">
        <v>1</v>
      </c>
      <c r="H1031" s="6">
        <v>1</v>
      </c>
    </row>
    <row r="1032" spans="1:8" ht="14.4" hidden="1">
      <c r="A1032" t="s">
        <v>524</v>
      </c>
      <c r="B1032" t="s">
        <v>556</v>
      </c>
      <c r="C1032" t="s">
        <v>557</v>
      </c>
      <c r="D1032" s="2">
        <v>45698</v>
      </c>
      <c r="E1032">
        <v>1</v>
      </c>
      <c r="F1032" s="2">
        <v>45699</v>
      </c>
      <c r="G1032" s="6">
        <v>1</v>
      </c>
      <c r="H1032" s="6">
        <v>1</v>
      </c>
    </row>
    <row r="1033" spans="1:8" ht="14.4" hidden="1">
      <c r="A1033" t="s">
        <v>524</v>
      </c>
      <c r="B1033">
        <v>2</v>
      </c>
      <c r="C1033" t="s">
        <v>558</v>
      </c>
      <c r="D1033" s="2">
        <v>45705</v>
      </c>
      <c r="E1033">
        <v>1</v>
      </c>
      <c r="F1033" s="2">
        <v>45706</v>
      </c>
      <c r="G1033" s="6">
        <v>1</v>
      </c>
      <c r="H1033" s="6">
        <v>1</v>
      </c>
    </row>
    <row r="1034" spans="1:8" ht="14.4" hidden="1">
      <c r="A1034" t="s">
        <v>524</v>
      </c>
      <c r="B1034" t="s">
        <v>559</v>
      </c>
      <c r="C1034" t="s">
        <v>788</v>
      </c>
      <c r="D1034" s="2">
        <v>45705</v>
      </c>
      <c r="E1034">
        <v>1</v>
      </c>
      <c r="F1034" s="2">
        <v>45706</v>
      </c>
      <c r="G1034" s="6">
        <v>1</v>
      </c>
      <c r="H1034" s="6">
        <v>1</v>
      </c>
    </row>
    <row r="1035" spans="1:8" ht="14.4" hidden="1">
      <c r="A1035" t="s">
        <v>524</v>
      </c>
      <c r="B1035">
        <v>3</v>
      </c>
      <c r="C1035" t="s">
        <v>561</v>
      </c>
      <c r="D1035" s="2">
        <v>45698</v>
      </c>
      <c r="E1035">
        <v>23</v>
      </c>
      <c r="F1035" s="2">
        <v>45721</v>
      </c>
      <c r="G1035" s="6">
        <v>1</v>
      </c>
      <c r="H1035" s="6">
        <v>1</v>
      </c>
    </row>
    <row r="1036" spans="1:8" ht="14.4" hidden="1">
      <c r="A1036" t="s">
        <v>524</v>
      </c>
      <c r="B1036" t="s">
        <v>562</v>
      </c>
      <c r="C1036" t="s">
        <v>563</v>
      </c>
      <c r="D1036" s="2">
        <v>45706</v>
      </c>
      <c r="E1036">
        <v>1</v>
      </c>
      <c r="F1036" s="2">
        <v>45707</v>
      </c>
      <c r="G1036" s="6">
        <v>1</v>
      </c>
      <c r="H1036" s="6">
        <v>1</v>
      </c>
    </row>
    <row r="1037" spans="1:8" ht="14.4" hidden="1">
      <c r="A1037" t="s">
        <v>524</v>
      </c>
      <c r="B1037" t="s">
        <v>564</v>
      </c>
      <c r="C1037" t="s">
        <v>565</v>
      </c>
      <c r="D1037" s="2">
        <v>45708</v>
      </c>
      <c r="E1037">
        <v>1</v>
      </c>
      <c r="F1037" s="2">
        <v>45709</v>
      </c>
      <c r="G1037" s="6">
        <v>1</v>
      </c>
      <c r="H1037" s="6">
        <v>1</v>
      </c>
    </row>
    <row r="1038" spans="1:8" ht="14.4" hidden="1">
      <c r="A1038" t="s">
        <v>524</v>
      </c>
      <c r="B1038" t="s">
        <v>566</v>
      </c>
      <c r="C1038" t="s">
        <v>567</v>
      </c>
      <c r="D1038" s="2">
        <v>45698</v>
      </c>
      <c r="E1038">
        <v>10</v>
      </c>
      <c r="F1038" s="2">
        <v>45712</v>
      </c>
      <c r="G1038" s="6">
        <v>1</v>
      </c>
      <c r="H1038" s="6">
        <v>1</v>
      </c>
    </row>
    <row r="1039" spans="1:8" ht="14.4" hidden="1">
      <c r="A1039" t="s">
        <v>524</v>
      </c>
      <c r="B1039" t="s">
        <v>568</v>
      </c>
      <c r="C1039" t="s">
        <v>569</v>
      </c>
      <c r="D1039" s="2">
        <v>45707</v>
      </c>
      <c r="E1039">
        <v>10</v>
      </c>
      <c r="F1039" s="2">
        <v>45721</v>
      </c>
      <c r="G1039" s="6">
        <v>1</v>
      </c>
      <c r="H1039" s="6">
        <v>1</v>
      </c>
    </row>
    <row r="1040" spans="1:8" ht="14.4" hidden="1">
      <c r="A1040" t="s">
        <v>524</v>
      </c>
      <c r="B1040" t="s">
        <v>570</v>
      </c>
      <c r="C1040" t="s">
        <v>571</v>
      </c>
      <c r="D1040" s="2">
        <v>45707</v>
      </c>
      <c r="E1040">
        <v>1</v>
      </c>
      <c r="F1040" s="2">
        <v>45708</v>
      </c>
      <c r="G1040" s="6">
        <v>1</v>
      </c>
      <c r="H1040" s="6">
        <v>1</v>
      </c>
    </row>
    <row r="1041" spans="1:8" ht="14.4" hidden="1">
      <c r="A1041" t="s">
        <v>524</v>
      </c>
      <c r="B1041">
        <v>4</v>
      </c>
      <c r="C1041" t="s">
        <v>572</v>
      </c>
      <c r="D1041" s="2">
        <v>45706</v>
      </c>
      <c r="E1041">
        <v>15</v>
      </c>
      <c r="F1041" s="2">
        <v>45721</v>
      </c>
      <c r="G1041" s="6">
        <v>1</v>
      </c>
      <c r="H1041" s="6">
        <v>1</v>
      </c>
    </row>
    <row r="1042" spans="1:8" ht="14.4" hidden="1">
      <c r="A1042" t="s">
        <v>524</v>
      </c>
      <c r="B1042" t="s">
        <v>573</v>
      </c>
      <c r="C1042" t="s">
        <v>613</v>
      </c>
      <c r="E1042"/>
      <c r="G1042" s="6">
        <v>0</v>
      </c>
      <c r="H1042" s="6">
        <v>0</v>
      </c>
    </row>
    <row r="1043" spans="1:8" ht="14.4" hidden="1">
      <c r="A1043" t="s">
        <v>524</v>
      </c>
      <c r="B1043" t="s">
        <v>573</v>
      </c>
      <c r="C1043" t="s">
        <v>574</v>
      </c>
      <c r="D1043" s="2">
        <v>45706</v>
      </c>
      <c r="E1043">
        <v>1</v>
      </c>
      <c r="F1043" s="2">
        <v>45707</v>
      </c>
      <c r="G1043" s="6">
        <v>1</v>
      </c>
      <c r="H1043" s="6">
        <v>1</v>
      </c>
    </row>
    <row r="1044" spans="1:8" ht="14.4" hidden="1">
      <c r="A1044" t="s">
        <v>524</v>
      </c>
      <c r="B1044" t="s">
        <v>575</v>
      </c>
      <c r="C1044" t="s">
        <v>576</v>
      </c>
      <c r="D1044" s="2">
        <v>45708</v>
      </c>
      <c r="E1044">
        <v>2</v>
      </c>
      <c r="F1044" s="2">
        <v>45712</v>
      </c>
      <c r="G1044" s="6">
        <v>1</v>
      </c>
      <c r="H1044" s="6">
        <v>1</v>
      </c>
    </row>
    <row r="1045" spans="1:8" ht="14.4" hidden="1">
      <c r="A1045" t="s">
        <v>524</v>
      </c>
      <c r="B1045" t="s">
        <v>577</v>
      </c>
      <c r="C1045" t="s">
        <v>578</v>
      </c>
      <c r="D1045" s="2">
        <v>45706</v>
      </c>
      <c r="E1045">
        <v>1</v>
      </c>
      <c r="F1045" s="2">
        <v>45707</v>
      </c>
      <c r="G1045" s="6">
        <v>1</v>
      </c>
      <c r="H1045" s="6">
        <v>1</v>
      </c>
    </row>
    <row r="1046" spans="1:8" ht="14.4" hidden="1">
      <c r="A1046" t="s">
        <v>524</v>
      </c>
      <c r="B1046" t="s">
        <v>577</v>
      </c>
      <c r="C1046" t="s">
        <v>580</v>
      </c>
      <c r="D1046" s="2">
        <v>45719</v>
      </c>
      <c r="E1046">
        <v>2</v>
      </c>
      <c r="F1046" s="2">
        <v>45721</v>
      </c>
      <c r="G1046" s="6">
        <v>1</v>
      </c>
      <c r="H1046" s="6">
        <v>1</v>
      </c>
    </row>
    <row r="1047" spans="1:8" ht="14.4" hidden="1">
      <c r="A1047" t="s">
        <v>524</v>
      </c>
      <c r="B1047">
        <v>5</v>
      </c>
      <c r="C1047" t="s">
        <v>581</v>
      </c>
      <c r="D1047" s="2">
        <v>45705</v>
      </c>
      <c r="E1047">
        <v>17</v>
      </c>
      <c r="F1047" s="2">
        <v>45722</v>
      </c>
      <c r="G1047" s="6">
        <v>1</v>
      </c>
      <c r="H1047" s="6">
        <v>1</v>
      </c>
    </row>
    <row r="1048" spans="1:8" ht="14.4" hidden="1">
      <c r="A1048" t="s">
        <v>524</v>
      </c>
      <c r="B1048" t="s">
        <v>582</v>
      </c>
      <c r="C1048" t="s">
        <v>583</v>
      </c>
      <c r="D1048" s="2">
        <v>45705</v>
      </c>
      <c r="E1048">
        <v>1</v>
      </c>
      <c r="F1048" s="2">
        <v>45706</v>
      </c>
      <c r="G1048" s="6">
        <v>1</v>
      </c>
      <c r="H1048" s="6">
        <v>1</v>
      </c>
    </row>
    <row r="1049" spans="1:8" ht="14.4" hidden="1">
      <c r="A1049" t="s">
        <v>524</v>
      </c>
      <c r="B1049" t="s">
        <v>584</v>
      </c>
      <c r="C1049" t="s">
        <v>585</v>
      </c>
      <c r="D1049" s="2">
        <v>45712</v>
      </c>
      <c r="E1049">
        <v>8</v>
      </c>
      <c r="F1049" s="2">
        <v>45722</v>
      </c>
      <c r="G1049" s="6">
        <v>1</v>
      </c>
      <c r="H1049" s="6">
        <v>1</v>
      </c>
    </row>
    <row r="1050" spans="1:8" ht="14.4" hidden="1">
      <c r="A1050" t="s">
        <v>524</v>
      </c>
      <c r="B1050">
        <v>6</v>
      </c>
      <c r="C1050" t="s">
        <v>240</v>
      </c>
      <c r="D1050" s="2">
        <v>45722</v>
      </c>
      <c r="E1050">
        <v>12</v>
      </c>
      <c r="F1050" s="2">
        <v>45734</v>
      </c>
      <c r="G1050" s="6">
        <v>1</v>
      </c>
      <c r="H1050" s="6">
        <v>1</v>
      </c>
    </row>
    <row r="1051" spans="1:8" ht="14.4" hidden="1">
      <c r="A1051" t="s">
        <v>524</v>
      </c>
      <c r="B1051" t="s">
        <v>586</v>
      </c>
      <c r="C1051" t="s">
        <v>240</v>
      </c>
      <c r="D1051" s="2">
        <v>45722</v>
      </c>
      <c r="E1051">
        <v>4</v>
      </c>
      <c r="F1051" s="2">
        <v>45728</v>
      </c>
      <c r="G1051" s="6">
        <v>1</v>
      </c>
      <c r="H1051" s="6">
        <v>1</v>
      </c>
    </row>
    <row r="1052" spans="1:8" ht="14.4" hidden="1">
      <c r="A1052" t="s">
        <v>524</v>
      </c>
      <c r="B1052" t="s">
        <v>587</v>
      </c>
      <c r="C1052" t="s">
        <v>169</v>
      </c>
      <c r="D1052" s="2">
        <v>45728</v>
      </c>
      <c r="E1052">
        <v>4</v>
      </c>
      <c r="F1052" s="2">
        <v>45734</v>
      </c>
      <c r="G1052" s="6">
        <v>1</v>
      </c>
      <c r="H1052" s="6">
        <v>1</v>
      </c>
    </row>
    <row r="1053" spans="1:8" ht="14.4" hidden="1">
      <c r="A1053" t="s">
        <v>524</v>
      </c>
      <c r="B1053">
        <v>7</v>
      </c>
      <c r="C1053" t="s">
        <v>588</v>
      </c>
      <c r="D1053" s="2">
        <v>45734</v>
      </c>
      <c r="E1053">
        <v>2</v>
      </c>
      <c r="F1053" s="2">
        <v>45736</v>
      </c>
      <c r="G1053" s="6">
        <v>1</v>
      </c>
      <c r="H1053" s="6">
        <v>1</v>
      </c>
    </row>
    <row r="1054" spans="1:8" ht="14.4" hidden="1">
      <c r="A1054" t="s">
        <v>524</v>
      </c>
      <c r="B1054">
        <v>7.1</v>
      </c>
      <c r="C1054" t="s">
        <v>589</v>
      </c>
      <c r="D1054" s="2">
        <v>45734</v>
      </c>
      <c r="E1054">
        <v>2</v>
      </c>
      <c r="F1054" s="2">
        <v>45736</v>
      </c>
      <c r="G1054" s="6">
        <v>1</v>
      </c>
      <c r="H1054" s="6">
        <v>1</v>
      </c>
    </row>
    <row r="1055" spans="1:8" ht="14.4" hidden="1">
      <c r="A1055" t="s">
        <v>524</v>
      </c>
      <c r="B1055">
        <v>8</v>
      </c>
      <c r="C1055" t="s">
        <v>590</v>
      </c>
      <c r="D1055" s="2">
        <v>45736</v>
      </c>
      <c r="E1055">
        <v>361</v>
      </c>
      <c r="F1055" s="2">
        <v>46097</v>
      </c>
      <c r="G1055" s="6">
        <v>0.5</v>
      </c>
      <c r="H1055" s="6">
        <v>0.5</v>
      </c>
    </row>
    <row r="1056" spans="1:8" ht="14.4" hidden="1">
      <c r="A1056" t="s">
        <v>524</v>
      </c>
      <c r="B1056">
        <v>8.1</v>
      </c>
      <c r="C1056" t="s">
        <v>591</v>
      </c>
      <c r="D1056" s="2">
        <v>45736</v>
      </c>
      <c r="E1056">
        <v>2</v>
      </c>
      <c r="F1056" s="2">
        <v>45741</v>
      </c>
      <c r="G1056" s="6">
        <v>1</v>
      </c>
      <c r="H1056" s="6">
        <v>1</v>
      </c>
    </row>
    <row r="1057" spans="1:8" ht="14.4" hidden="1">
      <c r="A1057" t="s">
        <v>524</v>
      </c>
      <c r="B1057">
        <v>8.1999999999999993</v>
      </c>
      <c r="C1057" t="s">
        <v>592</v>
      </c>
      <c r="D1057" s="2">
        <v>45803</v>
      </c>
      <c r="E1057">
        <v>70</v>
      </c>
      <c r="F1057" s="2">
        <v>45902</v>
      </c>
      <c r="G1057" s="6">
        <v>1</v>
      </c>
      <c r="H1057" s="6">
        <v>1</v>
      </c>
    </row>
    <row r="1058" spans="1:8" ht="14.4" hidden="1">
      <c r="A1058" t="s">
        <v>524</v>
      </c>
      <c r="B1058">
        <v>8.3000000000000007</v>
      </c>
      <c r="C1058" t="s">
        <v>593</v>
      </c>
      <c r="D1058" s="2">
        <v>45902</v>
      </c>
      <c r="E1058">
        <v>5</v>
      </c>
      <c r="F1058" s="2">
        <v>45909</v>
      </c>
      <c r="G1058" s="6">
        <v>1</v>
      </c>
      <c r="H1058" s="6">
        <v>1</v>
      </c>
    </row>
    <row r="1059" spans="1:8" ht="14.4" hidden="1">
      <c r="A1059" t="s">
        <v>524</v>
      </c>
      <c r="B1059">
        <v>8.4</v>
      </c>
      <c r="C1059" t="s">
        <v>594</v>
      </c>
      <c r="D1059" s="2">
        <v>45909</v>
      </c>
      <c r="E1059">
        <v>5</v>
      </c>
      <c r="F1059" s="2">
        <v>45916</v>
      </c>
      <c r="G1059" s="6">
        <v>1</v>
      </c>
      <c r="H1059" s="6">
        <v>1</v>
      </c>
    </row>
    <row r="1060" spans="1:8" ht="14.4" hidden="1">
      <c r="A1060" t="s">
        <v>524</v>
      </c>
      <c r="B1060">
        <v>8.5</v>
      </c>
      <c r="C1060" t="s">
        <v>595</v>
      </c>
      <c r="D1060" s="2">
        <v>46087</v>
      </c>
      <c r="E1060">
        <v>1</v>
      </c>
      <c r="F1060" s="2">
        <v>46090</v>
      </c>
      <c r="G1060" s="6">
        <v>0</v>
      </c>
      <c r="H1060" s="6">
        <v>0</v>
      </c>
    </row>
    <row r="1061" spans="1:8" ht="14.4" hidden="1">
      <c r="A1061" t="s">
        <v>524</v>
      </c>
      <c r="B1061">
        <v>8.6</v>
      </c>
      <c r="C1061" t="s">
        <v>596</v>
      </c>
      <c r="D1061" s="2">
        <v>46090</v>
      </c>
      <c r="E1061">
        <v>5</v>
      </c>
      <c r="F1061" s="2">
        <v>46097</v>
      </c>
      <c r="G1061" s="6">
        <v>0</v>
      </c>
      <c r="H1061" s="6">
        <v>0</v>
      </c>
    </row>
    <row r="1062" spans="1:8" ht="14.4" hidden="1">
      <c r="A1062" t="s">
        <v>218</v>
      </c>
      <c r="B1062">
        <v>1</v>
      </c>
      <c r="C1062" t="s">
        <v>547</v>
      </c>
      <c r="D1062" s="2">
        <v>45756</v>
      </c>
      <c r="E1062">
        <v>146</v>
      </c>
      <c r="F1062" s="2">
        <v>45902</v>
      </c>
      <c r="G1062" s="6">
        <v>1</v>
      </c>
      <c r="H1062" s="6">
        <v>1</v>
      </c>
    </row>
    <row r="1063" spans="1:8" ht="14.4" hidden="1">
      <c r="A1063" t="s">
        <v>218</v>
      </c>
      <c r="B1063" t="s">
        <v>548</v>
      </c>
      <c r="C1063" t="s">
        <v>549</v>
      </c>
      <c r="D1063" s="2">
        <v>45756</v>
      </c>
      <c r="E1063">
        <v>1</v>
      </c>
      <c r="F1063" s="2">
        <v>45757</v>
      </c>
      <c r="G1063" s="6">
        <v>1</v>
      </c>
      <c r="H1063" s="6">
        <v>1</v>
      </c>
    </row>
    <row r="1064" spans="1:8" ht="14.4" hidden="1">
      <c r="A1064" t="s">
        <v>218</v>
      </c>
      <c r="B1064" t="s">
        <v>550</v>
      </c>
      <c r="C1064" t="s">
        <v>551</v>
      </c>
      <c r="D1064" s="2">
        <v>45888</v>
      </c>
      <c r="E1064">
        <v>1</v>
      </c>
      <c r="F1064" s="2">
        <v>45889</v>
      </c>
      <c r="G1064" s="6">
        <v>1</v>
      </c>
      <c r="H1064" s="6">
        <v>1</v>
      </c>
    </row>
    <row r="1065" spans="1:8" ht="14.4" hidden="1">
      <c r="A1065" t="s">
        <v>218</v>
      </c>
      <c r="B1065" t="s">
        <v>552</v>
      </c>
      <c r="C1065" t="s">
        <v>553</v>
      </c>
      <c r="D1065" s="2">
        <v>45888</v>
      </c>
      <c r="E1065">
        <v>10</v>
      </c>
      <c r="F1065" s="2">
        <v>45902</v>
      </c>
      <c r="G1065" s="6">
        <v>1</v>
      </c>
      <c r="H1065" s="6">
        <v>1</v>
      </c>
    </row>
    <row r="1066" spans="1:8" ht="14.4" hidden="1">
      <c r="A1066" t="s">
        <v>218</v>
      </c>
      <c r="B1066" t="s">
        <v>554</v>
      </c>
      <c r="C1066" t="s">
        <v>555</v>
      </c>
      <c r="D1066" s="2">
        <v>45888</v>
      </c>
      <c r="E1066">
        <v>1</v>
      </c>
      <c r="F1066" s="2">
        <v>45889</v>
      </c>
      <c r="G1066" s="6">
        <v>1</v>
      </c>
      <c r="H1066" s="6">
        <v>1</v>
      </c>
    </row>
    <row r="1067" spans="1:8" ht="14.4" hidden="1">
      <c r="A1067" t="s">
        <v>218</v>
      </c>
      <c r="B1067" t="s">
        <v>556</v>
      </c>
      <c r="C1067" t="s">
        <v>557</v>
      </c>
      <c r="D1067" s="2">
        <v>45896</v>
      </c>
      <c r="E1067">
        <v>1</v>
      </c>
      <c r="F1067" s="2">
        <v>45897</v>
      </c>
      <c r="G1067" s="6">
        <v>1</v>
      </c>
      <c r="H1067" s="6">
        <v>1</v>
      </c>
    </row>
    <row r="1068" spans="1:8" ht="14.4" hidden="1">
      <c r="A1068" t="s">
        <v>218</v>
      </c>
      <c r="B1068">
        <v>2</v>
      </c>
      <c r="C1068" t="s">
        <v>558</v>
      </c>
      <c r="D1068" s="2">
        <v>45789</v>
      </c>
      <c r="E1068">
        <v>114</v>
      </c>
      <c r="F1068" s="2">
        <v>45903</v>
      </c>
      <c r="G1068" s="6">
        <v>1</v>
      </c>
      <c r="H1068" s="6">
        <v>1</v>
      </c>
    </row>
    <row r="1069" spans="1:8" ht="14.4" hidden="1">
      <c r="A1069" t="s">
        <v>218</v>
      </c>
      <c r="B1069" t="s">
        <v>559</v>
      </c>
      <c r="C1069" t="s">
        <v>560</v>
      </c>
      <c r="D1069" s="2">
        <v>45902</v>
      </c>
      <c r="E1069">
        <v>1</v>
      </c>
      <c r="F1069" s="2">
        <v>45903</v>
      </c>
      <c r="G1069" s="6">
        <v>1</v>
      </c>
      <c r="H1069" s="6">
        <v>1</v>
      </c>
    </row>
    <row r="1070" spans="1:8" ht="14.4" hidden="1">
      <c r="A1070" t="s">
        <v>218</v>
      </c>
      <c r="B1070" t="s">
        <v>671</v>
      </c>
      <c r="C1070" t="s">
        <v>935</v>
      </c>
      <c r="D1070" s="2">
        <v>45789</v>
      </c>
      <c r="E1070">
        <v>80</v>
      </c>
      <c r="F1070" s="2">
        <v>45902</v>
      </c>
      <c r="G1070" s="6">
        <v>1</v>
      </c>
      <c r="H1070" s="6">
        <v>1</v>
      </c>
    </row>
    <row r="1071" spans="1:8" ht="14.4" hidden="1">
      <c r="A1071" t="s">
        <v>218</v>
      </c>
      <c r="B1071">
        <v>3</v>
      </c>
      <c r="C1071" t="s">
        <v>561</v>
      </c>
      <c r="D1071" s="2">
        <v>45880</v>
      </c>
      <c r="E1071">
        <v>67</v>
      </c>
      <c r="F1071" s="2">
        <v>45947</v>
      </c>
      <c r="G1071" s="6">
        <v>1</v>
      </c>
      <c r="H1071" s="6">
        <v>1</v>
      </c>
    </row>
    <row r="1072" spans="1:8" ht="14.4" hidden="1">
      <c r="A1072" t="s">
        <v>218</v>
      </c>
      <c r="B1072" t="s">
        <v>562</v>
      </c>
      <c r="C1072" t="s">
        <v>563</v>
      </c>
      <c r="D1072" s="2">
        <v>45904</v>
      </c>
      <c r="E1072">
        <v>0</v>
      </c>
      <c r="F1072" s="2">
        <v>45904</v>
      </c>
      <c r="G1072" s="6">
        <v>1</v>
      </c>
      <c r="H1072" s="6">
        <v>1</v>
      </c>
    </row>
    <row r="1073" spans="1:8" ht="14.4" hidden="1">
      <c r="A1073" t="s">
        <v>218</v>
      </c>
      <c r="B1073" t="s">
        <v>564</v>
      </c>
      <c r="C1073" t="s">
        <v>565</v>
      </c>
      <c r="D1073" s="2">
        <v>45931</v>
      </c>
      <c r="E1073">
        <v>2</v>
      </c>
      <c r="F1073" s="2">
        <v>45933</v>
      </c>
      <c r="G1073" s="6">
        <v>1</v>
      </c>
      <c r="H1073" s="6">
        <v>1</v>
      </c>
    </row>
    <row r="1074" spans="1:8" ht="14.4" hidden="1">
      <c r="A1074" t="s">
        <v>218</v>
      </c>
      <c r="B1074" t="s">
        <v>566</v>
      </c>
      <c r="C1074" t="s">
        <v>567</v>
      </c>
      <c r="D1074" s="2">
        <v>45880</v>
      </c>
      <c r="E1074">
        <v>25</v>
      </c>
      <c r="F1074" s="2">
        <v>45915</v>
      </c>
      <c r="G1074" s="6">
        <v>1</v>
      </c>
      <c r="H1074" s="6">
        <v>1</v>
      </c>
    </row>
    <row r="1075" spans="1:8" ht="14.4" hidden="1">
      <c r="A1075" t="s">
        <v>218</v>
      </c>
      <c r="B1075" t="s">
        <v>568</v>
      </c>
      <c r="C1075" t="s">
        <v>569</v>
      </c>
      <c r="D1075" s="2">
        <v>45933</v>
      </c>
      <c r="E1075">
        <v>10</v>
      </c>
      <c r="F1075" s="2">
        <v>45947</v>
      </c>
      <c r="G1075" s="6">
        <v>1</v>
      </c>
      <c r="H1075" s="6">
        <v>1</v>
      </c>
    </row>
    <row r="1076" spans="1:8" ht="14.4" hidden="1">
      <c r="A1076" t="s">
        <v>218</v>
      </c>
      <c r="B1076" t="s">
        <v>570</v>
      </c>
      <c r="C1076" t="s">
        <v>571</v>
      </c>
      <c r="D1076" s="2">
        <v>45933</v>
      </c>
      <c r="E1076">
        <v>3</v>
      </c>
      <c r="F1076" s="2">
        <v>45938</v>
      </c>
      <c r="G1076" s="6">
        <v>1</v>
      </c>
      <c r="H1076" s="6">
        <v>1</v>
      </c>
    </row>
    <row r="1077" spans="1:8" ht="14.4" hidden="1">
      <c r="A1077" t="s">
        <v>218</v>
      </c>
      <c r="B1077">
        <v>4</v>
      </c>
      <c r="C1077" t="s">
        <v>572</v>
      </c>
      <c r="D1077" s="2">
        <v>45904</v>
      </c>
      <c r="E1077">
        <v>18</v>
      </c>
      <c r="F1077" s="2">
        <v>45922</v>
      </c>
      <c r="G1077" s="6">
        <v>1</v>
      </c>
      <c r="H1077" s="6">
        <v>1</v>
      </c>
    </row>
    <row r="1078" spans="1:8" ht="14.4" hidden="1">
      <c r="A1078" t="s">
        <v>218</v>
      </c>
      <c r="B1078" t="s">
        <v>573</v>
      </c>
      <c r="C1078" t="s">
        <v>613</v>
      </c>
      <c r="E1078"/>
      <c r="G1078" s="6">
        <v>1</v>
      </c>
      <c r="H1078" s="6">
        <v>1</v>
      </c>
    </row>
    <row r="1079" spans="1:8" ht="14.4" hidden="1">
      <c r="A1079" t="s">
        <v>218</v>
      </c>
      <c r="B1079" t="s">
        <v>573</v>
      </c>
      <c r="C1079" t="s">
        <v>574</v>
      </c>
      <c r="D1079" s="2">
        <v>45904</v>
      </c>
      <c r="E1079">
        <v>0</v>
      </c>
      <c r="F1079" s="2">
        <v>45904</v>
      </c>
      <c r="G1079" s="6">
        <v>1</v>
      </c>
      <c r="H1079" s="6">
        <v>1</v>
      </c>
    </row>
    <row r="1080" spans="1:8" ht="14.4" hidden="1">
      <c r="A1080" t="s">
        <v>218</v>
      </c>
      <c r="B1080" t="s">
        <v>575</v>
      </c>
      <c r="C1080" t="s">
        <v>576</v>
      </c>
      <c r="D1080" s="2">
        <v>45905</v>
      </c>
      <c r="E1080">
        <v>9</v>
      </c>
      <c r="F1080" s="2">
        <v>45918</v>
      </c>
      <c r="G1080" s="6">
        <v>1</v>
      </c>
      <c r="H1080" s="6">
        <v>1</v>
      </c>
    </row>
    <row r="1081" spans="1:8" ht="14.4" hidden="1">
      <c r="A1081" t="s">
        <v>218</v>
      </c>
      <c r="B1081" t="s">
        <v>577</v>
      </c>
      <c r="C1081" t="s">
        <v>578</v>
      </c>
      <c r="D1081" s="2">
        <v>45915</v>
      </c>
      <c r="E1081">
        <v>1</v>
      </c>
      <c r="F1081" s="2">
        <v>45916</v>
      </c>
      <c r="G1081" s="6">
        <v>1</v>
      </c>
      <c r="H1081" s="6">
        <v>1</v>
      </c>
    </row>
    <row r="1082" spans="1:8" ht="14.4" hidden="1">
      <c r="A1082" t="s">
        <v>218</v>
      </c>
      <c r="B1082" t="s">
        <v>577</v>
      </c>
      <c r="C1082" t="s">
        <v>580</v>
      </c>
      <c r="D1082" s="2">
        <v>45917</v>
      </c>
      <c r="E1082">
        <v>3</v>
      </c>
      <c r="F1082" s="2">
        <v>45922</v>
      </c>
      <c r="G1082" s="6">
        <v>1</v>
      </c>
      <c r="H1082" s="6">
        <v>1</v>
      </c>
    </row>
    <row r="1083" spans="1:8" ht="14.4" hidden="1">
      <c r="A1083" t="s">
        <v>218</v>
      </c>
      <c r="B1083">
        <v>5</v>
      </c>
      <c r="C1083" t="s">
        <v>581</v>
      </c>
      <c r="D1083" s="2">
        <v>45904</v>
      </c>
      <c r="E1083">
        <v>14</v>
      </c>
      <c r="F1083" s="2">
        <v>45918</v>
      </c>
      <c r="G1083" s="6">
        <v>1</v>
      </c>
      <c r="H1083" s="6">
        <v>1</v>
      </c>
    </row>
    <row r="1084" spans="1:8" ht="14.4" hidden="1">
      <c r="A1084" t="s">
        <v>218</v>
      </c>
      <c r="B1084" t="s">
        <v>582</v>
      </c>
      <c r="C1084" t="s">
        <v>583</v>
      </c>
      <c r="D1084" s="2">
        <v>45904</v>
      </c>
      <c r="E1084">
        <v>0</v>
      </c>
      <c r="F1084" s="2">
        <v>45904</v>
      </c>
      <c r="G1084" s="6">
        <v>1</v>
      </c>
      <c r="H1084" s="6">
        <v>1</v>
      </c>
    </row>
    <row r="1085" spans="1:8" ht="14.4" hidden="1">
      <c r="A1085" t="s">
        <v>218</v>
      </c>
      <c r="B1085" t="s">
        <v>584</v>
      </c>
      <c r="C1085" t="s">
        <v>585</v>
      </c>
      <c r="D1085" s="2">
        <v>45906</v>
      </c>
      <c r="E1085">
        <v>9</v>
      </c>
      <c r="F1085" s="2">
        <v>45918</v>
      </c>
      <c r="G1085" s="6">
        <v>1</v>
      </c>
      <c r="H1085" s="6">
        <v>1</v>
      </c>
    </row>
    <row r="1086" spans="1:8" ht="14.4" hidden="1">
      <c r="A1086" t="s">
        <v>218</v>
      </c>
      <c r="B1086">
        <v>6</v>
      </c>
      <c r="C1086" t="s">
        <v>240</v>
      </c>
      <c r="D1086" s="2">
        <v>45947</v>
      </c>
      <c r="E1086">
        <v>4</v>
      </c>
      <c r="F1086" s="2">
        <v>45951</v>
      </c>
      <c r="G1086" s="6">
        <v>1</v>
      </c>
      <c r="H1086" s="6">
        <v>1</v>
      </c>
    </row>
    <row r="1087" spans="1:8" ht="14.4" hidden="1">
      <c r="A1087" t="s">
        <v>218</v>
      </c>
      <c r="B1087" t="s">
        <v>586</v>
      </c>
      <c r="C1087" t="s">
        <v>240</v>
      </c>
      <c r="D1087" s="2">
        <v>45947</v>
      </c>
      <c r="E1087">
        <v>1</v>
      </c>
      <c r="F1087" s="2">
        <v>45950</v>
      </c>
      <c r="G1087" s="6">
        <v>1</v>
      </c>
      <c r="H1087" s="6">
        <v>1</v>
      </c>
    </row>
    <row r="1088" spans="1:8" ht="14.4" hidden="1">
      <c r="A1088" t="s">
        <v>218</v>
      </c>
      <c r="B1088" t="s">
        <v>587</v>
      </c>
      <c r="C1088" t="s">
        <v>169</v>
      </c>
      <c r="D1088" s="2">
        <v>45950</v>
      </c>
      <c r="E1088">
        <v>1</v>
      </c>
      <c r="F1088" s="2">
        <v>45951</v>
      </c>
      <c r="G1088" s="6">
        <v>1</v>
      </c>
      <c r="H1088" s="6">
        <v>1</v>
      </c>
    </row>
    <row r="1089" spans="1:8" ht="14.4" hidden="1">
      <c r="A1089" t="s">
        <v>218</v>
      </c>
      <c r="B1089">
        <v>7</v>
      </c>
      <c r="C1089" t="s">
        <v>588</v>
      </c>
      <c r="D1089" s="2">
        <v>45951</v>
      </c>
      <c r="E1089">
        <v>1</v>
      </c>
      <c r="F1089" s="2">
        <v>45952</v>
      </c>
      <c r="G1089" s="6">
        <v>1</v>
      </c>
      <c r="H1089" s="6">
        <v>1</v>
      </c>
    </row>
    <row r="1090" spans="1:8" ht="14.4" hidden="1">
      <c r="A1090" t="s">
        <v>218</v>
      </c>
      <c r="B1090">
        <v>7.1</v>
      </c>
      <c r="C1090" t="s">
        <v>589</v>
      </c>
      <c r="D1090" s="2">
        <v>45951</v>
      </c>
      <c r="E1090">
        <v>1</v>
      </c>
      <c r="F1090" s="2">
        <v>45952</v>
      </c>
      <c r="G1090" s="6">
        <v>1</v>
      </c>
      <c r="H1090" s="6">
        <v>1</v>
      </c>
    </row>
    <row r="1091" spans="1:8" ht="14.4" hidden="1">
      <c r="A1091" t="s">
        <v>218</v>
      </c>
      <c r="B1091">
        <v>8</v>
      </c>
      <c r="C1091" t="s">
        <v>590</v>
      </c>
      <c r="D1091" s="2">
        <v>45971</v>
      </c>
      <c r="E1091">
        <v>24</v>
      </c>
      <c r="F1091" s="2">
        <v>45995</v>
      </c>
      <c r="G1091" s="6">
        <v>0.8</v>
      </c>
      <c r="H1091" s="6">
        <v>1</v>
      </c>
    </row>
    <row r="1092" spans="1:8" ht="14.4" hidden="1">
      <c r="A1092" t="s">
        <v>218</v>
      </c>
      <c r="B1092">
        <v>8.1</v>
      </c>
      <c r="C1092" t="s">
        <v>591</v>
      </c>
      <c r="D1092" s="2">
        <v>45978</v>
      </c>
      <c r="E1092">
        <v>2</v>
      </c>
      <c r="F1092" s="2">
        <v>45980</v>
      </c>
      <c r="G1092" s="6">
        <v>1</v>
      </c>
      <c r="H1092" s="6">
        <v>1</v>
      </c>
    </row>
    <row r="1093" spans="1:8" ht="14.4" hidden="1">
      <c r="A1093" t="s">
        <v>218</v>
      </c>
      <c r="B1093">
        <v>8.1999999999999993</v>
      </c>
      <c r="C1093" t="s">
        <v>592</v>
      </c>
      <c r="D1093" s="2">
        <v>45971</v>
      </c>
      <c r="E1093">
        <v>2</v>
      </c>
      <c r="F1093" s="2">
        <v>45973</v>
      </c>
      <c r="G1093" s="6">
        <v>1</v>
      </c>
      <c r="H1093" s="6">
        <v>1</v>
      </c>
    </row>
    <row r="1094" spans="1:8" ht="14.4" hidden="1">
      <c r="A1094" t="s">
        <v>218</v>
      </c>
      <c r="B1094">
        <v>8.3000000000000007</v>
      </c>
      <c r="C1094" t="s">
        <v>593</v>
      </c>
      <c r="D1094" s="2">
        <v>45973</v>
      </c>
      <c r="E1094">
        <v>5</v>
      </c>
      <c r="F1094" s="2">
        <v>45980</v>
      </c>
      <c r="G1094" s="6">
        <v>1</v>
      </c>
      <c r="H1094" s="6">
        <v>1</v>
      </c>
    </row>
    <row r="1095" spans="1:8" ht="14.4" hidden="1">
      <c r="A1095" t="s">
        <v>218</v>
      </c>
      <c r="B1095">
        <v>8.4</v>
      </c>
      <c r="C1095" t="s">
        <v>594</v>
      </c>
      <c r="D1095" s="2">
        <v>45980</v>
      </c>
      <c r="E1095">
        <v>10</v>
      </c>
      <c r="F1095" s="2">
        <v>45994</v>
      </c>
      <c r="G1095" s="6">
        <v>1</v>
      </c>
      <c r="H1095" s="6">
        <v>1</v>
      </c>
    </row>
    <row r="1096" spans="1:8" ht="14.4" hidden="1">
      <c r="A1096" t="s">
        <v>218</v>
      </c>
      <c r="B1096">
        <v>8.5</v>
      </c>
      <c r="C1096" t="s">
        <v>595</v>
      </c>
      <c r="D1096" s="2">
        <v>45994</v>
      </c>
      <c r="E1096">
        <v>1</v>
      </c>
      <c r="F1096" s="2">
        <v>45995</v>
      </c>
      <c r="G1096" s="6">
        <v>1</v>
      </c>
      <c r="H1096" s="6">
        <v>1</v>
      </c>
    </row>
    <row r="1097" spans="1:8" ht="14.4" hidden="1">
      <c r="A1097" t="s">
        <v>218</v>
      </c>
      <c r="B1097">
        <v>8.6</v>
      </c>
      <c r="C1097" t="s">
        <v>596</v>
      </c>
      <c r="D1097" s="2">
        <v>45985</v>
      </c>
      <c r="E1097">
        <v>5</v>
      </c>
      <c r="F1097" s="2">
        <v>45992</v>
      </c>
      <c r="G1097" s="6">
        <v>0</v>
      </c>
      <c r="H1097" s="6">
        <v>1</v>
      </c>
    </row>
    <row r="1098" spans="1:8" ht="14.4" hidden="1">
      <c r="A1098" t="s">
        <v>525</v>
      </c>
      <c r="B1098" t="s">
        <v>548</v>
      </c>
      <c r="C1098" t="s">
        <v>936</v>
      </c>
      <c r="D1098" s="2" t="s">
        <v>113</v>
      </c>
      <c r="E1098"/>
      <c r="F1098" s="2">
        <v>45695</v>
      </c>
      <c r="G1098" s="6">
        <v>46134</v>
      </c>
      <c r="H1098" s="6" t="s">
        <v>272</v>
      </c>
    </row>
    <row r="1099" spans="1:8" ht="14.4" hidden="1">
      <c r="A1099" t="s">
        <v>525</v>
      </c>
      <c r="B1099" t="s">
        <v>550</v>
      </c>
      <c r="C1099" t="s">
        <v>937</v>
      </c>
      <c r="D1099" s="2" t="s">
        <v>113</v>
      </c>
      <c r="E1099"/>
      <c r="F1099" s="2">
        <v>45695</v>
      </c>
      <c r="G1099" s="6">
        <v>46134</v>
      </c>
      <c r="H1099" s="6" t="s">
        <v>272</v>
      </c>
    </row>
    <row r="1100" spans="1:8" ht="14.4" hidden="1">
      <c r="A1100" t="s">
        <v>525</v>
      </c>
      <c r="B1100">
        <v>2</v>
      </c>
      <c r="C1100" t="s">
        <v>938</v>
      </c>
      <c r="D1100" s="2" t="s">
        <v>113</v>
      </c>
      <c r="E1100"/>
      <c r="F1100" s="2">
        <v>45695</v>
      </c>
      <c r="G1100" s="6">
        <v>46050</v>
      </c>
      <c r="H1100" s="6" t="s">
        <v>272</v>
      </c>
    </row>
    <row r="1101" spans="1:8" ht="14.4" hidden="1">
      <c r="A1101" t="s">
        <v>525</v>
      </c>
      <c r="B1101">
        <v>3</v>
      </c>
      <c r="C1101" t="s">
        <v>939</v>
      </c>
      <c r="D1101" s="2" t="s">
        <v>113</v>
      </c>
      <c r="E1101"/>
      <c r="F1101" s="2">
        <v>46057</v>
      </c>
      <c r="G1101" s="6">
        <v>46062</v>
      </c>
      <c r="H1101" s="6" t="s">
        <v>272</v>
      </c>
    </row>
    <row r="1102" spans="1:8" ht="14.4" hidden="1">
      <c r="A1102" t="s">
        <v>525</v>
      </c>
      <c r="B1102">
        <v>5</v>
      </c>
      <c r="C1102" t="s">
        <v>940</v>
      </c>
      <c r="D1102" s="2" t="s">
        <v>113</v>
      </c>
      <c r="E1102"/>
      <c r="F1102" s="2">
        <v>45695</v>
      </c>
      <c r="G1102" s="6">
        <v>45765</v>
      </c>
      <c r="H1102" s="6" t="s">
        <v>941</v>
      </c>
    </row>
    <row r="1103" spans="1:8" ht="14.4" hidden="1">
      <c r="A1103" t="s">
        <v>525</v>
      </c>
      <c r="B1103">
        <v>6</v>
      </c>
      <c r="C1103" t="s">
        <v>942</v>
      </c>
      <c r="D1103" s="2" t="s">
        <v>113</v>
      </c>
      <c r="E1103"/>
      <c r="F1103" s="2">
        <v>45717</v>
      </c>
      <c r="G1103" s="6">
        <v>45759</v>
      </c>
      <c r="H1103" s="6" t="s">
        <v>941</v>
      </c>
    </row>
    <row r="1104" spans="1:8" ht="14.4" hidden="1">
      <c r="A1104" t="s">
        <v>525</v>
      </c>
      <c r="B1104">
        <v>7</v>
      </c>
      <c r="C1104" t="s">
        <v>943</v>
      </c>
      <c r="D1104" s="2" t="s">
        <v>113</v>
      </c>
      <c r="E1104"/>
      <c r="F1104" s="2">
        <v>45695</v>
      </c>
      <c r="G1104" s="6">
        <v>46069</v>
      </c>
      <c r="H1104" s="6" t="s">
        <v>941</v>
      </c>
    </row>
    <row r="1105" spans="1:8" ht="14.4" hidden="1">
      <c r="A1105" t="s">
        <v>525</v>
      </c>
      <c r="B1105">
        <v>8</v>
      </c>
      <c r="C1105" t="s">
        <v>831</v>
      </c>
      <c r="D1105" s="2" t="s">
        <v>113</v>
      </c>
      <c r="E1105"/>
      <c r="F1105" s="2">
        <v>45838</v>
      </c>
      <c r="G1105" s="6">
        <v>46202</v>
      </c>
      <c r="H1105" s="6" t="s">
        <v>317</v>
      </c>
    </row>
    <row r="1106" spans="1:8" ht="14.4" hidden="1">
      <c r="A1106" t="s">
        <v>525</v>
      </c>
      <c r="B1106">
        <v>10</v>
      </c>
      <c r="C1106" t="s">
        <v>944</v>
      </c>
      <c r="D1106" s="2" t="s">
        <v>113</v>
      </c>
      <c r="E1106"/>
      <c r="F1106" s="2">
        <v>46134</v>
      </c>
      <c r="G1106" s="6">
        <v>46279</v>
      </c>
      <c r="H1106" s="6" t="s">
        <v>945</v>
      </c>
    </row>
    <row r="1107" spans="1:8" ht="14.4" hidden="1">
      <c r="A1107" t="s">
        <v>525</v>
      </c>
      <c r="B1107">
        <v>11</v>
      </c>
      <c r="C1107" t="s">
        <v>946</v>
      </c>
      <c r="D1107" s="2" t="s">
        <v>113</v>
      </c>
      <c r="E1107"/>
      <c r="F1107" s="2">
        <v>46191</v>
      </c>
      <c r="G1107" s="6">
        <v>46248</v>
      </c>
      <c r="H1107" s="6" t="s">
        <v>945</v>
      </c>
    </row>
    <row r="1108" spans="1:8" ht="14.4" hidden="1">
      <c r="A1108" t="s">
        <v>525</v>
      </c>
      <c r="B1108">
        <v>12</v>
      </c>
      <c r="C1108" t="s">
        <v>947</v>
      </c>
      <c r="D1108" s="2" t="s">
        <v>113</v>
      </c>
      <c r="E1108"/>
      <c r="F1108" s="2">
        <v>46134</v>
      </c>
      <c r="G1108" s="6">
        <v>46258</v>
      </c>
      <c r="H1108" s="6" t="s">
        <v>945</v>
      </c>
    </row>
    <row r="1109" spans="1:8" ht="14.4" hidden="1">
      <c r="A1109" t="s">
        <v>525</v>
      </c>
      <c r="B1109">
        <v>13</v>
      </c>
      <c r="C1109" t="s">
        <v>948</v>
      </c>
      <c r="D1109" s="2" t="s">
        <v>113</v>
      </c>
      <c r="E1109"/>
      <c r="F1109" s="2">
        <v>46140</v>
      </c>
      <c r="G1109" s="6">
        <v>46224</v>
      </c>
      <c r="H1109" s="6" t="s">
        <v>945</v>
      </c>
    </row>
    <row r="1110" spans="1:8" ht="14.4" hidden="1">
      <c r="A1110" t="s">
        <v>525</v>
      </c>
      <c r="B1110">
        <v>14</v>
      </c>
      <c r="C1110" t="s">
        <v>949</v>
      </c>
      <c r="D1110" s="2" t="s">
        <v>113</v>
      </c>
      <c r="E1110"/>
      <c r="F1110" s="2">
        <v>46164</v>
      </c>
      <c r="G1110" s="6">
        <v>46265</v>
      </c>
      <c r="H1110" s="6" t="s">
        <v>950</v>
      </c>
    </row>
    <row r="1111" spans="1:8" ht="14.4" hidden="1">
      <c r="A1111" t="s">
        <v>525</v>
      </c>
      <c r="B1111">
        <v>15</v>
      </c>
      <c r="C1111" t="s">
        <v>951</v>
      </c>
      <c r="D1111" s="2" t="s">
        <v>113</v>
      </c>
      <c r="E1111"/>
      <c r="F1111" s="2">
        <v>46279</v>
      </c>
      <c r="G1111" s="6">
        <v>46301</v>
      </c>
      <c r="H1111" s="6" t="s">
        <v>941</v>
      </c>
    </row>
    <row r="1112" spans="1:8" ht="14.4" hidden="1">
      <c r="A1112" t="s">
        <v>525</v>
      </c>
      <c r="B1112">
        <v>16</v>
      </c>
      <c r="C1112" t="s">
        <v>952</v>
      </c>
      <c r="D1112" s="2" t="s">
        <v>113</v>
      </c>
      <c r="E1112"/>
      <c r="F1112" s="2">
        <v>46301</v>
      </c>
      <c r="G1112" s="6">
        <v>46331</v>
      </c>
      <c r="H1112" s="6" t="s">
        <v>272</v>
      </c>
    </row>
    <row r="1113" spans="1:8" ht="14.4" hidden="1">
      <c r="A1113" t="s">
        <v>525</v>
      </c>
      <c r="B1113">
        <v>17</v>
      </c>
      <c r="C1113" t="s">
        <v>953</v>
      </c>
      <c r="D1113" s="2" t="s">
        <v>113</v>
      </c>
      <c r="E1113"/>
      <c r="F1113" s="2">
        <v>46331</v>
      </c>
      <c r="G1113" s="6">
        <v>46696</v>
      </c>
    </row>
    <row r="1114" spans="1:8" ht="14.4" hidden="1">
      <c r="A1114" t="s">
        <v>525</v>
      </c>
      <c r="B1114">
        <v>46065</v>
      </c>
      <c r="E1114"/>
    </row>
    <row r="1115" spans="1:8" ht="14.4" hidden="1">
      <c r="A1115" t="s">
        <v>525</v>
      </c>
      <c r="B1115">
        <v>1</v>
      </c>
      <c r="E1115"/>
    </row>
    <row r="1116" spans="1:8" ht="14.4" hidden="1">
      <c r="A1116" t="s">
        <v>526</v>
      </c>
      <c r="B1116">
        <v>1</v>
      </c>
      <c r="C1116" t="s">
        <v>547</v>
      </c>
      <c r="D1116" s="2">
        <v>45825</v>
      </c>
      <c r="E1116">
        <v>23</v>
      </c>
      <c r="F1116" s="2">
        <v>45848</v>
      </c>
      <c r="G1116" s="6">
        <v>1</v>
      </c>
      <c r="H1116" s="6">
        <v>1</v>
      </c>
    </row>
    <row r="1117" spans="1:8" ht="14.4" hidden="1">
      <c r="A1117" t="s">
        <v>526</v>
      </c>
      <c r="B1117" t="s">
        <v>548</v>
      </c>
      <c r="C1117" t="s">
        <v>549</v>
      </c>
      <c r="D1117" s="2">
        <v>45825</v>
      </c>
      <c r="E1117">
        <v>5</v>
      </c>
      <c r="F1117" s="2">
        <v>45832</v>
      </c>
      <c r="G1117" s="6">
        <v>1</v>
      </c>
      <c r="H1117" s="6">
        <v>1</v>
      </c>
    </row>
    <row r="1118" spans="1:8" ht="14.4" hidden="1">
      <c r="A1118" t="s">
        <v>526</v>
      </c>
      <c r="B1118" t="s">
        <v>550</v>
      </c>
      <c r="C1118" t="s">
        <v>551</v>
      </c>
      <c r="D1118" s="2">
        <v>45838</v>
      </c>
      <c r="E1118">
        <v>1</v>
      </c>
      <c r="F1118" s="2">
        <v>45839</v>
      </c>
      <c r="G1118" s="6">
        <v>1</v>
      </c>
      <c r="H1118" s="6">
        <v>1</v>
      </c>
    </row>
    <row r="1119" spans="1:8" ht="14.4" hidden="1">
      <c r="A1119" t="s">
        <v>526</v>
      </c>
      <c r="B1119" t="s">
        <v>552</v>
      </c>
      <c r="C1119" t="s">
        <v>553</v>
      </c>
      <c r="D1119" s="2">
        <v>45838</v>
      </c>
      <c r="E1119">
        <v>8</v>
      </c>
      <c r="F1119" s="2">
        <v>45848</v>
      </c>
      <c r="G1119" s="6">
        <v>1</v>
      </c>
      <c r="H1119" s="6">
        <v>1</v>
      </c>
    </row>
    <row r="1120" spans="1:8" ht="14.4" hidden="1">
      <c r="A1120" t="s">
        <v>526</v>
      </c>
      <c r="B1120" t="s">
        <v>554</v>
      </c>
      <c r="C1120" t="s">
        <v>555</v>
      </c>
      <c r="D1120" s="2">
        <v>45838</v>
      </c>
      <c r="E1120">
        <v>1</v>
      </c>
      <c r="F1120" s="2">
        <v>45839</v>
      </c>
      <c r="G1120" s="6">
        <v>1</v>
      </c>
      <c r="H1120" s="6">
        <v>1</v>
      </c>
    </row>
    <row r="1121" spans="1:8" ht="14.4" hidden="1">
      <c r="A1121" t="s">
        <v>526</v>
      </c>
      <c r="B1121" t="s">
        <v>556</v>
      </c>
      <c r="C1121" t="s">
        <v>557</v>
      </c>
      <c r="D1121" s="2">
        <v>45838</v>
      </c>
      <c r="E1121">
        <v>1</v>
      </c>
      <c r="F1121" s="2">
        <v>45839</v>
      </c>
      <c r="G1121" s="6">
        <v>1</v>
      </c>
      <c r="H1121" s="6">
        <v>1</v>
      </c>
    </row>
    <row r="1122" spans="1:8" ht="14.4" hidden="1">
      <c r="A1122" t="s">
        <v>526</v>
      </c>
      <c r="B1122">
        <v>2</v>
      </c>
      <c r="C1122" t="s">
        <v>558</v>
      </c>
      <c r="D1122" s="2">
        <v>45852</v>
      </c>
      <c r="E1122">
        <v>1</v>
      </c>
      <c r="F1122" s="2">
        <v>45853</v>
      </c>
      <c r="G1122" s="6">
        <v>1</v>
      </c>
      <c r="H1122" s="6">
        <v>1</v>
      </c>
    </row>
    <row r="1123" spans="1:8" ht="14.4" hidden="1">
      <c r="A1123" t="s">
        <v>526</v>
      </c>
      <c r="B1123" t="s">
        <v>559</v>
      </c>
      <c r="C1123" t="s">
        <v>560</v>
      </c>
      <c r="D1123" s="2">
        <v>45852</v>
      </c>
      <c r="E1123">
        <v>1</v>
      </c>
      <c r="F1123" s="2">
        <v>45853</v>
      </c>
      <c r="G1123" s="6">
        <v>1</v>
      </c>
      <c r="H1123" s="6">
        <v>1</v>
      </c>
    </row>
    <row r="1124" spans="1:8" ht="14.4" hidden="1">
      <c r="A1124" t="s">
        <v>526</v>
      </c>
      <c r="B1124">
        <v>3</v>
      </c>
      <c r="C1124" t="s">
        <v>561</v>
      </c>
      <c r="D1124" s="2">
        <v>45838</v>
      </c>
      <c r="E1124">
        <v>67</v>
      </c>
      <c r="F1124" s="2">
        <v>45905</v>
      </c>
      <c r="G1124" s="6">
        <v>1</v>
      </c>
      <c r="H1124" s="6">
        <v>1</v>
      </c>
    </row>
    <row r="1125" spans="1:8" ht="14.4" hidden="1">
      <c r="A1125" t="s">
        <v>526</v>
      </c>
      <c r="B1125" t="s">
        <v>562</v>
      </c>
      <c r="C1125" t="s">
        <v>563</v>
      </c>
      <c r="D1125" s="2">
        <v>45838</v>
      </c>
      <c r="E1125">
        <v>1</v>
      </c>
      <c r="F1125" s="2">
        <v>45839</v>
      </c>
      <c r="G1125" s="6">
        <v>1</v>
      </c>
      <c r="H1125" s="6">
        <v>1</v>
      </c>
    </row>
    <row r="1126" spans="1:8" ht="14.4" hidden="1">
      <c r="A1126" t="s">
        <v>526</v>
      </c>
      <c r="B1126" t="s">
        <v>564</v>
      </c>
      <c r="C1126" t="s">
        <v>565</v>
      </c>
      <c r="D1126" s="2">
        <v>45867</v>
      </c>
      <c r="E1126">
        <v>0</v>
      </c>
      <c r="F1126" s="2">
        <v>45867</v>
      </c>
      <c r="G1126" s="6">
        <v>1</v>
      </c>
      <c r="H1126" s="6">
        <v>1</v>
      </c>
    </row>
    <row r="1127" spans="1:8" ht="14.4" hidden="1">
      <c r="A1127" t="s">
        <v>526</v>
      </c>
      <c r="B1127" t="s">
        <v>566</v>
      </c>
      <c r="C1127" t="s">
        <v>567</v>
      </c>
      <c r="D1127" s="2">
        <v>45859</v>
      </c>
      <c r="E1127">
        <v>25</v>
      </c>
      <c r="F1127" s="2">
        <v>45894</v>
      </c>
      <c r="G1127" s="6">
        <v>1</v>
      </c>
      <c r="H1127" s="6">
        <v>1</v>
      </c>
    </row>
    <row r="1128" spans="1:8" ht="14.4" hidden="1">
      <c r="A1128" t="s">
        <v>526</v>
      </c>
      <c r="B1128" t="s">
        <v>568</v>
      </c>
      <c r="C1128" t="s">
        <v>569</v>
      </c>
      <c r="D1128" s="2">
        <v>45867</v>
      </c>
      <c r="E1128">
        <v>27</v>
      </c>
      <c r="F1128" s="2">
        <v>45904</v>
      </c>
      <c r="G1128" s="6">
        <v>1</v>
      </c>
      <c r="H1128" s="6">
        <v>1</v>
      </c>
    </row>
    <row r="1129" spans="1:8" ht="14.4" hidden="1">
      <c r="A1129" t="s">
        <v>526</v>
      </c>
      <c r="B1129" t="s">
        <v>570</v>
      </c>
      <c r="C1129" t="s">
        <v>571</v>
      </c>
      <c r="D1129" s="2">
        <v>45904</v>
      </c>
      <c r="E1129">
        <v>1</v>
      </c>
      <c r="F1129" s="2">
        <v>45905</v>
      </c>
      <c r="G1129" s="6">
        <v>1</v>
      </c>
      <c r="H1129" s="6">
        <v>1</v>
      </c>
    </row>
    <row r="1130" spans="1:8" ht="14.4" hidden="1">
      <c r="A1130" t="s">
        <v>526</v>
      </c>
      <c r="B1130">
        <v>4</v>
      </c>
      <c r="C1130" t="s">
        <v>572</v>
      </c>
      <c r="D1130" s="2">
        <v>45838</v>
      </c>
      <c r="E1130">
        <v>73</v>
      </c>
      <c r="F1130" s="2">
        <v>45911</v>
      </c>
      <c r="G1130" s="6">
        <v>1</v>
      </c>
      <c r="H1130" s="6">
        <v>1</v>
      </c>
    </row>
    <row r="1131" spans="1:8" ht="14.4" hidden="1">
      <c r="A1131" t="s">
        <v>526</v>
      </c>
      <c r="B1131" t="s">
        <v>573</v>
      </c>
      <c r="C1131" t="s">
        <v>613</v>
      </c>
      <c r="E1131"/>
      <c r="G1131" s="6">
        <v>0</v>
      </c>
      <c r="H1131" s="6">
        <v>0</v>
      </c>
    </row>
    <row r="1132" spans="1:8" ht="14.4" hidden="1">
      <c r="A1132" t="s">
        <v>526</v>
      </c>
      <c r="B1132" t="s">
        <v>573</v>
      </c>
      <c r="C1132" t="s">
        <v>574</v>
      </c>
      <c r="D1132" s="2">
        <v>45838</v>
      </c>
      <c r="E1132">
        <v>1</v>
      </c>
      <c r="F1132" s="2">
        <v>45839</v>
      </c>
      <c r="G1132" s="6">
        <v>1</v>
      </c>
      <c r="H1132" s="6">
        <v>1</v>
      </c>
    </row>
    <row r="1133" spans="1:8" ht="14.4" hidden="1">
      <c r="A1133" t="s">
        <v>526</v>
      </c>
      <c r="B1133" t="s">
        <v>575</v>
      </c>
      <c r="C1133" t="s">
        <v>576</v>
      </c>
      <c r="D1133" s="2">
        <v>45861</v>
      </c>
      <c r="E1133">
        <v>1</v>
      </c>
      <c r="F1133" s="2">
        <v>45862</v>
      </c>
      <c r="G1133" s="6">
        <v>1</v>
      </c>
      <c r="H1133" s="6">
        <v>1</v>
      </c>
    </row>
    <row r="1134" spans="1:8" ht="14.4" hidden="1">
      <c r="A1134" t="s">
        <v>526</v>
      </c>
      <c r="B1134" t="s">
        <v>577</v>
      </c>
      <c r="C1134" t="s">
        <v>578</v>
      </c>
      <c r="D1134" s="2">
        <v>45862</v>
      </c>
      <c r="E1134">
        <v>1</v>
      </c>
      <c r="F1134" s="2">
        <v>45863</v>
      </c>
      <c r="G1134" s="6">
        <v>1</v>
      </c>
      <c r="H1134" s="6">
        <v>1</v>
      </c>
    </row>
    <row r="1135" spans="1:8" ht="14.4" hidden="1">
      <c r="A1135" t="s">
        <v>526</v>
      </c>
      <c r="B1135" t="s">
        <v>577</v>
      </c>
      <c r="C1135" t="s">
        <v>954</v>
      </c>
      <c r="D1135" s="2">
        <v>45895</v>
      </c>
      <c r="E1135">
        <v>12</v>
      </c>
      <c r="F1135" s="2">
        <v>45911</v>
      </c>
      <c r="G1135" s="6">
        <v>1</v>
      </c>
      <c r="H1135" s="6">
        <v>1</v>
      </c>
    </row>
    <row r="1136" spans="1:8" ht="14.4" hidden="1">
      <c r="A1136" t="s">
        <v>526</v>
      </c>
      <c r="B1136">
        <v>5</v>
      </c>
      <c r="C1136" t="s">
        <v>581</v>
      </c>
      <c r="D1136" s="2">
        <v>45838</v>
      </c>
      <c r="E1136">
        <v>42</v>
      </c>
      <c r="F1136" s="2">
        <v>45880</v>
      </c>
      <c r="G1136" s="6">
        <v>1</v>
      </c>
      <c r="H1136" s="6">
        <v>1</v>
      </c>
    </row>
    <row r="1137" spans="1:8" ht="14.4" hidden="1">
      <c r="A1137" t="s">
        <v>526</v>
      </c>
      <c r="B1137" t="s">
        <v>582</v>
      </c>
      <c r="C1137" t="s">
        <v>583</v>
      </c>
      <c r="D1137" s="2">
        <v>45838</v>
      </c>
      <c r="E1137">
        <v>1</v>
      </c>
      <c r="F1137" s="2">
        <v>45839</v>
      </c>
      <c r="G1137" s="6">
        <v>1</v>
      </c>
      <c r="H1137" s="6">
        <v>1</v>
      </c>
    </row>
    <row r="1138" spans="1:8" ht="14.4" hidden="1">
      <c r="A1138" t="s">
        <v>526</v>
      </c>
      <c r="B1138" t="s">
        <v>584</v>
      </c>
      <c r="C1138" t="s">
        <v>585</v>
      </c>
      <c r="D1138" s="2">
        <v>45870</v>
      </c>
      <c r="E1138">
        <v>6</v>
      </c>
      <c r="F1138" s="2">
        <v>45880</v>
      </c>
      <c r="G1138" s="6">
        <v>1</v>
      </c>
      <c r="H1138" s="6">
        <v>1</v>
      </c>
    </row>
    <row r="1139" spans="1:8" ht="14.4" hidden="1">
      <c r="A1139" t="s">
        <v>526</v>
      </c>
      <c r="B1139">
        <v>6</v>
      </c>
      <c r="C1139" t="s">
        <v>240</v>
      </c>
      <c r="D1139" s="2">
        <v>45912</v>
      </c>
      <c r="E1139">
        <v>4</v>
      </c>
      <c r="F1139" s="2">
        <v>45916</v>
      </c>
      <c r="G1139" s="6">
        <v>1</v>
      </c>
      <c r="H1139" s="6">
        <v>1</v>
      </c>
    </row>
    <row r="1140" spans="1:8" ht="14.4" hidden="1">
      <c r="A1140" t="s">
        <v>526</v>
      </c>
      <c r="B1140" t="s">
        <v>586</v>
      </c>
      <c r="C1140" t="s">
        <v>240</v>
      </c>
      <c r="D1140" s="2">
        <v>45912</v>
      </c>
      <c r="E1140">
        <v>1</v>
      </c>
      <c r="F1140" s="2">
        <v>45915</v>
      </c>
      <c r="G1140" s="6">
        <v>1</v>
      </c>
      <c r="H1140" s="6">
        <v>1</v>
      </c>
    </row>
    <row r="1141" spans="1:8" ht="14.4" hidden="1">
      <c r="A1141" t="s">
        <v>526</v>
      </c>
      <c r="B1141" t="s">
        <v>587</v>
      </c>
      <c r="C1141" t="s">
        <v>169</v>
      </c>
      <c r="D1141" s="2">
        <v>45915</v>
      </c>
      <c r="E1141">
        <v>1</v>
      </c>
      <c r="F1141" s="2">
        <v>45916</v>
      </c>
      <c r="G1141" s="6">
        <v>1</v>
      </c>
      <c r="H1141" s="6">
        <v>1</v>
      </c>
    </row>
    <row r="1142" spans="1:8" ht="14.4" hidden="1">
      <c r="A1142" t="s">
        <v>526</v>
      </c>
      <c r="B1142">
        <v>7</v>
      </c>
      <c r="C1142" t="s">
        <v>588</v>
      </c>
      <c r="D1142" s="2">
        <v>45912</v>
      </c>
      <c r="E1142">
        <v>3</v>
      </c>
      <c r="F1142" s="2">
        <v>45915</v>
      </c>
      <c r="G1142" s="6">
        <v>1</v>
      </c>
      <c r="H1142" s="6">
        <v>1</v>
      </c>
    </row>
    <row r="1143" spans="1:8" ht="14.4" hidden="1">
      <c r="A1143" t="s">
        <v>526</v>
      </c>
      <c r="B1143">
        <v>7.1</v>
      </c>
      <c r="C1143" t="s">
        <v>589</v>
      </c>
      <c r="D1143" s="2">
        <v>45912</v>
      </c>
      <c r="E1143">
        <v>1</v>
      </c>
      <c r="F1143" s="2">
        <v>45915</v>
      </c>
      <c r="G1143" s="6">
        <v>1</v>
      </c>
      <c r="H1143" s="6">
        <v>1</v>
      </c>
    </row>
    <row r="1144" spans="1:8" ht="14.4" hidden="1">
      <c r="A1144" t="s">
        <v>526</v>
      </c>
      <c r="B1144">
        <v>8</v>
      </c>
      <c r="C1144" t="s">
        <v>590</v>
      </c>
      <c r="D1144" s="2">
        <v>45915</v>
      </c>
      <c r="E1144">
        <v>45</v>
      </c>
      <c r="F1144" s="2">
        <v>45960</v>
      </c>
      <c r="G1144" s="6">
        <v>1</v>
      </c>
      <c r="H1144" s="6">
        <v>1</v>
      </c>
    </row>
    <row r="1145" spans="1:8" ht="14.4" hidden="1">
      <c r="A1145" t="s">
        <v>526</v>
      </c>
      <c r="B1145">
        <v>8.1</v>
      </c>
      <c r="C1145" t="s">
        <v>591</v>
      </c>
      <c r="D1145" s="2">
        <v>45915</v>
      </c>
      <c r="E1145">
        <v>1</v>
      </c>
      <c r="F1145" s="2">
        <v>45916</v>
      </c>
      <c r="G1145" s="6">
        <v>1</v>
      </c>
      <c r="H1145" s="6">
        <v>1</v>
      </c>
    </row>
    <row r="1146" spans="1:8" ht="14.4" hidden="1">
      <c r="A1146" t="s">
        <v>526</v>
      </c>
      <c r="B1146">
        <v>8.1999999999999993</v>
      </c>
      <c r="C1146" t="s">
        <v>592</v>
      </c>
      <c r="D1146" s="2">
        <v>45915</v>
      </c>
      <c r="E1146">
        <v>3</v>
      </c>
      <c r="F1146" s="2">
        <v>45918</v>
      </c>
      <c r="G1146" s="6">
        <v>1</v>
      </c>
      <c r="H1146" s="6">
        <v>1</v>
      </c>
    </row>
    <row r="1147" spans="1:8" ht="14.4" hidden="1">
      <c r="A1147" t="s">
        <v>526</v>
      </c>
      <c r="B1147">
        <v>8.3000000000000007</v>
      </c>
      <c r="C1147" t="s">
        <v>593</v>
      </c>
      <c r="D1147" s="2">
        <v>45916</v>
      </c>
      <c r="E1147">
        <v>5</v>
      </c>
      <c r="F1147" s="2">
        <v>45923</v>
      </c>
      <c r="G1147" s="6">
        <v>1</v>
      </c>
      <c r="H1147" s="6">
        <v>1</v>
      </c>
    </row>
    <row r="1148" spans="1:8" ht="14.4" hidden="1">
      <c r="A1148" t="s">
        <v>526</v>
      </c>
      <c r="B1148">
        <v>8.4</v>
      </c>
      <c r="C1148" t="s">
        <v>594</v>
      </c>
      <c r="D1148" s="2">
        <v>45945</v>
      </c>
      <c r="E1148">
        <v>1</v>
      </c>
      <c r="F1148" s="2">
        <v>45946</v>
      </c>
      <c r="G1148" s="6">
        <v>1</v>
      </c>
      <c r="H1148" s="6">
        <v>1</v>
      </c>
    </row>
    <row r="1149" spans="1:8" ht="14.4" hidden="1">
      <c r="A1149" t="s">
        <v>526</v>
      </c>
      <c r="B1149">
        <v>8.5</v>
      </c>
      <c r="C1149" t="s">
        <v>595</v>
      </c>
      <c r="D1149" s="2">
        <v>45953</v>
      </c>
      <c r="E1149">
        <v>1</v>
      </c>
      <c r="F1149" s="2">
        <v>45954</v>
      </c>
      <c r="G1149" s="6">
        <v>1</v>
      </c>
      <c r="H1149" s="6">
        <v>1</v>
      </c>
    </row>
    <row r="1150" spans="1:8" ht="14.4" hidden="1">
      <c r="A1150" t="s">
        <v>526</v>
      </c>
      <c r="B1150">
        <v>8.6</v>
      </c>
      <c r="C1150" t="s">
        <v>596</v>
      </c>
      <c r="D1150" s="2">
        <v>45953</v>
      </c>
      <c r="E1150">
        <v>5</v>
      </c>
      <c r="F1150" s="2">
        <v>45960</v>
      </c>
      <c r="G1150" s="6">
        <v>1</v>
      </c>
      <c r="H1150" s="6">
        <v>1</v>
      </c>
    </row>
    <row r="1151" spans="1:8" ht="14.4" hidden="1">
      <c r="A1151" t="s">
        <v>219</v>
      </c>
      <c r="B1151">
        <v>1</v>
      </c>
      <c r="C1151" t="s">
        <v>547</v>
      </c>
      <c r="D1151" s="2">
        <v>45776</v>
      </c>
      <c r="E1151">
        <v>17</v>
      </c>
      <c r="F1151" s="2">
        <v>45793</v>
      </c>
      <c r="G1151" s="6">
        <v>1</v>
      </c>
      <c r="H1151" s="6">
        <v>1</v>
      </c>
    </row>
    <row r="1152" spans="1:8" ht="14.4" hidden="1">
      <c r="A1152" t="s">
        <v>219</v>
      </c>
      <c r="B1152" t="s">
        <v>548</v>
      </c>
      <c r="C1152" t="s">
        <v>549</v>
      </c>
      <c r="D1152" s="2">
        <v>45790</v>
      </c>
      <c r="E1152">
        <v>1</v>
      </c>
      <c r="F1152" s="2">
        <v>45791</v>
      </c>
      <c r="G1152" s="6">
        <v>1</v>
      </c>
      <c r="H1152" s="6">
        <v>1</v>
      </c>
    </row>
    <row r="1153" spans="1:8" ht="14.4" hidden="1">
      <c r="A1153" t="s">
        <v>219</v>
      </c>
      <c r="B1153" t="s">
        <v>550</v>
      </c>
      <c r="C1153" t="s">
        <v>551</v>
      </c>
      <c r="D1153" s="2">
        <v>45792</v>
      </c>
      <c r="E1153">
        <v>1</v>
      </c>
      <c r="F1153" s="2">
        <v>45793</v>
      </c>
      <c r="G1153" s="6">
        <v>1</v>
      </c>
      <c r="H1153" s="6">
        <v>1</v>
      </c>
    </row>
    <row r="1154" spans="1:8" ht="14.4" hidden="1">
      <c r="A1154" t="s">
        <v>219</v>
      </c>
      <c r="B1154" t="s">
        <v>552</v>
      </c>
      <c r="C1154" t="s">
        <v>553</v>
      </c>
      <c r="D1154" s="2">
        <v>45776</v>
      </c>
      <c r="E1154">
        <v>10</v>
      </c>
      <c r="F1154" s="2">
        <v>45791</v>
      </c>
      <c r="G1154" s="6">
        <v>1</v>
      </c>
      <c r="H1154" s="6">
        <v>1</v>
      </c>
    </row>
    <row r="1155" spans="1:8" ht="14.4" hidden="1">
      <c r="A1155" t="s">
        <v>219</v>
      </c>
      <c r="B1155" t="s">
        <v>554</v>
      </c>
      <c r="C1155" t="s">
        <v>555</v>
      </c>
      <c r="D1155" s="2">
        <v>45791</v>
      </c>
      <c r="E1155">
        <v>1</v>
      </c>
      <c r="F1155" s="2">
        <v>45792</v>
      </c>
      <c r="G1155" s="6">
        <v>1</v>
      </c>
      <c r="H1155" s="6">
        <v>1</v>
      </c>
    </row>
    <row r="1156" spans="1:8" ht="14.4" hidden="1">
      <c r="A1156" t="s">
        <v>219</v>
      </c>
      <c r="B1156" t="s">
        <v>556</v>
      </c>
      <c r="C1156" t="s">
        <v>557</v>
      </c>
      <c r="D1156" s="2">
        <v>45785</v>
      </c>
      <c r="E1156">
        <v>1</v>
      </c>
      <c r="F1156" s="2">
        <v>45786</v>
      </c>
      <c r="G1156" s="6">
        <v>1</v>
      </c>
      <c r="H1156" s="6">
        <v>1</v>
      </c>
    </row>
    <row r="1157" spans="1:8" ht="14.4" hidden="1">
      <c r="A1157" t="s">
        <v>219</v>
      </c>
      <c r="B1157">
        <v>2</v>
      </c>
      <c r="C1157" t="s">
        <v>558</v>
      </c>
      <c r="D1157" s="2">
        <v>45818</v>
      </c>
      <c r="E1157">
        <v>1</v>
      </c>
      <c r="F1157" s="2">
        <v>45819</v>
      </c>
      <c r="G1157" s="6">
        <v>1</v>
      </c>
      <c r="H1157" s="6">
        <v>1</v>
      </c>
    </row>
    <row r="1158" spans="1:8" ht="14.4" hidden="1">
      <c r="A1158" t="s">
        <v>219</v>
      </c>
      <c r="B1158" t="s">
        <v>559</v>
      </c>
      <c r="C1158" t="s">
        <v>560</v>
      </c>
      <c r="D1158" s="2">
        <v>45818</v>
      </c>
      <c r="E1158">
        <v>1</v>
      </c>
      <c r="F1158" s="2">
        <v>45819</v>
      </c>
      <c r="G1158" s="6">
        <v>1</v>
      </c>
      <c r="H1158" s="6">
        <v>1</v>
      </c>
    </row>
    <row r="1159" spans="1:8" ht="14.4" hidden="1">
      <c r="A1159" t="s">
        <v>219</v>
      </c>
      <c r="B1159">
        <v>3</v>
      </c>
      <c r="C1159" t="s">
        <v>561</v>
      </c>
      <c r="D1159" s="2">
        <v>45797</v>
      </c>
      <c r="E1159">
        <v>142</v>
      </c>
      <c r="F1159" s="2">
        <v>45939</v>
      </c>
      <c r="G1159" s="6">
        <v>1</v>
      </c>
      <c r="H1159" s="6">
        <v>1</v>
      </c>
    </row>
    <row r="1160" spans="1:8" ht="14.4" hidden="1">
      <c r="A1160" t="s">
        <v>219</v>
      </c>
      <c r="B1160" t="s">
        <v>562</v>
      </c>
      <c r="C1160" t="s">
        <v>563</v>
      </c>
      <c r="D1160" s="2">
        <v>45797</v>
      </c>
      <c r="E1160">
        <v>1</v>
      </c>
      <c r="F1160" s="2">
        <v>45798</v>
      </c>
      <c r="G1160" s="6">
        <v>1</v>
      </c>
      <c r="H1160" s="6">
        <v>1</v>
      </c>
    </row>
    <row r="1161" spans="1:8" ht="14.4" hidden="1">
      <c r="A1161" t="s">
        <v>219</v>
      </c>
      <c r="B1161" t="s">
        <v>564</v>
      </c>
      <c r="C1161" t="s">
        <v>565</v>
      </c>
      <c r="D1161" s="2">
        <v>45862</v>
      </c>
      <c r="E1161">
        <v>1</v>
      </c>
      <c r="F1161" s="2">
        <v>45863</v>
      </c>
      <c r="G1161" s="6">
        <v>1</v>
      </c>
      <c r="H1161" s="6">
        <v>1</v>
      </c>
    </row>
    <row r="1162" spans="1:8" ht="14.4" hidden="1">
      <c r="A1162" t="s">
        <v>219</v>
      </c>
      <c r="B1162" t="s">
        <v>566</v>
      </c>
      <c r="C1162" t="s">
        <v>567</v>
      </c>
      <c r="D1162" s="2">
        <v>45797</v>
      </c>
      <c r="E1162">
        <v>28</v>
      </c>
      <c r="F1162" s="2">
        <v>45838</v>
      </c>
      <c r="G1162" s="6">
        <v>1</v>
      </c>
      <c r="H1162" s="6">
        <v>1</v>
      </c>
    </row>
    <row r="1163" spans="1:8" ht="14.4" hidden="1">
      <c r="A1163" t="s">
        <v>219</v>
      </c>
      <c r="B1163" t="s">
        <v>568</v>
      </c>
      <c r="C1163" t="s">
        <v>569</v>
      </c>
      <c r="D1163" s="2">
        <v>45862</v>
      </c>
      <c r="E1163">
        <v>10</v>
      </c>
      <c r="F1163" s="2">
        <v>45876</v>
      </c>
      <c r="G1163" s="6">
        <v>1</v>
      </c>
      <c r="H1163" s="6">
        <v>1</v>
      </c>
    </row>
    <row r="1164" spans="1:8" ht="14.4" hidden="1">
      <c r="A1164" t="s">
        <v>219</v>
      </c>
      <c r="B1164" t="s">
        <v>570</v>
      </c>
      <c r="C1164" t="s">
        <v>571</v>
      </c>
      <c r="D1164" s="2">
        <v>45938</v>
      </c>
      <c r="E1164">
        <v>1</v>
      </c>
      <c r="F1164" s="2">
        <v>45939</v>
      </c>
      <c r="G1164" s="6">
        <v>1</v>
      </c>
      <c r="H1164" s="6">
        <v>1</v>
      </c>
    </row>
    <row r="1165" spans="1:8" ht="14.4" hidden="1">
      <c r="A1165" t="s">
        <v>219</v>
      </c>
      <c r="B1165">
        <v>4</v>
      </c>
      <c r="C1165" t="s">
        <v>572</v>
      </c>
      <c r="D1165" s="2">
        <v>45797</v>
      </c>
      <c r="E1165">
        <v>269</v>
      </c>
      <c r="F1165" s="2">
        <v>46066</v>
      </c>
      <c r="G1165" s="6">
        <v>0.90909090909090917</v>
      </c>
      <c r="H1165" s="6">
        <v>0.75050391693269836</v>
      </c>
    </row>
    <row r="1166" spans="1:8" ht="14.4" hidden="1">
      <c r="A1166" t="s">
        <v>219</v>
      </c>
      <c r="B1166" t="s">
        <v>573</v>
      </c>
      <c r="C1166" t="s">
        <v>613</v>
      </c>
      <c r="E1166"/>
      <c r="G1166" s="6">
        <v>0</v>
      </c>
      <c r="H1166" s="6">
        <v>0</v>
      </c>
    </row>
    <row r="1167" spans="1:8" ht="14.4" hidden="1">
      <c r="A1167" t="s">
        <v>219</v>
      </c>
      <c r="B1167" t="s">
        <v>573</v>
      </c>
      <c r="C1167" t="s">
        <v>574</v>
      </c>
      <c r="D1167" s="2">
        <v>45803</v>
      </c>
      <c r="E1167">
        <v>1</v>
      </c>
      <c r="F1167" s="2">
        <v>45804</v>
      </c>
      <c r="G1167" s="6">
        <v>1</v>
      </c>
      <c r="H1167" s="6">
        <v>1</v>
      </c>
    </row>
    <row r="1168" spans="1:8" ht="14.4" hidden="1">
      <c r="A1168" t="s">
        <v>219</v>
      </c>
      <c r="B1168" t="s">
        <v>575</v>
      </c>
      <c r="C1168" t="s">
        <v>576</v>
      </c>
      <c r="D1168" s="2">
        <v>45972</v>
      </c>
      <c r="E1168">
        <v>4</v>
      </c>
      <c r="F1168" s="2">
        <v>45978</v>
      </c>
      <c r="G1168" s="6">
        <v>1</v>
      </c>
      <c r="H1168" s="6">
        <v>1</v>
      </c>
    </row>
    <row r="1169" spans="1:8" ht="14.4" hidden="1">
      <c r="A1169" t="s">
        <v>219</v>
      </c>
      <c r="B1169" t="s">
        <v>577</v>
      </c>
      <c r="C1169" t="s">
        <v>578</v>
      </c>
      <c r="D1169" s="2">
        <v>45797</v>
      </c>
      <c r="E1169">
        <v>1</v>
      </c>
      <c r="F1169" s="2">
        <v>45798</v>
      </c>
      <c r="G1169" s="6">
        <v>1</v>
      </c>
      <c r="H1169" s="6">
        <v>1</v>
      </c>
    </row>
    <row r="1170" spans="1:8" ht="14.4" hidden="1">
      <c r="A1170" t="s">
        <v>219</v>
      </c>
      <c r="B1170" t="s">
        <v>577</v>
      </c>
      <c r="C1170" t="s">
        <v>580</v>
      </c>
      <c r="D1170" s="2">
        <v>45975</v>
      </c>
      <c r="E1170">
        <v>5</v>
      </c>
      <c r="F1170" s="2">
        <v>45982</v>
      </c>
      <c r="G1170" s="6">
        <v>1</v>
      </c>
      <c r="H1170" s="6">
        <v>1</v>
      </c>
    </row>
    <row r="1171" spans="1:8" ht="14.4" hidden="1">
      <c r="A1171" t="s">
        <v>219</v>
      </c>
      <c r="B1171" t="s">
        <v>579</v>
      </c>
      <c r="C1171" t="s">
        <v>955</v>
      </c>
      <c r="D1171" s="2">
        <v>46056</v>
      </c>
      <c r="E1171">
        <v>8</v>
      </c>
      <c r="F1171" s="2">
        <v>46066</v>
      </c>
      <c r="G1171" s="6">
        <v>0.8</v>
      </c>
    </row>
    <row r="1172" spans="1:8" ht="14.4" hidden="1">
      <c r="A1172" t="s">
        <v>219</v>
      </c>
      <c r="B1172">
        <v>5</v>
      </c>
      <c r="C1172" t="s">
        <v>581</v>
      </c>
      <c r="D1172" s="2">
        <v>45818</v>
      </c>
      <c r="E1172">
        <v>181</v>
      </c>
      <c r="F1172" s="2">
        <v>45999</v>
      </c>
      <c r="G1172" s="6">
        <v>1</v>
      </c>
      <c r="H1172" s="6">
        <v>1</v>
      </c>
    </row>
    <row r="1173" spans="1:8" ht="14.4" hidden="1">
      <c r="A1173" t="s">
        <v>219</v>
      </c>
      <c r="B1173" t="s">
        <v>582</v>
      </c>
      <c r="C1173" t="s">
        <v>583</v>
      </c>
      <c r="D1173" s="2">
        <v>45818</v>
      </c>
      <c r="E1173">
        <v>1</v>
      </c>
      <c r="F1173" s="2">
        <v>45819</v>
      </c>
      <c r="G1173" s="6">
        <v>1</v>
      </c>
      <c r="H1173" s="6">
        <v>1</v>
      </c>
    </row>
    <row r="1174" spans="1:8" ht="14.4" hidden="1">
      <c r="A1174" t="s">
        <v>219</v>
      </c>
      <c r="B1174" t="s">
        <v>584</v>
      </c>
      <c r="C1174" t="s">
        <v>956</v>
      </c>
      <c r="D1174" s="2">
        <v>45910</v>
      </c>
      <c r="E1174">
        <v>55</v>
      </c>
      <c r="F1174" s="2">
        <v>45965</v>
      </c>
      <c r="G1174" s="6">
        <v>1</v>
      </c>
      <c r="H1174" s="6">
        <v>1</v>
      </c>
    </row>
    <row r="1175" spans="1:8" ht="14.4" hidden="1">
      <c r="A1175" t="s">
        <v>219</v>
      </c>
      <c r="B1175" t="s">
        <v>647</v>
      </c>
      <c r="C1175" t="s">
        <v>585</v>
      </c>
      <c r="D1175" s="2">
        <v>45978</v>
      </c>
      <c r="E1175">
        <v>15</v>
      </c>
      <c r="F1175" s="2">
        <v>45999</v>
      </c>
      <c r="G1175" s="6">
        <v>1</v>
      </c>
      <c r="H1175" s="6">
        <v>1</v>
      </c>
    </row>
    <row r="1176" spans="1:8" ht="14.4" hidden="1">
      <c r="A1176" t="s">
        <v>219</v>
      </c>
      <c r="B1176">
        <v>6</v>
      </c>
      <c r="C1176" t="s">
        <v>240</v>
      </c>
      <c r="D1176" s="2">
        <v>46066</v>
      </c>
      <c r="E1176">
        <v>5</v>
      </c>
      <c r="F1176" s="2">
        <v>46071</v>
      </c>
      <c r="G1176" s="6">
        <v>0</v>
      </c>
      <c r="H1176" s="6">
        <v>0</v>
      </c>
    </row>
    <row r="1177" spans="1:8" ht="14.4" hidden="1">
      <c r="A1177" t="s">
        <v>219</v>
      </c>
      <c r="B1177" t="s">
        <v>586</v>
      </c>
      <c r="C1177" t="s">
        <v>240</v>
      </c>
      <c r="D1177" s="2">
        <v>46066</v>
      </c>
      <c r="E1177">
        <v>1</v>
      </c>
      <c r="F1177" s="2">
        <v>46069</v>
      </c>
      <c r="G1177" s="6">
        <v>0</v>
      </c>
      <c r="H1177" s="6">
        <v>0</v>
      </c>
    </row>
    <row r="1178" spans="1:8" ht="14.4" hidden="1">
      <c r="A1178" t="s">
        <v>219</v>
      </c>
      <c r="B1178" t="s">
        <v>587</v>
      </c>
      <c r="C1178" t="s">
        <v>169</v>
      </c>
      <c r="D1178" s="2">
        <v>46069</v>
      </c>
      <c r="E1178">
        <v>2</v>
      </c>
      <c r="F1178" s="2">
        <v>46071</v>
      </c>
      <c r="G1178" s="6">
        <v>0</v>
      </c>
      <c r="H1178" s="6">
        <v>0</v>
      </c>
    </row>
    <row r="1179" spans="1:8" ht="14.4" hidden="1">
      <c r="A1179" t="s">
        <v>219</v>
      </c>
      <c r="B1179">
        <v>7</v>
      </c>
      <c r="C1179" t="s">
        <v>588</v>
      </c>
      <c r="D1179" s="2">
        <v>46071</v>
      </c>
      <c r="E1179">
        <v>1</v>
      </c>
      <c r="F1179" s="2">
        <v>46072</v>
      </c>
      <c r="G1179" s="6">
        <v>0</v>
      </c>
      <c r="H1179" s="6">
        <v>0</v>
      </c>
    </row>
    <row r="1180" spans="1:8" ht="14.4" hidden="1">
      <c r="A1180" t="s">
        <v>219</v>
      </c>
      <c r="B1180">
        <v>7.1</v>
      </c>
      <c r="C1180" t="s">
        <v>589</v>
      </c>
      <c r="D1180" s="2">
        <v>46071</v>
      </c>
      <c r="E1180">
        <v>1</v>
      </c>
      <c r="F1180" s="2">
        <v>46072</v>
      </c>
      <c r="G1180" s="6">
        <v>0</v>
      </c>
      <c r="H1180" s="6">
        <v>0</v>
      </c>
    </row>
    <row r="1181" spans="1:8" ht="14.4" hidden="1">
      <c r="A1181" t="s">
        <v>219</v>
      </c>
      <c r="B1181">
        <v>8</v>
      </c>
      <c r="C1181" t="s">
        <v>590</v>
      </c>
      <c r="D1181" s="2">
        <v>46037</v>
      </c>
      <c r="E1181">
        <v>39</v>
      </c>
      <c r="F1181" s="2">
        <v>46076</v>
      </c>
      <c r="G1181" s="6">
        <v>5.5555555555555558E-3</v>
      </c>
      <c r="H1181" s="6">
        <v>0.16069335528702591</v>
      </c>
    </row>
    <row r="1182" spans="1:8" ht="14.4" hidden="1">
      <c r="A1182" t="s">
        <v>219</v>
      </c>
      <c r="B1182">
        <v>8.1</v>
      </c>
      <c r="C1182" t="s">
        <v>591</v>
      </c>
      <c r="D1182" s="2">
        <v>46072</v>
      </c>
      <c r="E1182">
        <v>2</v>
      </c>
      <c r="F1182" s="2">
        <v>46076</v>
      </c>
      <c r="G1182" s="6">
        <v>0</v>
      </c>
      <c r="H1182" s="6">
        <v>0</v>
      </c>
    </row>
    <row r="1183" spans="1:8" ht="14.4" hidden="1">
      <c r="A1183" t="s">
        <v>219</v>
      </c>
      <c r="B1183">
        <v>8.1999999999999993</v>
      </c>
      <c r="C1183" t="s">
        <v>592</v>
      </c>
      <c r="D1183" s="2">
        <v>46037</v>
      </c>
      <c r="E1183">
        <v>20</v>
      </c>
      <c r="F1183" s="2">
        <v>46065</v>
      </c>
      <c r="G1183" s="6">
        <v>0</v>
      </c>
      <c r="H1183" s="6">
        <v>0.96428571428571441</v>
      </c>
    </row>
    <row r="1184" spans="1:8" ht="14.4" hidden="1">
      <c r="A1184" t="s">
        <v>219</v>
      </c>
      <c r="B1184">
        <v>8.3000000000000007</v>
      </c>
      <c r="C1184" t="s">
        <v>593</v>
      </c>
      <c r="D1184" s="2">
        <v>46065</v>
      </c>
      <c r="E1184">
        <v>5</v>
      </c>
      <c r="F1184" s="2">
        <v>46072</v>
      </c>
      <c r="G1184" s="6">
        <v>0</v>
      </c>
      <c r="H1184" s="6">
        <v>0</v>
      </c>
    </row>
    <row r="1185" spans="1:8" ht="14.4" hidden="1">
      <c r="A1185" t="s">
        <v>219</v>
      </c>
      <c r="B1185">
        <v>8.4</v>
      </c>
      <c r="C1185" t="s">
        <v>594</v>
      </c>
      <c r="D1185" s="2">
        <v>46065</v>
      </c>
      <c r="E1185">
        <v>2</v>
      </c>
      <c r="F1185" s="2">
        <v>46069</v>
      </c>
      <c r="G1185" s="6">
        <v>0.1</v>
      </c>
      <c r="H1185" s="6">
        <v>0</v>
      </c>
    </row>
    <row r="1186" spans="1:8" ht="14.4" hidden="1">
      <c r="A1186" t="s">
        <v>219</v>
      </c>
      <c r="B1186">
        <v>8.5</v>
      </c>
      <c r="C1186" t="s">
        <v>595</v>
      </c>
      <c r="D1186" s="2">
        <v>46069</v>
      </c>
      <c r="E1186">
        <v>2</v>
      </c>
      <c r="F1186" s="2">
        <v>46071</v>
      </c>
      <c r="G1186" s="6">
        <v>0</v>
      </c>
      <c r="H1186" s="6">
        <v>0</v>
      </c>
    </row>
    <row r="1187" spans="1:8" ht="14.4" hidden="1">
      <c r="A1187" t="s">
        <v>219</v>
      </c>
      <c r="B1187">
        <v>8.6</v>
      </c>
      <c r="C1187" t="s">
        <v>596</v>
      </c>
      <c r="D1187" s="2">
        <v>46067</v>
      </c>
      <c r="E1187">
        <v>5</v>
      </c>
      <c r="F1187" s="2">
        <v>46073</v>
      </c>
      <c r="G1187" s="6">
        <v>0</v>
      </c>
      <c r="H1187" s="6">
        <v>0</v>
      </c>
    </row>
    <row r="1188" spans="1:8" ht="14.4" hidden="1">
      <c r="A1188" t="s">
        <v>527</v>
      </c>
      <c r="B1188">
        <v>1</v>
      </c>
      <c r="C1188" t="s">
        <v>547</v>
      </c>
      <c r="D1188" s="2">
        <v>46043</v>
      </c>
      <c r="E1188">
        <v>50</v>
      </c>
      <c r="F1188" s="2">
        <v>46093</v>
      </c>
      <c r="G1188" s="6">
        <v>2.6315789473684209E-2</v>
      </c>
      <c r="H1188" s="6">
        <v>2.6315789473684209E-2</v>
      </c>
    </row>
    <row r="1189" spans="1:8" ht="14.4" hidden="1">
      <c r="A1189" t="s">
        <v>527</v>
      </c>
      <c r="B1189" t="s">
        <v>548</v>
      </c>
      <c r="C1189" t="s">
        <v>597</v>
      </c>
      <c r="D1189" s="2">
        <v>46043</v>
      </c>
      <c r="E1189">
        <v>1</v>
      </c>
      <c r="F1189" s="2">
        <v>46043</v>
      </c>
      <c r="G1189" s="6">
        <v>1</v>
      </c>
      <c r="H1189" s="6">
        <v>1</v>
      </c>
    </row>
    <row r="1190" spans="1:8" ht="14.4" hidden="1">
      <c r="A1190" t="s">
        <v>527</v>
      </c>
      <c r="B1190" t="s">
        <v>550</v>
      </c>
      <c r="C1190" t="s">
        <v>598</v>
      </c>
      <c r="D1190" s="2">
        <v>46078</v>
      </c>
      <c r="E1190">
        <v>5</v>
      </c>
      <c r="F1190" s="2">
        <v>46085</v>
      </c>
      <c r="G1190" s="6">
        <v>0</v>
      </c>
      <c r="H1190" s="6">
        <v>0</v>
      </c>
    </row>
    <row r="1191" spans="1:8" ht="14.4" hidden="1">
      <c r="A1191" t="s">
        <v>527</v>
      </c>
      <c r="B1191" t="s">
        <v>552</v>
      </c>
      <c r="C1191" t="s">
        <v>551</v>
      </c>
      <c r="D1191" s="2">
        <v>46085</v>
      </c>
      <c r="E1191">
        <v>1</v>
      </c>
      <c r="F1191" s="2">
        <v>46086</v>
      </c>
      <c r="G1191" s="6">
        <v>0</v>
      </c>
      <c r="H1191" s="6">
        <v>0</v>
      </c>
    </row>
    <row r="1192" spans="1:8" ht="14.4" hidden="1">
      <c r="A1192" t="s">
        <v>527</v>
      </c>
      <c r="B1192" t="s">
        <v>554</v>
      </c>
      <c r="C1192" t="s">
        <v>555</v>
      </c>
      <c r="D1192" s="2">
        <v>46092</v>
      </c>
      <c r="E1192">
        <v>1</v>
      </c>
      <c r="F1192" s="2">
        <v>46093</v>
      </c>
      <c r="G1192" s="6">
        <v>0</v>
      </c>
      <c r="H1192" s="6">
        <v>0</v>
      </c>
    </row>
    <row r="1193" spans="1:8" ht="14.4" hidden="1">
      <c r="A1193" t="s">
        <v>527</v>
      </c>
      <c r="B1193" t="s">
        <v>556</v>
      </c>
      <c r="C1193" t="s">
        <v>557</v>
      </c>
      <c r="D1193" s="2">
        <v>46085</v>
      </c>
      <c r="E1193">
        <v>5</v>
      </c>
      <c r="F1193" s="2">
        <v>46092</v>
      </c>
      <c r="G1193" s="6">
        <v>0</v>
      </c>
      <c r="H1193" s="6">
        <v>0</v>
      </c>
    </row>
    <row r="1194" spans="1:8" ht="14.4" hidden="1">
      <c r="A1194" t="s">
        <v>527</v>
      </c>
      <c r="B1194">
        <v>2</v>
      </c>
      <c r="C1194" t="s">
        <v>558</v>
      </c>
      <c r="D1194" s="2">
        <v>46103</v>
      </c>
      <c r="E1194">
        <v>1</v>
      </c>
      <c r="F1194" s="2">
        <v>46104</v>
      </c>
      <c r="G1194" s="6">
        <v>0</v>
      </c>
      <c r="H1194" s="6">
        <v>0</v>
      </c>
    </row>
    <row r="1195" spans="1:8" ht="14.4" hidden="1">
      <c r="A1195" t="s">
        <v>527</v>
      </c>
      <c r="B1195" t="s">
        <v>559</v>
      </c>
      <c r="C1195" t="s">
        <v>560</v>
      </c>
      <c r="D1195" s="2">
        <v>46103</v>
      </c>
      <c r="E1195">
        <v>1</v>
      </c>
      <c r="F1195" s="2">
        <v>46104</v>
      </c>
      <c r="G1195" s="6">
        <v>0</v>
      </c>
      <c r="H1195" s="6">
        <v>0</v>
      </c>
    </row>
    <row r="1196" spans="1:8" ht="14.4" hidden="1">
      <c r="A1196" t="s">
        <v>527</v>
      </c>
      <c r="B1196">
        <v>3</v>
      </c>
      <c r="C1196" t="s">
        <v>561</v>
      </c>
      <c r="D1196" s="2">
        <v>46071</v>
      </c>
      <c r="E1196">
        <v>63</v>
      </c>
      <c r="F1196" s="2">
        <v>46134</v>
      </c>
      <c r="G1196" s="6">
        <v>0</v>
      </c>
      <c r="H1196" s="6">
        <v>0</v>
      </c>
    </row>
    <row r="1197" spans="1:8" ht="14.4" hidden="1">
      <c r="A1197" t="s">
        <v>527</v>
      </c>
      <c r="B1197" t="s">
        <v>562</v>
      </c>
      <c r="C1197" t="s">
        <v>563</v>
      </c>
      <c r="D1197" s="2">
        <v>46103</v>
      </c>
      <c r="E1197">
        <v>1</v>
      </c>
      <c r="F1197" s="2">
        <v>46104</v>
      </c>
      <c r="G1197" s="6">
        <v>0</v>
      </c>
      <c r="H1197" s="6">
        <v>0</v>
      </c>
    </row>
    <row r="1198" spans="1:8" ht="14.4" hidden="1">
      <c r="A1198" t="s">
        <v>527</v>
      </c>
      <c r="B1198" t="s">
        <v>564</v>
      </c>
      <c r="C1198" t="s">
        <v>565</v>
      </c>
      <c r="D1198" s="2">
        <v>46104</v>
      </c>
      <c r="E1198">
        <v>1</v>
      </c>
      <c r="F1198" s="2">
        <v>46105</v>
      </c>
      <c r="G1198" s="6">
        <v>0</v>
      </c>
      <c r="H1198" s="6">
        <v>0</v>
      </c>
    </row>
    <row r="1199" spans="1:8" ht="14.4" hidden="1">
      <c r="A1199" t="s">
        <v>527</v>
      </c>
      <c r="B1199" t="s">
        <v>566</v>
      </c>
      <c r="C1199" t="s">
        <v>567</v>
      </c>
      <c r="D1199" s="2">
        <v>46071</v>
      </c>
      <c r="E1199">
        <v>30</v>
      </c>
      <c r="F1199" s="2">
        <v>46113</v>
      </c>
      <c r="G1199" s="6">
        <v>0</v>
      </c>
      <c r="H1199" s="6">
        <v>0</v>
      </c>
    </row>
    <row r="1200" spans="1:8" ht="14.4" hidden="1">
      <c r="A1200" t="s">
        <v>527</v>
      </c>
      <c r="B1200" t="s">
        <v>568</v>
      </c>
      <c r="C1200" t="s">
        <v>957</v>
      </c>
      <c r="D1200" s="2">
        <v>46104</v>
      </c>
      <c r="E1200">
        <v>1</v>
      </c>
      <c r="F1200" s="2">
        <v>46104</v>
      </c>
      <c r="G1200" s="6">
        <v>0</v>
      </c>
      <c r="H1200" s="6">
        <v>0</v>
      </c>
    </row>
    <row r="1201" spans="1:8" ht="14.4" hidden="1">
      <c r="A1201" t="s">
        <v>527</v>
      </c>
      <c r="B1201" t="s">
        <v>570</v>
      </c>
      <c r="C1201" t="s">
        <v>958</v>
      </c>
      <c r="D1201" s="2">
        <v>46113</v>
      </c>
      <c r="E1201">
        <v>10</v>
      </c>
      <c r="F1201" s="2">
        <v>46129</v>
      </c>
      <c r="G1201" s="6">
        <v>0</v>
      </c>
      <c r="H1201" s="6">
        <v>0</v>
      </c>
    </row>
    <row r="1202" spans="1:8" ht="14.4" hidden="1">
      <c r="A1202" t="s">
        <v>527</v>
      </c>
      <c r="B1202" t="s">
        <v>619</v>
      </c>
      <c r="C1202" t="s">
        <v>959</v>
      </c>
      <c r="D1202" s="2">
        <v>46129</v>
      </c>
      <c r="E1202">
        <v>2</v>
      </c>
      <c r="F1202" s="2">
        <v>46133</v>
      </c>
      <c r="G1202" s="6">
        <v>0</v>
      </c>
      <c r="H1202" s="6">
        <v>0</v>
      </c>
    </row>
    <row r="1203" spans="1:8" ht="14.4" hidden="1">
      <c r="A1203" t="s">
        <v>527</v>
      </c>
      <c r="B1203" t="s">
        <v>621</v>
      </c>
      <c r="C1203" t="s">
        <v>960</v>
      </c>
      <c r="D1203" s="2">
        <v>46113</v>
      </c>
      <c r="E1203">
        <v>12</v>
      </c>
      <c r="F1203" s="2">
        <v>46133</v>
      </c>
      <c r="G1203" s="6">
        <v>0</v>
      </c>
      <c r="H1203" s="6">
        <v>0</v>
      </c>
    </row>
    <row r="1204" spans="1:8" ht="14.4" hidden="1">
      <c r="A1204" t="s">
        <v>527</v>
      </c>
      <c r="B1204" t="s">
        <v>705</v>
      </c>
      <c r="C1204" t="s">
        <v>961</v>
      </c>
      <c r="D1204" s="2">
        <v>46133</v>
      </c>
      <c r="E1204">
        <v>1</v>
      </c>
      <c r="F1204" s="2">
        <v>46134</v>
      </c>
      <c r="G1204" s="6">
        <v>0</v>
      </c>
      <c r="H1204" s="6">
        <v>0</v>
      </c>
    </row>
    <row r="1205" spans="1:8" ht="14.4" hidden="1">
      <c r="A1205" t="s">
        <v>527</v>
      </c>
      <c r="B1205">
        <v>4</v>
      </c>
      <c r="C1205" t="s">
        <v>572</v>
      </c>
      <c r="D1205" s="2">
        <v>46103</v>
      </c>
      <c r="E1205">
        <v>25</v>
      </c>
      <c r="F1205" s="2">
        <v>46128</v>
      </c>
      <c r="G1205" s="6">
        <v>0</v>
      </c>
      <c r="H1205" s="6">
        <v>0</v>
      </c>
    </row>
    <row r="1206" spans="1:8" ht="14.4" hidden="1">
      <c r="A1206" t="s">
        <v>527</v>
      </c>
      <c r="B1206" t="s">
        <v>573</v>
      </c>
      <c r="C1206" t="s">
        <v>574</v>
      </c>
      <c r="D1206" s="2">
        <v>46103</v>
      </c>
      <c r="E1206">
        <v>1</v>
      </c>
      <c r="F1206" s="2">
        <v>46104</v>
      </c>
      <c r="G1206" s="6">
        <v>0</v>
      </c>
      <c r="H1206" s="6">
        <v>0</v>
      </c>
    </row>
    <row r="1207" spans="1:8" ht="14.4" hidden="1">
      <c r="A1207" t="s">
        <v>527</v>
      </c>
      <c r="B1207" t="s">
        <v>575</v>
      </c>
      <c r="C1207" t="s">
        <v>576</v>
      </c>
      <c r="D1207" s="2">
        <v>46104</v>
      </c>
      <c r="E1207">
        <v>3</v>
      </c>
      <c r="F1207" s="2">
        <v>46107</v>
      </c>
      <c r="G1207" s="6">
        <v>0</v>
      </c>
      <c r="H1207" s="6">
        <v>0</v>
      </c>
    </row>
    <row r="1208" spans="1:8" ht="14.4" hidden="1">
      <c r="A1208" t="s">
        <v>527</v>
      </c>
      <c r="B1208" t="s">
        <v>577</v>
      </c>
      <c r="C1208" t="s">
        <v>578</v>
      </c>
      <c r="D1208" s="2">
        <v>46103</v>
      </c>
      <c r="E1208">
        <v>1</v>
      </c>
      <c r="F1208" s="2">
        <v>46104</v>
      </c>
      <c r="G1208" s="6">
        <v>0</v>
      </c>
      <c r="H1208" s="6">
        <v>0</v>
      </c>
    </row>
    <row r="1209" spans="1:8" ht="14.4" hidden="1">
      <c r="A1209" t="s">
        <v>527</v>
      </c>
      <c r="B1209" t="s">
        <v>579</v>
      </c>
      <c r="C1209" t="s">
        <v>580</v>
      </c>
      <c r="D1209" s="2">
        <v>46119</v>
      </c>
      <c r="E1209">
        <v>7</v>
      </c>
      <c r="F1209" s="2">
        <v>46128</v>
      </c>
      <c r="G1209" s="6">
        <v>0</v>
      </c>
      <c r="H1209" s="6">
        <v>0</v>
      </c>
    </row>
    <row r="1210" spans="1:8" ht="14.4" hidden="1">
      <c r="A1210" t="s">
        <v>527</v>
      </c>
      <c r="B1210">
        <v>5</v>
      </c>
      <c r="C1210" t="s">
        <v>581</v>
      </c>
      <c r="D1210" s="2">
        <v>46103</v>
      </c>
      <c r="E1210">
        <v>19</v>
      </c>
      <c r="F1210" s="2">
        <v>46122</v>
      </c>
      <c r="G1210" s="6">
        <v>0</v>
      </c>
      <c r="H1210" s="6">
        <v>0</v>
      </c>
    </row>
    <row r="1211" spans="1:8" ht="14.4" hidden="1">
      <c r="A1211" t="s">
        <v>527</v>
      </c>
      <c r="B1211" t="s">
        <v>582</v>
      </c>
      <c r="C1211" t="s">
        <v>583</v>
      </c>
      <c r="D1211" s="2">
        <v>46103</v>
      </c>
      <c r="E1211">
        <v>1</v>
      </c>
      <c r="F1211" s="2">
        <v>46104</v>
      </c>
      <c r="G1211" s="6">
        <v>0</v>
      </c>
      <c r="H1211" s="6">
        <v>0</v>
      </c>
    </row>
    <row r="1212" spans="1:8" ht="14.4" hidden="1">
      <c r="A1212" t="s">
        <v>527</v>
      </c>
      <c r="B1212" t="s">
        <v>584</v>
      </c>
      <c r="C1212" t="s">
        <v>585</v>
      </c>
      <c r="D1212" s="2">
        <v>46107</v>
      </c>
      <c r="E1212">
        <v>9</v>
      </c>
      <c r="F1212" s="2">
        <v>46122</v>
      </c>
      <c r="G1212" s="6">
        <v>0</v>
      </c>
      <c r="H1212" s="6">
        <v>0</v>
      </c>
    </row>
    <row r="1213" spans="1:8" ht="14.4" hidden="1">
      <c r="A1213" t="s">
        <v>527</v>
      </c>
      <c r="B1213">
        <v>6</v>
      </c>
      <c r="C1213" t="s">
        <v>240</v>
      </c>
      <c r="D1213" s="2">
        <v>46134</v>
      </c>
      <c r="E1213">
        <v>19</v>
      </c>
      <c r="F1213" s="2">
        <v>46153</v>
      </c>
      <c r="G1213" s="6">
        <v>0</v>
      </c>
      <c r="H1213" s="6">
        <v>0</v>
      </c>
    </row>
    <row r="1214" spans="1:8" ht="14.4" hidden="1">
      <c r="A1214" t="s">
        <v>527</v>
      </c>
      <c r="B1214" t="s">
        <v>586</v>
      </c>
      <c r="C1214" t="s">
        <v>962</v>
      </c>
      <c r="D1214" s="2">
        <v>46134</v>
      </c>
      <c r="E1214">
        <v>1</v>
      </c>
      <c r="F1214" s="2">
        <v>46135</v>
      </c>
      <c r="G1214" s="6">
        <v>0</v>
      </c>
      <c r="H1214" s="6">
        <v>0</v>
      </c>
    </row>
    <row r="1215" spans="1:8" ht="14.4" hidden="1">
      <c r="A1215" t="s">
        <v>527</v>
      </c>
      <c r="B1215" t="s">
        <v>587</v>
      </c>
      <c r="C1215" t="s">
        <v>963</v>
      </c>
      <c r="D1215" s="2">
        <v>46142</v>
      </c>
      <c r="E1215">
        <v>1</v>
      </c>
      <c r="F1215" s="2">
        <v>46146</v>
      </c>
      <c r="G1215" s="6">
        <v>0</v>
      </c>
      <c r="H1215" s="6">
        <v>0</v>
      </c>
    </row>
    <row r="1216" spans="1:8" ht="14.4" hidden="1">
      <c r="A1216" t="s">
        <v>527</v>
      </c>
      <c r="B1216" t="s">
        <v>599</v>
      </c>
      <c r="C1216" t="s">
        <v>593</v>
      </c>
      <c r="D1216" s="2">
        <v>46146</v>
      </c>
      <c r="E1216">
        <v>5</v>
      </c>
      <c r="F1216" s="2">
        <v>46153</v>
      </c>
      <c r="G1216" s="6">
        <v>0</v>
      </c>
      <c r="H1216" s="6">
        <v>0</v>
      </c>
    </row>
    <row r="1217" spans="1:8" ht="14.4" hidden="1">
      <c r="A1217" t="s">
        <v>527</v>
      </c>
      <c r="B1217">
        <v>7</v>
      </c>
      <c r="C1217" t="s">
        <v>588</v>
      </c>
      <c r="D1217" s="2">
        <v>46146</v>
      </c>
      <c r="E1217">
        <v>8</v>
      </c>
      <c r="F1217" s="2">
        <v>46154</v>
      </c>
      <c r="G1217" s="6">
        <v>0</v>
      </c>
      <c r="H1217" s="6">
        <v>0</v>
      </c>
    </row>
    <row r="1218" spans="1:8" ht="14.4" hidden="1">
      <c r="A1218" t="s">
        <v>527</v>
      </c>
      <c r="B1218" t="s">
        <v>600</v>
      </c>
      <c r="C1218" t="s">
        <v>589</v>
      </c>
      <c r="D1218" s="2">
        <v>46146</v>
      </c>
      <c r="E1218">
        <v>3</v>
      </c>
      <c r="F1218" s="2">
        <v>46149</v>
      </c>
      <c r="G1218" s="6">
        <v>0</v>
      </c>
      <c r="H1218" s="6">
        <v>0</v>
      </c>
    </row>
    <row r="1219" spans="1:8" ht="14.4" hidden="1">
      <c r="A1219" t="s">
        <v>527</v>
      </c>
      <c r="B1219" t="s">
        <v>601</v>
      </c>
      <c r="C1219" t="s">
        <v>592</v>
      </c>
      <c r="D1219" s="2">
        <v>46149</v>
      </c>
      <c r="E1219">
        <v>3</v>
      </c>
      <c r="F1219" s="2">
        <v>46154</v>
      </c>
      <c r="G1219" s="6">
        <v>0</v>
      </c>
      <c r="H1219" s="6">
        <v>0</v>
      </c>
    </row>
    <row r="1220" spans="1:8" ht="14.4" hidden="1">
      <c r="A1220" t="s">
        <v>527</v>
      </c>
      <c r="B1220">
        <v>8</v>
      </c>
      <c r="C1220" t="s">
        <v>590</v>
      </c>
      <c r="D1220" s="2">
        <v>46149</v>
      </c>
      <c r="E1220">
        <v>13</v>
      </c>
      <c r="F1220" s="2">
        <v>46162</v>
      </c>
      <c r="G1220" s="6">
        <v>0</v>
      </c>
      <c r="H1220" s="6">
        <v>0</v>
      </c>
    </row>
    <row r="1221" spans="1:8" ht="14.4" hidden="1">
      <c r="A1221" t="s">
        <v>527</v>
      </c>
      <c r="B1221" t="s">
        <v>602</v>
      </c>
      <c r="C1221" t="s">
        <v>594</v>
      </c>
      <c r="D1221" s="2">
        <v>46149</v>
      </c>
      <c r="E1221">
        <v>4</v>
      </c>
      <c r="F1221" s="2">
        <v>46155</v>
      </c>
      <c r="G1221" s="6">
        <v>0</v>
      </c>
      <c r="H1221" s="6">
        <v>0</v>
      </c>
    </row>
    <row r="1222" spans="1:8" ht="14.4" hidden="1">
      <c r="A1222" t="s">
        <v>527</v>
      </c>
      <c r="B1222" t="s">
        <v>603</v>
      </c>
      <c r="C1222" t="s">
        <v>595</v>
      </c>
      <c r="D1222" s="2">
        <v>46155</v>
      </c>
      <c r="E1222">
        <v>1</v>
      </c>
      <c r="F1222" s="2">
        <v>46156</v>
      </c>
      <c r="G1222" s="6">
        <v>0</v>
      </c>
      <c r="H1222" s="6">
        <v>0</v>
      </c>
    </row>
    <row r="1223" spans="1:8" ht="14.4" hidden="1">
      <c r="A1223" t="s">
        <v>527</v>
      </c>
      <c r="B1223" t="s">
        <v>604</v>
      </c>
      <c r="C1223" t="s">
        <v>596</v>
      </c>
      <c r="D1223" s="2">
        <v>46155</v>
      </c>
      <c r="E1223">
        <v>5</v>
      </c>
      <c r="F1223" s="2">
        <v>46162</v>
      </c>
      <c r="G1223" s="6">
        <v>0</v>
      </c>
      <c r="H1223" s="6">
        <v>0</v>
      </c>
    </row>
    <row r="1224" spans="1:8" ht="14.4" hidden="1">
      <c r="A1224" t="s">
        <v>223</v>
      </c>
      <c r="B1224">
        <v>1</v>
      </c>
      <c r="C1224" t="s">
        <v>547</v>
      </c>
      <c r="D1224" s="2">
        <v>45776</v>
      </c>
      <c r="E1224">
        <v>17</v>
      </c>
      <c r="F1224" s="2">
        <v>45793</v>
      </c>
      <c r="G1224" s="6">
        <v>1</v>
      </c>
      <c r="H1224" s="6">
        <v>1</v>
      </c>
    </row>
    <row r="1225" spans="1:8" ht="14.4" hidden="1">
      <c r="A1225" t="s">
        <v>223</v>
      </c>
      <c r="B1225" t="s">
        <v>548</v>
      </c>
      <c r="C1225" t="s">
        <v>549</v>
      </c>
      <c r="D1225" s="2">
        <v>45790</v>
      </c>
      <c r="E1225">
        <v>1</v>
      </c>
      <c r="F1225" s="2">
        <v>45791</v>
      </c>
      <c r="G1225" s="6">
        <v>1</v>
      </c>
      <c r="H1225" s="6">
        <v>1</v>
      </c>
    </row>
    <row r="1226" spans="1:8" ht="14.4" hidden="1">
      <c r="A1226" t="s">
        <v>223</v>
      </c>
      <c r="B1226" t="s">
        <v>550</v>
      </c>
      <c r="C1226" t="s">
        <v>551</v>
      </c>
      <c r="D1226" s="2">
        <v>45792</v>
      </c>
      <c r="E1226">
        <v>1</v>
      </c>
      <c r="F1226" s="2">
        <v>45793</v>
      </c>
      <c r="G1226" s="6">
        <v>1</v>
      </c>
      <c r="H1226" s="6">
        <v>1</v>
      </c>
    </row>
    <row r="1227" spans="1:8" ht="14.4" hidden="1">
      <c r="A1227" t="s">
        <v>223</v>
      </c>
      <c r="B1227" t="s">
        <v>552</v>
      </c>
      <c r="C1227" t="s">
        <v>553</v>
      </c>
      <c r="D1227" s="2">
        <v>45776</v>
      </c>
      <c r="E1227">
        <v>10</v>
      </c>
      <c r="F1227" s="2">
        <v>45791</v>
      </c>
      <c r="G1227" s="6">
        <v>1</v>
      </c>
      <c r="H1227" s="6">
        <v>1</v>
      </c>
    </row>
    <row r="1228" spans="1:8" ht="14.4" hidden="1">
      <c r="A1228" t="s">
        <v>223</v>
      </c>
      <c r="B1228" t="s">
        <v>554</v>
      </c>
      <c r="C1228" t="s">
        <v>555</v>
      </c>
      <c r="D1228" s="2">
        <v>45791</v>
      </c>
      <c r="E1228">
        <v>1</v>
      </c>
      <c r="F1228" s="2">
        <v>45792</v>
      </c>
      <c r="G1228" s="6">
        <v>1</v>
      </c>
      <c r="H1228" s="6">
        <v>1</v>
      </c>
    </row>
    <row r="1229" spans="1:8" ht="14.4" hidden="1">
      <c r="A1229" t="s">
        <v>223</v>
      </c>
      <c r="B1229" t="s">
        <v>556</v>
      </c>
      <c r="C1229" t="s">
        <v>557</v>
      </c>
      <c r="D1229" s="2">
        <v>45785</v>
      </c>
      <c r="E1229">
        <v>1</v>
      </c>
      <c r="F1229" s="2">
        <v>45786</v>
      </c>
      <c r="G1229" s="6">
        <v>1</v>
      </c>
      <c r="H1229" s="6">
        <v>1</v>
      </c>
    </row>
    <row r="1230" spans="1:8" ht="14.4" hidden="1">
      <c r="A1230" t="s">
        <v>223</v>
      </c>
      <c r="B1230">
        <v>2</v>
      </c>
      <c r="C1230" t="s">
        <v>558</v>
      </c>
      <c r="D1230" s="2">
        <v>45929</v>
      </c>
      <c r="E1230">
        <v>1</v>
      </c>
      <c r="F1230" s="2">
        <v>45930</v>
      </c>
      <c r="G1230" s="6">
        <v>1</v>
      </c>
      <c r="H1230" s="6">
        <v>1</v>
      </c>
    </row>
    <row r="1231" spans="1:8" ht="14.4" hidden="1">
      <c r="A1231" t="s">
        <v>223</v>
      </c>
      <c r="B1231" t="s">
        <v>559</v>
      </c>
      <c r="C1231" t="s">
        <v>560</v>
      </c>
      <c r="D1231" s="2">
        <v>45929</v>
      </c>
      <c r="E1231">
        <v>1</v>
      </c>
      <c r="F1231" s="2">
        <v>45930</v>
      </c>
      <c r="G1231" s="6">
        <v>1</v>
      </c>
      <c r="H1231" s="6">
        <v>1</v>
      </c>
    </row>
    <row r="1232" spans="1:8" ht="14.4" hidden="1">
      <c r="A1232" t="s">
        <v>223</v>
      </c>
      <c r="B1232">
        <v>3</v>
      </c>
      <c r="C1232" t="s">
        <v>561</v>
      </c>
      <c r="D1232" s="2">
        <v>45834</v>
      </c>
      <c r="E1232">
        <v>139</v>
      </c>
      <c r="F1232" s="2">
        <v>45973</v>
      </c>
      <c r="G1232" s="6">
        <v>1</v>
      </c>
      <c r="H1232" s="6">
        <v>1</v>
      </c>
    </row>
    <row r="1233" spans="1:8" ht="14.4" hidden="1">
      <c r="A1233" t="s">
        <v>223</v>
      </c>
      <c r="B1233" t="s">
        <v>562</v>
      </c>
      <c r="C1233" t="s">
        <v>563</v>
      </c>
      <c r="D1233" s="2">
        <v>45834</v>
      </c>
      <c r="E1233">
        <v>1</v>
      </c>
      <c r="F1233" s="2">
        <v>45835</v>
      </c>
      <c r="G1233" s="6">
        <v>1</v>
      </c>
      <c r="H1233" s="6">
        <v>1</v>
      </c>
    </row>
    <row r="1234" spans="1:8" ht="14.4" hidden="1">
      <c r="A1234" t="s">
        <v>223</v>
      </c>
      <c r="B1234" t="s">
        <v>564</v>
      </c>
      <c r="C1234" t="s">
        <v>565</v>
      </c>
      <c r="D1234" s="2">
        <v>45952</v>
      </c>
      <c r="E1234">
        <v>5</v>
      </c>
      <c r="F1234" s="2">
        <v>45959</v>
      </c>
      <c r="G1234" s="6">
        <v>1</v>
      </c>
      <c r="H1234" s="6">
        <v>1</v>
      </c>
    </row>
    <row r="1235" spans="1:8" ht="14.4" hidden="1">
      <c r="A1235" t="s">
        <v>223</v>
      </c>
      <c r="B1235" t="s">
        <v>566</v>
      </c>
      <c r="C1235" t="s">
        <v>567</v>
      </c>
      <c r="D1235" s="2">
        <v>45869</v>
      </c>
      <c r="E1235">
        <v>2</v>
      </c>
      <c r="F1235" s="2">
        <v>45873</v>
      </c>
      <c r="G1235" s="6">
        <v>1</v>
      </c>
      <c r="H1235" s="6">
        <v>1</v>
      </c>
    </row>
    <row r="1236" spans="1:8" ht="14.4" hidden="1">
      <c r="A1236" t="s">
        <v>223</v>
      </c>
      <c r="B1236" t="s">
        <v>568</v>
      </c>
      <c r="C1236" t="s">
        <v>569</v>
      </c>
      <c r="D1236" s="2">
        <v>45952</v>
      </c>
      <c r="E1236">
        <v>15</v>
      </c>
      <c r="F1236" s="2">
        <v>45973</v>
      </c>
      <c r="G1236" s="6">
        <v>1</v>
      </c>
      <c r="H1236" s="6">
        <v>1</v>
      </c>
    </row>
    <row r="1237" spans="1:8" ht="14.4" hidden="1">
      <c r="A1237" t="s">
        <v>223</v>
      </c>
      <c r="B1237" t="s">
        <v>570</v>
      </c>
      <c r="C1237" t="s">
        <v>571</v>
      </c>
      <c r="D1237" s="2">
        <v>45952</v>
      </c>
      <c r="E1237">
        <v>3</v>
      </c>
      <c r="F1237" s="2">
        <v>45957</v>
      </c>
      <c r="G1237" s="6">
        <v>1</v>
      </c>
      <c r="H1237" s="6">
        <v>1</v>
      </c>
    </row>
    <row r="1238" spans="1:8" ht="14.4" hidden="1">
      <c r="A1238" t="s">
        <v>223</v>
      </c>
      <c r="B1238">
        <v>4</v>
      </c>
      <c r="C1238" t="s">
        <v>572</v>
      </c>
      <c r="D1238" s="2">
        <v>45834</v>
      </c>
      <c r="E1238">
        <v>155</v>
      </c>
      <c r="F1238" s="2">
        <v>45989</v>
      </c>
      <c r="G1238" s="6">
        <v>0.9375</v>
      </c>
      <c r="H1238" s="6">
        <v>0.9375</v>
      </c>
    </row>
    <row r="1239" spans="1:8" ht="14.4" hidden="1">
      <c r="A1239" t="s">
        <v>223</v>
      </c>
      <c r="B1239" t="s">
        <v>573</v>
      </c>
      <c r="C1239" t="s">
        <v>613</v>
      </c>
      <c r="E1239"/>
      <c r="G1239" s="6">
        <v>0</v>
      </c>
      <c r="H1239" s="6">
        <v>0</v>
      </c>
    </row>
    <row r="1240" spans="1:8" ht="14.4" hidden="1">
      <c r="A1240" t="s">
        <v>223</v>
      </c>
      <c r="B1240" t="s">
        <v>573</v>
      </c>
      <c r="C1240" t="s">
        <v>574</v>
      </c>
      <c r="D1240" s="2">
        <v>45834</v>
      </c>
      <c r="E1240">
        <v>1</v>
      </c>
      <c r="F1240" s="2">
        <v>45835</v>
      </c>
      <c r="G1240" s="6">
        <v>1</v>
      </c>
      <c r="H1240" s="6">
        <v>1</v>
      </c>
    </row>
    <row r="1241" spans="1:8" ht="14.4" hidden="1">
      <c r="A1241" t="s">
        <v>223</v>
      </c>
      <c r="B1241" t="s">
        <v>575</v>
      </c>
      <c r="C1241" t="s">
        <v>576</v>
      </c>
      <c r="D1241" s="2">
        <v>45945</v>
      </c>
      <c r="E1241">
        <v>5</v>
      </c>
      <c r="F1241" s="2">
        <v>45952</v>
      </c>
      <c r="G1241" s="6">
        <v>1</v>
      </c>
      <c r="H1241" s="6">
        <v>1</v>
      </c>
    </row>
    <row r="1242" spans="1:8" ht="14.4" hidden="1">
      <c r="A1242" t="s">
        <v>223</v>
      </c>
      <c r="B1242" t="s">
        <v>577</v>
      </c>
      <c r="C1242" t="s">
        <v>578</v>
      </c>
      <c r="D1242" s="2">
        <v>45834</v>
      </c>
      <c r="E1242">
        <v>1</v>
      </c>
      <c r="F1242" s="2">
        <v>45835</v>
      </c>
      <c r="G1242" s="6">
        <v>1</v>
      </c>
      <c r="H1242" s="6">
        <v>1</v>
      </c>
    </row>
    <row r="1243" spans="1:8" ht="14.4" hidden="1">
      <c r="A1243" t="s">
        <v>223</v>
      </c>
      <c r="B1243" t="s">
        <v>577</v>
      </c>
      <c r="C1243" t="s">
        <v>580</v>
      </c>
      <c r="D1243" s="2">
        <v>45978</v>
      </c>
      <c r="E1243">
        <v>9</v>
      </c>
      <c r="F1243" s="2">
        <v>45989</v>
      </c>
      <c r="G1243" s="6">
        <v>1</v>
      </c>
      <c r="H1243" s="6">
        <v>1</v>
      </c>
    </row>
    <row r="1244" spans="1:8" ht="14.4" hidden="1">
      <c r="A1244" t="s">
        <v>223</v>
      </c>
      <c r="B1244">
        <v>5</v>
      </c>
      <c r="C1244" t="s">
        <v>581</v>
      </c>
      <c r="D1244" s="2">
        <v>45834</v>
      </c>
      <c r="E1244">
        <v>147</v>
      </c>
      <c r="F1244" s="2">
        <v>45981</v>
      </c>
      <c r="G1244" s="6">
        <v>1</v>
      </c>
      <c r="H1244" s="6">
        <v>1</v>
      </c>
    </row>
    <row r="1245" spans="1:8" ht="14.4" hidden="1">
      <c r="A1245" t="s">
        <v>223</v>
      </c>
      <c r="B1245" t="s">
        <v>582</v>
      </c>
      <c r="C1245" t="s">
        <v>583</v>
      </c>
      <c r="D1245" s="2">
        <v>45834</v>
      </c>
      <c r="E1245">
        <v>1</v>
      </c>
      <c r="F1245" s="2">
        <v>45835</v>
      </c>
      <c r="G1245" s="6">
        <v>1</v>
      </c>
      <c r="H1245" s="6">
        <v>1</v>
      </c>
    </row>
    <row r="1246" spans="1:8" ht="14.4" hidden="1">
      <c r="A1246" t="s">
        <v>223</v>
      </c>
      <c r="B1246" t="s">
        <v>584</v>
      </c>
      <c r="C1246" t="s">
        <v>585</v>
      </c>
      <c r="D1246" s="2">
        <v>45952</v>
      </c>
      <c r="E1246">
        <v>21</v>
      </c>
      <c r="F1246" s="2">
        <v>45981</v>
      </c>
      <c r="G1246" s="6">
        <v>1</v>
      </c>
      <c r="H1246" s="6">
        <v>1</v>
      </c>
    </row>
    <row r="1247" spans="1:8" ht="14.4" hidden="1">
      <c r="A1247" t="s">
        <v>223</v>
      </c>
      <c r="B1247">
        <v>6</v>
      </c>
      <c r="C1247" t="s">
        <v>240</v>
      </c>
      <c r="D1247" s="2">
        <v>45993</v>
      </c>
      <c r="E1247">
        <v>6</v>
      </c>
      <c r="F1247" s="2">
        <v>45999</v>
      </c>
      <c r="G1247" s="6">
        <v>1</v>
      </c>
      <c r="H1247" s="6">
        <v>1</v>
      </c>
    </row>
    <row r="1248" spans="1:8" ht="14.4" hidden="1">
      <c r="A1248" t="s">
        <v>223</v>
      </c>
      <c r="B1248" t="s">
        <v>586</v>
      </c>
      <c r="C1248" t="s">
        <v>240</v>
      </c>
      <c r="D1248" s="2">
        <v>45993</v>
      </c>
      <c r="E1248">
        <v>2</v>
      </c>
      <c r="F1248" s="2">
        <v>45995</v>
      </c>
      <c r="G1248" s="6">
        <v>1</v>
      </c>
      <c r="H1248" s="6">
        <v>1</v>
      </c>
    </row>
    <row r="1249" spans="1:8" ht="14.4" hidden="1">
      <c r="A1249" t="s">
        <v>223</v>
      </c>
      <c r="B1249" t="s">
        <v>587</v>
      </c>
      <c r="C1249" t="s">
        <v>169</v>
      </c>
      <c r="D1249" s="2">
        <v>45995</v>
      </c>
      <c r="E1249">
        <v>2</v>
      </c>
      <c r="F1249" s="2">
        <v>45999</v>
      </c>
      <c r="G1249" s="6">
        <v>1</v>
      </c>
      <c r="H1249" s="6">
        <v>1</v>
      </c>
    </row>
    <row r="1250" spans="1:8" ht="14.4" hidden="1">
      <c r="A1250" t="s">
        <v>223</v>
      </c>
      <c r="B1250">
        <v>7</v>
      </c>
      <c r="C1250" t="s">
        <v>588</v>
      </c>
      <c r="D1250" s="2">
        <v>45999</v>
      </c>
      <c r="E1250">
        <v>3</v>
      </c>
      <c r="F1250" s="2">
        <v>46002</v>
      </c>
      <c r="G1250" s="6">
        <v>1</v>
      </c>
      <c r="H1250" s="6">
        <v>1</v>
      </c>
    </row>
    <row r="1251" spans="1:8" ht="14.4" hidden="1">
      <c r="A1251" t="s">
        <v>223</v>
      </c>
      <c r="B1251">
        <v>7.1</v>
      </c>
      <c r="C1251" t="s">
        <v>589</v>
      </c>
      <c r="D1251" s="2">
        <v>45999</v>
      </c>
      <c r="E1251">
        <v>3</v>
      </c>
      <c r="F1251" s="2">
        <v>46002</v>
      </c>
      <c r="G1251" s="6">
        <v>1</v>
      </c>
      <c r="H1251" s="6">
        <v>1</v>
      </c>
    </row>
    <row r="1252" spans="1:8" ht="14.4" hidden="1">
      <c r="A1252" t="s">
        <v>223</v>
      </c>
      <c r="B1252">
        <v>8</v>
      </c>
      <c r="C1252" t="s">
        <v>590</v>
      </c>
      <c r="D1252" s="2">
        <v>46002</v>
      </c>
      <c r="E1252">
        <v>68</v>
      </c>
      <c r="F1252" s="2">
        <v>46070</v>
      </c>
      <c r="G1252" s="6">
        <v>0.88975000000000004</v>
      </c>
      <c r="H1252" s="6">
        <v>0.83324344574711051</v>
      </c>
    </row>
    <row r="1253" spans="1:8" ht="14.4" hidden="1">
      <c r="A1253" t="s">
        <v>223</v>
      </c>
      <c r="B1253">
        <v>8.1</v>
      </c>
      <c r="C1253" t="s">
        <v>591</v>
      </c>
      <c r="D1253" s="2">
        <v>46002</v>
      </c>
      <c r="E1253">
        <v>2</v>
      </c>
      <c r="F1253" s="2">
        <v>46006</v>
      </c>
      <c r="G1253" s="6">
        <v>1</v>
      </c>
      <c r="H1253" s="6">
        <v>1</v>
      </c>
    </row>
    <row r="1254" spans="1:8" ht="14.4" hidden="1">
      <c r="A1254" t="s">
        <v>223</v>
      </c>
      <c r="B1254">
        <v>8.1999999999999993</v>
      </c>
      <c r="C1254" t="s">
        <v>592</v>
      </c>
      <c r="D1254" s="2">
        <v>46002</v>
      </c>
      <c r="E1254">
        <v>32</v>
      </c>
      <c r="F1254" s="2">
        <v>46050</v>
      </c>
      <c r="G1254" s="6">
        <v>0.99</v>
      </c>
      <c r="H1254" s="6">
        <v>1</v>
      </c>
    </row>
    <row r="1255" spans="1:8" ht="14.4" hidden="1">
      <c r="A1255" t="s">
        <v>223</v>
      </c>
      <c r="B1255">
        <v>8.3000000000000007</v>
      </c>
      <c r="C1255" t="s">
        <v>593</v>
      </c>
      <c r="D1255" s="2">
        <v>46006</v>
      </c>
      <c r="E1255">
        <v>15</v>
      </c>
      <c r="F1255" s="2">
        <v>46029</v>
      </c>
      <c r="G1255" s="6">
        <v>1</v>
      </c>
      <c r="H1255" s="6">
        <v>1</v>
      </c>
    </row>
    <row r="1256" spans="1:8" ht="14.4" hidden="1">
      <c r="A1256" t="s">
        <v>223</v>
      </c>
      <c r="B1256">
        <v>8.4</v>
      </c>
      <c r="C1256" t="s">
        <v>594</v>
      </c>
      <c r="D1256" s="2">
        <v>46015</v>
      </c>
      <c r="E1256">
        <v>25</v>
      </c>
      <c r="F1256" s="2">
        <v>46051</v>
      </c>
      <c r="G1256" s="6">
        <v>0.9</v>
      </c>
      <c r="H1256" s="6">
        <v>1</v>
      </c>
    </row>
    <row r="1257" spans="1:8" ht="14.4" hidden="1">
      <c r="A1257" t="s">
        <v>223</v>
      </c>
      <c r="B1257">
        <v>8.5</v>
      </c>
      <c r="C1257" t="s">
        <v>595</v>
      </c>
      <c r="D1257" s="2">
        <v>46069</v>
      </c>
      <c r="E1257">
        <v>1</v>
      </c>
      <c r="F1257" s="2">
        <v>46070</v>
      </c>
      <c r="G1257" s="6">
        <v>0</v>
      </c>
      <c r="H1257" s="6">
        <v>0</v>
      </c>
    </row>
    <row r="1258" spans="1:8" ht="14.4" hidden="1">
      <c r="A1258" t="s">
        <v>223</v>
      </c>
      <c r="B1258">
        <v>8.6</v>
      </c>
      <c r="C1258" t="s">
        <v>596</v>
      </c>
      <c r="D1258" s="2">
        <v>46058</v>
      </c>
      <c r="E1258">
        <v>5</v>
      </c>
      <c r="F1258" s="2">
        <v>46065</v>
      </c>
      <c r="G1258" s="6">
        <v>0</v>
      </c>
      <c r="H1258" s="6">
        <v>1</v>
      </c>
    </row>
    <row r="1259" spans="1:8" ht="14.4" hidden="1">
      <c r="A1259" t="s">
        <v>224</v>
      </c>
      <c r="B1259">
        <v>1</v>
      </c>
      <c r="C1259" t="s">
        <v>547</v>
      </c>
      <c r="D1259" s="2">
        <v>45776</v>
      </c>
      <c r="E1259">
        <v>17</v>
      </c>
      <c r="F1259" s="2">
        <v>45793</v>
      </c>
      <c r="G1259" s="6">
        <v>1</v>
      </c>
      <c r="H1259" s="6">
        <v>1</v>
      </c>
    </row>
    <row r="1260" spans="1:8" ht="14.4" hidden="1">
      <c r="A1260" t="s">
        <v>224</v>
      </c>
      <c r="B1260" t="s">
        <v>548</v>
      </c>
      <c r="C1260" t="s">
        <v>549</v>
      </c>
      <c r="D1260" s="2">
        <v>45790</v>
      </c>
      <c r="E1260">
        <v>1</v>
      </c>
      <c r="F1260" s="2">
        <v>45791</v>
      </c>
      <c r="G1260" s="6">
        <v>1</v>
      </c>
      <c r="H1260" s="6">
        <v>1</v>
      </c>
    </row>
    <row r="1261" spans="1:8" ht="14.4" hidden="1">
      <c r="A1261" t="s">
        <v>224</v>
      </c>
      <c r="B1261" t="s">
        <v>550</v>
      </c>
      <c r="C1261" t="s">
        <v>551</v>
      </c>
      <c r="D1261" s="2">
        <v>45792</v>
      </c>
      <c r="E1261">
        <v>1</v>
      </c>
      <c r="F1261" s="2">
        <v>45793</v>
      </c>
      <c r="G1261" s="6">
        <v>1</v>
      </c>
      <c r="H1261" s="6">
        <v>1</v>
      </c>
    </row>
    <row r="1262" spans="1:8" ht="14.4" hidden="1">
      <c r="A1262" t="s">
        <v>224</v>
      </c>
      <c r="B1262" t="s">
        <v>552</v>
      </c>
      <c r="C1262" t="s">
        <v>553</v>
      </c>
      <c r="D1262" s="2">
        <v>45776</v>
      </c>
      <c r="E1262">
        <v>10</v>
      </c>
      <c r="F1262" s="2">
        <v>45791</v>
      </c>
      <c r="G1262" s="6">
        <v>1</v>
      </c>
      <c r="H1262" s="6">
        <v>1</v>
      </c>
    </row>
    <row r="1263" spans="1:8" ht="14.4" hidden="1">
      <c r="A1263" t="s">
        <v>224</v>
      </c>
      <c r="B1263" t="s">
        <v>554</v>
      </c>
      <c r="C1263" t="s">
        <v>555</v>
      </c>
      <c r="D1263" s="2">
        <v>45791</v>
      </c>
      <c r="E1263">
        <v>1</v>
      </c>
      <c r="F1263" s="2">
        <v>45792</v>
      </c>
      <c r="G1263" s="6">
        <v>1</v>
      </c>
      <c r="H1263" s="6">
        <v>1</v>
      </c>
    </row>
    <row r="1264" spans="1:8" ht="14.4" hidden="1">
      <c r="A1264" t="s">
        <v>224</v>
      </c>
      <c r="B1264" t="s">
        <v>556</v>
      </c>
      <c r="C1264" t="s">
        <v>557</v>
      </c>
      <c r="D1264" s="2">
        <v>45785</v>
      </c>
      <c r="E1264">
        <v>1</v>
      </c>
      <c r="F1264" s="2">
        <v>45786</v>
      </c>
      <c r="G1264" s="6">
        <v>1</v>
      </c>
      <c r="H1264" s="6">
        <v>1</v>
      </c>
    </row>
    <row r="1265" spans="1:8" ht="14.4" hidden="1">
      <c r="A1265" t="s">
        <v>224</v>
      </c>
      <c r="B1265">
        <v>2</v>
      </c>
      <c r="C1265" t="s">
        <v>558</v>
      </c>
      <c r="D1265" s="2">
        <v>45818</v>
      </c>
      <c r="E1265">
        <v>1</v>
      </c>
      <c r="F1265" s="2">
        <v>45819</v>
      </c>
      <c r="G1265" s="6">
        <v>1</v>
      </c>
      <c r="H1265" s="6">
        <v>1</v>
      </c>
    </row>
    <row r="1266" spans="1:8" ht="14.4" hidden="1">
      <c r="A1266" t="s">
        <v>224</v>
      </c>
      <c r="B1266" t="s">
        <v>559</v>
      </c>
      <c r="C1266" t="s">
        <v>560</v>
      </c>
      <c r="D1266" s="2">
        <v>45818</v>
      </c>
      <c r="E1266">
        <v>1</v>
      </c>
      <c r="F1266" s="2">
        <v>45819</v>
      </c>
      <c r="G1266" s="6">
        <v>1</v>
      </c>
      <c r="H1266" s="6">
        <v>1</v>
      </c>
    </row>
    <row r="1267" spans="1:8" ht="14.4" hidden="1">
      <c r="A1267" t="s">
        <v>224</v>
      </c>
      <c r="B1267">
        <v>3</v>
      </c>
      <c r="C1267" t="s">
        <v>561</v>
      </c>
      <c r="D1267" s="2">
        <v>45797</v>
      </c>
      <c r="E1267">
        <v>204</v>
      </c>
      <c r="F1267" s="2">
        <v>46001</v>
      </c>
      <c r="G1267" s="6">
        <v>1</v>
      </c>
      <c r="H1267" s="6">
        <v>1</v>
      </c>
    </row>
    <row r="1268" spans="1:8" ht="14.4" hidden="1">
      <c r="A1268" t="s">
        <v>224</v>
      </c>
      <c r="B1268" t="s">
        <v>562</v>
      </c>
      <c r="C1268" t="s">
        <v>563</v>
      </c>
      <c r="D1268" s="2">
        <v>45831</v>
      </c>
      <c r="E1268">
        <v>1</v>
      </c>
      <c r="F1268" s="2">
        <v>45832</v>
      </c>
      <c r="G1268" s="6">
        <v>1</v>
      </c>
      <c r="H1268" s="6">
        <v>1</v>
      </c>
    </row>
    <row r="1269" spans="1:8" ht="14.4" hidden="1">
      <c r="A1269" t="s">
        <v>224</v>
      </c>
      <c r="B1269" t="s">
        <v>564</v>
      </c>
      <c r="C1269" t="s">
        <v>565</v>
      </c>
      <c r="D1269" s="2">
        <v>45978</v>
      </c>
      <c r="E1269">
        <v>5</v>
      </c>
      <c r="F1269" s="2">
        <v>45985</v>
      </c>
      <c r="G1269" s="6">
        <v>1</v>
      </c>
      <c r="H1269" s="6">
        <v>1</v>
      </c>
    </row>
    <row r="1270" spans="1:8" ht="14.4" hidden="1">
      <c r="A1270" t="s">
        <v>224</v>
      </c>
      <c r="B1270" t="s">
        <v>566</v>
      </c>
      <c r="C1270" t="s">
        <v>567</v>
      </c>
      <c r="D1270" s="2">
        <v>45797</v>
      </c>
      <c r="E1270">
        <v>30</v>
      </c>
      <c r="F1270" s="2">
        <v>45840</v>
      </c>
      <c r="G1270" s="6">
        <v>1</v>
      </c>
      <c r="H1270" s="6">
        <v>1</v>
      </c>
    </row>
    <row r="1271" spans="1:8" ht="14.4" hidden="1">
      <c r="A1271" t="s">
        <v>224</v>
      </c>
      <c r="B1271" t="s">
        <v>568</v>
      </c>
      <c r="C1271" t="s">
        <v>569</v>
      </c>
      <c r="D1271" s="2">
        <v>45978</v>
      </c>
      <c r="E1271">
        <v>9</v>
      </c>
      <c r="F1271" s="2">
        <v>45989</v>
      </c>
      <c r="G1271" s="6">
        <v>1</v>
      </c>
      <c r="H1271" s="6">
        <v>1</v>
      </c>
    </row>
    <row r="1272" spans="1:8" ht="14.4" hidden="1">
      <c r="A1272" t="s">
        <v>224</v>
      </c>
      <c r="B1272" t="s">
        <v>570</v>
      </c>
      <c r="C1272" t="s">
        <v>571</v>
      </c>
      <c r="D1272" s="2">
        <v>45996</v>
      </c>
      <c r="E1272">
        <v>3</v>
      </c>
      <c r="F1272" s="2">
        <v>46001</v>
      </c>
      <c r="G1272" s="6">
        <v>1</v>
      </c>
      <c r="H1272" s="6">
        <v>1</v>
      </c>
    </row>
    <row r="1273" spans="1:8" ht="14.4" hidden="1">
      <c r="A1273" t="s">
        <v>224</v>
      </c>
      <c r="B1273">
        <v>4</v>
      </c>
      <c r="C1273" t="s">
        <v>572</v>
      </c>
      <c r="D1273" s="2">
        <v>45818</v>
      </c>
      <c r="E1273">
        <v>241</v>
      </c>
      <c r="F1273" s="2">
        <v>46059</v>
      </c>
      <c r="G1273" s="6">
        <v>0.94117647058823517</v>
      </c>
      <c r="H1273" s="6">
        <v>0.94117647058823517</v>
      </c>
    </row>
    <row r="1274" spans="1:8" ht="14.4" hidden="1">
      <c r="A1274" t="s">
        <v>224</v>
      </c>
      <c r="B1274" t="s">
        <v>573</v>
      </c>
      <c r="C1274" t="s">
        <v>613</v>
      </c>
      <c r="E1274"/>
      <c r="G1274" s="6">
        <v>0</v>
      </c>
      <c r="H1274" s="6">
        <v>0</v>
      </c>
    </row>
    <row r="1275" spans="1:8" ht="14.4" hidden="1">
      <c r="A1275" t="s">
        <v>224</v>
      </c>
      <c r="B1275" t="s">
        <v>573</v>
      </c>
      <c r="C1275" t="s">
        <v>574</v>
      </c>
      <c r="D1275" s="2">
        <v>45818</v>
      </c>
      <c r="E1275">
        <v>1</v>
      </c>
      <c r="F1275" s="2">
        <v>45819</v>
      </c>
      <c r="G1275" s="6">
        <v>1</v>
      </c>
      <c r="H1275" s="6">
        <v>1</v>
      </c>
    </row>
    <row r="1276" spans="1:8" ht="14.4" hidden="1">
      <c r="A1276" t="s">
        <v>224</v>
      </c>
      <c r="B1276" t="s">
        <v>575</v>
      </c>
      <c r="C1276" t="s">
        <v>576</v>
      </c>
      <c r="D1276" s="2">
        <v>45819</v>
      </c>
      <c r="E1276">
        <v>6</v>
      </c>
      <c r="F1276" s="2">
        <v>45828</v>
      </c>
      <c r="G1276" s="6">
        <v>1</v>
      </c>
      <c r="H1276" s="6">
        <v>1</v>
      </c>
    </row>
    <row r="1277" spans="1:8" ht="14.4" hidden="1">
      <c r="A1277" t="s">
        <v>224</v>
      </c>
      <c r="B1277" t="s">
        <v>577</v>
      </c>
      <c r="C1277" t="s">
        <v>578</v>
      </c>
      <c r="D1277" s="2">
        <v>45831</v>
      </c>
      <c r="E1277">
        <v>1</v>
      </c>
      <c r="F1277" s="2">
        <v>45832</v>
      </c>
      <c r="G1277" s="6">
        <v>1</v>
      </c>
      <c r="H1277" s="6">
        <v>1</v>
      </c>
    </row>
    <row r="1278" spans="1:8" ht="14.4" hidden="1">
      <c r="A1278" t="s">
        <v>224</v>
      </c>
      <c r="B1278" t="s">
        <v>577</v>
      </c>
      <c r="C1278" t="s">
        <v>580</v>
      </c>
      <c r="D1278" s="2">
        <v>46048</v>
      </c>
      <c r="E1278">
        <v>9</v>
      </c>
      <c r="F1278" s="2">
        <v>46059</v>
      </c>
      <c r="G1278" s="6">
        <v>1</v>
      </c>
      <c r="H1278" s="6">
        <v>1</v>
      </c>
    </row>
    <row r="1279" spans="1:8" ht="14.4" hidden="1">
      <c r="A1279" t="s">
        <v>224</v>
      </c>
      <c r="B1279">
        <v>5</v>
      </c>
      <c r="C1279" t="s">
        <v>581</v>
      </c>
      <c r="D1279" s="2">
        <v>45831</v>
      </c>
      <c r="E1279">
        <v>171</v>
      </c>
      <c r="F1279" s="2">
        <v>46002</v>
      </c>
      <c r="G1279" s="6">
        <v>1</v>
      </c>
      <c r="H1279" s="6">
        <v>1</v>
      </c>
    </row>
    <row r="1280" spans="1:8" ht="14.4" hidden="1">
      <c r="A1280" t="s">
        <v>224</v>
      </c>
      <c r="B1280" t="s">
        <v>582</v>
      </c>
      <c r="C1280" t="s">
        <v>583</v>
      </c>
      <c r="D1280" s="2">
        <v>45831</v>
      </c>
      <c r="E1280">
        <v>1</v>
      </c>
      <c r="F1280" s="2">
        <v>45832</v>
      </c>
      <c r="G1280" s="6">
        <v>1</v>
      </c>
      <c r="H1280" s="6">
        <v>1</v>
      </c>
    </row>
    <row r="1281" spans="1:8" ht="14.4" hidden="1">
      <c r="A1281" t="s">
        <v>224</v>
      </c>
      <c r="B1281" t="s">
        <v>584</v>
      </c>
      <c r="C1281" t="s">
        <v>585</v>
      </c>
      <c r="D1281" s="2">
        <v>45985</v>
      </c>
      <c r="E1281">
        <v>13</v>
      </c>
      <c r="F1281" s="2">
        <v>46002</v>
      </c>
      <c r="G1281" s="6">
        <v>1</v>
      </c>
      <c r="H1281" s="6">
        <v>1</v>
      </c>
    </row>
    <row r="1282" spans="1:8" ht="14.4" hidden="1">
      <c r="A1282" t="s">
        <v>224</v>
      </c>
      <c r="B1282">
        <v>6</v>
      </c>
      <c r="C1282" t="s">
        <v>240</v>
      </c>
      <c r="D1282" s="2">
        <v>46059</v>
      </c>
      <c r="E1282">
        <v>4</v>
      </c>
      <c r="F1282" s="2">
        <v>46063</v>
      </c>
      <c r="G1282" s="6">
        <v>1</v>
      </c>
      <c r="H1282" s="6">
        <v>1</v>
      </c>
    </row>
    <row r="1283" spans="1:8" ht="14.4" hidden="1">
      <c r="A1283" t="s">
        <v>224</v>
      </c>
      <c r="B1283" t="s">
        <v>586</v>
      </c>
      <c r="C1283" t="s">
        <v>240</v>
      </c>
      <c r="D1283" s="2">
        <v>46059</v>
      </c>
      <c r="E1283">
        <v>1</v>
      </c>
      <c r="F1283" s="2">
        <v>46062</v>
      </c>
      <c r="G1283" s="6">
        <v>1</v>
      </c>
      <c r="H1283" s="6">
        <v>1</v>
      </c>
    </row>
    <row r="1284" spans="1:8" ht="14.4" hidden="1">
      <c r="A1284" t="s">
        <v>224</v>
      </c>
      <c r="B1284" t="s">
        <v>587</v>
      </c>
      <c r="C1284" t="s">
        <v>169</v>
      </c>
      <c r="D1284" s="2">
        <v>46062</v>
      </c>
      <c r="E1284">
        <v>1</v>
      </c>
      <c r="F1284" s="2">
        <v>46063</v>
      </c>
      <c r="G1284" s="6">
        <v>1</v>
      </c>
      <c r="H1284" s="6">
        <v>1</v>
      </c>
    </row>
    <row r="1285" spans="1:8" ht="14.4" hidden="1">
      <c r="A1285" t="s">
        <v>224</v>
      </c>
      <c r="B1285">
        <v>7</v>
      </c>
      <c r="C1285" t="s">
        <v>588</v>
      </c>
      <c r="D1285" s="2">
        <v>46062</v>
      </c>
      <c r="E1285">
        <v>1</v>
      </c>
      <c r="F1285" s="2">
        <v>46063</v>
      </c>
      <c r="G1285" s="6">
        <v>0</v>
      </c>
      <c r="H1285" s="6">
        <v>0</v>
      </c>
    </row>
    <row r="1286" spans="1:8" ht="14.4" hidden="1">
      <c r="A1286" t="s">
        <v>224</v>
      </c>
      <c r="B1286">
        <v>7.1</v>
      </c>
      <c r="C1286" t="s">
        <v>589</v>
      </c>
      <c r="D1286" s="2">
        <v>46062</v>
      </c>
      <c r="E1286">
        <v>1</v>
      </c>
      <c r="F1286" s="2">
        <v>46063</v>
      </c>
      <c r="G1286" s="6">
        <v>0</v>
      </c>
      <c r="H1286" s="6">
        <v>0</v>
      </c>
    </row>
    <row r="1287" spans="1:8" ht="14.4" hidden="1">
      <c r="A1287" t="s">
        <v>224</v>
      </c>
      <c r="B1287">
        <v>8</v>
      </c>
      <c r="C1287" t="s">
        <v>590</v>
      </c>
      <c r="D1287" s="2">
        <v>46063</v>
      </c>
      <c r="E1287">
        <v>16</v>
      </c>
      <c r="F1287" s="2">
        <v>46079</v>
      </c>
      <c r="G1287" s="6">
        <v>0</v>
      </c>
      <c r="H1287" s="6">
        <v>0.16663411034422884</v>
      </c>
    </row>
    <row r="1288" spans="1:8" ht="14.4" hidden="1">
      <c r="A1288" t="s">
        <v>224</v>
      </c>
      <c r="B1288">
        <v>8.1</v>
      </c>
      <c r="C1288" t="s">
        <v>591</v>
      </c>
      <c r="D1288" s="2">
        <v>46063</v>
      </c>
      <c r="E1288">
        <v>2</v>
      </c>
      <c r="F1288" s="2">
        <v>46065</v>
      </c>
      <c r="G1288" s="6">
        <v>0</v>
      </c>
      <c r="H1288" s="6">
        <v>1</v>
      </c>
    </row>
    <row r="1289" spans="1:8" ht="14.4" hidden="1">
      <c r="A1289" t="s">
        <v>224</v>
      </c>
      <c r="B1289">
        <v>8.1999999999999993</v>
      </c>
      <c r="C1289" t="s">
        <v>592</v>
      </c>
      <c r="D1289" s="2">
        <v>46063</v>
      </c>
      <c r="E1289">
        <v>5</v>
      </c>
      <c r="F1289" s="2">
        <v>46070</v>
      </c>
      <c r="G1289" s="6">
        <v>0</v>
      </c>
      <c r="H1289" s="6">
        <v>0</v>
      </c>
    </row>
    <row r="1290" spans="1:8" ht="14.4" hidden="1">
      <c r="A1290" t="s">
        <v>224</v>
      </c>
      <c r="B1290">
        <v>8.3000000000000007</v>
      </c>
      <c r="C1290" t="s">
        <v>593</v>
      </c>
      <c r="D1290" s="2">
        <v>46070</v>
      </c>
      <c r="E1290">
        <v>5</v>
      </c>
      <c r="F1290" s="2">
        <v>46077</v>
      </c>
      <c r="G1290" s="6">
        <v>0</v>
      </c>
      <c r="H1290" s="6">
        <v>0</v>
      </c>
    </row>
    <row r="1291" spans="1:8" ht="14.4" hidden="1">
      <c r="A1291" t="s">
        <v>224</v>
      </c>
      <c r="B1291">
        <v>8.4</v>
      </c>
      <c r="C1291" t="s">
        <v>594</v>
      </c>
      <c r="D1291" s="2">
        <v>46063</v>
      </c>
      <c r="E1291">
        <v>9</v>
      </c>
      <c r="F1291" s="2">
        <v>46076</v>
      </c>
      <c r="G1291" s="6">
        <v>0</v>
      </c>
      <c r="H1291" s="6">
        <v>0</v>
      </c>
    </row>
    <row r="1292" spans="1:8" ht="14.4" hidden="1">
      <c r="A1292" t="s">
        <v>224</v>
      </c>
      <c r="B1292">
        <v>8.5</v>
      </c>
      <c r="C1292" t="s">
        <v>595</v>
      </c>
      <c r="D1292" s="2">
        <v>46076</v>
      </c>
      <c r="E1292">
        <v>1</v>
      </c>
      <c r="F1292" s="2">
        <v>46077</v>
      </c>
      <c r="G1292" s="6">
        <v>0</v>
      </c>
      <c r="H1292" s="6">
        <v>0</v>
      </c>
    </row>
    <row r="1293" spans="1:8" ht="14.4" hidden="1">
      <c r="A1293" t="s">
        <v>224</v>
      </c>
      <c r="B1293">
        <v>8.6</v>
      </c>
      <c r="C1293" t="s">
        <v>596</v>
      </c>
      <c r="D1293" s="2">
        <v>46072</v>
      </c>
      <c r="E1293">
        <v>5</v>
      </c>
      <c r="F1293" s="2">
        <v>46079</v>
      </c>
      <c r="G1293" s="6">
        <v>0</v>
      </c>
      <c r="H1293" s="6">
        <v>0</v>
      </c>
    </row>
    <row r="1294" spans="1:8" ht="14.4" hidden="1">
      <c r="A1294" t="s">
        <v>528</v>
      </c>
      <c r="B1294">
        <v>1</v>
      </c>
      <c r="C1294" t="s">
        <v>547</v>
      </c>
      <c r="D1294" s="2">
        <v>45831</v>
      </c>
      <c r="E1294">
        <v>73</v>
      </c>
      <c r="F1294" s="2">
        <v>45904</v>
      </c>
      <c r="G1294" s="6">
        <v>1</v>
      </c>
      <c r="H1294" s="6">
        <v>1</v>
      </c>
    </row>
    <row r="1295" spans="1:8" ht="14.4" hidden="1">
      <c r="A1295" t="s">
        <v>528</v>
      </c>
      <c r="B1295" t="s">
        <v>548</v>
      </c>
      <c r="C1295" t="s">
        <v>549</v>
      </c>
      <c r="D1295" s="2">
        <v>45831</v>
      </c>
      <c r="E1295">
        <v>5</v>
      </c>
      <c r="F1295" s="2">
        <v>45838</v>
      </c>
      <c r="G1295" s="6">
        <v>1</v>
      </c>
      <c r="H1295" s="6">
        <v>1</v>
      </c>
    </row>
    <row r="1296" spans="1:8" ht="14.4" hidden="1">
      <c r="A1296" t="s">
        <v>528</v>
      </c>
      <c r="B1296" t="s">
        <v>550</v>
      </c>
      <c r="C1296" t="s">
        <v>551</v>
      </c>
      <c r="D1296" s="2">
        <v>45855</v>
      </c>
      <c r="E1296">
        <v>1</v>
      </c>
      <c r="F1296" s="2">
        <v>45856</v>
      </c>
      <c r="G1296" s="6">
        <v>1</v>
      </c>
      <c r="H1296" s="6">
        <v>1</v>
      </c>
    </row>
    <row r="1297" spans="1:8" ht="14.4" hidden="1">
      <c r="A1297" t="s">
        <v>528</v>
      </c>
      <c r="B1297" t="s">
        <v>552</v>
      </c>
      <c r="C1297" t="s">
        <v>964</v>
      </c>
      <c r="D1297" s="2">
        <v>45841</v>
      </c>
      <c r="E1297">
        <v>28</v>
      </c>
      <c r="F1297" s="2">
        <v>45881</v>
      </c>
      <c r="G1297" s="6">
        <v>1</v>
      </c>
      <c r="H1297" s="6">
        <v>1</v>
      </c>
    </row>
    <row r="1298" spans="1:8" ht="14.4" hidden="1">
      <c r="A1298" t="s">
        <v>528</v>
      </c>
      <c r="B1298" t="s">
        <v>554</v>
      </c>
      <c r="C1298" t="s">
        <v>965</v>
      </c>
      <c r="D1298" s="2">
        <v>45902</v>
      </c>
      <c r="E1298">
        <v>2</v>
      </c>
      <c r="F1298" s="2">
        <v>45904</v>
      </c>
      <c r="G1298" s="6">
        <v>1</v>
      </c>
      <c r="H1298" s="6">
        <v>1</v>
      </c>
    </row>
    <row r="1299" spans="1:8" ht="14.4" hidden="1">
      <c r="A1299" t="s">
        <v>528</v>
      </c>
      <c r="B1299" t="s">
        <v>556</v>
      </c>
      <c r="C1299" t="s">
        <v>555</v>
      </c>
      <c r="D1299" s="2">
        <v>45855</v>
      </c>
      <c r="E1299">
        <v>1</v>
      </c>
      <c r="F1299" s="2">
        <v>45856</v>
      </c>
      <c r="G1299" s="6">
        <v>1</v>
      </c>
      <c r="H1299" s="6">
        <v>1</v>
      </c>
    </row>
    <row r="1300" spans="1:8" ht="14.4" hidden="1">
      <c r="A1300" t="s">
        <v>528</v>
      </c>
      <c r="B1300" t="s">
        <v>606</v>
      </c>
      <c r="C1300" t="s">
        <v>557</v>
      </c>
      <c r="D1300" s="2">
        <v>45855</v>
      </c>
      <c r="E1300">
        <v>1</v>
      </c>
      <c r="F1300" s="2">
        <v>45856</v>
      </c>
      <c r="G1300" s="6">
        <v>1</v>
      </c>
      <c r="H1300" s="6">
        <v>1</v>
      </c>
    </row>
    <row r="1301" spans="1:8" ht="14.4" hidden="1">
      <c r="A1301" t="s">
        <v>528</v>
      </c>
      <c r="B1301">
        <v>2</v>
      </c>
      <c r="C1301" t="s">
        <v>558</v>
      </c>
      <c r="D1301" s="2">
        <v>45883</v>
      </c>
      <c r="E1301">
        <v>1</v>
      </c>
      <c r="F1301" s="2">
        <v>45884</v>
      </c>
      <c r="G1301" s="6">
        <v>1</v>
      </c>
      <c r="H1301" s="6">
        <v>1</v>
      </c>
    </row>
    <row r="1302" spans="1:8" ht="14.4" hidden="1">
      <c r="A1302" t="s">
        <v>528</v>
      </c>
      <c r="B1302" t="s">
        <v>559</v>
      </c>
      <c r="C1302" t="s">
        <v>560</v>
      </c>
      <c r="D1302" s="2">
        <v>45883</v>
      </c>
      <c r="E1302">
        <v>1</v>
      </c>
      <c r="F1302" s="2">
        <v>45884</v>
      </c>
      <c r="G1302" s="6">
        <v>1</v>
      </c>
      <c r="H1302" s="6">
        <v>1</v>
      </c>
    </row>
    <row r="1303" spans="1:8" ht="14.4" hidden="1">
      <c r="A1303" t="s">
        <v>528</v>
      </c>
      <c r="B1303">
        <v>3</v>
      </c>
      <c r="C1303" t="s">
        <v>966</v>
      </c>
      <c r="D1303" s="2">
        <v>45838</v>
      </c>
      <c r="E1303">
        <v>114</v>
      </c>
      <c r="F1303" s="2">
        <v>45952</v>
      </c>
      <c r="G1303" s="6">
        <v>1</v>
      </c>
      <c r="H1303" s="6">
        <v>1</v>
      </c>
    </row>
    <row r="1304" spans="1:8" ht="14.4" hidden="1">
      <c r="A1304" t="s">
        <v>528</v>
      </c>
      <c r="B1304" t="s">
        <v>562</v>
      </c>
      <c r="C1304" t="s">
        <v>563</v>
      </c>
      <c r="D1304" s="2">
        <v>45838</v>
      </c>
      <c r="E1304">
        <v>1</v>
      </c>
      <c r="F1304" s="2">
        <v>45839</v>
      </c>
      <c r="G1304" s="6">
        <v>1</v>
      </c>
      <c r="H1304" s="6">
        <v>1</v>
      </c>
    </row>
    <row r="1305" spans="1:8" ht="14.4" hidden="1">
      <c r="A1305" t="s">
        <v>528</v>
      </c>
      <c r="B1305" t="s">
        <v>564</v>
      </c>
      <c r="C1305" t="s">
        <v>565</v>
      </c>
      <c r="D1305" s="2">
        <v>45931</v>
      </c>
      <c r="E1305">
        <v>1</v>
      </c>
      <c r="F1305" s="2">
        <v>45932</v>
      </c>
      <c r="G1305" s="6">
        <v>1</v>
      </c>
      <c r="H1305" s="6">
        <v>1</v>
      </c>
    </row>
    <row r="1306" spans="1:8" ht="14.4" hidden="1">
      <c r="A1306" t="s">
        <v>528</v>
      </c>
      <c r="B1306" t="s">
        <v>566</v>
      </c>
      <c r="C1306" t="s">
        <v>567</v>
      </c>
      <c r="D1306" s="2">
        <v>45880</v>
      </c>
      <c r="E1306">
        <v>25</v>
      </c>
      <c r="F1306" s="2">
        <v>45915</v>
      </c>
      <c r="G1306" s="6">
        <v>1</v>
      </c>
      <c r="H1306" s="6">
        <v>1</v>
      </c>
    </row>
    <row r="1307" spans="1:8" ht="14.4" hidden="1">
      <c r="A1307" t="s">
        <v>528</v>
      </c>
      <c r="B1307" t="s">
        <v>568</v>
      </c>
      <c r="C1307" t="s">
        <v>967</v>
      </c>
      <c r="D1307" s="2">
        <v>45931</v>
      </c>
      <c r="E1307">
        <v>15</v>
      </c>
      <c r="F1307" s="2">
        <v>45952</v>
      </c>
      <c r="G1307" s="6">
        <v>1</v>
      </c>
      <c r="H1307" s="6">
        <v>1</v>
      </c>
    </row>
    <row r="1308" spans="1:8" ht="14.4" hidden="1">
      <c r="A1308" t="s">
        <v>528</v>
      </c>
      <c r="B1308" t="s">
        <v>570</v>
      </c>
      <c r="C1308" t="s">
        <v>968</v>
      </c>
      <c r="D1308" s="2">
        <v>45922</v>
      </c>
      <c r="E1308">
        <v>1</v>
      </c>
      <c r="F1308" s="2">
        <v>45940</v>
      </c>
      <c r="G1308" s="6">
        <v>1</v>
      </c>
      <c r="H1308" s="6">
        <v>1</v>
      </c>
    </row>
    <row r="1309" spans="1:8" ht="14.4" hidden="1">
      <c r="A1309" t="s">
        <v>528</v>
      </c>
      <c r="B1309" t="s">
        <v>619</v>
      </c>
      <c r="C1309" t="s">
        <v>795</v>
      </c>
      <c r="D1309" s="2">
        <v>45931</v>
      </c>
      <c r="E1309">
        <v>10</v>
      </c>
      <c r="F1309" s="2">
        <v>45945</v>
      </c>
      <c r="G1309" s="6">
        <v>1</v>
      </c>
      <c r="H1309" s="6">
        <v>1</v>
      </c>
    </row>
    <row r="1310" spans="1:8" ht="14.4" hidden="1">
      <c r="A1310" t="s">
        <v>528</v>
      </c>
      <c r="B1310" t="s">
        <v>621</v>
      </c>
      <c r="C1310" t="s">
        <v>969</v>
      </c>
      <c r="D1310" s="2">
        <v>45931</v>
      </c>
      <c r="E1310">
        <v>1</v>
      </c>
      <c r="F1310" s="2">
        <v>45932</v>
      </c>
      <c r="G1310" s="6">
        <v>1</v>
      </c>
      <c r="H1310" s="6">
        <v>1</v>
      </c>
    </row>
    <row r="1311" spans="1:8" ht="14.4" hidden="1">
      <c r="A1311" t="s">
        <v>528</v>
      </c>
      <c r="B1311">
        <v>4</v>
      </c>
      <c r="C1311" t="s">
        <v>970</v>
      </c>
      <c r="D1311" s="2">
        <v>45838</v>
      </c>
      <c r="E1311">
        <v>108</v>
      </c>
      <c r="F1311" s="2">
        <v>45946</v>
      </c>
      <c r="G1311" s="6">
        <v>1</v>
      </c>
      <c r="H1311" s="6">
        <v>1</v>
      </c>
    </row>
    <row r="1312" spans="1:8" ht="14.4" hidden="1">
      <c r="A1312" t="s">
        <v>528</v>
      </c>
      <c r="B1312" t="s">
        <v>573</v>
      </c>
      <c r="C1312" t="s">
        <v>613</v>
      </c>
      <c r="E1312"/>
      <c r="G1312" s="6">
        <v>0</v>
      </c>
      <c r="H1312" s="6">
        <v>0</v>
      </c>
    </row>
    <row r="1313" spans="1:8" ht="14.4" hidden="1">
      <c r="A1313" t="s">
        <v>528</v>
      </c>
      <c r="B1313" t="s">
        <v>573</v>
      </c>
      <c r="C1313" t="s">
        <v>563</v>
      </c>
      <c r="D1313" s="2">
        <v>45838</v>
      </c>
      <c r="E1313">
        <v>1</v>
      </c>
      <c r="F1313" s="2">
        <v>45839</v>
      </c>
      <c r="G1313" s="6">
        <v>1</v>
      </c>
      <c r="H1313" s="6">
        <v>1</v>
      </c>
    </row>
    <row r="1314" spans="1:8" ht="14.4" hidden="1">
      <c r="A1314" t="s">
        <v>528</v>
      </c>
      <c r="B1314" t="s">
        <v>575</v>
      </c>
      <c r="C1314" t="s">
        <v>565</v>
      </c>
      <c r="D1314" s="2">
        <v>45931</v>
      </c>
      <c r="E1314">
        <v>1</v>
      </c>
      <c r="F1314" s="2">
        <v>45932</v>
      </c>
      <c r="G1314" s="6">
        <v>1</v>
      </c>
      <c r="H1314" s="6">
        <v>1</v>
      </c>
    </row>
    <row r="1315" spans="1:8" ht="14.4" hidden="1">
      <c r="A1315" t="s">
        <v>528</v>
      </c>
      <c r="B1315" t="s">
        <v>577</v>
      </c>
      <c r="C1315" t="s">
        <v>567</v>
      </c>
      <c r="D1315" s="2">
        <v>45880</v>
      </c>
      <c r="E1315">
        <v>45</v>
      </c>
      <c r="F1315" s="2">
        <v>45944</v>
      </c>
      <c r="G1315" s="6">
        <v>1</v>
      </c>
      <c r="H1315" s="6">
        <v>1</v>
      </c>
    </row>
    <row r="1316" spans="1:8" ht="14.4" hidden="1">
      <c r="A1316" t="s">
        <v>528</v>
      </c>
      <c r="B1316" t="s">
        <v>579</v>
      </c>
      <c r="C1316" t="s">
        <v>971</v>
      </c>
      <c r="D1316" s="2">
        <v>45931</v>
      </c>
      <c r="E1316">
        <v>5</v>
      </c>
      <c r="F1316" s="2">
        <v>45938</v>
      </c>
      <c r="G1316" s="6">
        <v>1</v>
      </c>
      <c r="H1316" s="6">
        <v>1</v>
      </c>
    </row>
    <row r="1317" spans="1:8" ht="14.4" hidden="1">
      <c r="A1317" t="s">
        <v>528</v>
      </c>
      <c r="B1317" t="s">
        <v>615</v>
      </c>
      <c r="C1317" t="s">
        <v>968</v>
      </c>
      <c r="D1317" s="2">
        <v>45922</v>
      </c>
      <c r="E1317">
        <v>1</v>
      </c>
      <c r="F1317" s="2">
        <v>45940</v>
      </c>
      <c r="G1317" s="6">
        <v>1</v>
      </c>
      <c r="H1317" s="6">
        <v>1</v>
      </c>
    </row>
    <row r="1318" spans="1:8" ht="14.4" hidden="1">
      <c r="A1318" t="s">
        <v>528</v>
      </c>
      <c r="B1318" t="s">
        <v>627</v>
      </c>
      <c r="C1318" t="s">
        <v>796</v>
      </c>
      <c r="D1318" s="2">
        <v>45937</v>
      </c>
      <c r="E1318">
        <v>7</v>
      </c>
      <c r="F1318" s="2">
        <v>45946</v>
      </c>
      <c r="G1318" s="6">
        <v>1</v>
      </c>
      <c r="H1318" s="6">
        <v>1</v>
      </c>
    </row>
    <row r="1319" spans="1:8" ht="14.4" hidden="1">
      <c r="A1319" t="s">
        <v>528</v>
      </c>
      <c r="B1319" t="s">
        <v>629</v>
      </c>
      <c r="C1319" t="s">
        <v>972</v>
      </c>
      <c r="D1319" s="2">
        <v>45938</v>
      </c>
      <c r="E1319">
        <v>1</v>
      </c>
      <c r="F1319" s="2">
        <v>45939</v>
      </c>
      <c r="G1319" s="6">
        <v>1</v>
      </c>
      <c r="H1319" s="6">
        <v>1</v>
      </c>
    </row>
    <row r="1320" spans="1:8" ht="14.4" hidden="1">
      <c r="A1320" t="s">
        <v>528</v>
      </c>
      <c r="B1320">
        <v>5</v>
      </c>
      <c r="C1320" t="s">
        <v>572</v>
      </c>
      <c r="D1320" s="2">
        <v>45877</v>
      </c>
      <c r="E1320">
        <v>73</v>
      </c>
      <c r="F1320" s="2">
        <v>45950</v>
      </c>
      <c r="G1320" s="6">
        <v>1</v>
      </c>
      <c r="H1320" s="6">
        <v>1</v>
      </c>
    </row>
    <row r="1321" spans="1:8" ht="14.4" hidden="1">
      <c r="A1321" t="s">
        <v>528</v>
      </c>
      <c r="B1321" t="s">
        <v>582</v>
      </c>
      <c r="C1321" t="s">
        <v>583</v>
      </c>
      <c r="D1321" s="2">
        <v>45877</v>
      </c>
      <c r="E1321">
        <v>1</v>
      </c>
      <c r="F1321" s="2">
        <v>45880</v>
      </c>
      <c r="G1321" s="6">
        <v>1</v>
      </c>
      <c r="H1321" s="6">
        <v>1</v>
      </c>
    </row>
    <row r="1322" spans="1:8" ht="14.4" hidden="1">
      <c r="A1322" t="s">
        <v>528</v>
      </c>
      <c r="B1322" t="s">
        <v>584</v>
      </c>
      <c r="C1322" t="s">
        <v>585</v>
      </c>
      <c r="D1322" s="2">
        <v>45926</v>
      </c>
      <c r="E1322">
        <v>12</v>
      </c>
      <c r="F1322" s="2">
        <v>45944</v>
      </c>
      <c r="G1322" s="6">
        <v>1</v>
      </c>
      <c r="H1322" s="6">
        <v>1</v>
      </c>
    </row>
    <row r="1323" spans="1:8" ht="14.4" hidden="1">
      <c r="A1323" t="s">
        <v>528</v>
      </c>
      <c r="B1323" t="s">
        <v>647</v>
      </c>
      <c r="C1323" t="s">
        <v>574</v>
      </c>
      <c r="D1323" s="2">
        <v>45878</v>
      </c>
      <c r="E1323">
        <v>1</v>
      </c>
      <c r="F1323" s="2">
        <v>45880</v>
      </c>
      <c r="G1323" s="6">
        <v>1</v>
      </c>
      <c r="H1323" s="6">
        <v>1</v>
      </c>
    </row>
    <row r="1324" spans="1:8" ht="14.4" hidden="1">
      <c r="A1324" t="s">
        <v>528</v>
      </c>
      <c r="B1324" t="s">
        <v>649</v>
      </c>
      <c r="C1324" t="s">
        <v>576</v>
      </c>
      <c r="D1324" s="2">
        <v>45893</v>
      </c>
      <c r="E1324">
        <v>35</v>
      </c>
      <c r="F1324" s="2">
        <v>45943</v>
      </c>
      <c r="G1324" s="6">
        <v>1</v>
      </c>
      <c r="H1324" s="6">
        <v>1</v>
      </c>
    </row>
    <row r="1325" spans="1:8" ht="14.4" hidden="1">
      <c r="A1325" t="s">
        <v>528</v>
      </c>
      <c r="B1325" t="s">
        <v>651</v>
      </c>
      <c r="C1325" t="s">
        <v>973</v>
      </c>
      <c r="D1325" s="2">
        <v>45879</v>
      </c>
      <c r="E1325">
        <v>10</v>
      </c>
      <c r="F1325" s="2">
        <v>45891</v>
      </c>
      <c r="G1325" s="6">
        <v>1</v>
      </c>
      <c r="H1325" s="6">
        <v>1</v>
      </c>
    </row>
    <row r="1326" spans="1:8" ht="14.4" hidden="1">
      <c r="A1326" t="s">
        <v>528</v>
      </c>
      <c r="B1326" t="s">
        <v>653</v>
      </c>
      <c r="C1326" t="s">
        <v>578</v>
      </c>
      <c r="D1326" s="2">
        <v>45838</v>
      </c>
      <c r="E1326">
        <v>0</v>
      </c>
      <c r="F1326" s="2">
        <v>45838</v>
      </c>
      <c r="G1326" s="6">
        <v>1</v>
      </c>
      <c r="H1326" s="6">
        <v>1</v>
      </c>
    </row>
    <row r="1327" spans="1:8" ht="14.4" hidden="1">
      <c r="A1327" t="s">
        <v>528</v>
      </c>
      <c r="B1327" t="s">
        <v>779</v>
      </c>
      <c r="C1327" t="s">
        <v>580</v>
      </c>
      <c r="D1327" s="2">
        <v>45912</v>
      </c>
      <c r="E1327">
        <v>24</v>
      </c>
      <c r="F1327" s="2">
        <v>45947</v>
      </c>
      <c r="G1327" s="6">
        <v>1</v>
      </c>
      <c r="H1327" s="6">
        <v>1</v>
      </c>
    </row>
    <row r="1328" spans="1:8" ht="14.4" hidden="1">
      <c r="A1328" t="s">
        <v>528</v>
      </c>
      <c r="B1328" t="s">
        <v>781</v>
      </c>
      <c r="C1328" t="s">
        <v>974</v>
      </c>
      <c r="D1328" s="2">
        <v>45922</v>
      </c>
      <c r="E1328">
        <v>1</v>
      </c>
      <c r="F1328" s="2">
        <v>45923</v>
      </c>
      <c r="G1328" s="6">
        <v>1</v>
      </c>
      <c r="H1328" s="6">
        <v>1</v>
      </c>
    </row>
    <row r="1329" spans="1:8" ht="14.4" hidden="1">
      <c r="A1329" t="s">
        <v>528</v>
      </c>
      <c r="B1329" t="s">
        <v>783</v>
      </c>
      <c r="C1329" t="s">
        <v>975</v>
      </c>
      <c r="D1329" s="2">
        <v>45947</v>
      </c>
      <c r="E1329">
        <v>1</v>
      </c>
      <c r="F1329" s="2">
        <v>45950</v>
      </c>
      <c r="G1329" s="6">
        <v>1</v>
      </c>
      <c r="H1329" s="6">
        <v>1</v>
      </c>
    </row>
    <row r="1330" spans="1:8" ht="14.4" hidden="1">
      <c r="A1330" t="s">
        <v>528</v>
      </c>
      <c r="B1330">
        <v>6</v>
      </c>
      <c r="C1330" t="s">
        <v>240</v>
      </c>
      <c r="D1330" s="2">
        <v>45936</v>
      </c>
      <c r="E1330">
        <v>52</v>
      </c>
      <c r="F1330" s="2">
        <v>45988</v>
      </c>
      <c r="G1330" s="6">
        <v>0.9</v>
      </c>
      <c r="H1330" s="6">
        <v>1</v>
      </c>
    </row>
    <row r="1331" spans="1:8" ht="14.4" hidden="1">
      <c r="A1331" t="s">
        <v>528</v>
      </c>
      <c r="B1331" t="s">
        <v>586</v>
      </c>
      <c r="C1331" t="s">
        <v>976</v>
      </c>
      <c r="D1331" s="2">
        <v>45945</v>
      </c>
      <c r="E1331">
        <v>1</v>
      </c>
      <c r="F1331" s="2">
        <v>45946</v>
      </c>
      <c r="G1331" s="6">
        <v>1</v>
      </c>
      <c r="H1331" s="6">
        <v>1</v>
      </c>
    </row>
    <row r="1332" spans="1:8" ht="14.4" hidden="1">
      <c r="A1332" t="s">
        <v>528</v>
      </c>
      <c r="B1332" t="s">
        <v>587</v>
      </c>
      <c r="C1332" t="s">
        <v>977</v>
      </c>
      <c r="D1332" s="2">
        <v>45939</v>
      </c>
      <c r="E1332">
        <v>9</v>
      </c>
      <c r="F1332" s="2">
        <v>45952</v>
      </c>
      <c r="G1332" s="6">
        <v>1</v>
      </c>
      <c r="H1332" s="6">
        <v>1</v>
      </c>
    </row>
    <row r="1333" spans="1:8" ht="14.4" hidden="1">
      <c r="A1333" t="s">
        <v>528</v>
      </c>
      <c r="B1333" t="s">
        <v>599</v>
      </c>
      <c r="C1333" t="s">
        <v>978</v>
      </c>
      <c r="D1333" s="2">
        <v>45936</v>
      </c>
      <c r="E1333">
        <v>11</v>
      </c>
      <c r="F1333" s="2">
        <v>45951</v>
      </c>
      <c r="G1333" s="6">
        <v>1</v>
      </c>
      <c r="H1333" s="6">
        <v>1</v>
      </c>
    </row>
    <row r="1334" spans="1:8" ht="14.4" hidden="1">
      <c r="A1334" t="s">
        <v>528</v>
      </c>
      <c r="B1334" t="s">
        <v>979</v>
      </c>
      <c r="C1334" t="s">
        <v>980</v>
      </c>
      <c r="D1334" s="2">
        <v>45952</v>
      </c>
      <c r="E1334">
        <v>25</v>
      </c>
      <c r="F1334" s="2">
        <v>45987</v>
      </c>
      <c r="G1334" s="6">
        <v>1</v>
      </c>
      <c r="H1334" s="6">
        <v>1</v>
      </c>
    </row>
    <row r="1335" spans="1:8" ht="14.4" hidden="1">
      <c r="A1335" t="s">
        <v>528</v>
      </c>
      <c r="B1335" t="s">
        <v>981</v>
      </c>
      <c r="C1335" t="s">
        <v>982</v>
      </c>
      <c r="D1335" s="2">
        <v>45950</v>
      </c>
      <c r="E1335">
        <v>1</v>
      </c>
      <c r="F1335" s="2">
        <v>45951</v>
      </c>
      <c r="G1335" s="6">
        <v>1</v>
      </c>
      <c r="H1335" s="6">
        <v>1</v>
      </c>
    </row>
    <row r="1336" spans="1:8" ht="14.4" hidden="1">
      <c r="A1336" t="s">
        <v>528</v>
      </c>
      <c r="B1336" t="s">
        <v>983</v>
      </c>
      <c r="C1336" t="s">
        <v>984</v>
      </c>
      <c r="D1336" s="2">
        <v>45951</v>
      </c>
      <c r="E1336">
        <v>5</v>
      </c>
      <c r="F1336" s="2">
        <v>45958</v>
      </c>
      <c r="G1336" s="6">
        <v>1</v>
      </c>
      <c r="H1336" s="6">
        <v>1</v>
      </c>
    </row>
    <row r="1337" spans="1:8" ht="14.4" hidden="1">
      <c r="A1337" t="s">
        <v>528</v>
      </c>
      <c r="B1337" t="s">
        <v>985</v>
      </c>
      <c r="C1337" t="s">
        <v>986</v>
      </c>
      <c r="D1337" s="2">
        <v>45947</v>
      </c>
      <c r="E1337">
        <v>1</v>
      </c>
      <c r="F1337" s="2">
        <v>45948</v>
      </c>
      <c r="G1337" s="6">
        <v>1</v>
      </c>
      <c r="H1337" s="6">
        <v>1</v>
      </c>
    </row>
    <row r="1338" spans="1:8" ht="14.4" hidden="1">
      <c r="A1338" t="s">
        <v>528</v>
      </c>
      <c r="B1338" t="s">
        <v>987</v>
      </c>
      <c r="C1338" t="s">
        <v>988</v>
      </c>
      <c r="D1338" s="2">
        <v>45947</v>
      </c>
      <c r="E1338">
        <v>5</v>
      </c>
      <c r="F1338" s="2">
        <v>45952</v>
      </c>
      <c r="G1338" s="6">
        <v>1</v>
      </c>
      <c r="H1338" s="6">
        <v>1</v>
      </c>
    </row>
    <row r="1339" spans="1:8" ht="14.4" hidden="1">
      <c r="A1339" t="s">
        <v>528</v>
      </c>
      <c r="B1339" t="s">
        <v>989</v>
      </c>
      <c r="C1339" t="s">
        <v>990</v>
      </c>
      <c r="D1339" s="2">
        <v>45951</v>
      </c>
      <c r="E1339">
        <v>5</v>
      </c>
      <c r="F1339" s="2">
        <v>45956</v>
      </c>
      <c r="G1339" s="6">
        <v>1</v>
      </c>
      <c r="H1339" s="6">
        <v>1</v>
      </c>
    </row>
    <row r="1340" spans="1:8" ht="14.4" hidden="1">
      <c r="A1340" t="s">
        <v>528</v>
      </c>
      <c r="B1340" t="s">
        <v>991</v>
      </c>
      <c r="C1340" t="s">
        <v>992</v>
      </c>
      <c r="D1340" s="2">
        <v>45957</v>
      </c>
      <c r="E1340">
        <v>31</v>
      </c>
      <c r="F1340" s="2">
        <v>45988</v>
      </c>
      <c r="G1340" s="6">
        <v>1</v>
      </c>
      <c r="H1340" s="6">
        <v>1</v>
      </c>
    </row>
    <row r="1341" spans="1:8" ht="14.4" hidden="1">
      <c r="A1341" t="s">
        <v>528</v>
      </c>
      <c r="B1341" t="s">
        <v>993</v>
      </c>
      <c r="C1341" t="s">
        <v>994</v>
      </c>
      <c r="D1341" s="2">
        <v>45961</v>
      </c>
      <c r="E1341">
        <v>10</v>
      </c>
      <c r="F1341" s="2">
        <v>45971</v>
      </c>
      <c r="G1341" s="6">
        <v>1</v>
      </c>
      <c r="H1341" s="6">
        <v>1</v>
      </c>
    </row>
    <row r="1342" spans="1:8" ht="14.4" hidden="1">
      <c r="A1342" t="s">
        <v>528</v>
      </c>
      <c r="B1342">
        <v>7</v>
      </c>
      <c r="C1342" t="s">
        <v>588</v>
      </c>
      <c r="D1342" s="2">
        <v>45959</v>
      </c>
      <c r="E1342">
        <v>1</v>
      </c>
      <c r="F1342" s="2">
        <v>45960</v>
      </c>
      <c r="G1342" s="6">
        <v>1</v>
      </c>
      <c r="H1342" s="6">
        <v>1</v>
      </c>
    </row>
    <row r="1343" spans="1:8" ht="14.4" hidden="1">
      <c r="A1343" t="s">
        <v>528</v>
      </c>
      <c r="B1343">
        <v>7.1</v>
      </c>
      <c r="C1343" t="s">
        <v>589</v>
      </c>
      <c r="D1343" s="2">
        <v>45959</v>
      </c>
      <c r="E1343">
        <v>1</v>
      </c>
      <c r="F1343" s="2">
        <v>45960</v>
      </c>
      <c r="G1343" s="6">
        <v>1</v>
      </c>
      <c r="H1343" s="6">
        <v>1</v>
      </c>
    </row>
    <row r="1344" spans="1:8" ht="14.4" hidden="1">
      <c r="A1344" t="s">
        <v>528</v>
      </c>
      <c r="B1344" t="s">
        <v>601</v>
      </c>
      <c r="C1344" t="s">
        <v>995</v>
      </c>
      <c r="D1344" s="2">
        <v>45952</v>
      </c>
      <c r="E1344">
        <v>1</v>
      </c>
      <c r="F1344" s="2">
        <v>45953</v>
      </c>
      <c r="G1344" s="6">
        <v>1</v>
      </c>
      <c r="H1344" s="6">
        <v>1</v>
      </c>
    </row>
    <row r="1345" spans="1:8" ht="14.4" hidden="1">
      <c r="A1345" t="s">
        <v>528</v>
      </c>
      <c r="B1345">
        <v>8</v>
      </c>
      <c r="C1345" t="s">
        <v>590</v>
      </c>
      <c r="D1345" s="2">
        <v>45953</v>
      </c>
      <c r="E1345">
        <v>43</v>
      </c>
      <c r="F1345" s="2">
        <v>45996</v>
      </c>
      <c r="G1345" s="6">
        <v>0.55932203389830504</v>
      </c>
      <c r="H1345" s="6">
        <v>0.55932203389830504</v>
      </c>
    </row>
    <row r="1346" spans="1:8" ht="14.4" hidden="1">
      <c r="A1346" t="s">
        <v>528</v>
      </c>
      <c r="B1346">
        <v>8.1</v>
      </c>
      <c r="C1346" t="s">
        <v>591</v>
      </c>
      <c r="D1346" s="2">
        <v>45960</v>
      </c>
      <c r="E1346">
        <v>1</v>
      </c>
      <c r="F1346" s="2">
        <v>45961</v>
      </c>
      <c r="G1346" s="6">
        <v>1</v>
      </c>
      <c r="H1346" s="6">
        <v>1</v>
      </c>
    </row>
    <row r="1347" spans="1:8" ht="14.4" hidden="1">
      <c r="A1347" t="s">
        <v>528</v>
      </c>
      <c r="B1347">
        <v>8.1999999999999993</v>
      </c>
      <c r="C1347" t="s">
        <v>592</v>
      </c>
      <c r="D1347" s="2">
        <v>45953</v>
      </c>
      <c r="E1347">
        <v>26</v>
      </c>
      <c r="F1347" s="2">
        <v>45989</v>
      </c>
      <c r="G1347" s="6">
        <v>1</v>
      </c>
      <c r="H1347" s="6">
        <v>1</v>
      </c>
    </row>
    <row r="1348" spans="1:8" ht="14.4" hidden="1">
      <c r="A1348" t="s">
        <v>528</v>
      </c>
      <c r="B1348">
        <v>8.3000000000000007</v>
      </c>
      <c r="C1348" t="s">
        <v>996</v>
      </c>
      <c r="D1348" s="2">
        <v>45965</v>
      </c>
      <c r="E1348">
        <v>2</v>
      </c>
      <c r="F1348" s="2">
        <v>45967</v>
      </c>
      <c r="G1348" s="6">
        <v>1</v>
      </c>
      <c r="H1348" s="6">
        <v>1</v>
      </c>
    </row>
    <row r="1349" spans="1:8" ht="14.4" hidden="1">
      <c r="A1349" t="s">
        <v>528</v>
      </c>
      <c r="B1349">
        <v>8.4</v>
      </c>
      <c r="C1349" t="s">
        <v>997</v>
      </c>
      <c r="D1349" s="2">
        <v>45964</v>
      </c>
      <c r="E1349">
        <v>1</v>
      </c>
      <c r="F1349" s="2">
        <v>45965</v>
      </c>
      <c r="G1349" s="6">
        <v>1</v>
      </c>
      <c r="H1349" s="6">
        <v>1</v>
      </c>
    </row>
    <row r="1350" spans="1:8" ht="14.4" hidden="1">
      <c r="A1350" t="s">
        <v>528</v>
      </c>
      <c r="B1350">
        <v>8.5</v>
      </c>
      <c r="C1350" t="s">
        <v>998</v>
      </c>
      <c r="D1350" s="2">
        <v>45961</v>
      </c>
      <c r="E1350">
        <v>8</v>
      </c>
      <c r="F1350" s="2">
        <v>45973</v>
      </c>
      <c r="G1350" s="6">
        <v>1</v>
      </c>
      <c r="H1350" s="6">
        <v>1</v>
      </c>
    </row>
    <row r="1351" spans="1:8" ht="14.4" hidden="1">
      <c r="A1351" t="s">
        <v>528</v>
      </c>
      <c r="B1351">
        <v>8.6</v>
      </c>
      <c r="C1351" t="s">
        <v>999</v>
      </c>
      <c r="D1351" s="2">
        <v>45961</v>
      </c>
      <c r="E1351">
        <v>12</v>
      </c>
      <c r="F1351" s="2">
        <v>45979</v>
      </c>
      <c r="G1351" s="6">
        <v>1</v>
      </c>
      <c r="H1351" s="6">
        <v>1</v>
      </c>
    </row>
    <row r="1352" spans="1:8" ht="14.4" hidden="1">
      <c r="A1352" t="s">
        <v>528</v>
      </c>
      <c r="B1352">
        <v>8.6999999999999993</v>
      </c>
      <c r="C1352" t="s">
        <v>1000</v>
      </c>
      <c r="D1352" s="2">
        <v>45961</v>
      </c>
      <c r="E1352">
        <v>18</v>
      </c>
      <c r="F1352" s="2">
        <v>45987</v>
      </c>
      <c r="G1352" s="6">
        <v>1</v>
      </c>
      <c r="H1352" s="6">
        <v>1</v>
      </c>
    </row>
    <row r="1353" spans="1:8" ht="14.4" hidden="1">
      <c r="A1353" t="s">
        <v>528</v>
      </c>
      <c r="B1353">
        <v>8.8000000000000007</v>
      </c>
      <c r="C1353" t="s">
        <v>762</v>
      </c>
      <c r="D1353" s="2">
        <v>45966</v>
      </c>
      <c r="E1353">
        <v>2</v>
      </c>
      <c r="F1353" s="2">
        <v>45968</v>
      </c>
      <c r="G1353" s="6">
        <v>1</v>
      </c>
      <c r="H1353" s="6">
        <v>1</v>
      </c>
    </row>
    <row r="1354" spans="1:8" ht="14.4" hidden="1">
      <c r="A1354" t="s">
        <v>528</v>
      </c>
      <c r="B1354">
        <v>8.9</v>
      </c>
      <c r="C1354" t="s">
        <v>1001</v>
      </c>
      <c r="D1354" s="2">
        <v>45966</v>
      </c>
      <c r="E1354">
        <v>1</v>
      </c>
      <c r="F1354" s="2">
        <v>45967</v>
      </c>
      <c r="G1354" s="6">
        <v>1</v>
      </c>
      <c r="H1354" s="6">
        <v>1</v>
      </c>
    </row>
    <row r="1355" spans="1:8" ht="14.4" hidden="1">
      <c r="A1355" t="s">
        <v>528</v>
      </c>
      <c r="B1355" t="s">
        <v>1002</v>
      </c>
      <c r="C1355" t="s">
        <v>594</v>
      </c>
      <c r="D1355" s="2">
        <v>45953</v>
      </c>
      <c r="E1355">
        <v>25</v>
      </c>
      <c r="F1355" s="2">
        <v>45988</v>
      </c>
      <c r="G1355" s="6">
        <v>1</v>
      </c>
      <c r="H1355" s="6">
        <v>1</v>
      </c>
    </row>
    <row r="1356" spans="1:8" ht="14.4" hidden="1">
      <c r="A1356" t="s">
        <v>528</v>
      </c>
      <c r="B1356" t="s">
        <v>1003</v>
      </c>
      <c r="C1356" t="s">
        <v>595</v>
      </c>
      <c r="D1356" s="2">
        <v>45995</v>
      </c>
      <c r="E1356">
        <v>1</v>
      </c>
      <c r="F1356" s="2">
        <v>45996</v>
      </c>
      <c r="G1356" s="6">
        <v>1</v>
      </c>
      <c r="H1356" s="6">
        <v>1</v>
      </c>
    </row>
    <row r="1357" spans="1:8" ht="14.4" hidden="1">
      <c r="A1357" t="s">
        <v>528</v>
      </c>
      <c r="B1357" t="s">
        <v>1004</v>
      </c>
      <c r="C1357" t="s">
        <v>596</v>
      </c>
      <c r="D1357" s="2">
        <v>45978</v>
      </c>
      <c r="E1357">
        <v>11</v>
      </c>
      <c r="F1357" s="2">
        <v>45993</v>
      </c>
      <c r="G1357" s="6">
        <v>1</v>
      </c>
      <c r="H1357" s="6">
        <v>1</v>
      </c>
    </row>
    <row r="1358" spans="1:8" ht="14.4" hidden="1">
      <c r="A1358" t="s">
        <v>529</v>
      </c>
      <c r="B1358">
        <v>1</v>
      </c>
      <c r="C1358" t="s">
        <v>547</v>
      </c>
      <c r="D1358" s="2">
        <v>45685</v>
      </c>
      <c r="E1358">
        <v>57</v>
      </c>
      <c r="F1358" s="2">
        <v>45742</v>
      </c>
      <c r="G1358" s="6">
        <v>1</v>
      </c>
      <c r="H1358" s="6">
        <v>1</v>
      </c>
    </row>
    <row r="1359" spans="1:8" ht="14.4" hidden="1">
      <c r="A1359" t="s">
        <v>529</v>
      </c>
      <c r="B1359" t="s">
        <v>548</v>
      </c>
      <c r="C1359" t="s">
        <v>549</v>
      </c>
      <c r="D1359" s="2">
        <v>45685</v>
      </c>
      <c r="E1359">
        <v>1</v>
      </c>
      <c r="F1359" s="2">
        <v>45686</v>
      </c>
      <c r="G1359" s="6">
        <v>1</v>
      </c>
      <c r="H1359" s="6">
        <v>1</v>
      </c>
    </row>
    <row r="1360" spans="1:8" ht="14.4" hidden="1">
      <c r="A1360" t="s">
        <v>529</v>
      </c>
      <c r="B1360" t="s">
        <v>550</v>
      </c>
      <c r="C1360" t="s">
        <v>551</v>
      </c>
      <c r="D1360" s="2">
        <v>45699</v>
      </c>
      <c r="E1360">
        <v>1</v>
      </c>
      <c r="F1360" s="2">
        <v>45700</v>
      </c>
      <c r="G1360" s="6">
        <v>1</v>
      </c>
      <c r="H1360" s="6">
        <v>1</v>
      </c>
    </row>
    <row r="1361" spans="1:8" ht="14.4" hidden="1">
      <c r="A1361" t="s">
        <v>529</v>
      </c>
      <c r="B1361" t="s">
        <v>552</v>
      </c>
      <c r="C1361" t="s">
        <v>553</v>
      </c>
      <c r="D1361" s="2">
        <v>45699</v>
      </c>
      <c r="E1361">
        <v>43</v>
      </c>
      <c r="F1361" s="2">
        <v>45742</v>
      </c>
      <c r="G1361" s="6">
        <v>1</v>
      </c>
      <c r="H1361" s="6">
        <v>1</v>
      </c>
    </row>
    <row r="1362" spans="1:8" ht="14.4" hidden="1">
      <c r="A1362" t="s">
        <v>529</v>
      </c>
      <c r="B1362" t="s">
        <v>554</v>
      </c>
      <c r="C1362" t="s">
        <v>1005</v>
      </c>
      <c r="E1362"/>
    </row>
    <row r="1363" spans="1:8" ht="14.4" hidden="1">
      <c r="A1363" t="s">
        <v>529</v>
      </c>
      <c r="B1363" t="s">
        <v>556</v>
      </c>
      <c r="C1363" t="s">
        <v>555</v>
      </c>
      <c r="D1363" s="2">
        <v>45719</v>
      </c>
      <c r="E1363">
        <v>1</v>
      </c>
      <c r="F1363" s="2">
        <v>45720</v>
      </c>
      <c r="G1363" s="6">
        <v>1</v>
      </c>
      <c r="H1363" s="6">
        <v>1</v>
      </c>
    </row>
    <row r="1364" spans="1:8" ht="14.4" hidden="1">
      <c r="A1364" t="s">
        <v>529</v>
      </c>
      <c r="B1364" t="s">
        <v>606</v>
      </c>
      <c r="C1364" t="s">
        <v>557</v>
      </c>
      <c r="D1364" s="2">
        <v>45719</v>
      </c>
      <c r="E1364">
        <v>1</v>
      </c>
      <c r="F1364" s="2">
        <v>45720</v>
      </c>
      <c r="G1364" s="6">
        <v>1</v>
      </c>
      <c r="H1364" s="6">
        <v>1</v>
      </c>
    </row>
    <row r="1365" spans="1:8" ht="14.4" hidden="1">
      <c r="A1365" t="s">
        <v>529</v>
      </c>
      <c r="B1365">
        <v>2</v>
      </c>
      <c r="C1365" t="s">
        <v>558</v>
      </c>
      <c r="D1365" s="2">
        <v>45726</v>
      </c>
      <c r="E1365">
        <v>1</v>
      </c>
      <c r="F1365" s="2">
        <v>45727</v>
      </c>
      <c r="G1365" s="6">
        <v>1</v>
      </c>
      <c r="H1365" s="6">
        <v>1</v>
      </c>
    </row>
    <row r="1366" spans="1:8" ht="14.4" hidden="1">
      <c r="A1366" t="s">
        <v>529</v>
      </c>
      <c r="B1366" t="s">
        <v>559</v>
      </c>
      <c r="C1366" t="s">
        <v>788</v>
      </c>
      <c r="D1366" s="2">
        <v>45726</v>
      </c>
      <c r="E1366">
        <v>1</v>
      </c>
      <c r="F1366" s="2">
        <v>45727</v>
      </c>
      <c r="G1366" s="6">
        <v>1</v>
      </c>
      <c r="H1366" s="6">
        <v>1</v>
      </c>
    </row>
    <row r="1367" spans="1:8" ht="14.4" hidden="1">
      <c r="A1367" t="s">
        <v>529</v>
      </c>
      <c r="B1367">
        <v>3</v>
      </c>
      <c r="C1367" t="s">
        <v>561</v>
      </c>
      <c r="D1367" s="2">
        <v>45726</v>
      </c>
      <c r="E1367">
        <v>127</v>
      </c>
      <c r="F1367" s="2">
        <v>45853</v>
      </c>
      <c r="G1367" s="6">
        <v>1</v>
      </c>
      <c r="H1367" s="6">
        <v>1</v>
      </c>
    </row>
    <row r="1368" spans="1:8" ht="14.4" hidden="1">
      <c r="A1368" t="s">
        <v>529</v>
      </c>
      <c r="B1368" t="s">
        <v>562</v>
      </c>
      <c r="C1368" t="s">
        <v>563</v>
      </c>
      <c r="D1368" s="2">
        <v>45727</v>
      </c>
      <c r="E1368">
        <v>1</v>
      </c>
      <c r="F1368" s="2">
        <v>45728</v>
      </c>
      <c r="G1368" s="6">
        <v>1</v>
      </c>
      <c r="H1368" s="6">
        <v>1</v>
      </c>
    </row>
    <row r="1369" spans="1:8" ht="14.4" hidden="1">
      <c r="A1369" t="s">
        <v>529</v>
      </c>
      <c r="B1369" t="s">
        <v>564</v>
      </c>
      <c r="C1369" t="s">
        <v>565</v>
      </c>
      <c r="D1369" s="2">
        <v>45817</v>
      </c>
      <c r="E1369">
        <v>5</v>
      </c>
      <c r="F1369" s="2">
        <v>45825</v>
      </c>
      <c r="G1369" s="6">
        <v>1</v>
      </c>
      <c r="H1369" s="6">
        <v>1</v>
      </c>
    </row>
    <row r="1370" spans="1:8" ht="14.4" hidden="1">
      <c r="A1370" t="s">
        <v>529</v>
      </c>
      <c r="B1370" t="s">
        <v>566</v>
      </c>
      <c r="C1370" t="s">
        <v>567</v>
      </c>
      <c r="D1370" s="2">
        <v>45726</v>
      </c>
      <c r="E1370">
        <v>25</v>
      </c>
      <c r="F1370" s="2">
        <v>45762</v>
      </c>
      <c r="G1370" s="6">
        <v>1</v>
      </c>
      <c r="H1370" s="6">
        <v>1</v>
      </c>
    </row>
    <row r="1371" spans="1:8" ht="14.4" hidden="1">
      <c r="A1371" t="s">
        <v>529</v>
      </c>
      <c r="B1371" t="s">
        <v>568</v>
      </c>
      <c r="C1371" t="s">
        <v>569</v>
      </c>
      <c r="D1371" s="2">
        <v>45817</v>
      </c>
      <c r="E1371">
        <v>12</v>
      </c>
      <c r="F1371" s="2">
        <v>45834</v>
      </c>
      <c r="G1371" s="6">
        <v>1</v>
      </c>
      <c r="H1371" s="6">
        <v>1</v>
      </c>
    </row>
    <row r="1372" spans="1:8" ht="14.4" hidden="1">
      <c r="A1372" t="s">
        <v>529</v>
      </c>
      <c r="B1372" t="s">
        <v>570</v>
      </c>
      <c r="C1372" t="s">
        <v>571</v>
      </c>
      <c r="D1372" s="2">
        <v>45852</v>
      </c>
      <c r="E1372">
        <v>1</v>
      </c>
      <c r="F1372" s="2">
        <v>45853</v>
      </c>
      <c r="G1372" s="6">
        <v>1</v>
      </c>
      <c r="H1372" s="6">
        <v>1</v>
      </c>
    </row>
    <row r="1373" spans="1:8" ht="14.4" hidden="1">
      <c r="A1373" t="s">
        <v>529</v>
      </c>
      <c r="B1373">
        <v>4</v>
      </c>
      <c r="C1373" t="s">
        <v>572</v>
      </c>
      <c r="D1373" s="2">
        <v>45726</v>
      </c>
      <c r="E1373">
        <v>63</v>
      </c>
      <c r="F1373" s="2">
        <v>45789</v>
      </c>
      <c r="G1373" s="6">
        <v>1</v>
      </c>
      <c r="H1373" s="6">
        <v>1</v>
      </c>
    </row>
    <row r="1374" spans="1:8" ht="14.4" hidden="1">
      <c r="A1374" t="s">
        <v>529</v>
      </c>
      <c r="B1374" t="s">
        <v>573</v>
      </c>
      <c r="C1374" t="s">
        <v>613</v>
      </c>
      <c r="E1374"/>
      <c r="G1374" s="6">
        <v>0</v>
      </c>
      <c r="H1374" s="6">
        <v>0</v>
      </c>
    </row>
    <row r="1375" spans="1:8" ht="14.4" hidden="1">
      <c r="A1375" t="s">
        <v>529</v>
      </c>
      <c r="B1375" t="s">
        <v>573</v>
      </c>
      <c r="C1375" t="s">
        <v>574</v>
      </c>
      <c r="D1375" s="2">
        <v>45727</v>
      </c>
      <c r="E1375">
        <v>1</v>
      </c>
      <c r="F1375" s="2">
        <v>45728</v>
      </c>
      <c r="G1375" s="6">
        <v>1</v>
      </c>
      <c r="H1375" s="6">
        <v>1</v>
      </c>
    </row>
    <row r="1376" spans="1:8" ht="14.4" hidden="1">
      <c r="A1376" t="s">
        <v>529</v>
      </c>
      <c r="B1376" t="s">
        <v>575</v>
      </c>
      <c r="C1376" t="s">
        <v>576</v>
      </c>
      <c r="D1376" s="2">
        <v>45726</v>
      </c>
      <c r="E1376">
        <v>10</v>
      </c>
      <c r="F1376" s="2">
        <v>45741</v>
      </c>
      <c r="G1376" s="6">
        <v>1</v>
      </c>
      <c r="H1376" s="6">
        <v>1</v>
      </c>
    </row>
    <row r="1377" spans="1:8" ht="14.4" hidden="1">
      <c r="A1377" t="s">
        <v>529</v>
      </c>
      <c r="B1377" t="s">
        <v>577</v>
      </c>
      <c r="C1377" t="s">
        <v>578</v>
      </c>
      <c r="D1377" s="2">
        <v>45727</v>
      </c>
      <c r="E1377">
        <v>1</v>
      </c>
      <c r="F1377" s="2">
        <v>45728</v>
      </c>
      <c r="G1377" s="6">
        <v>1</v>
      </c>
      <c r="H1377" s="6">
        <v>1</v>
      </c>
    </row>
    <row r="1378" spans="1:8" ht="14.4" hidden="1">
      <c r="A1378" t="s">
        <v>529</v>
      </c>
      <c r="B1378" t="s">
        <v>577</v>
      </c>
      <c r="C1378" t="s">
        <v>580</v>
      </c>
      <c r="D1378" s="2">
        <v>45776</v>
      </c>
      <c r="E1378">
        <v>8</v>
      </c>
      <c r="F1378" s="2">
        <v>45789</v>
      </c>
      <c r="G1378" s="6">
        <v>1</v>
      </c>
      <c r="H1378" s="6">
        <v>1</v>
      </c>
    </row>
    <row r="1379" spans="1:8" ht="14.4" hidden="1">
      <c r="A1379" t="s">
        <v>529</v>
      </c>
      <c r="B1379">
        <v>5</v>
      </c>
      <c r="C1379" t="s">
        <v>581</v>
      </c>
      <c r="D1379" s="2">
        <v>45741</v>
      </c>
      <c r="E1379">
        <v>38</v>
      </c>
      <c r="F1379" s="2">
        <v>45779</v>
      </c>
      <c r="G1379" s="6">
        <v>1</v>
      </c>
      <c r="H1379" s="6">
        <v>1</v>
      </c>
    </row>
    <row r="1380" spans="1:8" ht="14.4" hidden="1">
      <c r="A1380" t="s">
        <v>529</v>
      </c>
      <c r="B1380" t="s">
        <v>582</v>
      </c>
      <c r="C1380" t="s">
        <v>583</v>
      </c>
      <c r="D1380" s="2">
        <v>45741</v>
      </c>
      <c r="E1380">
        <v>1</v>
      </c>
      <c r="F1380" s="2">
        <v>45742</v>
      </c>
      <c r="G1380" s="6">
        <v>1</v>
      </c>
      <c r="H1380" s="6">
        <v>1</v>
      </c>
    </row>
    <row r="1381" spans="1:8" ht="14.4" hidden="1">
      <c r="A1381" t="s">
        <v>529</v>
      </c>
      <c r="B1381" t="s">
        <v>584</v>
      </c>
      <c r="C1381" t="s">
        <v>585</v>
      </c>
      <c r="D1381" s="2">
        <v>45741</v>
      </c>
      <c r="E1381">
        <v>20</v>
      </c>
      <c r="F1381" s="2">
        <v>45779</v>
      </c>
      <c r="G1381" s="6">
        <v>1</v>
      </c>
      <c r="H1381" s="6">
        <v>1</v>
      </c>
    </row>
    <row r="1382" spans="1:8" ht="14.4" hidden="1">
      <c r="A1382" t="s">
        <v>529</v>
      </c>
      <c r="B1382">
        <v>6</v>
      </c>
      <c r="C1382" t="s">
        <v>240</v>
      </c>
      <c r="D1382" s="2">
        <v>45855</v>
      </c>
      <c r="E1382">
        <v>4</v>
      </c>
      <c r="F1382" s="2">
        <v>45859</v>
      </c>
      <c r="G1382" s="6">
        <v>1</v>
      </c>
      <c r="H1382" s="6">
        <v>1</v>
      </c>
    </row>
    <row r="1383" spans="1:8" ht="14.4" hidden="1">
      <c r="A1383" t="s">
        <v>529</v>
      </c>
      <c r="B1383" t="s">
        <v>586</v>
      </c>
      <c r="C1383" t="s">
        <v>240</v>
      </c>
      <c r="D1383" s="2">
        <v>45855</v>
      </c>
      <c r="E1383">
        <v>1</v>
      </c>
      <c r="F1383" s="2">
        <v>45856</v>
      </c>
      <c r="G1383" s="6">
        <v>1</v>
      </c>
      <c r="H1383" s="6">
        <v>1</v>
      </c>
    </row>
    <row r="1384" spans="1:8" ht="14.4" hidden="1">
      <c r="A1384" t="s">
        <v>529</v>
      </c>
      <c r="B1384" t="s">
        <v>587</v>
      </c>
      <c r="C1384" t="s">
        <v>169</v>
      </c>
      <c r="D1384" s="2">
        <v>45856</v>
      </c>
      <c r="E1384">
        <v>1</v>
      </c>
      <c r="F1384" s="2">
        <v>45859</v>
      </c>
      <c r="G1384" s="6">
        <v>1</v>
      </c>
      <c r="H1384" s="6">
        <v>1</v>
      </c>
    </row>
    <row r="1385" spans="1:8" ht="14.4" hidden="1">
      <c r="A1385" t="s">
        <v>529</v>
      </c>
      <c r="B1385">
        <v>7</v>
      </c>
      <c r="C1385" t="s">
        <v>588</v>
      </c>
      <c r="D1385" s="2">
        <v>45859</v>
      </c>
      <c r="E1385">
        <v>7</v>
      </c>
      <c r="F1385" s="2">
        <v>45866</v>
      </c>
      <c r="G1385" s="6">
        <v>1</v>
      </c>
      <c r="H1385" s="6">
        <v>1</v>
      </c>
    </row>
    <row r="1386" spans="1:8" ht="14.4" hidden="1">
      <c r="A1386" t="s">
        <v>529</v>
      </c>
      <c r="B1386">
        <v>7.1</v>
      </c>
      <c r="C1386" t="s">
        <v>589</v>
      </c>
      <c r="D1386" s="2">
        <v>45859</v>
      </c>
      <c r="E1386">
        <v>5</v>
      </c>
      <c r="F1386" s="2">
        <v>45866</v>
      </c>
      <c r="G1386" s="6">
        <v>1</v>
      </c>
      <c r="H1386" s="6">
        <v>1</v>
      </c>
    </row>
    <row r="1387" spans="1:8" ht="14.4" hidden="1">
      <c r="A1387" t="s">
        <v>529</v>
      </c>
      <c r="B1387">
        <v>8</v>
      </c>
      <c r="C1387" t="s">
        <v>590</v>
      </c>
      <c r="D1387" s="2">
        <v>45859</v>
      </c>
      <c r="E1387">
        <v>11</v>
      </c>
      <c r="F1387" s="2">
        <v>45870</v>
      </c>
      <c r="G1387" s="6">
        <v>1</v>
      </c>
      <c r="H1387" s="6">
        <v>1</v>
      </c>
    </row>
    <row r="1388" spans="1:8" ht="14.4" hidden="1">
      <c r="A1388" t="s">
        <v>529</v>
      </c>
      <c r="B1388">
        <v>8.1</v>
      </c>
      <c r="C1388" t="s">
        <v>591</v>
      </c>
      <c r="D1388" s="2">
        <v>45866</v>
      </c>
      <c r="E1388">
        <v>2</v>
      </c>
      <c r="F1388" s="2">
        <v>45868</v>
      </c>
      <c r="G1388" s="6">
        <v>1</v>
      </c>
      <c r="H1388" s="6">
        <v>1</v>
      </c>
    </row>
    <row r="1389" spans="1:8" ht="14.4" hidden="1">
      <c r="A1389" t="s">
        <v>529</v>
      </c>
      <c r="B1389">
        <v>8.1999999999999993</v>
      </c>
      <c r="C1389" t="s">
        <v>592</v>
      </c>
      <c r="D1389" s="2">
        <v>45866</v>
      </c>
      <c r="E1389">
        <v>1</v>
      </c>
      <c r="F1389" s="2">
        <v>45867</v>
      </c>
      <c r="G1389" s="6">
        <v>1</v>
      </c>
      <c r="H1389" s="6">
        <v>1</v>
      </c>
    </row>
    <row r="1390" spans="1:8" ht="14.4" hidden="1">
      <c r="A1390" t="s">
        <v>529</v>
      </c>
      <c r="B1390">
        <v>8.3000000000000007</v>
      </c>
      <c r="C1390" t="s">
        <v>593</v>
      </c>
      <c r="D1390" s="2">
        <v>45859</v>
      </c>
      <c r="E1390">
        <v>5</v>
      </c>
      <c r="F1390" s="2">
        <v>45866</v>
      </c>
      <c r="G1390" s="6">
        <v>1</v>
      </c>
      <c r="H1390" s="6">
        <v>1</v>
      </c>
    </row>
    <row r="1391" spans="1:8" ht="14.4" hidden="1">
      <c r="A1391" t="s">
        <v>529</v>
      </c>
      <c r="B1391">
        <v>8.4</v>
      </c>
      <c r="C1391" t="s">
        <v>594</v>
      </c>
      <c r="D1391" s="2">
        <v>45866</v>
      </c>
      <c r="E1391">
        <v>3</v>
      </c>
      <c r="F1391" s="2">
        <v>45869</v>
      </c>
      <c r="G1391" s="6">
        <v>1</v>
      </c>
      <c r="H1391" s="6">
        <v>1</v>
      </c>
    </row>
    <row r="1392" spans="1:8" ht="14.4" hidden="1">
      <c r="A1392" t="s">
        <v>529</v>
      </c>
      <c r="B1392">
        <v>8.5</v>
      </c>
      <c r="C1392" t="s">
        <v>595</v>
      </c>
      <c r="D1392" s="2">
        <v>45869</v>
      </c>
      <c r="E1392">
        <v>1</v>
      </c>
      <c r="F1392" s="2">
        <v>45870</v>
      </c>
      <c r="G1392" s="6">
        <v>1</v>
      </c>
      <c r="H1392" s="6">
        <v>1</v>
      </c>
    </row>
    <row r="1393" spans="1:8" ht="14.4" hidden="1">
      <c r="A1393" t="s">
        <v>529</v>
      </c>
      <c r="B1393">
        <v>8.6</v>
      </c>
      <c r="C1393" t="s">
        <v>596</v>
      </c>
      <c r="D1393" s="2">
        <v>45861</v>
      </c>
      <c r="E1393">
        <v>5</v>
      </c>
      <c r="F1393" s="2">
        <v>45868</v>
      </c>
      <c r="G1393" s="6">
        <v>1</v>
      </c>
      <c r="H1393" s="6">
        <v>1</v>
      </c>
    </row>
    <row r="1394" spans="1:8" ht="14.4" hidden="1">
      <c r="A1394" t="s">
        <v>530</v>
      </c>
      <c r="B1394">
        <v>1</v>
      </c>
      <c r="C1394" t="s">
        <v>547</v>
      </c>
      <c r="D1394" s="2">
        <v>45973</v>
      </c>
      <c r="E1394">
        <v>83</v>
      </c>
      <c r="F1394" s="2">
        <v>46056</v>
      </c>
      <c r="G1394" s="6">
        <v>1</v>
      </c>
      <c r="H1394" s="6">
        <v>1</v>
      </c>
    </row>
    <row r="1395" spans="1:8" ht="14.4" hidden="1">
      <c r="A1395" t="s">
        <v>530</v>
      </c>
      <c r="B1395" t="s">
        <v>548</v>
      </c>
      <c r="C1395" t="s">
        <v>597</v>
      </c>
      <c r="D1395" s="2">
        <v>45973</v>
      </c>
      <c r="E1395">
        <v>1</v>
      </c>
      <c r="F1395" s="2">
        <v>45974</v>
      </c>
      <c r="G1395" s="6">
        <v>1</v>
      </c>
      <c r="H1395" s="6">
        <v>1</v>
      </c>
    </row>
    <row r="1396" spans="1:8" ht="14.4" hidden="1">
      <c r="A1396" t="s">
        <v>530</v>
      </c>
      <c r="B1396" t="s">
        <v>550</v>
      </c>
      <c r="C1396" t="s">
        <v>598</v>
      </c>
      <c r="D1396" s="2">
        <v>46029</v>
      </c>
      <c r="E1396">
        <v>12</v>
      </c>
      <c r="F1396" s="2">
        <v>46048</v>
      </c>
      <c r="G1396" s="6">
        <v>1</v>
      </c>
      <c r="H1396" s="6">
        <v>1</v>
      </c>
    </row>
    <row r="1397" spans="1:8" ht="14.4" hidden="1">
      <c r="A1397" t="s">
        <v>530</v>
      </c>
      <c r="B1397" t="s">
        <v>552</v>
      </c>
      <c r="C1397" t="s">
        <v>551</v>
      </c>
      <c r="D1397" s="2">
        <v>46034</v>
      </c>
      <c r="E1397">
        <v>1</v>
      </c>
      <c r="F1397" s="2">
        <v>46035</v>
      </c>
      <c r="G1397" s="6">
        <v>1</v>
      </c>
      <c r="H1397" s="6">
        <v>1</v>
      </c>
    </row>
    <row r="1398" spans="1:8" ht="14.4" hidden="1">
      <c r="A1398" t="s">
        <v>530</v>
      </c>
      <c r="B1398" t="s">
        <v>554</v>
      </c>
      <c r="C1398" t="s">
        <v>555</v>
      </c>
      <c r="D1398" s="2">
        <v>46049</v>
      </c>
      <c r="E1398">
        <v>1</v>
      </c>
      <c r="F1398" s="2">
        <v>46050</v>
      </c>
      <c r="G1398" s="6">
        <v>1</v>
      </c>
      <c r="H1398" s="6">
        <v>1</v>
      </c>
    </row>
    <row r="1399" spans="1:8" ht="14.4" hidden="1">
      <c r="A1399" t="s">
        <v>530</v>
      </c>
      <c r="B1399" t="s">
        <v>556</v>
      </c>
      <c r="C1399" t="s">
        <v>557</v>
      </c>
      <c r="D1399" s="2">
        <v>46056</v>
      </c>
      <c r="E1399"/>
      <c r="F1399" s="2">
        <v>46056</v>
      </c>
      <c r="G1399" s="6">
        <v>1</v>
      </c>
      <c r="H1399" s="6">
        <v>1</v>
      </c>
    </row>
    <row r="1400" spans="1:8" ht="14.4" hidden="1">
      <c r="A1400" t="s">
        <v>530</v>
      </c>
      <c r="B1400">
        <v>2</v>
      </c>
      <c r="C1400" t="s">
        <v>558</v>
      </c>
      <c r="D1400" s="2">
        <v>46056</v>
      </c>
      <c r="E1400">
        <v>1</v>
      </c>
      <c r="F1400" s="2">
        <v>46057</v>
      </c>
      <c r="G1400" s="6">
        <v>1</v>
      </c>
      <c r="H1400" s="6">
        <v>1</v>
      </c>
    </row>
    <row r="1401" spans="1:8" ht="14.4" hidden="1">
      <c r="A1401" t="s">
        <v>530</v>
      </c>
      <c r="B1401" t="s">
        <v>559</v>
      </c>
      <c r="C1401" t="s">
        <v>560</v>
      </c>
      <c r="D1401" s="2">
        <v>46056</v>
      </c>
      <c r="E1401">
        <v>1</v>
      </c>
      <c r="F1401" s="2">
        <v>46057</v>
      </c>
      <c r="G1401" s="6">
        <v>1</v>
      </c>
      <c r="H1401" s="6">
        <v>1</v>
      </c>
    </row>
    <row r="1402" spans="1:8" ht="14.4" hidden="1">
      <c r="A1402" t="s">
        <v>530</v>
      </c>
      <c r="B1402">
        <v>3</v>
      </c>
      <c r="C1402" t="s">
        <v>561</v>
      </c>
      <c r="D1402" s="2">
        <v>46020</v>
      </c>
      <c r="E1402">
        <v>57</v>
      </c>
      <c r="F1402" s="2">
        <v>46077</v>
      </c>
      <c r="G1402" s="6">
        <v>0.61081081081081079</v>
      </c>
      <c r="H1402" s="6">
        <v>0.74702702702702706</v>
      </c>
    </row>
    <row r="1403" spans="1:8" ht="14.4" hidden="1">
      <c r="A1403" t="s">
        <v>530</v>
      </c>
      <c r="B1403" t="s">
        <v>562</v>
      </c>
      <c r="C1403" t="s">
        <v>563</v>
      </c>
      <c r="D1403" s="2">
        <v>46056</v>
      </c>
      <c r="E1403">
        <v>1</v>
      </c>
      <c r="F1403" s="2">
        <v>46057</v>
      </c>
      <c r="G1403" s="6">
        <v>1</v>
      </c>
      <c r="H1403" s="6">
        <v>1</v>
      </c>
    </row>
    <row r="1404" spans="1:8" ht="14.4" hidden="1">
      <c r="A1404" t="s">
        <v>530</v>
      </c>
      <c r="B1404" t="s">
        <v>564</v>
      </c>
      <c r="C1404" t="s">
        <v>565</v>
      </c>
      <c r="D1404" s="2">
        <v>46057</v>
      </c>
      <c r="E1404">
        <v>2</v>
      </c>
      <c r="F1404" s="2">
        <v>46059</v>
      </c>
      <c r="G1404" s="6">
        <v>1</v>
      </c>
      <c r="H1404" s="6">
        <v>1</v>
      </c>
    </row>
    <row r="1405" spans="1:8" ht="14.4" hidden="1">
      <c r="A1405" t="s">
        <v>530</v>
      </c>
      <c r="B1405" t="s">
        <v>566</v>
      </c>
      <c r="C1405" t="s">
        <v>567</v>
      </c>
      <c r="D1405" s="2">
        <v>46020</v>
      </c>
      <c r="E1405">
        <v>28</v>
      </c>
      <c r="F1405" s="2">
        <v>46070</v>
      </c>
      <c r="G1405" s="6">
        <v>0.7</v>
      </c>
      <c r="H1405" s="6">
        <v>0.88</v>
      </c>
    </row>
    <row r="1406" spans="1:8" ht="14.4" hidden="1">
      <c r="A1406" t="s">
        <v>530</v>
      </c>
      <c r="B1406" t="s">
        <v>568</v>
      </c>
      <c r="C1406" t="s">
        <v>569</v>
      </c>
      <c r="D1406" s="2">
        <v>46070</v>
      </c>
      <c r="E1406">
        <v>5</v>
      </c>
      <c r="F1406" s="2">
        <v>46077</v>
      </c>
      <c r="G1406" s="6">
        <v>0</v>
      </c>
      <c r="H1406" s="6">
        <v>0</v>
      </c>
    </row>
    <row r="1407" spans="1:8" ht="14.4" hidden="1">
      <c r="A1407" t="s">
        <v>530</v>
      </c>
      <c r="B1407" t="s">
        <v>570</v>
      </c>
      <c r="C1407" t="s">
        <v>571</v>
      </c>
      <c r="D1407" s="2">
        <v>46070</v>
      </c>
      <c r="E1407">
        <v>1</v>
      </c>
      <c r="F1407" s="2">
        <v>46071</v>
      </c>
      <c r="G1407" s="6">
        <v>0</v>
      </c>
      <c r="H1407" s="6">
        <v>0</v>
      </c>
    </row>
    <row r="1408" spans="1:8" ht="14.4" hidden="1">
      <c r="A1408" t="s">
        <v>530</v>
      </c>
      <c r="B1408">
        <v>4</v>
      </c>
      <c r="C1408" t="s">
        <v>572</v>
      </c>
      <c r="D1408" s="2">
        <v>46056</v>
      </c>
      <c r="E1408">
        <v>29</v>
      </c>
      <c r="F1408" s="2">
        <v>46085</v>
      </c>
      <c r="G1408" s="6">
        <v>0.32500000000000001</v>
      </c>
      <c r="H1408" s="6">
        <v>0.44439077806600841</v>
      </c>
    </row>
    <row r="1409" spans="1:8" ht="14.4" hidden="1">
      <c r="A1409" t="s">
        <v>530</v>
      </c>
      <c r="B1409" t="s">
        <v>573</v>
      </c>
      <c r="C1409" t="s">
        <v>574</v>
      </c>
      <c r="D1409" s="2">
        <v>46056</v>
      </c>
      <c r="E1409">
        <v>1</v>
      </c>
      <c r="F1409" s="2">
        <v>46057</v>
      </c>
      <c r="G1409" s="6">
        <v>1</v>
      </c>
      <c r="H1409" s="6">
        <v>1</v>
      </c>
    </row>
    <row r="1410" spans="1:8" ht="14.4" hidden="1">
      <c r="A1410" t="s">
        <v>530</v>
      </c>
      <c r="B1410" t="s">
        <v>575</v>
      </c>
      <c r="C1410" t="s">
        <v>576</v>
      </c>
      <c r="D1410" s="2">
        <v>46057</v>
      </c>
      <c r="E1410">
        <v>7</v>
      </c>
      <c r="F1410" s="2">
        <v>46066</v>
      </c>
      <c r="G1410" s="6">
        <v>0.6</v>
      </c>
      <c r="H1410" s="6">
        <v>0.77777777777777779</v>
      </c>
    </row>
    <row r="1411" spans="1:8" ht="14.4" hidden="1">
      <c r="A1411" t="s">
        <v>530</v>
      </c>
      <c r="B1411" t="s">
        <v>577</v>
      </c>
      <c r="C1411" t="s">
        <v>578</v>
      </c>
      <c r="D1411" s="2">
        <v>46057</v>
      </c>
      <c r="E1411">
        <v>1</v>
      </c>
      <c r="F1411" s="2">
        <v>46058</v>
      </c>
      <c r="G1411" s="6">
        <v>1</v>
      </c>
      <c r="H1411" s="6">
        <v>1</v>
      </c>
    </row>
    <row r="1412" spans="1:8" ht="14.4" hidden="1">
      <c r="A1412" t="s">
        <v>530</v>
      </c>
      <c r="B1412" t="s">
        <v>579</v>
      </c>
      <c r="C1412" t="s">
        <v>580</v>
      </c>
      <c r="D1412" s="2">
        <v>46076</v>
      </c>
      <c r="E1412">
        <v>7</v>
      </c>
      <c r="F1412" s="2">
        <v>46085</v>
      </c>
      <c r="G1412" s="6">
        <v>0</v>
      </c>
      <c r="H1412" s="6">
        <v>0</v>
      </c>
    </row>
    <row r="1413" spans="1:8" ht="14.4" hidden="1">
      <c r="A1413" t="s">
        <v>530</v>
      </c>
      <c r="B1413">
        <v>5</v>
      </c>
      <c r="C1413" t="s">
        <v>581</v>
      </c>
      <c r="D1413" s="2">
        <v>46056</v>
      </c>
      <c r="E1413">
        <v>23</v>
      </c>
      <c r="F1413" s="2">
        <v>46079</v>
      </c>
      <c r="G1413" s="6">
        <v>0.1</v>
      </c>
      <c r="H1413" s="6">
        <v>0.49988061127029609</v>
      </c>
    </row>
    <row r="1414" spans="1:8" ht="14.4" hidden="1">
      <c r="A1414" t="s">
        <v>530</v>
      </c>
      <c r="B1414" t="s">
        <v>582</v>
      </c>
      <c r="C1414" t="s">
        <v>583</v>
      </c>
      <c r="D1414" s="2">
        <v>46056</v>
      </c>
      <c r="E1414">
        <v>1</v>
      </c>
      <c r="F1414" s="2">
        <v>46057</v>
      </c>
      <c r="G1414" s="6">
        <v>1</v>
      </c>
      <c r="H1414" s="6">
        <v>1</v>
      </c>
    </row>
    <row r="1415" spans="1:8" ht="14.4" hidden="1">
      <c r="A1415" t="s">
        <v>530</v>
      </c>
      <c r="B1415" t="s">
        <v>584</v>
      </c>
      <c r="C1415" t="s">
        <v>585</v>
      </c>
      <c r="D1415" s="2">
        <v>46066</v>
      </c>
      <c r="E1415">
        <v>9</v>
      </c>
      <c r="F1415" s="2">
        <v>46079</v>
      </c>
      <c r="G1415" s="6">
        <v>0</v>
      </c>
      <c r="H1415" s="6">
        <v>0</v>
      </c>
    </row>
    <row r="1416" spans="1:8" ht="14.4" hidden="1">
      <c r="A1416" t="s">
        <v>530</v>
      </c>
      <c r="B1416">
        <v>6</v>
      </c>
      <c r="C1416" t="s">
        <v>240</v>
      </c>
      <c r="D1416" s="2">
        <v>46085</v>
      </c>
      <c r="E1416">
        <v>9</v>
      </c>
      <c r="F1416" s="2">
        <v>46094</v>
      </c>
      <c r="G1416" s="6">
        <v>0</v>
      </c>
      <c r="H1416" s="6">
        <v>0</v>
      </c>
    </row>
    <row r="1417" spans="1:8" ht="14.4" hidden="1">
      <c r="A1417" t="s">
        <v>530</v>
      </c>
      <c r="B1417" t="s">
        <v>586</v>
      </c>
      <c r="C1417" t="s">
        <v>240</v>
      </c>
      <c r="D1417" s="2">
        <v>46085</v>
      </c>
      <c r="E1417">
        <v>1</v>
      </c>
      <c r="F1417" s="2">
        <v>46086</v>
      </c>
      <c r="G1417" s="6">
        <v>0</v>
      </c>
      <c r="H1417" s="6">
        <v>0</v>
      </c>
    </row>
    <row r="1418" spans="1:8" ht="14.4" hidden="1">
      <c r="A1418" t="s">
        <v>530</v>
      </c>
      <c r="B1418" t="s">
        <v>587</v>
      </c>
      <c r="C1418" t="s">
        <v>169</v>
      </c>
      <c r="D1418" s="2">
        <v>46086</v>
      </c>
      <c r="E1418">
        <v>1</v>
      </c>
      <c r="F1418" s="2">
        <v>46087</v>
      </c>
      <c r="G1418" s="6">
        <v>0</v>
      </c>
      <c r="H1418" s="6">
        <v>0</v>
      </c>
    </row>
    <row r="1419" spans="1:8" ht="14.4" hidden="1">
      <c r="A1419" t="s">
        <v>530</v>
      </c>
      <c r="B1419" t="s">
        <v>599</v>
      </c>
      <c r="C1419" t="s">
        <v>593</v>
      </c>
      <c r="D1419" s="2">
        <v>46087</v>
      </c>
      <c r="E1419">
        <v>5</v>
      </c>
      <c r="F1419" s="2">
        <v>46094</v>
      </c>
      <c r="G1419" s="6">
        <v>0</v>
      </c>
      <c r="H1419" s="6">
        <v>0</v>
      </c>
    </row>
    <row r="1420" spans="1:8" ht="14.4" hidden="1">
      <c r="A1420" t="s">
        <v>530</v>
      </c>
      <c r="B1420">
        <v>7</v>
      </c>
      <c r="C1420" t="s">
        <v>588</v>
      </c>
      <c r="D1420" s="2">
        <v>46087</v>
      </c>
      <c r="E1420">
        <v>14</v>
      </c>
      <c r="F1420" s="2">
        <v>46101</v>
      </c>
      <c r="G1420" s="6">
        <v>0</v>
      </c>
      <c r="H1420" s="6">
        <v>0</v>
      </c>
    </row>
    <row r="1421" spans="1:8" ht="14.4" hidden="1">
      <c r="A1421" t="s">
        <v>530</v>
      </c>
      <c r="B1421" t="s">
        <v>600</v>
      </c>
      <c r="C1421" t="s">
        <v>589</v>
      </c>
      <c r="D1421" s="2">
        <v>46087</v>
      </c>
      <c r="E1421">
        <v>3</v>
      </c>
      <c r="F1421" s="2">
        <v>46092</v>
      </c>
      <c r="G1421" s="6">
        <v>0</v>
      </c>
      <c r="H1421" s="6">
        <v>0</v>
      </c>
    </row>
    <row r="1422" spans="1:8" ht="14.4" hidden="1">
      <c r="A1422" t="s">
        <v>530</v>
      </c>
      <c r="B1422" t="s">
        <v>601</v>
      </c>
      <c r="C1422" t="s">
        <v>592</v>
      </c>
      <c r="D1422" s="2">
        <v>46092</v>
      </c>
      <c r="E1422">
        <v>7</v>
      </c>
      <c r="F1422" s="2">
        <v>46101</v>
      </c>
      <c r="G1422" s="6">
        <v>0</v>
      </c>
      <c r="H1422" s="6">
        <v>0</v>
      </c>
    </row>
    <row r="1423" spans="1:8" ht="14.4" hidden="1">
      <c r="A1423" t="s">
        <v>530</v>
      </c>
      <c r="B1423">
        <v>8</v>
      </c>
      <c r="C1423" t="s">
        <v>590</v>
      </c>
      <c r="D1423" s="2">
        <v>46092</v>
      </c>
      <c r="E1423">
        <v>16</v>
      </c>
      <c r="F1423" s="2">
        <v>46108</v>
      </c>
      <c r="G1423" s="6">
        <v>0</v>
      </c>
      <c r="H1423" s="6">
        <v>0</v>
      </c>
    </row>
    <row r="1424" spans="1:8" ht="14.4" hidden="1">
      <c r="A1424" t="s">
        <v>530</v>
      </c>
      <c r="B1424" t="s">
        <v>602</v>
      </c>
      <c r="C1424" t="s">
        <v>594</v>
      </c>
      <c r="D1424" s="2">
        <v>46092</v>
      </c>
      <c r="E1424">
        <v>7</v>
      </c>
      <c r="F1424" s="2">
        <v>46101</v>
      </c>
      <c r="G1424" s="6">
        <v>0</v>
      </c>
      <c r="H1424" s="6">
        <v>0</v>
      </c>
    </row>
    <row r="1425" spans="1:8" ht="14.4" hidden="1">
      <c r="A1425" t="s">
        <v>530</v>
      </c>
      <c r="B1425" t="s">
        <v>603</v>
      </c>
      <c r="C1425" t="s">
        <v>595</v>
      </c>
      <c r="D1425" s="2">
        <v>46101</v>
      </c>
      <c r="E1425">
        <v>1</v>
      </c>
      <c r="F1425" s="2">
        <v>46104</v>
      </c>
      <c r="G1425" s="6">
        <v>0</v>
      </c>
      <c r="H1425" s="6">
        <v>0</v>
      </c>
    </row>
    <row r="1426" spans="1:8" ht="14.4" hidden="1">
      <c r="A1426" t="s">
        <v>530</v>
      </c>
      <c r="B1426" t="s">
        <v>604</v>
      </c>
      <c r="C1426" t="s">
        <v>596</v>
      </c>
      <c r="D1426" s="2">
        <v>46101</v>
      </c>
      <c r="E1426">
        <v>5</v>
      </c>
      <c r="F1426" s="2">
        <v>46108</v>
      </c>
      <c r="G1426" s="6">
        <v>0</v>
      </c>
      <c r="H1426" s="6">
        <v>0</v>
      </c>
    </row>
    <row r="1427" spans="1:8" ht="14.4" hidden="1">
      <c r="A1427" t="s">
        <v>531</v>
      </c>
      <c r="B1427">
        <v>1</v>
      </c>
      <c r="C1427" t="s">
        <v>547</v>
      </c>
      <c r="D1427" s="2">
        <v>45518</v>
      </c>
      <c r="E1427">
        <v>37</v>
      </c>
      <c r="F1427" s="2">
        <v>45555</v>
      </c>
      <c r="G1427" s="6">
        <v>1</v>
      </c>
      <c r="H1427" s="6">
        <v>1</v>
      </c>
    </row>
    <row r="1428" spans="1:8" ht="14.4" hidden="1">
      <c r="A1428" t="s">
        <v>531</v>
      </c>
      <c r="B1428" t="s">
        <v>548</v>
      </c>
      <c r="C1428" t="s">
        <v>549</v>
      </c>
      <c r="D1428" s="2">
        <v>45518</v>
      </c>
      <c r="E1428">
        <v>1</v>
      </c>
      <c r="F1428" s="2">
        <v>45519</v>
      </c>
      <c r="G1428" s="6">
        <v>1</v>
      </c>
      <c r="H1428" s="6">
        <v>1</v>
      </c>
    </row>
    <row r="1429" spans="1:8" ht="14.4" hidden="1">
      <c r="A1429" t="s">
        <v>531</v>
      </c>
      <c r="B1429" t="s">
        <v>550</v>
      </c>
      <c r="C1429" t="s">
        <v>551</v>
      </c>
      <c r="D1429" s="2">
        <v>45540</v>
      </c>
      <c r="E1429">
        <v>1</v>
      </c>
      <c r="F1429" s="2">
        <v>45541</v>
      </c>
      <c r="G1429" s="6">
        <v>1</v>
      </c>
      <c r="H1429" s="6">
        <v>1</v>
      </c>
    </row>
    <row r="1430" spans="1:8" ht="14.4" hidden="1">
      <c r="A1430" t="s">
        <v>531</v>
      </c>
      <c r="B1430" t="s">
        <v>552</v>
      </c>
      <c r="C1430" t="s">
        <v>553</v>
      </c>
      <c r="D1430" s="2">
        <v>45540</v>
      </c>
      <c r="E1430">
        <v>15</v>
      </c>
      <c r="F1430" s="2">
        <v>45555</v>
      </c>
      <c r="G1430" s="6">
        <v>1</v>
      </c>
      <c r="H1430" s="6">
        <v>1</v>
      </c>
    </row>
    <row r="1431" spans="1:8" ht="14.4" hidden="1">
      <c r="A1431" t="s">
        <v>531</v>
      </c>
      <c r="B1431" t="s">
        <v>554</v>
      </c>
      <c r="C1431" t="s">
        <v>555</v>
      </c>
      <c r="D1431" s="2">
        <v>45548</v>
      </c>
      <c r="E1431">
        <v>1</v>
      </c>
      <c r="F1431" s="2">
        <v>45551</v>
      </c>
      <c r="G1431" s="6">
        <v>1</v>
      </c>
      <c r="H1431" s="6">
        <v>1</v>
      </c>
    </row>
    <row r="1432" spans="1:8" ht="14.4" hidden="1">
      <c r="A1432" t="s">
        <v>531</v>
      </c>
      <c r="B1432" t="s">
        <v>556</v>
      </c>
      <c r="C1432" t="s">
        <v>557</v>
      </c>
      <c r="D1432" s="2">
        <v>45547</v>
      </c>
      <c r="E1432">
        <v>1</v>
      </c>
      <c r="F1432" s="2">
        <v>45548</v>
      </c>
      <c r="G1432" s="6">
        <v>1</v>
      </c>
      <c r="H1432" s="6">
        <v>1</v>
      </c>
    </row>
    <row r="1433" spans="1:8" ht="14.4" hidden="1">
      <c r="A1433" t="s">
        <v>531</v>
      </c>
      <c r="B1433">
        <v>2</v>
      </c>
      <c r="C1433" t="s">
        <v>558</v>
      </c>
      <c r="D1433" s="2">
        <v>45579</v>
      </c>
      <c r="E1433">
        <v>1</v>
      </c>
      <c r="F1433" s="2">
        <v>45580</v>
      </c>
      <c r="G1433" s="6">
        <v>1</v>
      </c>
      <c r="H1433" s="6">
        <v>1</v>
      </c>
    </row>
    <row r="1434" spans="1:8" ht="14.4" hidden="1">
      <c r="A1434" t="s">
        <v>531</v>
      </c>
      <c r="B1434" t="s">
        <v>559</v>
      </c>
      <c r="C1434" t="s">
        <v>788</v>
      </c>
      <c r="D1434" s="2">
        <v>45579</v>
      </c>
      <c r="E1434">
        <v>1</v>
      </c>
      <c r="F1434" s="2">
        <v>45580</v>
      </c>
      <c r="G1434" s="6">
        <v>1</v>
      </c>
      <c r="H1434" s="6">
        <v>1</v>
      </c>
    </row>
    <row r="1435" spans="1:8" ht="14.4" hidden="1">
      <c r="A1435" t="s">
        <v>531</v>
      </c>
      <c r="B1435">
        <v>3</v>
      </c>
      <c r="C1435" t="s">
        <v>561</v>
      </c>
      <c r="D1435" s="2">
        <v>45614</v>
      </c>
      <c r="E1435">
        <v>29</v>
      </c>
      <c r="F1435" s="2">
        <v>45643</v>
      </c>
      <c r="G1435" s="6">
        <v>1</v>
      </c>
      <c r="H1435" s="6">
        <v>1</v>
      </c>
    </row>
    <row r="1436" spans="1:8" ht="14.4" hidden="1">
      <c r="A1436" t="s">
        <v>531</v>
      </c>
      <c r="B1436" t="s">
        <v>562</v>
      </c>
      <c r="C1436" t="s">
        <v>563</v>
      </c>
      <c r="D1436" s="2">
        <v>45565</v>
      </c>
      <c r="E1436">
        <v>1</v>
      </c>
      <c r="F1436" s="2">
        <v>45566</v>
      </c>
      <c r="G1436" s="6">
        <v>1</v>
      </c>
      <c r="H1436" s="6">
        <v>1</v>
      </c>
    </row>
    <row r="1437" spans="1:8" ht="14.4" hidden="1">
      <c r="A1437" t="s">
        <v>531</v>
      </c>
      <c r="B1437" t="s">
        <v>564</v>
      </c>
      <c r="C1437" t="s">
        <v>565</v>
      </c>
      <c r="D1437" s="2">
        <v>45566</v>
      </c>
      <c r="E1437">
        <v>1</v>
      </c>
      <c r="F1437" s="2">
        <v>45567</v>
      </c>
      <c r="G1437" s="6">
        <v>1</v>
      </c>
      <c r="H1437" s="6">
        <v>1</v>
      </c>
    </row>
    <row r="1438" spans="1:8" ht="14.4" hidden="1">
      <c r="A1438" t="s">
        <v>531</v>
      </c>
      <c r="B1438" t="s">
        <v>566</v>
      </c>
      <c r="C1438" t="s">
        <v>635</v>
      </c>
      <c r="D1438" s="2">
        <v>45547</v>
      </c>
      <c r="E1438">
        <v>30</v>
      </c>
      <c r="F1438" s="2">
        <v>45590</v>
      </c>
      <c r="G1438" s="6">
        <v>1</v>
      </c>
      <c r="H1438" s="6">
        <v>1</v>
      </c>
    </row>
    <row r="1439" spans="1:8" ht="14.4" hidden="1">
      <c r="A1439" t="s">
        <v>531</v>
      </c>
      <c r="B1439" t="s">
        <v>568</v>
      </c>
      <c r="C1439" t="s">
        <v>569</v>
      </c>
      <c r="D1439" s="2">
        <v>45616</v>
      </c>
      <c r="E1439">
        <v>45</v>
      </c>
      <c r="F1439" s="2">
        <v>45684</v>
      </c>
      <c r="G1439" s="6">
        <v>1</v>
      </c>
      <c r="H1439" s="6">
        <v>1</v>
      </c>
    </row>
    <row r="1440" spans="1:8" ht="14.4" hidden="1">
      <c r="A1440" t="s">
        <v>531</v>
      </c>
      <c r="B1440" t="s">
        <v>570</v>
      </c>
      <c r="C1440" t="s">
        <v>636</v>
      </c>
      <c r="D1440" s="2">
        <v>45574</v>
      </c>
      <c r="E1440">
        <v>1</v>
      </c>
      <c r="F1440" s="2">
        <v>45575</v>
      </c>
      <c r="G1440" s="6">
        <v>1</v>
      </c>
      <c r="H1440" s="6">
        <v>1</v>
      </c>
    </row>
    <row r="1441" spans="1:8" ht="14.4" hidden="1">
      <c r="A1441" t="s">
        <v>531</v>
      </c>
      <c r="B1441">
        <v>4</v>
      </c>
      <c r="C1441" t="s">
        <v>572</v>
      </c>
      <c r="D1441" s="2">
        <v>45614</v>
      </c>
      <c r="E1441">
        <v>59</v>
      </c>
      <c r="F1441" s="2">
        <v>45673</v>
      </c>
      <c r="G1441" s="6">
        <v>1</v>
      </c>
      <c r="H1441" s="6">
        <v>1</v>
      </c>
    </row>
    <row r="1442" spans="1:8" ht="14.4" hidden="1">
      <c r="A1442" t="s">
        <v>531</v>
      </c>
      <c r="B1442" t="s">
        <v>573</v>
      </c>
      <c r="C1442" t="s">
        <v>574</v>
      </c>
      <c r="D1442" s="2">
        <v>45579</v>
      </c>
      <c r="E1442">
        <v>1</v>
      </c>
      <c r="F1442" s="2">
        <v>45580</v>
      </c>
      <c r="G1442" s="6">
        <v>1</v>
      </c>
      <c r="H1442" s="6">
        <v>1</v>
      </c>
    </row>
    <row r="1443" spans="1:8" ht="14.4" hidden="1">
      <c r="A1443" t="s">
        <v>531</v>
      </c>
      <c r="B1443" t="s">
        <v>575</v>
      </c>
      <c r="C1443" t="s">
        <v>576</v>
      </c>
      <c r="D1443" s="2">
        <v>45579</v>
      </c>
      <c r="E1443">
        <v>8</v>
      </c>
      <c r="F1443" s="2">
        <v>45589</v>
      </c>
      <c r="G1443" s="6">
        <v>1</v>
      </c>
      <c r="H1443" s="6">
        <v>1</v>
      </c>
    </row>
    <row r="1444" spans="1:8" ht="14.4" hidden="1">
      <c r="A1444" t="s">
        <v>531</v>
      </c>
      <c r="B1444" t="s">
        <v>577</v>
      </c>
      <c r="C1444" t="s">
        <v>578</v>
      </c>
      <c r="D1444" s="2">
        <v>45579</v>
      </c>
      <c r="E1444">
        <v>1</v>
      </c>
      <c r="F1444" s="2">
        <v>45580</v>
      </c>
      <c r="G1444" s="6">
        <v>1</v>
      </c>
      <c r="H1444" s="6">
        <v>1</v>
      </c>
    </row>
    <row r="1445" spans="1:8" ht="14.4" hidden="1">
      <c r="A1445" t="s">
        <v>531</v>
      </c>
      <c r="B1445" t="s">
        <v>577</v>
      </c>
      <c r="C1445" t="s">
        <v>580</v>
      </c>
      <c r="D1445" s="2">
        <v>45684</v>
      </c>
      <c r="E1445">
        <v>5</v>
      </c>
      <c r="F1445" s="2">
        <v>45691</v>
      </c>
      <c r="G1445" s="6">
        <v>1</v>
      </c>
      <c r="H1445" s="6">
        <v>1</v>
      </c>
    </row>
    <row r="1446" spans="1:8" ht="14.4" hidden="1">
      <c r="A1446" t="s">
        <v>531</v>
      </c>
      <c r="B1446">
        <v>5</v>
      </c>
      <c r="C1446" t="s">
        <v>581</v>
      </c>
      <c r="D1446" s="2">
        <v>45638</v>
      </c>
      <c r="E1446">
        <v>60</v>
      </c>
      <c r="F1446" s="2">
        <v>45698</v>
      </c>
      <c r="G1446" s="6">
        <v>1</v>
      </c>
      <c r="H1446" s="6">
        <v>1</v>
      </c>
    </row>
    <row r="1447" spans="1:8" ht="14.4" hidden="1">
      <c r="A1447" t="s">
        <v>531</v>
      </c>
      <c r="B1447" t="s">
        <v>582</v>
      </c>
      <c r="C1447" t="s">
        <v>583</v>
      </c>
      <c r="D1447" s="2">
        <v>45638</v>
      </c>
      <c r="E1447">
        <v>1</v>
      </c>
      <c r="F1447" s="2">
        <v>45639</v>
      </c>
      <c r="G1447" s="6">
        <v>1</v>
      </c>
      <c r="H1447" s="6">
        <v>1</v>
      </c>
    </row>
    <row r="1448" spans="1:8" ht="14.4" hidden="1">
      <c r="A1448" t="s">
        <v>531</v>
      </c>
      <c r="B1448" t="s">
        <v>584</v>
      </c>
      <c r="C1448" t="s">
        <v>585</v>
      </c>
      <c r="D1448" s="2">
        <v>45670</v>
      </c>
      <c r="E1448">
        <v>20</v>
      </c>
      <c r="F1448" s="2">
        <v>45698</v>
      </c>
      <c r="G1448" s="6">
        <v>1</v>
      </c>
      <c r="H1448" s="6">
        <v>1</v>
      </c>
    </row>
    <row r="1449" spans="1:8" ht="14.4" hidden="1">
      <c r="A1449" t="s">
        <v>531</v>
      </c>
      <c r="B1449">
        <v>6</v>
      </c>
      <c r="C1449" t="s">
        <v>240</v>
      </c>
      <c r="D1449" s="2">
        <v>45663</v>
      </c>
      <c r="E1449">
        <v>37</v>
      </c>
      <c r="F1449" s="2">
        <v>45700</v>
      </c>
      <c r="G1449" s="6">
        <v>1</v>
      </c>
      <c r="H1449" s="6">
        <v>1</v>
      </c>
    </row>
    <row r="1450" spans="1:8" ht="14.4" hidden="1">
      <c r="A1450" t="s">
        <v>531</v>
      </c>
      <c r="B1450" t="s">
        <v>586</v>
      </c>
      <c r="C1450" t="s">
        <v>240</v>
      </c>
      <c r="D1450" s="2">
        <v>45698</v>
      </c>
      <c r="E1450">
        <v>1</v>
      </c>
      <c r="F1450" s="2">
        <v>45699</v>
      </c>
      <c r="G1450" s="6">
        <v>1</v>
      </c>
      <c r="H1450" s="6">
        <v>1</v>
      </c>
    </row>
    <row r="1451" spans="1:8" ht="14.4" hidden="1">
      <c r="A1451" t="s">
        <v>531</v>
      </c>
      <c r="B1451" t="s">
        <v>587</v>
      </c>
      <c r="C1451" t="s">
        <v>169</v>
      </c>
      <c r="D1451" s="2">
        <v>45699</v>
      </c>
      <c r="E1451">
        <v>1</v>
      </c>
      <c r="F1451" s="2">
        <v>45700</v>
      </c>
      <c r="G1451" s="6">
        <v>1</v>
      </c>
      <c r="H1451" s="6">
        <v>1</v>
      </c>
    </row>
    <row r="1452" spans="1:8" ht="14.4" hidden="1">
      <c r="A1452" t="s">
        <v>531</v>
      </c>
      <c r="B1452">
        <v>7</v>
      </c>
      <c r="C1452" t="s">
        <v>588</v>
      </c>
      <c r="D1452" s="2">
        <v>45677</v>
      </c>
      <c r="E1452">
        <v>4</v>
      </c>
      <c r="F1452" s="2">
        <v>45681</v>
      </c>
      <c r="G1452" s="6">
        <v>1</v>
      </c>
      <c r="H1452" s="6">
        <v>1</v>
      </c>
    </row>
    <row r="1453" spans="1:8" ht="14.4" hidden="1">
      <c r="A1453" t="s">
        <v>531</v>
      </c>
      <c r="B1453">
        <v>7.1</v>
      </c>
      <c r="C1453" t="s">
        <v>589</v>
      </c>
      <c r="D1453" s="2">
        <v>45700</v>
      </c>
      <c r="E1453">
        <v>1</v>
      </c>
      <c r="F1453" s="2">
        <v>45701</v>
      </c>
      <c r="G1453" s="6">
        <v>1</v>
      </c>
      <c r="H1453" s="6">
        <v>1</v>
      </c>
    </row>
    <row r="1454" spans="1:8" ht="14.4" hidden="1">
      <c r="A1454" t="s">
        <v>531</v>
      </c>
      <c r="B1454">
        <v>8</v>
      </c>
      <c r="C1454" t="s">
        <v>590</v>
      </c>
      <c r="D1454" s="2">
        <v>45674</v>
      </c>
      <c r="E1454">
        <v>224</v>
      </c>
      <c r="F1454" s="2">
        <v>45898</v>
      </c>
      <c r="G1454" s="6">
        <v>1</v>
      </c>
      <c r="H1454" s="6">
        <v>1</v>
      </c>
    </row>
    <row r="1455" spans="1:8" ht="14.4" hidden="1">
      <c r="A1455" t="s">
        <v>531</v>
      </c>
      <c r="B1455">
        <v>8.1</v>
      </c>
      <c r="C1455" t="s">
        <v>591</v>
      </c>
      <c r="D1455" s="2">
        <v>45701</v>
      </c>
      <c r="E1455">
        <v>1</v>
      </c>
      <c r="F1455" s="2">
        <v>45702</v>
      </c>
      <c r="G1455" s="6">
        <v>1</v>
      </c>
      <c r="H1455" s="6">
        <v>1</v>
      </c>
    </row>
    <row r="1456" spans="1:8" ht="14.4" hidden="1">
      <c r="A1456" t="s">
        <v>531</v>
      </c>
      <c r="B1456">
        <v>8.1999999999999993</v>
      </c>
      <c r="C1456" t="s">
        <v>592</v>
      </c>
      <c r="D1456" s="2">
        <v>45701</v>
      </c>
      <c r="E1456">
        <v>2</v>
      </c>
      <c r="F1456" s="2">
        <v>45705</v>
      </c>
      <c r="G1456" s="6">
        <v>1</v>
      </c>
      <c r="H1456" s="6">
        <v>1</v>
      </c>
    </row>
    <row r="1457" spans="1:8" ht="14.4" hidden="1">
      <c r="A1457" t="s">
        <v>531</v>
      </c>
      <c r="B1457">
        <v>8.3000000000000007</v>
      </c>
      <c r="C1457" t="s">
        <v>593</v>
      </c>
      <c r="D1457" s="2">
        <v>45705</v>
      </c>
      <c r="E1457">
        <v>1</v>
      </c>
      <c r="F1457" s="2">
        <v>45706</v>
      </c>
      <c r="G1457" s="6">
        <v>1</v>
      </c>
      <c r="H1457" s="6">
        <v>1</v>
      </c>
    </row>
    <row r="1458" spans="1:8" ht="14.4" hidden="1">
      <c r="A1458" t="s">
        <v>531</v>
      </c>
      <c r="B1458">
        <v>8.4</v>
      </c>
      <c r="C1458" t="s">
        <v>594</v>
      </c>
      <c r="D1458" s="2">
        <v>45705</v>
      </c>
      <c r="E1458">
        <v>1</v>
      </c>
      <c r="F1458" s="2">
        <v>45706</v>
      </c>
      <c r="G1458" s="6">
        <v>1</v>
      </c>
      <c r="H1458" s="6">
        <v>1</v>
      </c>
    </row>
    <row r="1459" spans="1:8" ht="14.4" hidden="1">
      <c r="A1459" t="s">
        <v>531</v>
      </c>
      <c r="B1459">
        <v>8.5</v>
      </c>
      <c r="C1459" t="s">
        <v>595</v>
      </c>
      <c r="D1459" s="2">
        <v>45708</v>
      </c>
      <c r="E1459">
        <v>1</v>
      </c>
      <c r="F1459" s="2">
        <v>45898</v>
      </c>
      <c r="G1459" s="6">
        <v>1</v>
      </c>
      <c r="H1459" s="6">
        <v>1</v>
      </c>
    </row>
    <row r="1460" spans="1:8" ht="14.4" hidden="1">
      <c r="A1460" t="s">
        <v>531</v>
      </c>
      <c r="B1460">
        <v>8.6</v>
      </c>
      <c r="C1460" t="s">
        <v>596</v>
      </c>
      <c r="D1460" s="2">
        <v>45776</v>
      </c>
      <c r="E1460">
        <v>1</v>
      </c>
      <c r="F1460" s="2">
        <v>45777</v>
      </c>
      <c r="G1460" s="6">
        <v>1</v>
      </c>
      <c r="H1460" s="6">
        <v>1</v>
      </c>
    </row>
    <row r="1461" spans="1:8" ht="14.4" hidden="1">
      <c r="A1461" t="s">
        <v>532</v>
      </c>
      <c r="B1461">
        <v>1</v>
      </c>
      <c r="C1461" t="s">
        <v>547</v>
      </c>
      <c r="D1461" s="2">
        <v>45518</v>
      </c>
      <c r="E1461">
        <v>37</v>
      </c>
      <c r="F1461" s="2">
        <v>45555</v>
      </c>
      <c r="G1461" s="6">
        <v>1</v>
      </c>
      <c r="H1461" s="6">
        <v>1</v>
      </c>
    </row>
    <row r="1462" spans="1:8" ht="14.4" hidden="1">
      <c r="A1462" t="s">
        <v>532</v>
      </c>
      <c r="B1462" t="s">
        <v>548</v>
      </c>
      <c r="C1462" t="s">
        <v>549</v>
      </c>
      <c r="D1462" s="2">
        <v>45518</v>
      </c>
      <c r="E1462">
        <v>1</v>
      </c>
      <c r="F1462" s="2">
        <v>45519</v>
      </c>
      <c r="G1462" s="6">
        <v>1</v>
      </c>
      <c r="H1462" s="6">
        <v>1</v>
      </c>
    </row>
    <row r="1463" spans="1:8" ht="14.4" hidden="1">
      <c r="A1463" t="s">
        <v>532</v>
      </c>
      <c r="B1463" t="s">
        <v>550</v>
      </c>
      <c r="C1463" t="s">
        <v>551</v>
      </c>
      <c r="D1463" s="2">
        <v>45540</v>
      </c>
      <c r="E1463">
        <v>1</v>
      </c>
      <c r="F1463" s="2">
        <v>45541</v>
      </c>
      <c r="G1463" s="6">
        <v>1</v>
      </c>
      <c r="H1463" s="6">
        <v>1</v>
      </c>
    </row>
    <row r="1464" spans="1:8" ht="14.4" hidden="1">
      <c r="A1464" t="s">
        <v>532</v>
      </c>
      <c r="B1464" t="s">
        <v>552</v>
      </c>
      <c r="C1464" t="s">
        <v>553</v>
      </c>
      <c r="D1464" s="2">
        <v>45540</v>
      </c>
      <c r="E1464">
        <v>15</v>
      </c>
      <c r="F1464" s="2">
        <v>45555</v>
      </c>
      <c r="G1464" s="6">
        <v>1</v>
      </c>
      <c r="H1464" s="6">
        <v>1</v>
      </c>
    </row>
    <row r="1465" spans="1:8" ht="14.4" hidden="1">
      <c r="A1465" t="s">
        <v>532</v>
      </c>
      <c r="B1465" t="s">
        <v>554</v>
      </c>
      <c r="C1465" t="s">
        <v>555</v>
      </c>
      <c r="D1465" s="2">
        <v>45548</v>
      </c>
      <c r="E1465">
        <v>1</v>
      </c>
      <c r="F1465" s="2">
        <v>45551</v>
      </c>
      <c r="G1465" s="6">
        <v>1</v>
      </c>
      <c r="H1465" s="6">
        <v>1</v>
      </c>
    </row>
    <row r="1466" spans="1:8" ht="14.4" hidden="1">
      <c r="A1466" t="s">
        <v>532</v>
      </c>
      <c r="B1466" t="s">
        <v>556</v>
      </c>
      <c r="C1466" t="s">
        <v>557</v>
      </c>
      <c r="D1466" s="2">
        <v>45547</v>
      </c>
      <c r="E1466">
        <v>1</v>
      </c>
      <c r="F1466" s="2">
        <v>45548</v>
      </c>
      <c r="G1466" s="6">
        <v>1</v>
      </c>
      <c r="H1466" s="6">
        <v>1</v>
      </c>
    </row>
    <row r="1467" spans="1:8" ht="14.4" hidden="1">
      <c r="A1467" t="s">
        <v>532</v>
      </c>
      <c r="B1467">
        <v>2</v>
      </c>
      <c r="C1467" t="s">
        <v>558</v>
      </c>
      <c r="D1467" s="2">
        <v>45560</v>
      </c>
      <c r="E1467">
        <v>1</v>
      </c>
      <c r="F1467" s="2">
        <v>45561</v>
      </c>
      <c r="G1467" s="6">
        <v>1</v>
      </c>
      <c r="H1467" s="6">
        <v>1</v>
      </c>
    </row>
    <row r="1468" spans="1:8" ht="14.4" hidden="1">
      <c r="A1468" t="s">
        <v>532</v>
      </c>
      <c r="B1468" t="s">
        <v>559</v>
      </c>
      <c r="C1468" t="s">
        <v>788</v>
      </c>
      <c r="D1468" s="2">
        <v>45560</v>
      </c>
      <c r="E1468">
        <v>1</v>
      </c>
      <c r="F1468" s="2">
        <v>45561</v>
      </c>
      <c r="G1468" s="6">
        <v>1</v>
      </c>
      <c r="H1468" s="6">
        <v>1</v>
      </c>
    </row>
    <row r="1469" spans="1:8" ht="14.4" hidden="1">
      <c r="A1469" t="s">
        <v>532</v>
      </c>
      <c r="B1469">
        <v>3</v>
      </c>
      <c r="C1469" t="s">
        <v>561</v>
      </c>
      <c r="D1469" s="2">
        <v>45577</v>
      </c>
      <c r="E1469">
        <v>19</v>
      </c>
      <c r="F1469" s="2">
        <v>45596</v>
      </c>
      <c r="G1469" s="6">
        <v>1</v>
      </c>
      <c r="H1469" s="6">
        <v>1</v>
      </c>
    </row>
    <row r="1470" spans="1:8" ht="14.4" hidden="1">
      <c r="A1470" t="s">
        <v>532</v>
      </c>
      <c r="B1470" t="s">
        <v>562</v>
      </c>
      <c r="C1470" t="s">
        <v>563</v>
      </c>
      <c r="D1470" s="2">
        <v>45565</v>
      </c>
      <c r="E1470">
        <v>1</v>
      </c>
      <c r="F1470" s="2">
        <v>45566</v>
      </c>
      <c r="G1470" s="6">
        <v>1</v>
      </c>
      <c r="H1470" s="6">
        <v>1</v>
      </c>
    </row>
    <row r="1471" spans="1:8" ht="14.4" hidden="1">
      <c r="A1471" t="s">
        <v>532</v>
      </c>
      <c r="B1471" t="s">
        <v>564</v>
      </c>
      <c r="C1471" t="s">
        <v>565</v>
      </c>
      <c r="D1471" s="2">
        <v>45566</v>
      </c>
      <c r="E1471">
        <v>1</v>
      </c>
      <c r="F1471" s="2">
        <v>45567</v>
      </c>
      <c r="G1471" s="6">
        <v>1</v>
      </c>
      <c r="H1471" s="6">
        <v>1</v>
      </c>
    </row>
    <row r="1472" spans="1:8" ht="14.4" hidden="1">
      <c r="A1472" t="s">
        <v>532</v>
      </c>
      <c r="B1472" t="s">
        <v>566</v>
      </c>
      <c r="C1472" t="s">
        <v>635</v>
      </c>
      <c r="D1472" s="2">
        <v>45553</v>
      </c>
      <c r="E1472">
        <v>20</v>
      </c>
      <c r="F1472" s="2">
        <v>45582</v>
      </c>
      <c r="G1472" s="6">
        <v>1</v>
      </c>
      <c r="H1472" s="6">
        <v>1</v>
      </c>
    </row>
    <row r="1473" spans="1:8" ht="14.4" hidden="1">
      <c r="A1473" t="s">
        <v>532</v>
      </c>
      <c r="B1473" t="s">
        <v>568</v>
      </c>
      <c r="C1473" t="s">
        <v>569</v>
      </c>
      <c r="D1473" s="2">
        <v>45566</v>
      </c>
      <c r="E1473">
        <v>10</v>
      </c>
      <c r="F1473" s="2">
        <v>45580</v>
      </c>
      <c r="G1473" s="6">
        <v>1</v>
      </c>
      <c r="H1473" s="6">
        <v>1</v>
      </c>
    </row>
    <row r="1474" spans="1:8" ht="14.4" hidden="1">
      <c r="A1474" t="s">
        <v>532</v>
      </c>
      <c r="B1474" t="s">
        <v>570</v>
      </c>
      <c r="C1474" t="s">
        <v>636</v>
      </c>
      <c r="D1474" s="2">
        <v>45574</v>
      </c>
      <c r="E1474">
        <v>1</v>
      </c>
      <c r="F1474" s="2">
        <v>45575</v>
      </c>
      <c r="G1474" s="6">
        <v>1</v>
      </c>
      <c r="H1474" s="6">
        <v>1</v>
      </c>
    </row>
    <row r="1475" spans="1:8" ht="14.4" hidden="1">
      <c r="A1475" t="s">
        <v>532</v>
      </c>
      <c r="B1475">
        <v>4</v>
      </c>
      <c r="C1475" t="s">
        <v>572</v>
      </c>
      <c r="D1475" s="2">
        <v>45560</v>
      </c>
      <c r="E1475">
        <v>61</v>
      </c>
      <c r="F1475" s="2">
        <v>45621</v>
      </c>
      <c r="G1475" s="6">
        <v>1</v>
      </c>
      <c r="H1475" s="6">
        <v>1</v>
      </c>
    </row>
    <row r="1476" spans="1:8" ht="14.4" hidden="1">
      <c r="A1476" t="s">
        <v>532</v>
      </c>
      <c r="B1476" t="s">
        <v>573</v>
      </c>
      <c r="C1476" t="s">
        <v>574</v>
      </c>
      <c r="D1476" s="2">
        <v>45560</v>
      </c>
      <c r="E1476">
        <v>1</v>
      </c>
      <c r="F1476" s="2">
        <v>45561</v>
      </c>
      <c r="G1476" s="6">
        <v>1</v>
      </c>
      <c r="H1476" s="6">
        <v>1</v>
      </c>
    </row>
    <row r="1477" spans="1:8" ht="14.4" hidden="1">
      <c r="A1477" t="s">
        <v>532</v>
      </c>
      <c r="B1477" t="s">
        <v>575</v>
      </c>
      <c r="C1477" t="s">
        <v>576</v>
      </c>
      <c r="D1477" s="2">
        <v>45560</v>
      </c>
      <c r="E1477">
        <v>8</v>
      </c>
      <c r="F1477" s="2">
        <v>45572</v>
      </c>
      <c r="G1477" s="6">
        <v>1</v>
      </c>
      <c r="H1477" s="6">
        <v>1</v>
      </c>
    </row>
    <row r="1478" spans="1:8" ht="14.4" hidden="1">
      <c r="A1478" t="s">
        <v>532</v>
      </c>
      <c r="B1478" t="s">
        <v>577</v>
      </c>
      <c r="C1478" t="s">
        <v>578</v>
      </c>
      <c r="D1478" s="2">
        <v>45560</v>
      </c>
      <c r="E1478">
        <v>1</v>
      </c>
      <c r="F1478" s="2">
        <v>45561</v>
      </c>
      <c r="G1478" s="6">
        <v>1</v>
      </c>
      <c r="H1478" s="6">
        <v>1</v>
      </c>
    </row>
    <row r="1479" spans="1:8" ht="14.4" hidden="1">
      <c r="A1479" t="s">
        <v>532</v>
      </c>
      <c r="B1479" t="s">
        <v>577</v>
      </c>
      <c r="C1479" t="s">
        <v>580</v>
      </c>
      <c r="D1479" s="2">
        <v>45595</v>
      </c>
      <c r="E1479">
        <v>5</v>
      </c>
      <c r="F1479" s="2">
        <v>45602</v>
      </c>
      <c r="G1479" s="6">
        <v>1</v>
      </c>
      <c r="H1479" s="6">
        <v>1</v>
      </c>
    </row>
    <row r="1480" spans="1:8" ht="14.4" hidden="1">
      <c r="A1480" t="s">
        <v>532</v>
      </c>
      <c r="B1480">
        <v>5</v>
      </c>
      <c r="C1480" t="s">
        <v>581</v>
      </c>
      <c r="D1480" s="2">
        <v>45581</v>
      </c>
      <c r="E1480">
        <v>40</v>
      </c>
      <c r="F1480" s="2">
        <v>45621</v>
      </c>
      <c r="G1480" s="6">
        <v>1</v>
      </c>
      <c r="H1480" s="6">
        <v>1</v>
      </c>
    </row>
    <row r="1481" spans="1:8" ht="14.4" hidden="1">
      <c r="A1481" t="s">
        <v>532</v>
      </c>
      <c r="B1481" t="s">
        <v>582</v>
      </c>
      <c r="C1481" t="s">
        <v>583</v>
      </c>
      <c r="D1481" s="2">
        <v>45581</v>
      </c>
      <c r="E1481">
        <v>1</v>
      </c>
      <c r="F1481" s="2">
        <v>45582</v>
      </c>
      <c r="G1481" s="6">
        <v>1</v>
      </c>
      <c r="H1481" s="6">
        <v>1</v>
      </c>
    </row>
    <row r="1482" spans="1:8" ht="14.4" hidden="1">
      <c r="A1482" t="s">
        <v>532</v>
      </c>
      <c r="B1482" t="s">
        <v>584</v>
      </c>
      <c r="C1482" t="s">
        <v>585</v>
      </c>
      <c r="D1482" s="2">
        <v>45581</v>
      </c>
      <c r="E1482">
        <v>10</v>
      </c>
      <c r="F1482" s="2">
        <v>45595</v>
      </c>
      <c r="G1482" s="6">
        <v>1</v>
      </c>
      <c r="H1482" s="6">
        <v>1</v>
      </c>
    </row>
    <row r="1483" spans="1:8" ht="14.4" hidden="1">
      <c r="A1483" t="s">
        <v>532</v>
      </c>
      <c r="B1483">
        <v>6</v>
      </c>
      <c r="C1483" t="s">
        <v>240</v>
      </c>
      <c r="D1483" s="2">
        <v>45621</v>
      </c>
      <c r="E1483">
        <v>9</v>
      </c>
      <c r="F1483" s="2">
        <v>45630</v>
      </c>
      <c r="G1483" s="6">
        <v>1</v>
      </c>
      <c r="H1483" s="6">
        <v>1</v>
      </c>
    </row>
    <row r="1484" spans="1:8" ht="14.4" hidden="1">
      <c r="A1484" t="s">
        <v>532</v>
      </c>
      <c r="B1484" t="s">
        <v>586</v>
      </c>
      <c r="C1484" t="s">
        <v>240</v>
      </c>
      <c r="D1484" s="2">
        <v>45621</v>
      </c>
      <c r="E1484">
        <v>1</v>
      </c>
      <c r="F1484" s="2">
        <v>45622</v>
      </c>
      <c r="G1484" s="6">
        <v>1</v>
      </c>
      <c r="H1484" s="6">
        <v>1</v>
      </c>
    </row>
    <row r="1485" spans="1:8" ht="14.4" hidden="1">
      <c r="A1485" t="s">
        <v>532</v>
      </c>
      <c r="B1485" t="s">
        <v>587</v>
      </c>
      <c r="C1485" t="s">
        <v>169</v>
      </c>
      <c r="D1485" s="2">
        <v>45621</v>
      </c>
      <c r="E1485">
        <v>4</v>
      </c>
      <c r="F1485" s="2">
        <v>45625</v>
      </c>
      <c r="G1485" s="6">
        <v>1</v>
      </c>
      <c r="H1485" s="6">
        <v>1</v>
      </c>
    </row>
    <row r="1486" spans="1:8" ht="14.4" hidden="1">
      <c r="A1486" t="s">
        <v>532</v>
      </c>
      <c r="B1486">
        <v>7</v>
      </c>
      <c r="C1486" t="s">
        <v>588</v>
      </c>
      <c r="D1486" s="2">
        <v>45630</v>
      </c>
      <c r="E1486">
        <v>9</v>
      </c>
      <c r="F1486" s="2">
        <v>45639</v>
      </c>
      <c r="G1486" s="6">
        <v>1</v>
      </c>
      <c r="H1486" s="6">
        <v>1</v>
      </c>
    </row>
    <row r="1487" spans="1:8" ht="14.4" hidden="1">
      <c r="A1487" t="s">
        <v>532</v>
      </c>
      <c r="B1487">
        <v>7.1</v>
      </c>
      <c r="C1487" t="s">
        <v>589</v>
      </c>
      <c r="D1487" s="2">
        <v>45625</v>
      </c>
      <c r="E1487">
        <v>3</v>
      </c>
      <c r="F1487" s="2">
        <v>45630</v>
      </c>
      <c r="G1487" s="6">
        <v>1</v>
      </c>
      <c r="H1487" s="6">
        <v>1</v>
      </c>
    </row>
    <row r="1488" spans="1:8" ht="14.4" hidden="1">
      <c r="A1488" t="s">
        <v>532</v>
      </c>
      <c r="B1488">
        <v>8</v>
      </c>
      <c r="C1488" t="s">
        <v>590</v>
      </c>
      <c r="D1488" s="2">
        <v>45636</v>
      </c>
      <c r="E1488">
        <v>50</v>
      </c>
      <c r="F1488" s="2">
        <v>45686</v>
      </c>
      <c r="G1488" s="6">
        <v>1</v>
      </c>
      <c r="H1488" s="6">
        <v>1</v>
      </c>
    </row>
    <row r="1489" spans="1:8" ht="14.4" hidden="1">
      <c r="A1489" t="s">
        <v>532</v>
      </c>
      <c r="B1489">
        <v>8.1</v>
      </c>
      <c r="C1489" t="s">
        <v>591</v>
      </c>
      <c r="D1489" s="2">
        <v>45630</v>
      </c>
      <c r="E1489">
        <v>1</v>
      </c>
      <c r="F1489" s="2">
        <v>45631</v>
      </c>
      <c r="G1489" s="6">
        <v>1</v>
      </c>
      <c r="H1489" s="6">
        <v>1</v>
      </c>
    </row>
    <row r="1490" spans="1:8" ht="14.4" hidden="1">
      <c r="A1490" t="s">
        <v>532</v>
      </c>
      <c r="B1490">
        <v>8.1999999999999993</v>
      </c>
      <c r="C1490" t="s">
        <v>592</v>
      </c>
      <c r="D1490" s="2">
        <v>45631</v>
      </c>
      <c r="E1490">
        <v>33</v>
      </c>
      <c r="F1490" s="2">
        <v>45681</v>
      </c>
      <c r="G1490" s="6">
        <v>1</v>
      </c>
      <c r="H1490" s="6">
        <v>1</v>
      </c>
    </row>
    <row r="1491" spans="1:8" ht="14.4" hidden="1">
      <c r="A1491" t="s">
        <v>532</v>
      </c>
      <c r="B1491">
        <v>8.3000000000000007</v>
      </c>
      <c r="C1491" t="s">
        <v>593</v>
      </c>
      <c r="D1491" s="2">
        <v>45638</v>
      </c>
      <c r="E1491">
        <v>5</v>
      </c>
      <c r="F1491" s="2">
        <v>45646</v>
      </c>
      <c r="G1491" s="6">
        <v>1</v>
      </c>
      <c r="H1491" s="6">
        <v>1</v>
      </c>
    </row>
    <row r="1492" spans="1:8" ht="14.4" hidden="1">
      <c r="A1492" t="s">
        <v>532</v>
      </c>
      <c r="B1492">
        <v>8.4</v>
      </c>
      <c r="C1492" t="s">
        <v>594</v>
      </c>
      <c r="D1492" s="2">
        <v>45638</v>
      </c>
      <c r="E1492">
        <v>5</v>
      </c>
      <c r="F1492" s="2">
        <v>45646</v>
      </c>
      <c r="G1492" s="6">
        <v>1</v>
      </c>
      <c r="H1492" s="6">
        <v>1</v>
      </c>
    </row>
    <row r="1493" spans="1:8" ht="14.4" hidden="1">
      <c r="A1493" t="s">
        <v>532</v>
      </c>
      <c r="B1493">
        <v>8.5</v>
      </c>
      <c r="C1493" t="s">
        <v>595</v>
      </c>
      <c r="D1493" s="2">
        <v>45708</v>
      </c>
      <c r="E1493">
        <v>1</v>
      </c>
      <c r="F1493" s="2">
        <v>45708</v>
      </c>
      <c r="G1493" s="6">
        <v>1</v>
      </c>
      <c r="H1493" s="6">
        <v>1</v>
      </c>
    </row>
    <row r="1494" spans="1:8" ht="14.4" hidden="1">
      <c r="A1494" t="s">
        <v>532</v>
      </c>
      <c r="B1494">
        <v>8.6</v>
      </c>
      <c r="C1494" t="s">
        <v>596</v>
      </c>
      <c r="D1494" s="2">
        <v>45776</v>
      </c>
      <c r="E1494">
        <v>1</v>
      </c>
      <c r="F1494" s="2">
        <v>45777</v>
      </c>
      <c r="G1494" s="6">
        <v>1</v>
      </c>
      <c r="H1494" s="6">
        <v>1</v>
      </c>
    </row>
    <row r="1495" spans="1:8" ht="14.4" hidden="1">
      <c r="A1495" t="s">
        <v>533</v>
      </c>
      <c r="B1495">
        <v>1</v>
      </c>
      <c r="C1495" t="s">
        <v>547</v>
      </c>
      <c r="D1495" s="2">
        <v>45518</v>
      </c>
      <c r="E1495">
        <v>37</v>
      </c>
      <c r="F1495" s="2">
        <v>45555</v>
      </c>
      <c r="G1495" s="6">
        <v>1</v>
      </c>
      <c r="H1495" s="6">
        <v>1</v>
      </c>
    </row>
    <row r="1496" spans="1:8" ht="14.4" hidden="1">
      <c r="A1496" t="s">
        <v>533</v>
      </c>
      <c r="B1496" t="s">
        <v>548</v>
      </c>
      <c r="C1496" t="s">
        <v>549</v>
      </c>
      <c r="D1496" s="2">
        <v>45518</v>
      </c>
      <c r="E1496">
        <v>1</v>
      </c>
      <c r="F1496" s="2">
        <v>45519</v>
      </c>
      <c r="G1496" s="6">
        <v>1</v>
      </c>
      <c r="H1496" s="6">
        <v>1</v>
      </c>
    </row>
    <row r="1497" spans="1:8" ht="14.4" hidden="1">
      <c r="A1497" t="s">
        <v>533</v>
      </c>
      <c r="B1497" t="s">
        <v>550</v>
      </c>
      <c r="C1497" t="s">
        <v>551</v>
      </c>
      <c r="D1497" s="2">
        <v>45540</v>
      </c>
      <c r="E1497">
        <v>1</v>
      </c>
      <c r="F1497" s="2">
        <v>45541</v>
      </c>
      <c r="G1497" s="6">
        <v>1</v>
      </c>
      <c r="H1497" s="6">
        <v>1</v>
      </c>
    </row>
    <row r="1498" spans="1:8" ht="14.4" hidden="1">
      <c r="A1498" t="s">
        <v>533</v>
      </c>
      <c r="B1498" t="s">
        <v>552</v>
      </c>
      <c r="C1498" t="s">
        <v>553</v>
      </c>
      <c r="D1498" s="2">
        <v>45540</v>
      </c>
      <c r="E1498">
        <v>15</v>
      </c>
      <c r="F1498" s="2">
        <v>45555</v>
      </c>
      <c r="G1498" s="6">
        <v>1</v>
      </c>
      <c r="H1498" s="6">
        <v>1</v>
      </c>
    </row>
    <row r="1499" spans="1:8" ht="14.4" hidden="1">
      <c r="A1499" t="s">
        <v>533</v>
      </c>
      <c r="B1499" t="s">
        <v>554</v>
      </c>
      <c r="C1499" t="s">
        <v>555</v>
      </c>
      <c r="D1499" s="2">
        <v>45548</v>
      </c>
      <c r="E1499">
        <v>1</v>
      </c>
      <c r="F1499" s="2">
        <v>45551</v>
      </c>
      <c r="G1499" s="6">
        <v>1</v>
      </c>
      <c r="H1499" s="6">
        <v>1</v>
      </c>
    </row>
    <row r="1500" spans="1:8" ht="14.4" hidden="1">
      <c r="A1500" t="s">
        <v>533</v>
      </c>
      <c r="B1500" t="s">
        <v>556</v>
      </c>
      <c r="C1500" t="s">
        <v>557</v>
      </c>
      <c r="D1500" s="2">
        <v>45547</v>
      </c>
      <c r="E1500">
        <v>1</v>
      </c>
      <c r="F1500" s="2">
        <v>45548</v>
      </c>
      <c r="G1500" s="6">
        <v>1</v>
      </c>
      <c r="H1500" s="6">
        <v>1</v>
      </c>
    </row>
    <row r="1501" spans="1:8" ht="14.4" hidden="1">
      <c r="A1501" t="s">
        <v>533</v>
      </c>
      <c r="B1501">
        <v>2</v>
      </c>
      <c r="C1501" t="s">
        <v>558</v>
      </c>
      <c r="D1501" s="2">
        <v>45560</v>
      </c>
      <c r="E1501">
        <v>1</v>
      </c>
      <c r="F1501" s="2">
        <v>45561</v>
      </c>
      <c r="G1501" s="6">
        <v>1</v>
      </c>
      <c r="H1501" s="6">
        <v>1</v>
      </c>
    </row>
    <row r="1502" spans="1:8" ht="14.4" hidden="1">
      <c r="A1502" t="s">
        <v>533</v>
      </c>
      <c r="B1502" t="s">
        <v>559</v>
      </c>
      <c r="C1502" t="s">
        <v>788</v>
      </c>
      <c r="D1502" s="2">
        <v>45560</v>
      </c>
      <c r="E1502">
        <v>1</v>
      </c>
      <c r="F1502" s="2">
        <v>45561</v>
      </c>
      <c r="G1502" s="6">
        <v>1</v>
      </c>
      <c r="H1502" s="6">
        <v>1</v>
      </c>
    </row>
    <row r="1503" spans="1:8" ht="14.4" hidden="1">
      <c r="A1503" t="s">
        <v>533</v>
      </c>
      <c r="B1503">
        <v>3</v>
      </c>
      <c r="C1503" t="s">
        <v>561</v>
      </c>
      <c r="D1503" s="2">
        <v>45586</v>
      </c>
      <c r="E1503">
        <v>32</v>
      </c>
      <c r="F1503" s="2">
        <v>45618</v>
      </c>
      <c r="G1503" s="6">
        <v>1</v>
      </c>
      <c r="H1503" s="6">
        <v>1</v>
      </c>
    </row>
    <row r="1504" spans="1:8" ht="14.4" hidden="1">
      <c r="A1504" t="s">
        <v>533</v>
      </c>
      <c r="B1504" t="s">
        <v>562</v>
      </c>
      <c r="C1504" t="s">
        <v>563</v>
      </c>
      <c r="D1504" s="2">
        <v>45565</v>
      </c>
      <c r="E1504">
        <v>1</v>
      </c>
      <c r="F1504" s="2">
        <v>45566</v>
      </c>
      <c r="G1504" s="6">
        <v>1</v>
      </c>
      <c r="H1504" s="6">
        <v>1</v>
      </c>
    </row>
    <row r="1505" spans="1:8" ht="14.4" hidden="1">
      <c r="A1505" t="s">
        <v>533</v>
      </c>
      <c r="B1505" t="s">
        <v>564</v>
      </c>
      <c r="C1505" t="s">
        <v>565</v>
      </c>
      <c r="D1505" s="2">
        <v>45566</v>
      </c>
      <c r="E1505">
        <v>1</v>
      </c>
      <c r="F1505" s="2">
        <v>45567</v>
      </c>
      <c r="G1505" s="6">
        <v>1</v>
      </c>
      <c r="H1505" s="6">
        <v>1</v>
      </c>
    </row>
    <row r="1506" spans="1:8" ht="14.4" hidden="1">
      <c r="A1506" t="s">
        <v>533</v>
      </c>
      <c r="B1506" t="s">
        <v>566</v>
      </c>
      <c r="C1506" t="s">
        <v>635</v>
      </c>
      <c r="D1506" s="2">
        <v>45560</v>
      </c>
      <c r="E1506">
        <v>30</v>
      </c>
      <c r="F1506" s="2">
        <v>45602</v>
      </c>
      <c r="G1506" s="6">
        <v>1</v>
      </c>
      <c r="H1506" s="6">
        <v>1</v>
      </c>
    </row>
    <row r="1507" spans="1:8" ht="14.4" hidden="1">
      <c r="A1507" t="s">
        <v>533</v>
      </c>
      <c r="B1507" t="s">
        <v>568</v>
      </c>
      <c r="C1507" t="s">
        <v>569</v>
      </c>
      <c r="D1507" s="2">
        <v>45566</v>
      </c>
      <c r="E1507">
        <v>10</v>
      </c>
      <c r="F1507" s="2">
        <v>45580</v>
      </c>
      <c r="G1507" s="6">
        <v>1</v>
      </c>
      <c r="H1507" s="6">
        <v>1</v>
      </c>
    </row>
    <row r="1508" spans="1:8" ht="14.4" hidden="1">
      <c r="A1508" t="s">
        <v>533</v>
      </c>
      <c r="B1508" t="s">
        <v>570</v>
      </c>
      <c r="C1508" t="s">
        <v>636</v>
      </c>
      <c r="D1508" s="2">
        <v>45574</v>
      </c>
      <c r="E1508">
        <v>1</v>
      </c>
      <c r="F1508" s="2">
        <v>45575</v>
      </c>
      <c r="G1508" s="6">
        <v>1</v>
      </c>
      <c r="H1508" s="6">
        <v>1</v>
      </c>
    </row>
    <row r="1509" spans="1:8" ht="14.4" hidden="1">
      <c r="A1509" t="s">
        <v>533</v>
      </c>
      <c r="B1509">
        <v>4</v>
      </c>
      <c r="C1509" t="s">
        <v>572</v>
      </c>
      <c r="D1509" s="2">
        <v>45575</v>
      </c>
      <c r="E1509">
        <v>42</v>
      </c>
      <c r="F1509" s="2">
        <v>45617</v>
      </c>
      <c r="G1509" s="6">
        <v>1</v>
      </c>
      <c r="H1509" s="6">
        <v>1</v>
      </c>
    </row>
    <row r="1510" spans="1:8" ht="14.4" hidden="1">
      <c r="A1510" t="s">
        <v>533</v>
      </c>
      <c r="B1510" t="s">
        <v>573</v>
      </c>
      <c r="C1510" t="s">
        <v>574</v>
      </c>
      <c r="D1510" s="2">
        <v>45575</v>
      </c>
      <c r="E1510">
        <v>1</v>
      </c>
      <c r="F1510" s="2">
        <v>45576</v>
      </c>
      <c r="G1510" s="6">
        <v>1</v>
      </c>
      <c r="H1510" s="6">
        <v>1</v>
      </c>
    </row>
    <row r="1511" spans="1:8" ht="14.4" hidden="1">
      <c r="A1511" t="s">
        <v>533</v>
      </c>
      <c r="B1511" t="s">
        <v>575</v>
      </c>
      <c r="C1511" t="s">
        <v>576</v>
      </c>
      <c r="D1511" s="2">
        <v>45575</v>
      </c>
      <c r="E1511">
        <v>8</v>
      </c>
      <c r="F1511" s="2">
        <v>45587</v>
      </c>
      <c r="G1511" s="6">
        <v>1</v>
      </c>
      <c r="H1511" s="6">
        <v>1</v>
      </c>
    </row>
    <row r="1512" spans="1:8" ht="14.4" hidden="1">
      <c r="A1512" t="s">
        <v>533</v>
      </c>
      <c r="B1512" t="s">
        <v>577</v>
      </c>
      <c r="C1512" t="s">
        <v>578</v>
      </c>
      <c r="D1512" s="2">
        <v>45575</v>
      </c>
      <c r="E1512">
        <v>1</v>
      </c>
      <c r="F1512" s="2">
        <v>45576</v>
      </c>
      <c r="G1512" s="6">
        <v>1</v>
      </c>
      <c r="H1512" s="6">
        <v>1</v>
      </c>
    </row>
    <row r="1513" spans="1:8" ht="14.4" hidden="1">
      <c r="A1513" t="s">
        <v>533</v>
      </c>
      <c r="B1513" t="s">
        <v>577</v>
      </c>
      <c r="C1513" t="s">
        <v>580</v>
      </c>
      <c r="D1513" s="2">
        <v>45608</v>
      </c>
      <c r="E1513">
        <v>5</v>
      </c>
      <c r="F1513" s="2">
        <v>45615</v>
      </c>
      <c r="G1513" s="6">
        <v>1</v>
      </c>
      <c r="H1513" s="6">
        <v>1</v>
      </c>
    </row>
    <row r="1514" spans="1:8" ht="14.4" hidden="1">
      <c r="A1514" t="s">
        <v>533</v>
      </c>
      <c r="B1514">
        <v>5</v>
      </c>
      <c r="C1514" t="s">
        <v>581</v>
      </c>
      <c r="D1514" s="2">
        <v>45588</v>
      </c>
      <c r="E1514">
        <v>29</v>
      </c>
      <c r="F1514" s="2">
        <v>45617</v>
      </c>
      <c r="G1514" s="6">
        <v>1</v>
      </c>
      <c r="H1514" s="6">
        <v>1</v>
      </c>
    </row>
    <row r="1515" spans="1:8" ht="14.4" hidden="1">
      <c r="A1515" t="s">
        <v>533</v>
      </c>
      <c r="B1515" t="s">
        <v>582</v>
      </c>
      <c r="C1515" t="s">
        <v>583</v>
      </c>
      <c r="D1515" s="2">
        <v>45588</v>
      </c>
      <c r="E1515">
        <v>1</v>
      </c>
      <c r="F1515" s="2">
        <v>45589</v>
      </c>
      <c r="G1515" s="6">
        <v>1</v>
      </c>
      <c r="H1515" s="6">
        <v>1</v>
      </c>
    </row>
    <row r="1516" spans="1:8" ht="14.4" hidden="1">
      <c r="A1516" t="s">
        <v>533</v>
      </c>
      <c r="B1516" t="s">
        <v>584</v>
      </c>
      <c r="C1516" t="s">
        <v>585</v>
      </c>
      <c r="D1516" s="2">
        <v>45587</v>
      </c>
      <c r="E1516">
        <v>15</v>
      </c>
      <c r="F1516" s="2">
        <v>45608</v>
      </c>
      <c r="G1516" s="6">
        <v>1</v>
      </c>
      <c r="H1516" s="6">
        <v>1</v>
      </c>
    </row>
    <row r="1517" spans="1:8" ht="14.4" hidden="1">
      <c r="A1517" t="s">
        <v>533</v>
      </c>
      <c r="B1517">
        <v>6</v>
      </c>
      <c r="C1517" t="s">
        <v>240</v>
      </c>
      <c r="D1517" s="2">
        <v>45622</v>
      </c>
      <c r="E1517">
        <v>3</v>
      </c>
      <c r="F1517" s="2">
        <v>45625</v>
      </c>
      <c r="G1517" s="6">
        <v>1</v>
      </c>
      <c r="H1517" s="6">
        <v>1</v>
      </c>
    </row>
    <row r="1518" spans="1:8" ht="14.4" hidden="1">
      <c r="A1518" t="s">
        <v>533</v>
      </c>
      <c r="B1518" t="s">
        <v>586</v>
      </c>
      <c r="C1518" t="s">
        <v>240</v>
      </c>
      <c r="D1518" s="2">
        <v>45621</v>
      </c>
      <c r="E1518">
        <v>1</v>
      </c>
      <c r="F1518" s="2">
        <v>45622</v>
      </c>
      <c r="G1518" s="6">
        <v>1</v>
      </c>
      <c r="H1518" s="6">
        <v>1</v>
      </c>
    </row>
    <row r="1519" spans="1:8" ht="14.4" hidden="1">
      <c r="A1519" t="s">
        <v>533</v>
      </c>
      <c r="B1519" t="s">
        <v>587</v>
      </c>
      <c r="C1519" t="s">
        <v>169</v>
      </c>
      <c r="D1519" s="2">
        <v>45621</v>
      </c>
      <c r="E1519">
        <v>4</v>
      </c>
      <c r="F1519" s="2">
        <v>45625</v>
      </c>
      <c r="G1519" s="6">
        <v>1</v>
      </c>
      <c r="H1519" s="6">
        <v>1</v>
      </c>
    </row>
    <row r="1520" spans="1:8" ht="14.4" hidden="1">
      <c r="A1520" t="s">
        <v>533</v>
      </c>
      <c r="B1520">
        <v>7</v>
      </c>
      <c r="C1520" t="s">
        <v>588</v>
      </c>
      <c r="D1520" s="2">
        <v>45625</v>
      </c>
      <c r="E1520">
        <v>11</v>
      </c>
      <c r="F1520" s="2">
        <v>45636</v>
      </c>
      <c r="G1520" s="6">
        <v>1</v>
      </c>
      <c r="H1520" s="6">
        <v>1</v>
      </c>
    </row>
    <row r="1521" spans="1:8" ht="14.4" hidden="1">
      <c r="A1521" t="s">
        <v>533</v>
      </c>
      <c r="B1521">
        <v>7.1</v>
      </c>
      <c r="C1521" t="s">
        <v>589</v>
      </c>
      <c r="D1521" s="2">
        <v>45625</v>
      </c>
      <c r="E1521">
        <v>3</v>
      </c>
      <c r="F1521" s="2">
        <v>45630</v>
      </c>
      <c r="G1521" s="6">
        <v>1</v>
      </c>
      <c r="H1521" s="6">
        <v>1</v>
      </c>
    </row>
    <row r="1522" spans="1:8" ht="14.4" hidden="1">
      <c r="A1522" t="s">
        <v>533</v>
      </c>
      <c r="B1522">
        <v>8</v>
      </c>
      <c r="C1522" t="s">
        <v>590</v>
      </c>
      <c r="D1522" s="2">
        <v>45633</v>
      </c>
      <c r="E1522">
        <v>53</v>
      </c>
      <c r="F1522" s="2">
        <v>45686</v>
      </c>
      <c r="G1522" s="6">
        <v>1</v>
      </c>
      <c r="H1522" s="6">
        <v>1</v>
      </c>
    </row>
    <row r="1523" spans="1:8" ht="14.4" hidden="1">
      <c r="A1523" t="s">
        <v>533</v>
      </c>
      <c r="B1523">
        <v>8.1</v>
      </c>
      <c r="C1523" t="s">
        <v>591</v>
      </c>
      <c r="D1523" s="2">
        <v>45630</v>
      </c>
      <c r="E1523">
        <v>1</v>
      </c>
      <c r="F1523" s="2">
        <v>45631</v>
      </c>
      <c r="G1523" s="6">
        <v>1</v>
      </c>
      <c r="H1523" s="6">
        <v>1</v>
      </c>
    </row>
    <row r="1524" spans="1:8" ht="14.4" hidden="1">
      <c r="A1524" t="s">
        <v>533</v>
      </c>
      <c r="B1524">
        <v>8.1999999999999993</v>
      </c>
      <c r="C1524" t="s">
        <v>592</v>
      </c>
      <c r="D1524" s="2">
        <v>45631</v>
      </c>
      <c r="E1524">
        <v>33</v>
      </c>
      <c r="F1524" s="2">
        <v>45681</v>
      </c>
      <c r="G1524" s="6">
        <v>1</v>
      </c>
      <c r="H1524" s="6">
        <v>1</v>
      </c>
    </row>
    <row r="1525" spans="1:8" ht="14.4" hidden="1">
      <c r="A1525" t="s">
        <v>533</v>
      </c>
      <c r="B1525">
        <v>8.3000000000000007</v>
      </c>
      <c r="C1525" t="s">
        <v>593</v>
      </c>
      <c r="D1525" s="2">
        <v>45638</v>
      </c>
      <c r="E1525">
        <v>5</v>
      </c>
      <c r="F1525" s="2">
        <v>45646</v>
      </c>
      <c r="G1525" s="6">
        <v>1</v>
      </c>
      <c r="H1525" s="6">
        <v>1</v>
      </c>
    </row>
    <row r="1526" spans="1:8" ht="14.4" hidden="1">
      <c r="A1526" t="s">
        <v>533</v>
      </c>
      <c r="B1526">
        <v>8.4</v>
      </c>
      <c r="C1526" t="s">
        <v>594</v>
      </c>
      <c r="D1526" s="2">
        <v>45638</v>
      </c>
      <c r="E1526">
        <v>5</v>
      </c>
      <c r="F1526" s="2">
        <v>45646</v>
      </c>
      <c r="G1526" s="6">
        <v>1</v>
      </c>
      <c r="H1526" s="6">
        <v>1</v>
      </c>
    </row>
    <row r="1527" spans="1:8" ht="14.4" hidden="1">
      <c r="A1527" t="s">
        <v>533</v>
      </c>
      <c r="B1527">
        <v>8.5</v>
      </c>
      <c r="C1527" t="s">
        <v>595</v>
      </c>
      <c r="D1527" s="2">
        <v>45708</v>
      </c>
      <c r="E1527">
        <v>1</v>
      </c>
      <c r="F1527" s="2">
        <v>45898</v>
      </c>
      <c r="G1527" s="6">
        <v>1</v>
      </c>
      <c r="H1527" s="6">
        <v>1</v>
      </c>
    </row>
    <row r="1528" spans="1:8" ht="14.4" hidden="1">
      <c r="A1528" t="s">
        <v>533</v>
      </c>
      <c r="B1528">
        <v>8.6</v>
      </c>
      <c r="C1528" t="s">
        <v>596</v>
      </c>
      <c r="D1528" s="2">
        <v>45776</v>
      </c>
      <c r="E1528">
        <v>1</v>
      </c>
      <c r="F1528" s="2">
        <v>45777</v>
      </c>
      <c r="G1528" s="6">
        <v>1</v>
      </c>
      <c r="H1528" s="6">
        <v>1</v>
      </c>
    </row>
    <row r="1529" spans="1:8" ht="14.4" hidden="1">
      <c r="A1529" t="s">
        <v>534</v>
      </c>
      <c r="B1529">
        <v>1</v>
      </c>
      <c r="C1529" t="s">
        <v>547</v>
      </c>
      <c r="D1529" s="2">
        <v>45518</v>
      </c>
      <c r="E1529">
        <v>37</v>
      </c>
      <c r="F1529" s="2">
        <v>45555</v>
      </c>
      <c r="G1529" s="6">
        <v>1</v>
      </c>
      <c r="H1529" s="6">
        <v>1</v>
      </c>
    </row>
    <row r="1530" spans="1:8" ht="14.4" hidden="1">
      <c r="A1530" t="s">
        <v>534</v>
      </c>
      <c r="B1530" t="s">
        <v>548</v>
      </c>
      <c r="C1530" t="s">
        <v>549</v>
      </c>
      <c r="D1530" s="2">
        <v>45518</v>
      </c>
      <c r="E1530">
        <v>1</v>
      </c>
      <c r="F1530" s="2">
        <v>45519</v>
      </c>
      <c r="G1530" s="6">
        <v>1</v>
      </c>
      <c r="H1530" s="6">
        <v>1</v>
      </c>
    </row>
    <row r="1531" spans="1:8" ht="14.4" hidden="1">
      <c r="A1531" t="s">
        <v>534</v>
      </c>
      <c r="B1531" t="s">
        <v>550</v>
      </c>
      <c r="C1531" t="s">
        <v>551</v>
      </c>
      <c r="D1531" s="2">
        <v>45540</v>
      </c>
      <c r="E1531">
        <v>1</v>
      </c>
      <c r="F1531" s="2">
        <v>45541</v>
      </c>
      <c r="G1531" s="6">
        <v>1</v>
      </c>
      <c r="H1531" s="6">
        <v>1</v>
      </c>
    </row>
    <row r="1532" spans="1:8" ht="14.4" hidden="1">
      <c r="A1532" t="s">
        <v>534</v>
      </c>
      <c r="B1532" t="s">
        <v>552</v>
      </c>
      <c r="C1532" t="s">
        <v>553</v>
      </c>
      <c r="D1532" s="2">
        <v>45540</v>
      </c>
      <c r="E1532">
        <v>15</v>
      </c>
      <c r="F1532" s="2">
        <v>45555</v>
      </c>
      <c r="G1532" s="6">
        <v>1</v>
      </c>
      <c r="H1532" s="6">
        <v>1</v>
      </c>
    </row>
    <row r="1533" spans="1:8" ht="14.4" hidden="1">
      <c r="A1533" t="s">
        <v>534</v>
      </c>
      <c r="B1533" t="s">
        <v>554</v>
      </c>
      <c r="C1533" t="s">
        <v>555</v>
      </c>
      <c r="D1533" s="2">
        <v>45548</v>
      </c>
      <c r="E1533">
        <v>1</v>
      </c>
      <c r="F1533" s="2">
        <v>45551</v>
      </c>
      <c r="G1533" s="6">
        <v>1</v>
      </c>
      <c r="H1533" s="6">
        <v>1</v>
      </c>
    </row>
    <row r="1534" spans="1:8" ht="14.4" hidden="1">
      <c r="A1534" t="s">
        <v>534</v>
      </c>
      <c r="B1534" t="s">
        <v>556</v>
      </c>
      <c r="C1534" t="s">
        <v>557</v>
      </c>
      <c r="D1534" s="2">
        <v>45547</v>
      </c>
      <c r="E1534">
        <v>1</v>
      </c>
      <c r="F1534" s="2">
        <v>45548</v>
      </c>
      <c r="G1534" s="6">
        <v>1</v>
      </c>
      <c r="H1534" s="6">
        <v>1</v>
      </c>
    </row>
    <row r="1535" spans="1:8" ht="14.4" hidden="1">
      <c r="A1535" t="s">
        <v>534</v>
      </c>
      <c r="B1535">
        <v>2</v>
      </c>
      <c r="C1535" t="s">
        <v>558</v>
      </c>
      <c r="D1535" s="2">
        <v>45560</v>
      </c>
      <c r="E1535">
        <v>1</v>
      </c>
      <c r="F1535" s="2">
        <v>45561</v>
      </c>
      <c r="G1535" s="6">
        <v>1</v>
      </c>
      <c r="H1535" s="6">
        <v>1</v>
      </c>
    </row>
    <row r="1536" spans="1:8" ht="14.4" hidden="1">
      <c r="A1536" t="s">
        <v>534</v>
      </c>
      <c r="B1536" t="s">
        <v>559</v>
      </c>
      <c r="C1536" t="s">
        <v>788</v>
      </c>
      <c r="D1536" s="2">
        <v>45560</v>
      </c>
      <c r="E1536">
        <v>1</v>
      </c>
      <c r="F1536" s="2">
        <v>45561</v>
      </c>
      <c r="G1536" s="6">
        <v>1</v>
      </c>
      <c r="H1536" s="6">
        <v>1</v>
      </c>
    </row>
    <row r="1537" spans="1:8" ht="14.4" hidden="1">
      <c r="A1537" t="s">
        <v>534</v>
      </c>
      <c r="B1537">
        <v>3</v>
      </c>
      <c r="C1537" t="s">
        <v>561</v>
      </c>
      <c r="D1537" s="2">
        <v>45562</v>
      </c>
      <c r="E1537">
        <v>35</v>
      </c>
      <c r="F1537" s="2">
        <v>45597</v>
      </c>
      <c r="G1537" s="6">
        <v>1</v>
      </c>
      <c r="H1537" s="6">
        <v>1</v>
      </c>
    </row>
    <row r="1538" spans="1:8" ht="14.4" hidden="1">
      <c r="A1538" t="s">
        <v>534</v>
      </c>
      <c r="B1538" t="s">
        <v>562</v>
      </c>
      <c r="C1538" t="s">
        <v>563</v>
      </c>
      <c r="D1538" s="2">
        <v>45565</v>
      </c>
      <c r="E1538">
        <v>1</v>
      </c>
      <c r="F1538" s="2">
        <v>45566</v>
      </c>
      <c r="G1538" s="6">
        <v>1</v>
      </c>
      <c r="H1538" s="6">
        <v>1</v>
      </c>
    </row>
    <row r="1539" spans="1:8" ht="14.4" hidden="1">
      <c r="A1539" t="s">
        <v>534</v>
      </c>
      <c r="B1539" t="s">
        <v>564</v>
      </c>
      <c r="C1539" t="s">
        <v>565</v>
      </c>
      <c r="D1539" s="2">
        <v>45566</v>
      </c>
      <c r="E1539">
        <v>1</v>
      </c>
      <c r="F1539" s="2">
        <v>45567</v>
      </c>
      <c r="G1539" s="6">
        <v>1</v>
      </c>
      <c r="H1539" s="6">
        <v>1</v>
      </c>
    </row>
    <row r="1540" spans="1:8" ht="14.4" hidden="1">
      <c r="A1540" t="s">
        <v>534</v>
      </c>
      <c r="B1540" t="s">
        <v>566</v>
      </c>
      <c r="C1540" t="s">
        <v>635</v>
      </c>
      <c r="D1540" s="2">
        <v>45560</v>
      </c>
      <c r="E1540">
        <v>30</v>
      </c>
      <c r="F1540" s="2">
        <v>45602</v>
      </c>
      <c r="G1540" s="6">
        <v>1</v>
      </c>
      <c r="H1540" s="6">
        <v>1</v>
      </c>
    </row>
    <row r="1541" spans="1:8" ht="14.4" hidden="1">
      <c r="A1541" t="s">
        <v>534</v>
      </c>
      <c r="B1541" t="s">
        <v>568</v>
      </c>
      <c r="C1541" t="s">
        <v>569</v>
      </c>
      <c r="D1541" s="2">
        <v>45566</v>
      </c>
      <c r="E1541">
        <v>10</v>
      </c>
      <c r="F1541" s="2">
        <v>45580</v>
      </c>
      <c r="G1541" s="6">
        <v>1</v>
      </c>
      <c r="H1541" s="6">
        <v>1</v>
      </c>
    </row>
    <row r="1542" spans="1:8" ht="14.4" hidden="1">
      <c r="A1542" t="s">
        <v>534</v>
      </c>
      <c r="B1542" t="s">
        <v>570</v>
      </c>
      <c r="C1542" t="s">
        <v>636</v>
      </c>
      <c r="D1542" s="2">
        <v>45574</v>
      </c>
      <c r="E1542">
        <v>1</v>
      </c>
      <c r="F1542" s="2">
        <v>45575</v>
      </c>
      <c r="G1542" s="6">
        <v>1</v>
      </c>
      <c r="H1542" s="6">
        <v>1</v>
      </c>
    </row>
    <row r="1543" spans="1:8" ht="14.4" hidden="1">
      <c r="A1543" t="s">
        <v>534</v>
      </c>
      <c r="B1543">
        <v>4</v>
      </c>
      <c r="C1543" t="s">
        <v>572</v>
      </c>
      <c r="D1543" s="2">
        <v>45560</v>
      </c>
      <c r="E1543">
        <v>37</v>
      </c>
      <c r="F1543" s="2">
        <v>45597</v>
      </c>
      <c r="G1543" s="6">
        <v>1</v>
      </c>
      <c r="H1543" s="6">
        <v>1</v>
      </c>
    </row>
    <row r="1544" spans="1:8" ht="14.4" hidden="1">
      <c r="A1544" t="s">
        <v>534</v>
      </c>
      <c r="B1544" t="s">
        <v>573</v>
      </c>
      <c r="C1544" t="s">
        <v>574</v>
      </c>
      <c r="D1544" s="2">
        <v>45560</v>
      </c>
      <c r="E1544">
        <v>1</v>
      </c>
      <c r="F1544" s="2">
        <v>45561</v>
      </c>
      <c r="G1544" s="6">
        <v>1</v>
      </c>
      <c r="H1544" s="6">
        <v>1</v>
      </c>
    </row>
    <row r="1545" spans="1:8" ht="14.4" hidden="1">
      <c r="A1545" t="s">
        <v>534</v>
      </c>
      <c r="B1545" t="s">
        <v>575</v>
      </c>
      <c r="C1545" t="s">
        <v>576</v>
      </c>
      <c r="D1545" s="2">
        <v>45560</v>
      </c>
      <c r="E1545">
        <v>8</v>
      </c>
      <c r="F1545" s="2">
        <v>45572</v>
      </c>
      <c r="G1545" s="6">
        <v>1</v>
      </c>
      <c r="H1545" s="6">
        <v>1</v>
      </c>
    </row>
    <row r="1546" spans="1:8" ht="14.4" hidden="1">
      <c r="A1546" t="s">
        <v>534</v>
      </c>
      <c r="B1546" t="s">
        <v>577</v>
      </c>
      <c r="C1546" t="s">
        <v>578</v>
      </c>
      <c r="D1546" s="2">
        <v>45560</v>
      </c>
      <c r="E1546">
        <v>1</v>
      </c>
      <c r="F1546" s="2">
        <v>45561</v>
      </c>
      <c r="G1546" s="6">
        <v>1</v>
      </c>
      <c r="H1546" s="6">
        <v>1</v>
      </c>
    </row>
    <row r="1547" spans="1:8" ht="14.4" hidden="1">
      <c r="A1547" t="s">
        <v>534</v>
      </c>
      <c r="B1547" t="s">
        <v>577</v>
      </c>
      <c r="C1547" t="s">
        <v>580</v>
      </c>
      <c r="D1547" s="2">
        <v>45597</v>
      </c>
      <c r="E1547">
        <v>5</v>
      </c>
      <c r="F1547" s="2">
        <v>45604</v>
      </c>
      <c r="G1547" s="6">
        <v>1</v>
      </c>
      <c r="H1547" s="6">
        <v>1</v>
      </c>
    </row>
    <row r="1548" spans="1:8" ht="14.4" hidden="1">
      <c r="A1548" t="s">
        <v>534</v>
      </c>
      <c r="B1548">
        <v>5</v>
      </c>
      <c r="C1548" t="s">
        <v>581</v>
      </c>
      <c r="D1548" s="2">
        <v>45576</v>
      </c>
      <c r="E1548">
        <v>33</v>
      </c>
      <c r="F1548" s="2">
        <v>45609</v>
      </c>
      <c r="G1548" s="6">
        <v>1</v>
      </c>
      <c r="H1548" s="6">
        <v>1</v>
      </c>
    </row>
    <row r="1549" spans="1:8" ht="14.4" hidden="1">
      <c r="A1549" t="s">
        <v>534</v>
      </c>
      <c r="B1549" t="s">
        <v>582</v>
      </c>
      <c r="C1549" t="s">
        <v>583</v>
      </c>
      <c r="D1549" s="2">
        <v>45576</v>
      </c>
      <c r="E1549">
        <v>1</v>
      </c>
      <c r="F1549" s="2">
        <v>45579</v>
      </c>
      <c r="G1549" s="6">
        <v>1</v>
      </c>
      <c r="H1549" s="6">
        <v>1</v>
      </c>
    </row>
    <row r="1550" spans="1:8" ht="14.4" hidden="1">
      <c r="A1550" t="s">
        <v>534</v>
      </c>
      <c r="B1550" t="s">
        <v>584</v>
      </c>
      <c r="C1550" t="s">
        <v>585</v>
      </c>
      <c r="D1550" s="2">
        <v>45576</v>
      </c>
      <c r="E1550">
        <v>15</v>
      </c>
      <c r="F1550" s="2">
        <v>45597</v>
      </c>
      <c r="G1550" s="6">
        <v>1</v>
      </c>
      <c r="H1550" s="6">
        <v>1</v>
      </c>
    </row>
    <row r="1551" spans="1:8" ht="14.4" hidden="1">
      <c r="A1551" t="s">
        <v>534</v>
      </c>
      <c r="B1551">
        <v>6</v>
      </c>
      <c r="C1551" t="s">
        <v>240</v>
      </c>
      <c r="D1551" s="2">
        <v>45604</v>
      </c>
      <c r="E1551">
        <v>5</v>
      </c>
      <c r="F1551" s="2">
        <v>45609</v>
      </c>
      <c r="G1551" s="6">
        <v>1</v>
      </c>
      <c r="H1551" s="6">
        <v>1</v>
      </c>
    </row>
    <row r="1552" spans="1:8" ht="14.4" hidden="1">
      <c r="A1552" t="s">
        <v>534</v>
      </c>
      <c r="B1552" t="s">
        <v>586</v>
      </c>
      <c r="C1552" t="s">
        <v>240</v>
      </c>
      <c r="D1552" s="2">
        <v>45609</v>
      </c>
      <c r="E1552">
        <v>1</v>
      </c>
      <c r="F1552" s="2">
        <v>45610</v>
      </c>
      <c r="G1552" s="6">
        <v>1</v>
      </c>
      <c r="H1552" s="6">
        <v>1</v>
      </c>
    </row>
    <row r="1553" spans="1:8" ht="14.4" hidden="1">
      <c r="A1553" t="s">
        <v>534</v>
      </c>
      <c r="B1553" t="s">
        <v>587</v>
      </c>
      <c r="C1553" t="s">
        <v>169</v>
      </c>
      <c r="D1553" s="2">
        <v>45609</v>
      </c>
      <c r="E1553">
        <v>4</v>
      </c>
      <c r="F1553" s="2">
        <v>45615</v>
      </c>
      <c r="G1553" s="6">
        <v>1</v>
      </c>
      <c r="H1553" s="6">
        <v>1</v>
      </c>
    </row>
    <row r="1554" spans="1:8" ht="14.4" hidden="1">
      <c r="A1554" t="s">
        <v>534</v>
      </c>
      <c r="B1554">
        <v>7</v>
      </c>
      <c r="C1554" t="s">
        <v>588</v>
      </c>
      <c r="D1554" s="2">
        <v>45609</v>
      </c>
      <c r="E1554">
        <v>28</v>
      </c>
      <c r="F1554" s="2">
        <v>45637</v>
      </c>
      <c r="G1554" s="6">
        <v>1</v>
      </c>
      <c r="H1554" s="6">
        <v>1</v>
      </c>
    </row>
    <row r="1555" spans="1:8" ht="14.4" hidden="1">
      <c r="A1555" t="s">
        <v>534</v>
      </c>
      <c r="B1555">
        <v>7.1</v>
      </c>
      <c r="C1555" t="s">
        <v>589</v>
      </c>
      <c r="D1555" s="2">
        <v>45632</v>
      </c>
      <c r="E1555">
        <v>3</v>
      </c>
      <c r="F1555" s="2">
        <v>45637</v>
      </c>
      <c r="G1555" s="6">
        <v>1</v>
      </c>
      <c r="H1555" s="6">
        <v>1</v>
      </c>
    </row>
    <row r="1556" spans="1:8" ht="14.4" hidden="1">
      <c r="A1556" t="s">
        <v>534</v>
      </c>
      <c r="B1556">
        <v>8</v>
      </c>
      <c r="C1556" t="s">
        <v>590</v>
      </c>
      <c r="D1556" s="2">
        <v>45634</v>
      </c>
      <c r="E1556">
        <v>52</v>
      </c>
      <c r="F1556" s="2">
        <v>45686</v>
      </c>
      <c r="G1556" s="6">
        <v>1</v>
      </c>
      <c r="H1556" s="6">
        <v>1</v>
      </c>
    </row>
    <row r="1557" spans="1:8" ht="14.4" hidden="1">
      <c r="A1557" t="s">
        <v>534</v>
      </c>
      <c r="B1557">
        <v>8.1</v>
      </c>
      <c r="C1557" t="s">
        <v>591</v>
      </c>
      <c r="D1557" s="2">
        <v>45637</v>
      </c>
      <c r="E1557">
        <v>1</v>
      </c>
      <c r="F1557" s="2">
        <v>45638</v>
      </c>
      <c r="G1557" s="6">
        <v>1</v>
      </c>
      <c r="H1557" s="6">
        <v>1</v>
      </c>
    </row>
    <row r="1558" spans="1:8" ht="14.4" hidden="1">
      <c r="A1558" t="s">
        <v>534</v>
      </c>
      <c r="B1558">
        <v>8.1999999999999993</v>
      </c>
      <c r="C1558" t="s">
        <v>592</v>
      </c>
      <c r="D1558" s="2">
        <v>45638</v>
      </c>
      <c r="E1558">
        <v>28</v>
      </c>
      <c r="F1558" s="2">
        <v>45681</v>
      </c>
      <c r="G1558" s="6">
        <v>1</v>
      </c>
      <c r="H1558" s="6">
        <v>1</v>
      </c>
    </row>
    <row r="1559" spans="1:8" ht="14.4" hidden="1">
      <c r="A1559" t="s">
        <v>534</v>
      </c>
      <c r="B1559">
        <v>8.3000000000000007</v>
      </c>
      <c r="C1559" t="s">
        <v>593</v>
      </c>
      <c r="D1559" s="2">
        <v>45646</v>
      </c>
      <c r="E1559">
        <v>10</v>
      </c>
      <c r="F1559" s="2">
        <v>45664</v>
      </c>
      <c r="G1559" s="6">
        <v>1</v>
      </c>
      <c r="H1559" s="6">
        <v>1</v>
      </c>
    </row>
    <row r="1560" spans="1:8" ht="14.4" hidden="1">
      <c r="A1560" t="s">
        <v>534</v>
      </c>
      <c r="B1560">
        <v>8.4</v>
      </c>
      <c r="C1560" t="s">
        <v>594</v>
      </c>
      <c r="D1560" s="2">
        <v>45646</v>
      </c>
      <c r="E1560">
        <v>20</v>
      </c>
      <c r="F1560" s="2">
        <v>45678</v>
      </c>
      <c r="G1560" s="6">
        <v>1</v>
      </c>
      <c r="H1560" s="6">
        <v>1</v>
      </c>
    </row>
    <row r="1561" spans="1:8" ht="14.4" hidden="1">
      <c r="A1561" t="s">
        <v>534</v>
      </c>
      <c r="B1561">
        <v>8.5</v>
      </c>
      <c r="C1561" t="s">
        <v>595</v>
      </c>
      <c r="D1561" s="2">
        <v>45708</v>
      </c>
      <c r="E1561">
        <v>1</v>
      </c>
      <c r="F1561" s="2">
        <v>45898</v>
      </c>
      <c r="G1561" s="6">
        <v>1</v>
      </c>
      <c r="H1561" s="6">
        <v>1</v>
      </c>
    </row>
    <row r="1562" spans="1:8" ht="14.4" hidden="1">
      <c r="A1562" t="s">
        <v>534</v>
      </c>
      <c r="B1562">
        <v>8.6</v>
      </c>
      <c r="C1562" t="s">
        <v>596</v>
      </c>
      <c r="D1562" s="2">
        <v>45776</v>
      </c>
      <c r="E1562">
        <v>1</v>
      </c>
      <c r="F1562" s="2">
        <v>45777</v>
      </c>
      <c r="G1562" s="6">
        <v>1</v>
      </c>
      <c r="H1562" s="6">
        <v>1</v>
      </c>
    </row>
    <row r="1563" spans="1:8" ht="14.4" hidden="1">
      <c r="A1563" t="s">
        <v>226</v>
      </c>
      <c r="B1563">
        <v>1</v>
      </c>
      <c r="C1563" t="s">
        <v>547</v>
      </c>
      <c r="D1563" s="2">
        <v>45845</v>
      </c>
      <c r="E1563">
        <v>94</v>
      </c>
      <c r="F1563" s="2">
        <v>45939</v>
      </c>
      <c r="G1563" s="6">
        <v>1</v>
      </c>
      <c r="H1563" s="6">
        <v>1</v>
      </c>
    </row>
    <row r="1564" spans="1:8" ht="14.4" hidden="1">
      <c r="A1564" t="s">
        <v>226</v>
      </c>
      <c r="B1564" t="s">
        <v>548</v>
      </c>
      <c r="C1564" t="s">
        <v>549</v>
      </c>
      <c r="D1564" s="2">
        <v>45845</v>
      </c>
      <c r="E1564">
        <v>5</v>
      </c>
      <c r="F1564" s="2">
        <v>45852</v>
      </c>
      <c r="G1564" s="6">
        <v>1</v>
      </c>
      <c r="H1564" s="6">
        <v>1</v>
      </c>
    </row>
    <row r="1565" spans="1:8" ht="14.4" hidden="1">
      <c r="A1565" t="s">
        <v>226</v>
      </c>
      <c r="B1565" t="s">
        <v>550</v>
      </c>
      <c r="C1565" t="s">
        <v>551</v>
      </c>
      <c r="D1565" s="2">
        <v>45929</v>
      </c>
      <c r="E1565">
        <v>1</v>
      </c>
      <c r="F1565" s="2">
        <v>45930</v>
      </c>
      <c r="G1565" s="6">
        <v>1</v>
      </c>
      <c r="H1565" s="6">
        <v>1</v>
      </c>
    </row>
    <row r="1566" spans="1:8" ht="14.4" hidden="1">
      <c r="A1566" t="s">
        <v>226</v>
      </c>
      <c r="B1566" t="s">
        <v>552</v>
      </c>
      <c r="C1566" t="s">
        <v>553</v>
      </c>
      <c r="D1566" s="2">
        <v>45929</v>
      </c>
      <c r="E1566">
        <v>8</v>
      </c>
      <c r="F1566" s="2">
        <v>45939</v>
      </c>
      <c r="G1566" s="6">
        <v>1</v>
      </c>
      <c r="H1566" s="6">
        <v>1</v>
      </c>
    </row>
    <row r="1567" spans="1:8" ht="14.4" hidden="1">
      <c r="A1567" t="s">
        <v>226</v>
      </c>
      <c r="B1567" t="s">
        <v>554</v>
      </c>
      <c r="C1567" t="s">
        <v>555</v>
      </c>
      <c r="D1567" s="2">
        <v>45929</v>
      </c>
      <c r="E1567">
        <v>1</v>
      </c>
      <c r="F1567" s="2">
        <v>45930</v>
      </c>
      <c r="G1567" s="6">
        <v>1</v>
      </c>
      <c r="H1567" s="6">
        <v>1</v>
      </c>
    </row>
    <row r="1568" spans="1:8" ht="14.4" hidden="1">
      <c r="A1568" t="s">
        <v>226</v>
      </c>
      <c r="B1568" t="s">
        <v>556</v>
      </c>
      <c r="C1568" t="s">
        <v>557</v>
      </c>
      <c r="D1568" s="2">
        <v>45929</v>
      </c>
      <c r="E1568">
        <v>1</v>
      </c>
      <c r="F1568" s="2">
        <v>45930</v>
      </c>
      <c r="G1568" s="6">
        <v>1</v>
      </c>
      <c r="H1568" s="6">
        <v>1</v>
      </c>
    </row>
    <row r="1569" spans="1:8" ht="14.4" hidden="1">
      <c r="A1569" t="s">
        <v>226</v>
      </c>
      <c r="B1569">
        <v>2</v>
      </c>
      <c r="C1569" t="s">
        <v>558</v>
      </c>
      <c r="D1569" s="2">
        <v>45943</v>
      </c>
      <c r="E1569">
        <v>1</v>
      </c>
      <c r="F1569" s="2">
        <v>45944</v>
      </c>
      <c r="G1569" s="6">
        <v>1</v>
      </c>
      <c r="H1569" s="6">
        <v>1</v>
      </c>
    </row>
    <row r="1570" spans="1:8" ht="14.4" hidden="1">
      <c r="A1570" t="s">
        <v>226</v>
      </c>
      <c r="B1570" t="s">
        <v>559</v>
      </c>
      <c r="C1570" t="s">
        <v>560</v>
      </c>
      <c r="D1570" s="2">
        <v>45943</v>
      </c>
      <c r="E1570">
        <v>1</v>
      </c>
      <c r="F1570" s="2">
        <v>45944</v>
      </c>
      <c r="G1570" s="6">
        <v>1</v>
      </c>
      <c r="H1570" s="6">
        <v>1</v>
      </c>
    </row>
    <row r="1571" spans="1:8" ht="14.4" hidden="1">
      <c r="A1571" t="s">
        <v>226</v>
      </c>
      <c r="B1571" t="s">
        <v>671</v>
      </c>
      <c r="C1571" t="s">
        <v>1006</v>
      </c>
      <c r="D1571" s="2">
        <v>45957</v>
      </c>
      <c r="E1571">
        <v>36</v>
      </c>
      <c r="F1571" s="2">
        <v>45993</v>
      </c>
      <c r="G1571" s="6">
        <v>1</v>
      </c>
      <c r="H1571" s="6">
        <v>1</v>
      </c>
    </row>
    <row r="1572" spans="1:8" ht="14.4" hidden="1">
      <c r="A1572" t="s">
        <v>226</v>
      </c>
      <c r="B1572" t="s">
        <v>671</v>
      </c>
      <c r="C1572" t="s">
        <v>816</v>
      </c>
      <c r="D1572" s="2">
        <v>45950</v>
      </c>
      <c r="E1572">
        <v>10</v>
      </c>
      <c r="F1572" s="2">
        <v>45960</v>
      </c>
      <c r="G1572" s="6">
        <v>1</v>
      </c>
      <c r="H1572" s="6">
        <v>1</v>
      </c>
    </row>
    <row r="1573" spans="1:8" ht="14.4" hidden="1">
      <c r="A1573" t="s">
        <v>226</v>
      </c>
      <c r="B1573">
        <v>3</v>
      </c>
      <c r="C1573" t="s">
        <v>561</v>
      </c>
      <c r="D1573" s="2">
        <v>45929</v>
      </c>
      <c r="E1573">
        <v>147</v>
      </c>
      <c r="F1573" s="2">
        <v>46076</v>
      </c>
      <c r="G1573" s="6">
        <v>0.68</v>
      </c>
      <c r="H1573" s="6">
        <v>0.62470295886913896</v>
      </c>
    </row>
    <row r="1574" spans="1:8" ht="14.4" hidden="1">
      <c r="A1574" t="s">
        <v>226</v>
      </c>
      <c r="B1574" t="s">
        <v>562</v>
      </c>
      <c r="C1574" t="s">
        <v>563</v>
      </c>
      <c r="D1574" s="2">
        <v>45943</v>
      </c>
      <c r="E1574">
        <v>1</v>
      </c>
      <c r="F1574" s="2">
        <v>45944</v>
      </c>
      <c r="G1574" s="6">
        <v>1</v>
      </c>
      <c r="H1574" s="6">
        <v>1</v>
      </c>
    </row>
    <row r="1575" spans="1:8" ht="14.4" hidden="1">
      <c r="A1575" t="s">
        <v>226</v>
      </c>
      <c r="B1575" t="s">
        <v>564</v>
      </c>
      <c r="C1575" t="s">
        <v>565</v>
      </c>
      <c r="D1575" s="2">
        <v>45993</v>
      </c>
      <c r="E1575">
        <v>1</v>
      </c>
      <c r="F1575" s="2">
        <v>45994</v>
      </c>
      <c r="G1575" s="6">
        <v>1</v>
      </c>
      <c r="H1575" s="6">
        <v>1</v>
      </c>
    </row>
    <row r="1576" spans="1:8" ht="14.4" hidden="1">
      <c r="A1576" t="s">
        <v>226</v>
      </c>
      <c r="B1576" t="s">
        <v>566</v>
      </c>
      <c r="C1576" t="s">
        <v>567</v>
      </c>
      <c r="D1576" s="2">
        <v>45929</v>
      </c>
      <c r="E1576">
        <v>34</v>
      </c>
      <c r="F1576" s="2">
        <v>45975</v>
      </c>
      <c r="G1576" s="6">
        <v>1</v>
      </c>
      <c r="H1576" s="6">
        <v>1</v>
      </c>
    </row>
    <row r="1577" spans="1:8" ht="14.4" hidden="1">
      <c r="A1577" t="s">
        <v>226</v>
      </c>
      <c r="B1577" t="s">
        <v>568</v>
      </c>
      <c r="C1577" t="s">
        <v>1007</v>
      </c>
      <c r="D1577" s="2">
        <v>45993</v>
      </c>
      <c r="E1577">
        <v>15</v>
      </c>
      <c r="F1577" s="2">
        <v>46048</v>
      </c>
      <c r="G1577" s="6">
        <v>1</v>
      </c>
      <c r="H1577" s="6">
        <v>1</v>
      </c>
    </row>
    <row r="1578" spans="1:8" ht="14.4" hidden="1">
      <c r="A1578" t="s">
        <v>226</v>
      </c>
      <c r="B1578" t="s">
        <v>570</v>
      </c>
      <c r="C1578" t="s">
        <v>1008</v>
      </c>
      <c r="D1578" s="2">
        <v>46034</v>
      </c>
      <c r="E1578">
        <v>8</v>
      </c>
      <c r="F1578" s="2">
        <v>46050</v>
      </c>
      <c r="G1578" s="6">
        <v>1</v>
      </c>
      <c r="H1578" s="6">
        <v>1</v>
      </c>
    </row>
    <row r="1579" spans="1:8" ht="14.4" hidden="1">
      <c r="A1579" t="s">
        <v>226</v>
      </c>
      <c r="B1579" t="s">
        <v>619</v>
      </c>
      <c r="C1579" t="s">
        <v>1009</v>
      </c>
      <c r="D1579" s="2">
        <v>46056</v>
      </c>
      <c r="E1579">
        <v>14</v>
      </c>
      <c r="F1579" s="2">
        <v>46076</v>
      </c>
      <c r="G1579" s="6">
        <v>0.3</v>
      </c>
      <c r="H1579" s="6">
        <v>0.4</v>
      </c>
    </row>
    <row r="1580" spans="1:8" ht="14.4" hidden="1">
      <c r="A1580" t="s">
        <v>226</v>
      </c>
      <c r="B1580" t="s">
        <v>621</v>
      </c>
      <c r="C1580" t="s">
        <v>1010</v>
      </c>
      <c r="D1580" s="2">
        <v>46063</v>
      </c>
      <c r="E1580">
        <v>1</v>
      </c>
      <c r="F1580" s="2">
        <v>46064</v>
      </c>
      <c r="G1580" s="6">
        <v>0</v>
      </c>
      <c r="H1580" s="6">
        <v>1</v>
      </c>
    </row>
    <row r="1581" spans="1:8" ht="14.4" hidden="1">
      <c r="A1581" t="s">
        <v>226</v>
      </c>
      <c r="B1581" t="s">
        <v>705</v>
      </c>
      <c r="C1581" t="s">
        <v>972</v>
      </c>
      <c r="D1581" s="2">
        <v>46063</v>
      </c>
      <c r="E1581">
        <v>1</v>
      </c>
      <c r="F1581" s="2">
        <v>46064</v>
      </c>
      <c r="G1581" s="6">
        <v>0</v>
      </c>
      <c r="H1581" s="6">
        <v>1</v>
      </c>
    </row>
    <row r="1582" spans="1:8" ht="14.4" hidden="1">
      <c r="A1582" t="s">
        <v>226</v>
      </c>
      <c r="B1582">
        <v>4</v>
      </c>
      <c r="C1582" t="s">
        <v>572</v>
      </c>
      <c r="D1582" s="2">
        <v>45943</v>
      </c>
      <c r="E1582">
        <v>100</v>
      </c>
      <c r="F1582" s="2">
        <v>46043</v>
      </c>
      <c r="G1582" s="6">
        <v>0.62608695652173918</v>
      </c>
      <c r="H1582" s="6">
        <v>0.67391304347826086</v>
      </c>
    </row>
    <row r="1583" spans="1:8" ht="14.4" hidden="1">
      <c r="A1583" t="s">
        <v>226</v>
      </c>
      <c r="B1583" t="s">
        <v>573</v>
      </c>
      <c r="C1583" t="s">
        <v>613</v>
      </c>
      <c r="E1583"/>
      <c r="G1583" s="6">
        <v>0</v>
      </c>
      <c r="H1583" s="6">
        <v>0</v>
      </c>
    </row>
    <row r="1584" spans="1:8" ht="14.4" hidden="1">
      <c r="A1584" t="s">
        <v>226</v>
      </c>
      <c r="B1584" t="s">
        <v>573</v>
      </c>
      <c r="C1584" t="s">
        <v>574</v>
      </c>
      <c r="D1584" s="2">
        <v>45943</v>
      </c>
      <c r="E1584">
        <v>1</v>
      </c>
      <c r="F1584" s="2">
        <v>45944</v>
      </c>
      <c r="G1584" s="6">
        <v>1</v>
      </c>
      <c r="H1584" s="6">
        <v>1</v>
      </c>
    </row>
    <row r="1585" spans="1:8" ht="14.4" hidden="1">
      <c r="A1585" t="s">
        <v>226</v>
      </c>
      <c r="B1585" t="s">
        <v>575</v>
      </c>
      <c r="C1585" t="s">
        <v>1011</v>
      </c>
      <c r="D1585" s="2">
        <v>45957</v>
      </c>
      <c r="E1585">
        <v>8</v>
      </c>
      <c r="F1585" s="2">
        <v>45967</v>
      </c>
      <c r="G1585" s="6">
        <v>1</v>
      </c>
      <c r="H1585" s="6">
        <v>1</v>
      </c>
    </row>
    <row r="1586" spans="1:8" ht="14.4" hidden="1">
      <c r="A1586" t="s">
        <v>226</v>
      </c>
      <c r="B1586" t="s">
        <v>577</v>
      </c>
      <c r="C1586" t="s">
        <v>1012</v>
      </c>
      <c r="D1586" s="2">
        <v>45974</v>
      </c>
      <c r="E1586">
        <v>8</v>
      </c>
      <c r="F1586" s="2">
        <v>45986</v>
      </c>
      <c r="G1586" s="6">
        <v>1</v>
      </c>
      <c r="H1586" s="6">
        <v>1</v>
      </c>
    </row>
    <row r="1587" spans="1:8" ht="14.4" hidden="1">
      <c r="A1587" t="s">
        <v>226</v>
      </c>
      <c r="B1587" t="s">
        <v>579</v>
      </c>
      <c r="C1587" t="s">
        <v>578</v>
      </c>
      <c r="D1587" s="2">
        <v>45943</v>
      </c>
      <c r="E1587">
        <v>1</v>
      </c>
      <c r="F1587" s="2">
        <v>45944</v>
      </c>
      <c r="G1587" s="6">
        <v>1</v>
      </c>
      <c r="H1587" s="6">
        <v>1</v>
      </c>
    </row>
    <row r="1588" spans="1:8" ht="14.4" hidden="1">
      <c r="A1588" t="s">
        <v>226</v>
      </c>
      <c r="B1588" t="s">
        <v>615</v>
      </c>
      <c r="C1588" t="s">
        <v>1013</v>
      </c>
      <c r="D1588" s="2">
        <v>45976</v>
      </c>
      <c r="E1588">
        <v>6</v>
      </c>
      <c r="F1588" s="2">
        <v>45985</v>
      </c>
      <c r="G1588" s="6">
        <v>0.9</v>
      </c>
      <c r="H1588" s="6">
        <v>1</v>
      </c>
    </row>
    <row r="1589" spans="1:8" ht="14.4" hidden="1">
      <c r="A1589" t="s">
        <v>226</v>
      </c>
      <c r="B1589" t="s">
        <v>627</v>
      </c>
      <c r="C1589" t="s">
        <v>1014</v>
      </c>
      <c r="D1589" s="2">
        <v>45979</v>
      </c>
      <c r="E1589">
        <v>22</v>
      </c>
      <c r="F1589" s="2">
        <v>46043</v>
      </c>
      <c r="G1589" s="6">
        <v>0.9</v>
      </c>
      <c r="H1589" s="6">
        <v>1</v>
      </c>
    </row>
    <row r="1590" spans="1:8" ht="14.4" hidden="1">
      <c r="A1590" t="s">
        <v>226</v>
      </c>
      <c r="B1590">
        <v>5</v>
      </c>
      <c r="C1590" t="s">
        <v>581</v>
      </c>
      <c r="D1590" s="2">
        <v>45943</v>
      </c>
      <c r="E1590">
        <v>38</v>
      </c>
      <c r="F1590" s="2">
        <v>45981</v>
      </c>
      <c r="G1590" s="6">
        <v>1</v>
      </c>
      <c r="H1590" s="6">
        <v>1</v>
      </c>
    </row>
    <row r="1591" spans="1:8" ht="14.4" hidden="1">
      <c r="A1591" t="s">
        <v>226</v>
      </c>
      <c r="B1591" t="s">
        <v>582</v>
      </c>
      <c r="C1591" t="s">
        <v>583</v>
      </c>
      <c r="D1591" s="2">
        <v>45943</v>
      </c>
      <c r="E1591">
        <v>1</v>
      </c>
      <c r="F1591" s="2">
        <v>45944</v>
      </c>
      <c r="G1591" s="6">
        <v>1</v>
      </c>
      <c r="H1591" s="6">
        <v>1</v>
      </c>
    </row>
    <row r="1592" spans="1:8" ht="14.4" hidden="1">
      <c r="A1592" t="s">
        <v>226</v>
      </c>
      <c r="B1592" t="s">
        <v>584</v>
      </c>
      <c r="C1592" t="s">
        <v>1015</v>
      </c>
      <c r="D1592" s="2">
        <v>45965</v>
      </c>
      <c r="E1592">
        <v>12</v>
      </c>
      <c r="F1592" s="2">
        <v>45981</v>
      </c>
      <c r="G1592" s="6">
        <v>1</v>
      </c>
      <c r="H1592" s="6">
        <v>1</v>
      </c>
    </row>
    <row r="1593" spans="1:8" ht="14.4" hidden="1">
      <c r="A1593" t="s">
        <v>226</v>
      </c>
      <c r="B1593" t="s">
        <v>584</v>
      </c>
      <c r="C1593" t="s">
        <v>1016</v>
      </c>
      <c r="D1593" s="2">
        <v>45979</v>
      </c>
      <c r="E1593">
        <v>10</v>
      </c>
      <c r="F1593" s="2">
        <v>45993</v>
      </c>
      <c r="G1593" s="6">
        <v>1</v>
      </c>
      <c r="H1593" s="6">
        <v>1</v>
      </c>
    </row>
    <row r="1594" spans="1:8" ht="14.4" hidden="1">
      <c r="A1594" t="s">
        <v>226</v>
      </c>
      <c r="B1594">
        <v>6</v>
      </c>
      <c r="C1594" t="s">
        <v>240</v>
      </c>
      <c r="D1594" s="2">
        <v>46067</v>
      </c>
      <c r="E1594">
        <v>5</v>
      </c>
      <c r="F1594" s="2">
        <v>46072</v>
      </c>
      <c r="G1594" s="6">
        <v>0</v>
      </c>
      <c r="H1594" s="6">
        <v>0</v>
      </c>
    </row>
    <row r="1595" spans="1:8" ht="14.4" hidden="1">
      <c r="A1595" t="s">
        <v>226</v>
      </c>
      <c r="B1595" t="s">
        <v>586</v>
      </c>
      <c r="C1595" t="s">
        <v>1017</v>
      </c>
      <c r="D1595" s="2">
        <v>46063</v>
      </c>
      <c r="E1595">
        <v>3</v>
      </c>
      <c r="F1595" s="2">
        <v>46066</v>
      </c>
      <c r="G1595" s="6">
        <v>0</v>
      </c>
      <c r="H1595" s="6">
        <v>0.33333333333333331</v>
      </c>
    </row>
    <row r="1596" spans="1:8" ht="14.4" hidden="1">
      <c r="A1596" t="s">
        <v>226</v>
      </c>
      <c r="B1596" t="s">
        <v>587</v>
      </c>
      <c r="C1596" t="s">
        <v>1018</v>
      </c>
      <c r="D1596" s="2">
        <v>46067</v>
      </c>
      <c r="E1596">
        <v>1</v>
      </c>
      <c r="F1596" s="2">
        <v>46069</v>
      </c>
      <c r="G1596" s="6">
        <v>0</v>
      </c>
      <c r="H1596" s="6">
        <v>0</v>
      </c>
    </row>
    <row r="1597" spans="1:8" ht="14.4" hidden="1">
      <c r="A1597" t="s">
        <v>226</v>
      </c>
      <c r="B1597" t="s">
        <v>599</v>
      </c>
      <c r="C1597" t="s">
        <v>1019</v>
      </c>
      <c r="D1597" s="2">
        <v>46067</v>
      </c>
      <c r="E1597">
        <v>1</v>
      </c>
      <c r="F1597" s="2">
        <v>46069</v>
      </c>
      <c r="G1597" s="6">
        <v>0</v>
      </c>
      <c r="H1597" s="6">
        <v>0</v>
      </c>
    </row>
    <row r="1598" spans="1:8" ht="14.4" hidden="1">
      <c r="A1598" t="s">
        <v>226</v>
      </c>
      <c r="B1598" t="s">
        <v>979</v>
      </c>
      <c r="C1598" t="s">
        <v>169</v>
      </c>
      <c r="D1598" s="2">
        <v>46069</v>
      </c>
      <c r="E1598">
        <v>3</v>
      </c>
      <c r="F1598" s="2">
        <v>46072</v>
      </c>
      <c r="G1598" s="6">
        <v>0</v>
      </c>
      <c r="H1598" s="6">
        <v>0</v>
      </c>
    </row>
    <row r="1599" spans="1:8" ht="14.4" hidden="1">
      <c r="A1599" t="s">
        <v>226</v>
      </c>
      <c r="B1599">
        <v>7</v>
      </c>
      <c r="C1599" t="s">
        <v>588</v>
      </c>
      <c r="D1599" s="2">
        <v>46072</v>
      </c>
      <c r="E1599">
        <v>5</v>
      </c>
      <c r="F1599" s="2">
        <v>46077</v>
      </c>
      <c r="G1599" s="6">
        <v>0</v>
      </c>
      <c r="H1599" s="6">
        <v>0</v>
      </c>
    </row>
    <row r="1600" spans="1:8" ht="14.4" hidden="1">
      <c r="A1600" t="s">
        <v>226</v>
      </c>
      <c r="B1600">
        <v>7.1</v>
      </c>
      <c r="C1600" t="s">
        <v>589</v>
      </c>
      <c r="D1600" s="2">
        <v>46072</v>
      </c>
      <c r="E1600">
        <v>3</v>
      </c>
      <c r="F1600" s="2">
        <v>46077</v>
      </c>
      <c r="G1600" s="6">
        <v>0</v>
      </c>
      <c r="H1600" s="6">
        <v>0</v>
      </c>
    </row>
    <row r="1601" spans="1:8" ht="14.4" hidden="1">
      <c r="A1601" t="s">
        <v>226</v>
      </c>
      <c r="B1601">
        <v>8</v>
      </c>
      <c r="C1601" t="s">
        <v>590</v>
      </c>
      <c r="D1601" s="2">
        <v>46072</v>
      </c>
      <c r="E1601">
        <v>20</v>
      </c>
      <c r="F1601" s="2">
        <v>46092</v>
      </c>
      <c r="G1601" s="6">
        <v>0</v>
      </c>
      <c r="H1601" s="6">
        <v>0</v>
      </c>
    </row>
    <row r="1602" spans="1:8" ht="14.4" hidden="1">
      <c r="A1602" t="s">
        <v>226</v>
      </c>
      <c r="B1602">
        <v>8.1</v>
      </c>
      <c r="C1602" t="s">
        <v>591</v>
      </c>
      <c r="D1602" s="2">
        <v>46072</v>
      </c>
      <c r="E1602">
        <v>1</v>
      </c>
      <c r="F1602" s="2">
        <v>46073</v>
      </c>
      <c r="G1602" s="6">
        <v>0</v>
      </c>
      <c r="H1602" s="6">
        <v>0</v>
      </c>
    </row>
    <row r="1603" spans="1:8" ht="14.4" hidden="1">
      <c r="A1603" t="s">
        <v>226</v>
      </c>
      <c r="B1603">
        <v>8.1999999999999993</v>
      </c>
      <c r="C1603" t="s">
        <v>592</v>
      </c>
      <c r="D1603" s="2">
        <v>46077</v>
      </c>
      <c r="E1603">
        <v>5</v>
      </c>
      <c r="F1603" s="2">
        <v>46084</v>
      </c>
      <c r="G1603" s="6">
        <v>0</v>
      </c>
      <c r="H1603" s="6">
        <v>0</v>
      </c>
    </row>
    <row r="1604" spans="1:8" ht="14.4" hidden="1">
      <c r="A1604" t="s">
        <v>226</v>
      </c>
      <c r="B1604">
        <v>8.3000000000000007</v>
      </c>
      <c r="C1604" t="s">
        <v>593</v>
      </c>
      <c r="D1604" s="2">
        <v>46072</v>
      </c>
      <c r="E1604">
        <v>5</v>
      </c>
      <c r="F1604" s="2">
        <v>46079</v>
      </c>
      <c r="G1604" s="6">
        <v>0</v>
      </c>
      <c r="H1604" s="6">
        <v>0</v>
      </c>
    </row>
    <row r="1605" spans="1:8" ht="14.4" hidden="1">
      <c r="A1605" t="s">
        <v>226</v>
      </c>
      <c r="B1605">
        <v>8.4</v>
      </c>
      <c r="C1605" t="s">
        <v>594</v>
      </c>
      <c r="D1605" s="2">
        <v>46084</v>
      </c>
      <c r="E1605">
        <v>1</v>
      </c>
      <c r="F1605" s="2">
        <v>46085</v>
      </c>
      <c r="G1605" s="6">
        <v>0</v>
      </c>
      <c r="H1605" s="6">
        <v>0</v>
      </c>
    </row>
    <row r="1606" spans="1:8" ht="14.4" hidden="1">
      <c r="A1606" t="s">
        <v>226</v>
      </c>
      <c r="B1606">
        <v>8.5</v>
      </c>
      <c r="C1606" t="s">
        <v>595</v>
      </c>
      <c r="D1606" s="2">
        <v>46085</v>
      </c>
      <c r="E1606">
        <v>1</v>
      </c>
      <c r="F1606" s="2">
        <v>46086</v>
      </c>
      <c r="G1606" s="6">
        <v>0</v>
      </c>
      <c r="H1606" s="6">
        <v>0</v>
      </c>
    </row>
    <row r="1607" spans="1:8" ht="14.4" hidden="1">
      <c r="A1607" t="s">
        <v>226</v>
      </c>
      <c r="B1607">
        <v>8.6</v>
      </c>
      <c r="C1607" t="s">
        <v>596</v>
      </c>
      <c r="D1607" s="2">
        <v>46085</v>
      </c>
      <c r="E1607">
        <v>5</v>
      </c>
      <c r="F1607" s="2">
        <v>46092</v>
      </c>
      <c r="G1607" s="6">
        <v>0</v>
      </c>
      <c r="H1607" s="6">
        <v>0</v>
      </c>
    </row>
    <row r="1608" spans="1:8" ht="14.4" hidden="1">
      <c r="A1608" t="s">
        <v>231</v>
      </c>
      <c r="B1608">
        <v>1</v>
      </c>
      <c r="C1608" t="s">
        <v>547</v>
      </c>
      <c r="D1608" s="2">
        <v>45931</v>
      </c>
      <c r="E1608">
        <v>30</v>
      </c>
      <c r="F1608" s="2">
        <v>45961</v>
      </c>
      <c r="G1608" s="6">
        <v>1</v>
      </c>
      <c r="H1608" s="6">
        <v>1</v>
      </c>
    </row>
    <row r="1609" spans="1:8" ht="14.4" hidden="1">
      <c r="A1609" t="s">
        <v>231</v>
      </c>
      <c r="B1609" t="s">
        <v>548</v>
      </c>
      <c r="C1609" t="s">
        <v>597</v>
      </c>
      <c r="D1609" s="2">
        <v>45931</v>
      </c>
      <c r="E1609">
        <v>1</v>
      </c>
      <c r="F1609" s="2">
        <v>45932</v>
      </c>
      <c r="G1609" s="6">
        <v>1</v>
      </c>
      <c r="H1609" s="6">
        <v>1</v>
      </c>
    </row>
    <row r="1610" spans="1:8" ht="14.4" hidden="1">
      <c r="A1610" t="s">
        <v>231</v>
      </c>
      <c r="B1610" t="s">
        <v>550</v>
      </c>
      <c r="C1610" t="s">
        <v>598</v>
      </c>
      <c r="D1610" s="2">
        <v>45932</v>
      </c>
      <c r="E1610">
        <v>15</v>
      </c>
      <c r="F1610" s="2">
        <v>45953</v>
      </c>
      <c r="G1610" s="6">
        <v>1</v>
      </c>
      <c r="H1610" s="6">
        <v>1</v>
      </c>
    </row>
    <row r="1611" spans="1:8" ht="14.4" hidden="1">
      <c r="A1611" t="s">
        <v>231</v>
      </c>
      <c r="B1611" t="s">
        <v>552</v>
      </c>
      <c r="C1611" t="s">
        <v>551</v>
      </c>
      <c r="D1611" s="2">
        <v>45946</v>
      </c>
      <c r="E1611">
        <v>1</v>
      </c>
      <c r="F1611" s="2">
        <v>45947</v>
      </c>
      <c r="G1611" s="6">
        <v>1</v>
      </c>
      <c r="H1611" s="6">
        <v>1</v>
      </c>
    </row>
    <row r="1612" spans="1:8" ht="14.4" hidden="1">
      <c r="A1612" t="s">
        <v>231</v>
      </c>
      <c r="B1612" t="s">
        <v>554</v>
      </c>
      <c r="C1612" t="s">
        <v>555</v>
      </c>
      <c r="D1612" s="2">
        <v>45960</v>
      </c>
      <c r="E1612">
        <v>1</v>
      </c>
      <c r="F1612" s="2">
        <v>45961</v>
      </c>
      <c r="G1612" s="6">
        <v>1</v>
      </c>
      <c r="H1612" s="6">
        <v>1</v>
      </c>
    </row>
    <row r="1613" spans="1:8" ht="14.4" hidden="1">
      <c r="A1613" t="s">
        <v>231</v>
      </c>
      <c r="B1613" t="s">
        <v>556</v>
      </c>
      <c r="C1613" t="s">
        <v>557</v>
      </c>
      <c r="D1613" s="2">
        <v>45960</v>
      </c>
      <c r="E1613">
        <v>1</v>
      </c>
      <c r="F1613" s="2">
        <v>45961</v>
      </c>
      <c r="G1613" s="6">
        <v>1</v>
      </c>
      <c r="H1613" s="6">
        <v>1</v>
      </c>
    </row>
    <row r="1614" spans="1:8" ht="14.4" hidden="1">
      <c r="A1614" t="s">
        <v>231</v>
      </c>
      <c r="B1614">
        <v>2</v>
      </c>
      <c r="C1614" t="s">
        <v>558</v>
      </c>
      <c r="D1614" s="2">
        <v>45967</v>
      </c>
      <c r="E1614">
        <v>1</v>
      </c>
      <c r="F1614" s="2">
        <v>45968</v>
      </c>
      <c r="G1614" s="6">
        <v>1</v>
      </c>
      <c r="H1614" s="6">
        <v>1</v>
      </c>
    </row>
    <row r="1615" spans="1:8" ht="14.4" hidden="1">
      <c r="A1615" t="s">
        <v>231</v>
      </c>
      <c r="B1615" t="s">
        <v>559</v>
      </c>
      <c r="C1615" t="s">
        <v>560</v>
      </c>
      <c r="D1615" s="2">
        <v>45967</v>
      </c>
      <c r="E1615">
        <v>1</v>
      </c>
      <c r="F1615" s="2">
        <v>45968</v>
      </c>
      <c r="G1615" s="6">
        <v>1</v>
      </c>
      <c r="H1615" s="6">
        <v>1</v>
      </c>
    </row>
    <row r="1616" spans="1:8" ht="14.4" hidden="1">
      <c r="A1616" t="s">
        <v>231</v>
      </c>
      <c r="B1616">
        <v>3</v>
      </c>
      <c r="C1616" t="s">
        <v>561</v>
      </c>
      <c r="D1616" s="2">
        <v>45925</v>
      </c>
      <c r="E1616">
        <v>62</v>
      </c>
      <c r="F1616" s="2">
        <v>45987</v>
      </c>
      <c r="G1616" s="6">
        <v>1</v>
      </c>
      <c r="H1616" s="6">
        <v>1</v>
      </c>
    </row>
    <row r="1617" spans="1:8" ht="14.4" hidden="1">
      <c r="A1617" t="s">
        <v>231</v>
      </c>
      <c r="B1617" t="s">
        <v>562</v>
      </c>
      <c r="C1617" t="s">
        <v>563</v>
      </c>
      <c r="D1617" s="2">
        <v>45973</v>
      </c>
      <c r="E1617">
        <v>1</v>
      </c>
      <c r="F1617" s="2">
        <v>45974</v>
      </c>
      <c r="G1617" s="6">
        <v>1</v>
      </c>
      <c r="H1617" s="6">
        <v>1</v>
      </c>
    </row>
    <row r="1618" spans="1:8" ht="14.4" hidden="1">
      <c r="A1618" t="s">
        <v>231</v>
      </c>
      <c r="B1618" t="s">
        <v>564</v>
      </c>
      <c r="C1618" t="s">
        <v>565</v>
      </c>
      <c r="D1618" s="2">
        <v>45973</v>
      </c>
      <c r="E1618">
        <v>1</v>
      </c>
      <c r="F1618" s="2">
        <v>45974</v>
      </c>
      <c r="G1618" s="6">
        <v>1</v>
      </c>
      <c r="H1618" s="6">
        <v>1</v>
      </c>
    </row>
    <row r="1619" spans="1:8" ht="14.4" hidden="1">
      <c r="A1619" t="s">
        <v>231</v>
      </c>
      <c r="B1619" t="s">
        <v>566</v>
      </c>
      <c r="C1619" t="s">
        <v>567</v>
      </c>
      <c r="D1619" s="2">
        <v>45925</v>
      </c>
      <c r="E1619">
        <v>36</v>
      </c>
      <c r="F1619" s="2">
        <v>45975</v>
      </c>
      <c r="G1619" s="6">
        <v>1</v>
      </c>
      <c r="H1619" s="6">
        <v>1</v>
      </c>
    </row>
    <row r="1620" spans="1:8" ht="14.4" hidden="1">
      <c r="A1620" t="s">
        <v>231</v>
      </c>
      <c r="B1620" t="s">
        <v>568</v>
      </c>
      <c r="C1620" t="s">
        <v>569</v>
      </c>
      <c r="D1620" s="2">
        <v>45978</v>
      </c>
      <c r="E1620">
        <v>6</v>
      </c>
      <c r="F1620" s="2">
        <v>45986</v>
      </c>
      <c r="G1620" s="6">
        <v>1</v>
      </c>
      <c r="H1620" s="6">
        <v>1</v>
      </c>
    </row>
    <row r="1621" spans="1:8" ht="14.4" hidden="1">
      <c r="A1621" t="s">
        <v>231</v>
      </c>
      <c r="B1621" t="s">
        <v>570</v>
      </c>
      <c r="C1621" t="s">
        <v>571</v>
      </c>
      <c r="D1621" s="2">
        <v>45986</v>
      </c>
      <c r="E1621">
        <v>1</v>
      </c>
      <c r="F1621" s="2">
        <v>45987</v>
      </c>
      <c r="G1621" s="6">
        <v>1</v>
      </c>
      <c r="H1621" s="6">
        <v>1</v>
      </c>
    </row>
    <row r="1622" spans="1:8" ht="14.4" hidden="1">
      <c r="A1622" t="s">
        <v>231</v>
      </c>
      <c r="B1622">
        <v>4</v>
      </c>
      <c r="C1622" t="s">
        <v>572</v>
      </c>
      <c r="D1622" s="2">
        <v>45967</v>
      </c>
      <c r="E1622">
        <v>21</v>
      </c>
      <c r="F1622" s="2">
        <v>45988</v>
      </c>
      <c r="G1622" s="6">
        <v>1</v>
      </c>
      <c r="H1622" s="6">
        <v>1</v>
      </c>
    </row>
    <row r="1623" spans="1:8" ht="14.4" hidden="1">
      <c r="A1623" t="s">
        <v>231</v>
      </c>
      <c r="B1623" t="s">
        <v>573</v>
      </c>
      <c r="C1623" t="s">
        <v>574</v>
      </c>
      <c r="D1623" s="2">
        <v>45967</v>
      </c>
      <c r="E1623">
        <v>1</v>
      </c>
      <c r="F1623" s="2">
        <v>45968</v>
      </c>
      <c r="G1623" s="6">
        <v>1</v>
      </c>
      <c r="H1623" s="6">
        <v>1</v>
      </c>
    </row>
    <row r="1624" spans="1:8" ht="14.4" hidden="1">
      <c r="A1624" t="s">
        <v>231</v>
      </c>
      <c r="B1624" t="s">
        <v>575</v>
      </c>
      <c r="C1624" t="s">
        <v>576</v>
      </c>
      <c r="D1624" s="2">
        <v>45968</v>
      </c>
      <c r="E1624">
        <v>4</v>
      </c>
      <c r="F1624" s="2">
        <v>45974</v>
      </c>
      <c r="G1624" s="6">
        <v>1</v>
      </c>
      <c r="H1624" s="6">
        <v>1</v>
      </c>
    </row>
    <row r="1625" spans="1:8" ht="14.4" hidden="1">
      <c r="A1625" t="s">
        <v>231</v>
      </c>
      <c r="B1625" t="s">
        <v>577</v>
      </c>
      <c r="C1625" t="s">
        <v>578</v>
      </c>
      <c r="D1625" s="2">
        <v>45967</v>
      </c>
      <c r="E1625">
        <v>1</v>
      </c>
      <c r="F1625" s="2">
        <v>45968</v>
      </c>
      <c r="G1625" s="6">
        <v>1</v>
      </c>
      <c r="H1625" s="6">
        <v>1</v>
      </c>
    </row>
    <row r="1626" spans="1:8" ht="14.4" hidden="1">
      <c r="A1626" t="s">
        <v>231</v>
      </c>
      <c r="B1626" t="s">
        <v>579</v>
      </c>
      <c r="C1626" t="s">
        <v>580</v>
      </c>
      <c r="D1626" s="2">
        <v>45982</v>
      </c>
      <c r="E1626">
        <v>4</v>
      </c>
      <c r="F1626" s="2">
        <v>45988</v>
      </c>
      <c r="G1626" s="6">
        <v>1</v>
      </c>
      <c r="H1626" s="6">
        <v>1</v>
      </c>
    </row>
    <row r="1627" spans="1:8" ht="14.4" hidden="1">
      <c r="A1627" t="s">
        <v>231</v>
      </c>
      <c r="B1627">
        <v>5</v>
      </c>
      <c r="C1627" t="s">
        <v>581</v>
      </c>
      <c r="D1627" s="2">
        <v>45974</v>
      </c>
      <c r="E1627">
        <v>11</v>
      </c>
      <c r="F1627" s="2">
        <v>45985</v>
      </c>
      <c r="G1627" s="6">
        <v>1</v>
      </c>
      <c r="H1627" s="6">
        <v>1</v>
      </c>
    </row>
    <row r="1628" spans="1:8" ht="14.4" hidden="1">
      <c r="A1628" t="s">
        <v>231</v>
      </c>
      <c r="B1628" t="s">
        <v>582</v>
      </c>
      <c r="C1628" t="s">
        <v>583</v>
      </c>
      <c r="D1628" s="2">
        <v>45974</v>
      </c>
      <c r="E1628">
        <v>2</v>
      </c>
      <c r="F1628" s="2">
        <v>45978</v>
      </c>
      <c r="G1628" s="6">
        <v>1</v>
      </c>
      <c r="H1628" s="6">
        <v>1</v>
      </c>
    </row>
    <row r="1629" spans="1:8" ht="14.4" hidden="1">
      <c r="A1629" t="s">
        <v>231</v>
      </c>
      <c r="B1629" t="s">
        <v>584</v>
      </c>
      <c r="C1629" t="s">
        <v>585</v>
      </c>
      <c r="D1629" s="2">
        <v>45974</v>
      </c>
      <c r="E1629">
        <v>7</v>
      </c>
      <c r="F1629" s="2">
        <v>45985</v>
      </c>
      <c r="G1629" s="6">
        <v>1</v>
      </c>
      <c r="H1629" s="6">
        <v>1</v>
      </c>
    </row>
    <row r="1630" spans="1:8" ht="14.4" hidden="1">
      <c r="A1630" t="s">
        <v>231</v>
      </c>
      <c r="B1630">
        <v>6</v>
      </c>
      <c r="C1630" t="s">
        <v>240</v>
      </c>
      <c r="D1630" s="2">
        <v>45988</v>
      </c>
      <c r="E1630">
        <v>7</v>
      </c>
      <c r="F1630" s="2">
        <v>45995</v>
      </c>
      <c r="G1630" s="6">
        <v>1</v>
      </c>
      <c r="H1630" s="6">
        <v>1</v>
      </c>
    </row>
    <row r="1631" spans="1:8" ht="14.4" hidden="1">
      <c r="A1631" t="s">
        <v>231</v>
      </c>
      <c r="B1631" t="s">
        <v>586</v>
      </c>
      <c r="C1631" t="s">
        <v>240</v>
      </c>
      <c r="D1631" s="2">
        <v>45988</v>
      </c>
      <c r="E1631">
        <v>1</v>
      </c>
      <c r="F1631" s="2">
        <v>45989</v>
      </c>
      <c r="G1631" s="6">
        <v>1</v>
      </c>
      <c r="H1631" s="6">
        <v>1</v>
      </c>
    </row>
    <row r="1632" spans="1:8" ht="14.4" hidden="1">
      <c r="A1632" t="s">
        <v>231</v>
      </c>
      <c r="B1632" t="s">
        <v>587</v>
      </c>
      <c r="C1632" t="s">
        <v>169</v>
      </c>
      <c r="D1632" s="2">
        <v>45989</v>
      </c>
      <c r="E1632">
        <v>1</v>
      </c>
      <c r="F1632" s="2">
        <v>45992</v>
      </c>
      <c r="G1632" s="6">
        <v>1</v>
      </c>
      <c r="H1632" s="6">
        <v>1</v>
      </c>
    </row>
    <row r="1633" spans="1:8" ht="14.4" hidden="1">
      <c r="A1633" t="s">
        <v>231</v>
      </c>
      <c r="B1633" t="s">
        <v>599</v>
      </c>
      <c r="C1633" t="s">
        <v>593</v>
      </c>
      <c r="D1633" s="2">
        <v>45992</v>
      </c>
      <c r="E1633">
        <v>3</v>
      </c>
      <c r="F1633" s="2">
        <v>45995</v>
      </c>
      <c r="G1633" s="6">
        <v>1</v>
      </c>
      <c r="H1633" s="6">
        <v>1</v>
      </c>
    </row>
    <row r="1634" spans="1:8" ht="14.4" hidden="1">
      <c r="A1634" t="s">
        <v>231</v>
      </c>
      <c r="B1634">
        <v>7</v>
      </c>
      <c r="C1634" t="s">
        <v>588</v>
      </c>
      <c r="D1634" s="2">
        <v>45988</v>
      </c>
      <c r="E1634">
        <v>4</v>
      </c>
      <c r="F1634" s="2">
        <v>45992</v>
      </c>
      <c r="G1634" s="6">
        <v>1</v>
      </c>
      <c r="H1634" s="6">
        <v>1</v>
      </c>
    </row>
    <row r="1635" spans="1:8" ht="14.4" hidden="1">
      <c r="A1635" t="s">
        <v>231</v>
      </c>
      <c r="B1635" t="s">
        <v>600</v>
      </c>
      <c r="C1635" t="s">
        <v>589</v>
      </c>
      <c r="D1635" s="2">
        <v>45988</v>
      </c>
      <c r="E1635">
        <v>1</v>
      </c>
      <c r="F1635" s="2">
        <v>45989</v>
      </c>
      <c r="G1635" s="6">
        <v>1</v>
      </c>
      <c r="H1635" s="6">
        <v>1</v>
      </c>
    </row>
    <row r="1636" spans="1:8" ht="14.4" hidden="1">
      <c r="A1636" t="s">
        <v>231</v>
      </c>
      <c r="B1636" t="s">
        <v>601</v>
      </c>
      <c r="C1636" t="s">
        <v>592</v>
      </c>
      <c r="D1636" s="2">
        <v>45989</v>
      </c>
      <c r="E1636">
        <v>1</v>
      </c>
      <c r="F1636" s="2">
        <v>45992</v>
      </c>
      <c r="G1636" s="6">
        <v>1</v>
      </c>
      <c r="H1636" s="6">
        <v>1</v>
      </c>
    </row>
    <row r="1637" spans="1:8" ht="14.4" hidden="1">
      <c r="A1637" t="s">
        <v>231</v>
      </c>
      <c r="B1637">
        <v>8</v>
      </c>
      <c r="C1637" t="s">
        <v>590</v>
      </c>
      <c r="D1637" s="2">
        <v>45989</v>
      </c>
      <c r="E1637">
        <v>62</v>
      </c>
      <c r="F1637" s="2">
        <v>46051</v>
      </c>
      <c r="G1637" s="6">
        <v>1</v>
      </c>
      <c r="H1637" s="6">
        <v>0.99975671953672451</v>
      </c>
    </row>
    <row r="1638" spans="1:8" ht="14.4" hidden="1">
      <c r="A1638" t="s">
        <v>231</v>
      </c>
      <c r="B1638" t="s">
        <v>602</v>
      </c>
      <c r="C1638" t="s">
        <v>594</v>
      </c>
      <c r="D1638" s="2">
        <v>45989</v>
      </c>
      <c r="E1638">
        <v>15</v>
      </c>
      <c r="F1638" s="2">
        <v>46045</v>
      </c>
      <c r="G1638" s="6">
        <v>1</v>
      </c>
      <c r="H1638" s="6">
        <v>1</v>
      </c>
    </row>
    <row r="1639" spans="1:8" ht="14.4" hidden="1">
      <c r="A1639" t="s">
        <v>231</v>
      </c>
      <c r="B1639" t="s">
        <v>603</v>
      </c>
      <c r="C1639" t="s">
        <v>595</v>
      </c>
      <c r="D1639" s="2">
        <v>46050</v>
      </c>
      <c r="E1639">
        <v>1</v>
      </c>
      <c r="F1639" s="2">
        <v>46051</v>
      </c>
      <c r="G1639" s="6">
        <v>1</v>
      </c>
      <c r="H1639" s="6">
        <v>1</v>
      </c>
    </row>
    <row r="1640" spans="1:8" ht="14.4" hidden="1">
      <c r="A1640" t="s">
        <v>231</v>
      </c>
      <c r="B1640" t="s">
        <v>604</v>
      </c>
      <c r="C1640" t="s">
        <v>596</v>
      </c>
      <c r="D1640" s="2">
        <v>46045</v>
      </c>
      <c r="E1640">
        <v>1</v>
      </c>
      <c r="F1640" s="2">
        <v>46048</v>
      </c>
      <c r="G1640" s="6">
        <v>1</v>
      </c>
      <c r="H1640" s="6">
        <v>1</v>
      </c>
    </row>
    <row r="1641" spans="1:8" ht="14.4" hidden="1">
      <c r="A1641" t="s">
        <v>232</v>
      </c>
      <c r="B1641">
        <v>1</v>
      </c>
      <c r="C1641" t="s">
        <v>547</v>
      </c>
      <c r="D1641" s="2">
        <v>45909</v>
      </c>
      <c r="E1641">
        <v>57</v>
      </c>
      <c r="F1641" s="2">
        <v>45966</v>
      </c>
      <c r="G1641" s="6">
        <v>1</v>
      </c>
      <c r="H1641" s="6">
        <v>1</v>
      </c>
    </row>
    <row r="1642" spans="1:8" ht="14.4" hidden="1">
      <c r="A1642" t="s">
        <v>232</v>
      </c>
      <c r="B1642" t="s">
        <v>548</v>
      </c>
      <c r="C1642" t="s">
        <v>549</v>
      </c>
      <c r="D1642" s="2">
        <v>45909</v>
      </c>
      <c r="E1642">
        <v>1</v>
      </c>
      <c r="F1642" s="2">
        <v>45910</v>
      </c>
      <c r="G1642" s="6">
        <v>1</v>
      </c>
      <c r="H1642" s="6">
        <v>1</v>
      </c>
    </row>
    <row r="1643" spans="1:8" ht="14.4" hidden="1">
      <c r="A1643" t="s">
        <v>232</v>
      </c>
      <c r="B1643" t="s">
        <v>550</v>
      </c>
      <c r="C1643" t="s">
        <v>551</v>
      </c>
      <c r="D1643" s="2">
        <v>45945</v>
      </c>
      <c r="E1643">
        <v>1</v>
      </c>
      <c r="F1643" s="2">
        <v>45946</v>
      </c>
      <c r="G1643" s="6">
        <v>1</v>
      </c>
      <c r="H1643" s="6">
        <v>1</v>
      </c>
    </row>
    <row r="1644" spans="1:8" ht="14.4" hidden="1">
      <c r="A1644" t="s">
        <v>232</v>
      </c>
      <c r="B1644" t="s">
        <v>552</v>
      </c>
      <c r="C1644" t="s">
        <v>553</v>
      </c>
      <c r="D1644" s="2">
        <v>45945</v>
      </c>
      <c r="E1644">
        <v>15</v>
      </c>
      <c r="F1644" s="2">
        <v>45966</v>
      </c>
      <c r="G1644" s="6">
        <v>1</v>
      </c>
      <c r="H1644" s="6">
        <v>1</v>
      </c>
    </row>
    <row r="1645" spans="1:8" ht="14.4" hidden="1">
      <c r="A1645" t="s">
        <v>232</v>
      </c>
      <c r="B1645" t="s">
        <v>554</v>
      </c>
      <c r="C1645" t="s">
        <v>555</v>
      </c>
      <c r="D1645" s="2">
        <v>45953</v>
      </c>
      <c r="E1645">
        <v>1</v>
      </c>
      <c r="F1645" s="2">
        <v>45954</v>
      </c>
      <c r="G1645" s="6">
        <v>1</v>
      </c>
      <c r="H1645" s="6">
        <v>1</v>
      </c>
    </row>
    <row r="1646" spans="1:8" ht="14.4" hidden="1">
      <c r="A1646" t="s">
        <v>232</v>
      </c>
      <c r="B1646" t="s">
        <v>556</v>
      </c>
      <c r="C1646" t="s">
        <v>557</v>
      </c>
      <c r="D1646" s="2">
        <v>45960</v>
      </c>
      <c r="E1646">
        <v>1</v>
      </c>
      <c r="F1646" s="2">
        <v>45961</v>
      </c>
      <c r="G1646" s="6">
        <v>1</v>
      </c>
      <c r="H1646" s="6">
        <v>1</v>
      </c>
    </row>
    <row r="1647" spans="1:8" ht="14.4" hidden="1">
      <c r="A1647" t="s">
        <v>232</v>
      </c>
      <c r="B1647">
        <v>2</v>
      </c>
      <c r="C1647" t="s">
        <v>558</v>
      </c>
      <c r="D1647" s="2">
        <v>45967</v>
      </c>
      <c r="E1647">
        <v>1</v>
      </c>
      <c r="F1647" s="2">
        <v>45968</v>
      </c>
      <c r="G1647" s="6">
        <v>1</v>
      </c>
      <c r="H1647" s="6">
        <v>1</v>
      </c>
    </row>
    <row r="1648" spans="1:8" ht="14.4" hidden="1">
      <c r="A1648" t="s">
        <v>232</v>
      </c>
      <c r="B1648" t="s">
        <v>559</v>
      </c>
      <c r="C1648" t="s">
        <v>560</v>
      </c>
      <c r="D1648" s="2">
        <v>45967</v>
      </c>
      <c r="E1648">
        <v>1</v>
      </c>
      <c r="F1648" s="2">
        <v>45968</v>
      </c>
      <c r="G1648" s="6">
        <v>1</v>
      </c>
      <c r="H1648" s="6">
        <v>1</v>
      </c>
    </row>
    <row r="1649" spans="1:8" ht="14.4" hidden="1">
      <c r="A1649" t="s">
        <v>232</v>
      </c>
      <c r="B1649">
        <v>3</v>
      </c>
      <c r="C1649" t="s">
        <v>561</v>
      </c>
      <c r="D1649" s="2">
        <v>45935</v>
      </c>
      <c r="E1649">
        <v>58</v>
      </c>
      <c r="F1649" s="2">
        <v>45993</v>
      </c>
      <c r="G1649" s="6">
        <v>1</v>
      </c>
      <c r="H1649" s="6">
        <v>1</v>
      </c>
    </row>
    <row r="1650" spans="1:8" ht="14.4" hidden="1">
      <c r="A1650" t="s">
        <v>232</v>
      </c>
      <c r="B1650" t="s">
        <v>562</v>
      </c>
      <c r="C1650" t="s">
        <v>563</v>
      </c>
      <c r="D1650" s="2">
        <v>45972</v>
      </c>
      <c r="E1650">
        <v>1</v>
      </c>
      <c r="F1650" s="2">
        <v>45973</v>
      </c>
      <c r="G1650" s="6">
        <v>1</v>
      </c>
      <c r="H1650" s="6">
        <v>1</v>
      </c>
    </row>
    <row r="1651" spans="1:8" ht="14.4" hidden="1">
      <c r="A1651" t="s">
        <v>232</v>
      </c>
      <c r="B1651" t="s">
        <v>564</v>
      </c>
      <c r="C1651" t="s">
        <v>565</v>
      </c>
      <c r="D1651" s="2">
        <v>45990</v>
      </c>
      <c r="E1651">
        <v>2</v>
      </c>
      <c r="F1651" s="2">
        <v>45993</v>
      </c>
      <c r="G1651" s="6">
        <v>1</v>
      </c>
      <c r="H1651" s="6">
        <v>1</v>
      </c>
    </row>
    <row r="1652" spans="1:8" ht="14.4" hidden="1">
      <c r="A1652" t="s">
        <v>232</v>
      </c>
      <c r="B1652" t="s">
        <v>566</v>
      </c>
      <c r="C1652" t="s">
        <v>567</v>
      </c>
      <c r="D1652" s="2">
        <v>45935</v>
      </c>
      <c r="E1652">
        <v>31</v>
      </c>
      <c r="F1652" s="2">
        <v>45978</v>
      </c>
      <c r="G1652" s="6">
        <v>1</v>
      </c>
      <c r="H1652" s="6">
        <v>1</v>
      </c>
    </row>
    <row r="1653" spans="1:8" ht="14.4" hidden="1">
      <c r="A1653" t="s">
        <v>232</v>
      </c>
      <c r="B1653" t="s">
        <v>568</v>
      </c>
      <c r="C1653" t="s">
        <v>569</v>
      </c>
      <c r="D1653" s="2">
        <v>45980</v>
      </c>
      <c r="E1653">
        <v>2</v>
      </c>
      <c r="F1653" s="2">
        <v>45982</v>
      </c>
      <c r="G1653" s="6">
        <v>1</v>
      </c>
      <c r="H1653" s="6">
        <v>1</v>
      </c>
    </row>
    <row r="1654" spans="1:8" ht="14.4" hidden="1">
      <c r="A1654" t="s">
        <v>232</v>
      </c>
      <c r="B1654" t="s">
        <v>570</v>
      </c>
      <c r="C1654" t="s">
        <v>571</v>
      </c>
      <c r="D1654" s="2">
        <v>45982</v>
      </c>
      <c r="E1654">
        <v>1</v>
      </c>
      <c r="F1654" s="2">
        <v>45985</v>
      </c>
      <c r="G1654" s="6">
        <v>1</v>
      </c>
      <c r="H1654" s="6">
        <v>1</v>
      </c>
    </row>
    <row r="1655" spans="1:8" ht="14.4" hidden="1">
      <c r="A1655" t="s">
        <v>232</v>
      </c>
      <c r="B1655">
        <v>4</v>
      </c>
      <c r="C1655" t="s">
        <v>572</v>
      </c>
      <c r="D1655" s="2">
        <v>45967</v>
      </c>
      <c r="E1655">
        <v>28</v>
      </c>
      <c r="F1655" s="2">
        <v>45995</v>
      </c>
      <c r="G1655" s="6">
        <v>0.9285714285714286</v>
      </c>
      <c r="H1655" s="6">
        <v>1</v>
      </c>
    </row>
    <row r="1656" spans="1:8" ht="14.4" hidden="1">
      <c r="A1656" t="s">
        <v>232</v>
      </c>
      <c r="B1656" t="s">
        <v>573</v>
      </c>
      <c r="C1656" t="s">
        <v>574</v>
      </c>
      <c r="D1656" s="2">
        <v>45967</v>
      </c>
      <c r="E1656">
        <v>1</v>
      </c>
      <c r="F1656" s="2">
        <v>45968</v>
      </c>
      <c r="G1656" s="6">
        <v>1</v>
      </c>
      <c r="H1656" s="6">
        <v>1</v>
      </c>
    </row>
    <row r="1657" spans="1:8" ht="14.4" hidden="1">
      <c r="A1657" t="s">
        <v>232</v>
      </c>
      <c r="B1657" t="s">
        <v>575</v>
      </c>
      <c r="C1657" t="s">
        <v>576</v>
      </c>
      <c r="D1657" s="2">
        <v>45968</v>
      </c>
      <c r="E1657">
        <v>4</v>
      </c>
      <c r="F1657" s="2">
        <v>45974</v>
      </c>
      <c r="G1657" s="6">
        <v>1</v>
      </c>
      <c r="H1657" s="6">
        <v>1</v>
      </c>
    </row>
    <row r="1658" spans="1:8" ht="14.4" hidden="1">
      <c r="A1658" t="s">
        <v>232</v>
      </c>
      <c r="B1658" t="s">
        <v>577</v>
      </c>
      <c r="C1658" t="s">
        <v>578</v>
      </c>
      <c r="D1658" s="2">
        <v>45967</v>
      </c>
      <c r="E1658">
        <v>1</v>
      </c>
      <c r="F1658" s="2">
        <v>45968</v>
      </c>
      <c r="G1658" s="6">
        <v>1</v>
      </c>
      <c r="H1658" s="6">
        <v>1</v>
      </c>
    </row>
    <row r="1659" spans="1:8" ht="14.4" hidden="1">
      <c r="A1659" t="s">
        <v>232</v>
      </c>
      <c r="B1659" t="s">
        <v>579</v>
      </c>
      <c r="C1659" t="s">
        <v>580</v>
      </c>
      <c r="D1659" s="2">
        <v>45985</v>
      </c>
      <c r="E1659">
        <v>8</v>
      </c>
      <c r="F1659" s="2">
        <v>45995</v>
      </c>
      <c r="G1659" s="6">
        <v>1</v>
      </c>
      <c r="H1659" s="6">
        <v>1</v>
      </c>
    </row>
    <row r="1660" spans="1:8" ht="14.4" hidden="1">
      <c r="A1660" t="s">
        <v>232</v>
      </c>
      <c r="B1660">
        <v>5</v>
      </c>
      <c r="C1660" t="s">
        <v>581</v>
      </c>
      <c r="D1660" s="2">
        <v>45971</v>
      </c>
      <c r="E1660">
        <v>15</v>
      </c>
      <c r="F1660" s="2">
        <v>45986</v>
      </c>
      <c r="G1660" s="6">
        <v>1</v>
      </c>
      <c r="H1660" s="6">
        <v>1</v>
      </c>
    </row>
    <row r="1661" spans="1:8" ht="14.4" hidden="1">
      <c r="A1661" t="s">
        <v>232</v>
      </c>
      <c r="B1661" t="s">
        <v>582</v>
      </c>
      <c r="C1661" t="s">
        <v>583</v>
      </c>
      <c r="D1661" s="2">
        <v>45971</v>
      </c>
      <c r="E1661">
        <v>1</v>
      </c>
      <c r="F1661" s="2">
        <v>45972</v>
      </c>
      <c r="G1661" s="6">
        <v>1</v>
      </c>
      <c r="H1661" s="6">
        <v>1</v>
      </c>
    </row>
    <row r="1662" spans="1:8" ht="14.4" hidden="1">
      <c r="A1662" t="s">
        <v>232</v>
      </c>
      <c r="B1662" t="s">
        <v>584</v>
      </c>
      <c r="C1662" t="s">
        <v>585</v>
      </c>
      <c r="D1662" s="2">
        <v>45977</v>
      </c>
      <c r="E1662">
        <v>7</v>
      </c>
      <c r="F1662" s="2">
        <v>45986</v>
      </c>
      <c r="G1662" s="6">
        <v>1</v>
      </c>
      <c r="H1662" s="6">
        <v>1</v>
      </c>
    </row>
    <row r="1663" spans="1:8" ht="14.4" hidden="1">
      <c r="A1663" t="s">
        <v>232</v>
      </c>
      <c r="B1663">
        <v>6</v>
      </c>
      <c r="C1663" t="s">
        <v>240</v>
      </c>
      <c r="D1663" s="2">
        <v>45996</v>
      </c>
      <c r="E1663">
        <v>7</v>
      </c>
      <c r="F1663" s="2">
        <v>46003</v>
      </c>
      <c r="G1663" s="6">
        <v>1</v>
      </c>
      <c r="H1663" s="6">
        <v>1</v>
      </c>
    </row>
    <row r="1664" spans="1:8" ht="14.4" hidden="1">
      <c r="A1664" t="s">
        <v>232</v>
      </c>
      <c r="B1664" t="s">
        <v>586</v>
      </c>
      <c r="C1664" t="s">
        <v>240</v>
      </c>
      <c r="D1664" s="2">
        <v>45996</v>
      </c>
      <c r="E1664">
        <v>4</v>
      </c>
      <c r="F1664" s="2">
        <v>46002</v>
      </c>
      <c r="G1664" s="6">
        <v>1</v>
      </c>
      <c r="H1664" s="6">
        <v>1</v>
      </c>
    </row>
    <row r="1665" spans="1:8" ht="14.4" hidden="1">
      <c r="A1665" t="s">
        <v>232</v>
      </c>
      <c r="B1665" t="s">
        <v>587</v>
      </c>
      <c r="C1665" t="s">
        <v>169</v>
      </c>
      <c r="D1665" s="2">
        <v>46002</v>
      </c>
      <c r="E1665">
        <v>1</v>
      </c>
      <c r="F1665" s="2">
        <v>46003</v>
      </c>
      <c r="G1665" s="6">
        <v>1</v>
      </c>
      <c r="H1665" s="6">
        <v>1</v>
      </c>
    </row>
    <row r="1666" spans="1:8" ht="14.4" hidden="1">
      <c r="A1666" t="s">
        <v>232</v>
      </c>
      <c r="B1666">
        <v>7</v>
      </c>
      <c r="C1666" t="s">
        <v>588</v>
      </c>
      <c r="D1666" s="2">
        <v>45999</v>
      </c>
      <c r="E1666">
        <v>1</v>
      </c>
      <c r="F1666" s="2">
        <v>46000</v>
      </c>
      <c r="G1666" s="6">
        <v>1</v>
      </c>
      <c r="H1666" s="6">
        <v>1</v>
      </c>
    </row>
    <row r="1667" spans="1:8" ht="14.4" hidden="1">
      <c r="A1667" t="s">
        <v>232</v>
      </c>
      <c r="B1667">
        <v>7.1</v>
      </c>
      <c r="C1667" t="s">
        <v>589</v>
      </c>
      <c r="D1667" s="2">
        <v>45999</v>
      </c>
      <c r="E1667">
        <v>1</v>
      </c>
      <c r="F1667" s="2">
        <v>46000</v>
      </c>
      <c r="G1667" s="6">
        <v>1</v>
      </c>
      <c r="H1667" s="6">
        <v>1</v>
      </c>
    </row>
    <row r="1668" spans="1:8" ht="14.4" hidden="1">
      <c r="A1668" t="s">
        <v>232</v>
      </c>
      <c r="B1668">
        <v>8</v>
      </c>
      <c r="C1668" t="s">
        <v>590</v>
      </c>
      <c r="D1668" s="2">
        <v>46000</v>
      </c>
      <c r="E1668">
        <v>52</v>
      </c>
      <c r="F1668" s="2">
        <v>46052</v>
      </c>
      <c r="G1668" s="6">
        <v>1</v>
      </c>
      <c r="H1668" s="6">
        <v>1</v>
      </c>
    </row>
    <row r="1669" spans="1:8" ht="14.4" hidden="1">
      <c r="A1669" t="s">
        <v>232</v>
      </c>
      <c r="B1669">
        <v>8.1</v>
      </c>
      <c r="C1669" t="s">
        <v>591</v>
      </c>
      <c r="D1669" s="2">
        <v>46000</v>
      </c>
      <c r="E1669">
        <v>1</v>
      </c>
      <c r="F1669" s="2">
        <v>46001</v>
      </c>
      <c r="G1669" s="6">
        <v>1</v>
      </c>
      <c r="H1669" s="6">
        <v>1</v>
      </c>
    </row>
    <row r="1670" spans="1:8" ht="14.4" hidden="1">
      <c r="A1670" t="s">
        <v>232</v>
      </c>
      <c r="B1670">
        <v>8.1999999999999993</v>
      </c>
      <c r="C1670" t="s">
        <v>592</v>
      </c>
      <c r="D1670" s="2">
        <v>46000</v>
      </c>
      <c r="E1670">
        <v>3</v>
      </c>
      <c r="F1670" s="2">
        <v>46003</v>
      </c>
      <c r="G1670" s="6">
        <v>1</v>
      </c>
      <c r="H1670" s="6">
        <v>1</v>
      </c>
    </row>
    <row r="1671" spans="1:8" ht="14.4" hidden="1">
      <c r="A1671" t="s">
        <v>232</v>
      </c>
      <c r="B1671">
        <v>8.3000000000000007</v>
      </c>
      <c r="C1671" t="s">
        <v>593</v>
      </c>
      <c r="D1671" s="2">
        <v>46003</v>
      </c>
      <c r="E1671">
        <v>18</v>
      </c>
      <c r="F1671" s="2">
        <v>46031</v>
      </c>
      <c r="G1671" s="6">
        <v>1</v>
      </c>
      <c r="H1671" s="6">
        <v>1</v>
      </c>
    </row>
    <row r="1672" spans="1:8" ht="14.4" hidden="1">
      <c r="A1672" t="s">
        <v>232</v>
      </c>
      <c r="B1672">
        <v>8.4</v>
      </c>
      <c r="C1672" t="s">
        <v>594</v>
      </c>
      <c r="D1672" s="2">
        <v>46030</v>
      </c>
      <c r="E1672">
        <v>3</v>
      </c>
      <c r="F1672" s="2">
        <v>46035</v>
      </c>
      <c r="G1672" s="6">
        <v>1</v>
      </c>
      <c r="H1672" s="6">
        <v>1</v>
      </c>
    </row>
    <row r="1673" spans="1:8" ht="14.4" hidden="1">
      <c r="A1673" t="s">
        <v>232</v>
      </c>
      <c r="B1673">
        <v>8.5</v>
      </c>
      <c r="C1673" t="s">
        <v>595</v>
      </c>
      <c r="D1673" s="2">
        <v>46051</v>
      </c>
      <c r="E1673">
        <v>1</v>
      </c>
      <c r="F1673" s="2">
        <v>46052</v>
      </c>
      <c r="G1673" s="6">
        <v>1</v>
      </c>
      <c r="H1673" s="6">
        <v>1</v>
      </c>
    </row>
    <row r="1674" spans="1:8" ht="14.4" hidden="1">
      <c r="A1674" t="s">
        <v>232</v>
      </c>
      <c r="B1674">
        <v>8.6</v>
      </c>
      <c r="C1674" t="s">
        <v>596</v>
      </c>
      <c r="D1674" s="2">
        <v>46045</v>
      </c>
      <c r="E1674">
        <v>1</v>
      </c>
      <c r="F1674" s="2">
        <v>46048</v>
      </c>
      <c r="G1674" s="6">
        <v>1</v>
      </c>
      <c r="H1674" s="6">
        <v>1</v>
      </c>
    </row>
    <row r="1675" spans="1:8" ht="14.4" hidden="1">
      <c r="A1675" t="s">
        <v>233</v>
      </c>
      <c r="B1675">
        <v>1</v>
      </c>
      <c r="C1675" t="s">
        <v>547</v>
      </c>
      <c r="D1675" s="2">
        <v>45776</v>
      </c>
      <c r="E1675">
        <v>17</v>
      </c>
      <c r="F1675" s="2">
        <v>45793</v>
      </c>
      <c r="G1675" s="6">
        <v>1</v>
      </c>
      <c r="H1675" s="6">
        <v>1</v>
      </c>
    </row>
    <row r="1676" spans="1:8" ht="14.4" hidden="1">
      <c r="A1676" t="s">
        <v>233</v>
      </c>
      <c r="B1676" t="s">
        <v>548</v>
      </c>
      <c r="C1676" t="s">
        <v>549</v>
      </c>
      <c r="D1676" s="2">
        <v>45790</v>
      </c>
      <c r="E1676">
        <v>1</v>
      </c>
      <c r="F1676" s="2">
        <v>45791</v>
      </c>
      <c r="G1676" s="6">
        <v>1</v>
      </c>
      <c r="H1676" s="6">
        <v>1</v>
      </c>
    </row>
    <row r="1677" spans="1:8" ht="14.4" hidden="1">
      <c r="A1677" t="s">
        <v>233</v>
      </c>
      <c r="B1677" t="s">
        <v>550</v>
      </c>
      <c r="C1677" t="s">
        <v>551</v>
      </c>
      <c r="D1677" s="2">
        <v>45792</v>
      </c>
      <c r="E1677">
        <v>1</v>
      </c>
      <c r="F1677" s="2">
        <v>45793</v>
      </c>
      <c r="G1677" s="6">
        <v>1</v>
      </c>
      <c r="H1677" s="6">
        <v>1</v>
      </c>
    </row>
    <row r="1678" spans="1:8" ht="14.4" hidden="1">
      <c r="A1678" t="s">
        <v>233</v>
      </c>
      <c r="B1678" t="s">
        <v>552</v>
      </c>
      <c r="C1678" t="s">
        <v>553</v>
      </c>
      <c r="D1678" s="2">
        <v>45776</v>
      </c>
      <c r="E1678">
        <v>10</v>
      </c>
      <c r="F1678" s="2">
        <v>45791</v>
      </c>
      <c r="G1678" s="6">
        <v>1</v>
      </c>
      <c r="H1678" s="6">
        <v>1</v>
      </c>
    </row>
    <row r="1679" spans="1:8" ht="14.4" hidden="1">
      <c r="A1679" t="s">
        <v>233</v>
      </c>
      <c r="B1679" t="s">
        <v>554</v>
      </c>
      <c r="C1679" t="s">
        <v>555</v>
      </c>
      <c r="D1679" s="2">
        <v>45791</v>
      </c>
      <c r="E1679">
        <v>1</v>
      </c>
      <c r="F1679" s="2">
        <v>45792</v>
      </c>
      <c r="G1679" s="6">
        <v>1</v>
      </c>
      <c r="H1679" s="6">
        <v>1</v>
      </c>
    </row>
    <row r="1680" spans="1:8" ht="14.4" hidden="1">
      <c r="A1680" t="s">
        <v>233</v>
      </c>
      <c r="B1680" t="s">
        <v>556</v>
      </c>
      <c r="C1680" t="s">
        <v>557</v>
      </c>
      <c r="D1680" s="2">
        <v>45785</v>
      </c>
      <c r="E1680">
        <v>1</v>
      </c>
      <c r="F1680" s="2">
        <v>45786</v>
      </c>
      <c r="G1680" s="6">
        <v>1</v>
      </c>
      <c r="H1680" s="6">
        <v>1</v>
      </c>
    </row>
    <row r="1681" spans="1:8" ht="14.4" hidden="1">
      <c r="A1681" t="s">
        <v>233</v>
      </c>
      <c r="B1681">
        <v>2</v>
      </c>
      <c r="C1681" t="s">
        <v>558</v>
      </c>
      <c r="D1681" s="2">
        <v>45798</v>
      </c>
      <c r="E1681">
        <v>1</v>
      </c>
      <c r="F1681" s="2">
        <v>45799</v>
      </c>
      <c r="G1681" s="6">
        <v>1</v>
      </c>
      <c r="H1681" s="6">
        <v>1</v>
      </c>
    </row>
    <row r="1682" spans="1:8" ht="14.4" hidden="1">
      <c r="A1682" t="s">
        <v>233</v>
      </c>
      <c r="B1682" t="s">
        <v>559</v>
      </c>
      <c r="C1682" t="s">
        <v>560</v>
      </c>
      <c r="D1682" s="2">
        <v>45798</v>
      </c>
      <c r="E1682">
        <v>1</v>
      </c>
      <c r="F1682" s="2">
        <v>45799</v>
      </c>
      <c r="G1682" s="6">
        <v>1</v>
      </c>
      <c r="H1682" s="6">
        <v>1</v>
      </c>
    </row>
    <row r="1683" spans="1:8" ht="14.4" hidden="1">
      <c r="A1683" t="s">
        <v>233</v>
      </c>
      <c r="B1683">
        <v>3</v>
      </c>
      <c r="C1683" t="s">
        <v>561</v>
      </c>
      <c r="D1683" s="2">
        <v>45770</v>
      </c>
      <c r="E1683">
        <v>112</v>
      </c>
      <c r="F1683" s="2">
        <v>45882</v>
      </c>
      <c r="G1683" s="6">
        <v>1</v>
      </c>
      <c r="H1683" s="6">
        <v>1</v>
      </c>
    </row>
    <row r="1684" spans="1:8" ht="14.4" hidden="1">
      <c r="A1684" t="s">
        <v>233</v>
      </c>
      <c r="B1684" t="s">
        <v>562</v>
      </c>
      <c r="C1684" t="s">
        <v>563</v>
      </c>
      <c r="D1684" s="2">
        <v>45799</v>
      </c>
      <c r="E1684">
        <v>1</v>
      </c>
      <c r="F1684" s="2">
        <v>45800</v>
      </c>
      <c r="G1684" s="6">
        <v>1</v>
      </c>
      <c r="H1684" s="6">
        <v>1</v>
      </c>
    </row>
    <row r="1685" spans="1:8" ht="14.4" hidden="1">
      <c r="A1685" t="s">
        <v>233</v>
      </c>
      <c r="B1685" t="s">
        <v>564</v>
      </c>
      <c r="C1685" t="s">
        <v>565</v>
      </c>
      <c r="D1685" s="2">
        <v>45861</v>
      </c>
      <c r="E1685">
        <v>12</v>
      </c>
      <c r="F1685" s="2">
        <v>45877</v>
      </c>
      <c r="G1685" s="6">
        <v>1</v>
      </c>
      <c r="H1685" s="6">
        <v>1</v>
      </c>
    </row>
    <row r="1686" spans="1:8" ht="14.4" hidden="1">
      <c r="A1686" t="s">
        <v>233</v>
      </c>
      <c r="B1686" t="s">
        <v>566</v>
      </c>
      <c r="C1686" t="s">
        <v>567</v>
      </c>
      <c r="D1686" s="2">
        <v>45770</v>
      </c>
      <c r="E1686">
        <v>45</v>
      </c>
      <c r="F1686" s="2">
        <v>45835</v>
      </c>
      <c r="G1686" s="6">
        <v>1</v>
      </c>
      <c r="H1686" s="6">
        <v>1</v>
      </c>
    </row>
    <row r="1687" spans="1:8" ht="14.4" hidden="1">
      <c r="A1687" t="s">
        <v>233</v>
      </c>
      <c r="B1687" t="s">
        <v>568</v>
      </c>
      <c r="C1687" t="s">
        <v>569</v>
      </c>
      <c r="D1687" s="2">
        <v>45861</v>
      </c>
      <c r="E1687">
        <v>15</v>
      </c>
      <c r="F1687" s="2">
        <v>45882</v>
      </c>
      <c r="G1687" s="6">
        <v>1</v>
      </c>
      <c r="H1687" s="6">
        <v>1</v>
      </c>
    </row>
    <row r="1688" spans="1:8" ht="14.4" hidden="1">
      <c r="A1688" t="s">
        <v>233</v>
      </c>
      <c r="B1688" t="s">
        <v>570</v>
      </c>
      <c r="C1688" t="s">
        <v>571</v>
      </c>
      <c r="D1688" s="2">
        <v>45875</v>
      </c>
      <c r="E1688">
        <v>1</v>
      </c>
      <c r="F1688" s="2">
        <v>45876</v>
      </c>
      <c r="G1688" s="6">
        <v>1</v>
      </c>
      <c r="H1688" s="6">
        <v>1</v>
      </c>
    </row>
    <row r="1689" spans="1:8" ht="14.4" hidden="1">
      <c r="A1689" t="s">
        <v>233</v>
      </c>
      <c r="B1689">
        <v>4</v>
      </c>
      <c r="C1689" t="s">
        <v>572</v>
      </c>
      <c r="D1689" s="2">
        <v>45798</v>
      </c>
      <c r="E1689">
        <v>89</v>
      </c>
      <c r="F1689" s="2">
        <v>45887</v>
      </c>
      <c r="G1689" s="6">
        <v>1</v>
      </c>
      <c r="H1689" s="6">
        <v>1</v>
      </c>
    </row>
    <row r="1690" spans="1:8" ht="14.4" hidden="1">
      <c r="A1690" t="s">
        <v>233</v>
      </c>
      <c r="B1690" t="s">
        <v>573</v>
      </c>
      <c r="C1690" t="s">
        <v>613</v>
      </c>
      <c r="E1690"/>
      <c r="G1690" s="6">
        <v>0</v>
      </c>
      <c r="H1690" s="6">
        <v>0</v>
      </c>
    </row>
    <row r="1691" spans="1:8" ht="14.4" hidden="1">
      <c r="A1691" t="s">
        <v>233</v>
      </c>
      <c r="B1691" t="s">
        <v>573</v>
      </c>
      <c r="C1691" t="s">
        <v>574</v>
      </c>
      <c r="D1691" s="2">
        <v>45798</v>
      </c>
      <c r="E1691">
        <v>1</v>
      </c>
      <c r="F1691" s="2">
        <v>45799</v>
      </c>
      <c r="G1691" s="6">
        <v>1</v>
      </c>
      <c r="H1691" s="6">
        <v>1</v>
      </c>
    </row>
    <row r="1692" spans="1:8" ht="14.4" hidden="1">
      <c r="A1692" t="s">
        <v>233</v>
      </c>
      <c r="B1692" t="s">
        <v>575</v>
      </c>
      <c r="C1692" t="s">
        <v>576</v>
      </c>
      <c r="D1692" s="2">
        <v>45799</v>
      </c>
      <c r="E1692">
        <v>10</v>
      </c>
      <c r="F1692" s="2">
        <v>45813</v>
      </c>
      <c r="G1692" s="6">
        <v>1</v>
      </c>
      <c r="H1692" s="6">
        <v>1</v>
      </c>
    </row>
    <row r="1693" spans="1:8" ht="14.4" hidden="1">
      <c r="A1693" t="s">
        <v>233</v>
      </c>
      <c r="B1693" t="s">
        <v>577</v>
      </c>
      <c r="C1693" t="s">
        <v>578</v>
      </c>
      <c r="D1693" s="2">
        <v>45806</v>
      </c>
      <c r="E1693">
        <v>1</v>
      </c>
      <c r="F1693" s="2">
        <v>45807</v>
      </c>
      <c r="G1693" s="6">
        <v>1</v>
      </c>
      <c r="H1693" s="6">
        <v>1</v>
      </c>
    </row>
    <row r="1694" spans="1:8" ht="14.4" hidden="1">
      <c r="A1694" t="s">
        <v>233</v>
      </c>
      <c r="B1694" t="s">
        <v>577</v>
      </c>
      <c r="C1694" t="s">
        <v>580</v>
      </c>
      <c r="D1694" s="2">
        <v>45824</v>
      </c>
      <c r="E1694">
        <v>45</v>
      </c>
      <c r="F1694" s="2">
        <v>45887</v>
      </c>
      <c r="G1694" s="6">
        <v>1</v>
      </c>
      <c r="H1694" s="6">
        <v>1</v>
      </c>
    </row>
    <row r="1695" spans="1:8" ht="14.4" hidden="1">
      <c r="A1695" t="s">
        <v>233</v>
      </c>
      <c r="B1695">
        <v>5</v>
      </c>
      <c r="C1695" t="s">
        <v>581</v>
      </c>
      <c r="D1695" s="2">
        <v>45806</v>
      </c>
      <c r="E1695">
        <v>25</v>
      </c>
      <c r="F1695" s="2">
        <v>45831</v>
      </c>
      <c r="G1695" s="6">
        <v>1</v>
      </c>
      <c r="H1695" s="6">
        <v>1</v>
      </c>
    </row>
    <row r="1696" spans="1:8" ht="14.4" hidden="1">
      <c r="A1696" t="s">
        <v>233</v>
      </c>
      <c r="B1696" t="s">
        <v>582</v>
      </c>
      <c r="C1696" t="s">
        <v>583</v>
      </c>
      <c r="D1696" s="2">
        <v>45806</v>
      </c>
      <c r="E1696">
        <v>1</v>
      </c>
      <c r="F1696" s="2">
        <v>45807</v>
      </c>
      <c r="G1696" s="6">
        <v>1</v>
      </c>
      <c r="H1696" s="6">
        <v>1</v>
      </c>
    </row>
    <row r="1697" spans="1:8" ht="14.4" hidden="1">
      <c r="A1697" t="s">
        <v>233</v>
      </c>
      <c r="B1697" t="s">
        <v>584</v>
      </c>
      <c r="C1697" t="s">
        <v>585</v>
      </c>
      <c r="D1697" s="2">
        <v>45807</v>
      </c>
      <c r="E1697">
        <v>15</v>
      </c>
      <c r="F1697" s="2">
        <v>45831</v>
      </c>
      <c r="G1697" s="6">
        <v>1</v>
      </c>
      <c r="H1697" s="6">
        <v>1</v>
      </c>
    </row>
    <row r="1698" spans="1:8" ht="14.4" hidden="1">
      <c r="A1698" t="s">
        <v>233</v>
      </c>
      <c r="B1698">
        <v>6</v>
      </c>
      <c r="C1698" t="s">
        <v>240</v>
      </c>
      <c r="D1698" s="2">
        <v>45950</v>
      </c>
      <c r="E1698">
        <v>114</v>
      </c>
      <c r="F1698" s="2">
        <v>46064</v>
      </c>
      <c r="G1698" s="6">
        <v>0.98214285714285721</v>
      </c>
      <c r="H1698" s="6">
        <v>1</v>
      </c>
    </row>
    <row r="1699" spans="1:8" ht="14.4" hidden="1">
      <c r="A1699" t="s">
        <v>233</v>
      </c>
      <c r="B1699" t="s">
        <v>586</v>
      </c>
      <c r="C1699" t="s">
        <v>1020</v>
      </c>
      <c r="D1699" s="2">
        <v>45950</v>
      </c>
      <c r="E1699">
        <v>55</v>
      </c>
      <c r="F1699" s="2">
        <v>46058</v>
      </c>
      <c r="G1699" s="6">
        <v>1</v>
      </c>
      <c r="H1699" s="6">
        <v>1</v>
      </c>
    </row>
    <row r="1700" spans="1:8" ht="14.4" hidden="1">
      <c r="A1700" t="s">
        <v>233</v>
      </c>
      <c r="B1700" t="s">
        <v>587</v>
      </c>
      <c r="C1700" t="s">
        <v>169</v>
      </c>
      <c r="D1700" s="2">
        <v>46063</v>
      </c>
      <c r="E1700">
        <v>1</v>
      </c>
      <c r="F1700" s="2">
        <v>46064</v>
      </c>
      <c r="G1700" s="6">
        <v>0</v>
      </c>
      <c r="H1700" s="6">
        <v>1</v>
      </c>
    </row>
    <row r="1701" spans="1:8" ht="14.4" hidden="1">
      <c r="A1701" t="s">
        <v>233</v>
      </c>
      <c r="B1701">
        <v>7</v>
      </c>
      <c r="C1701" t="s">
        <v>588</v>
      </c>
      <c r="D1701" s="2">
        <v>46064</v>
      </c>
      <c r="E1701">
        <v>1</v>
      </c>
      <c r="F1701" s="2">
        <v>46065</v>
      </c>
      <c r="G1701" s="6">
        <v>0</v>
      </c>
      <c r="H1701" s="6">
        <v>1</v>
      </c>
    </row>
    <row r="1702" spans="1:8" ht="14.4" hidden="1">
      <c r="A1702" t="s">
        <v>233</v>
      </c>
      <c r="B1702">
        <v>7.1</v>
      </c>
      <c r="C1702" t="s">
        <v>589</v>
      </c>
      <c r="D1702" s="2">
        <v>46064</v>
      </c>
      <c r="E1702">
        <v>1</v>
      </c>
      <c r="F1702" s="2">
        <v>46065</v>
      </c>
      <c r="G1702" s="6">
        <v>0</v>
      </c>
      <c r="H1702" s="6">
        <v>1</v>
      </c>
    </row>
    <row r="1703" spans="1:8" ht="14.4" hidden="1">
      <c r="A1703" t="s">
        <v>233</v>
      </c>
      <c r="B1703">
        <v>8</v>
      </c>
      <c r="C1703" t="s">
        <v>590</v>
      </c>
      <c r="D1703" s="2">
        <v>46065</v>
      </c>
      <c r="E1703">
        <v>11</v>
      </c>
      <c r="F1703" s="2">
        <v>46076</v>
      </c>
      <c r="G1703" s="6">
        <v>0</v>
      </c>
      <c r="H1703" s="6">
        <v>0</v>
      </c>
    </row>
    <row r="1704" spans="1:8" ht="14.4" hidden="1">
      <c r="A1704" t="s">
        <v>233</v>
      </c>
      <c r="B1704">
        <v>8.1</v>
      </c>
      <c r="C1704" t="s">
        <v>591</v>
      </c>
      <c r="D1704" s="2">
        <v>46065</v>
      </c>
      <c r="E1704">
        <v>2</v>
      </c>
      <c r="F1704" s="2">
        <v>46069</v>
      </c>
      <c r="G1704" s="6">
        <v>0</v>
      </c>
      <c r="H1704" s="6">
        <v>0</v>
      </c>
    </row>
    <row r="1705" spans="1:8" ht="14.4" hidden="1">
      <c r="A1705" t="s">
        <v>233</v>
      </c>
      <c r="B1705">
        <v>8.1999999999999993</v>
      </c>
      <c r="C1705" t="s">
        <v>592</v>
      </c>
      <c r="D1705" s="2">
        <v>46065</v>
      </c>
      <c r="E1705">
        <v>1</v>
      </c>
      <c r="F1705" s="2">
        <v>46066</v>
      </c>
      <c r="G1705" s="6">
        <v>0</v>
      </c>
      <c r="H1705" s="6">
        <v>0</v>
      </c>
    </row>
    <row r="1706" spans="1:8" ht="14.4" hidden="1">
      <c r="A1706" t="s">
        <v>233</v>
      </c>
      <c r="B1706">
        <v>8.3000000000000007</v>
      </c>
      <c r="C1706" t="s">
        <v>593</v>
      </c>
      <c r="D1706" s="2">
        <v>46066</v>
      </c>
      <c r="E1706">
        <v>5</v>
      </c>
      <c r="F1706" s="2">
        <v>46073</v>
      </c>
      <c r="G1706" s="6">
        <v>0</v>
      </c>
      <c r="H1706" s="6">
        <v>0</v>
      </c>
    </row>
    <row r="1707" spans="1:8" ht="14.4" hidden="1">
      <c r="A1707" t="s">
        <v>233</v>
      </c>
      <c r="B1707">
        <v>8.4</v>
      </c>
      <c r="C1707" t="s">
        <v>594</v>
      </c>
      <c r="D1707" s="2">
        <v>46065</v>
      </c>
      <c r="E1707">
        <v>6</v>
      </c>
      <c r="F1707" s="2">
        <v>46073</v>
      </c>
      <c r="G1707" s="6">
        <v>0</v>
      </c>
      <c r="H1707" s="6">
        <v>0</v>
      </c>
    </row>
    <row r="1708" spans="1:8" ht="14.4" hidden="1">
      <c r="A1708" t="s">
        <v>233</v>
      </c>
      <c r="B1708">
        <v>8.5</v>
      </c>
      <c r="C1708" t="s">
        <v>595</v>
      </c>
      <c r="D1708" s="2">
        <v>46073</v>
      </c>
      <c r="E1708">
        <v>1</v>
      </c>
      <c r="F1708" s="2">
        <v>46076</v>
      </c>
      <c r="G1708" s="6">
        <v>0</v>
      </c>
      <c r="H1708" s="6">
        <v>0</v>
      </c>
    </row>
    <row r="1709" spans="1:8" ht="14.4" hidden="1">
      <c r="A1709" t="s">
        <v>233</v>
      </c>
      <c r="B1709">
        <v>8.6</v>
      </c>
      <c r="C1709" t="s">
        <v>596</v>
      </c>
      <c r="D1709" s="2">
        <v>46067</v>
      </c>
      <c r="E1709">
        <v>5</v>
      </c>
      <c r="F1709" s="2">
        <v>46073</v>
      </c>
      <c r="G1709" s="6">
        <v>0</v>
      </c>
      <c r="H1709" s="6">
        <v>0</v>
      </c>
    </row>
    <row r="1710" spans="1:8" ht="14.4" hidden="1">
      <c r="A1710" t="s">
        <v>237</v>
      </c>
      <c r="B1710">
        <v>1</v>
      </c>
      <c r="C1710" t="s">
        <v>547</v>
      </c>
      <c r="D1710" s="2">
        <v>45909</v>
      </c>
      <c r="E1710">
        <v>52</v>
      </c>
      <c r="F1710" s="2">
        <v>45961</v>
      </c>
      <c r="G1710" s="6">
        <v>1</v>
      </c>
      <c r="H1710" s="6">
        <v>1</v>
      </c>
    </row>
    <row r="1711" spans="1:8" ht="14.4" hidden="1">
      <c r="A1711" t="s">
        <v>237</v>
      </c>
      <c r="B1711" t="s">
        <v>548</v>
      </c>
      <c r="C1711" t="s">
        <v>549</v>
      </c>
      <c r="D1711" s="2">
        <v>45909</v>
      </c>
      <c r="E1711">
        <v>1</v>
      </c>
      <c r="F1711" s="2">
        <v>45910</v>
      </c>
      <c r="G1711" s="6">
        <v>1</v>
      </c>
      <c r="H1711" s="6">
        <v>1</v>
      </c>
    </row>
    <row r="1712" spans="1:8" ht="14.4" hidden="1">
      <c r="A1712" t="s">
        <v>237</v>
      </c>
      <c r="B1712" t="s">
        <v>550</v>
      </c>
      <c r="C1712" t="s">
        <v>598</v>
      </c>
      <c r="D1712" s="2">
        <v>45910</v>
      </c>
      <c r="E1712">
        <v>26</v>
      </c>
      <c r="F1712" s="2">
        <v>45947</v>
      </c>
      <c r="G1712" s="6">
        <v>1</v>
      </c>
      <c r="H1712" s="6">
        <v>1</v>
      </c>
    </row>
    <row r="1713" spans="1:8" ht="14.4" hidden="1">
      <c r="A1713" t="s">
        <v>237</v>
      </c>
      <c r="B1713" t="s">
        <v>552</v>
      </c>
      <c r="C1713" t="s">
        <v>1021</v>
      </c>
      <c r="D1713" s="2">
        <v>45943</v>
      </c>
      <c r="E1713">
        <v>14</v>
      </c>
      <c r="F1713" s="2">
        <v>45961</v>
      </c>
      <c r="G1713" s="6">
        <v>1</v>
      </c>
      <c r="H1713" s="6">
        <v>1</v>
      </c>
    </row>
    <row r="1714" spans="1:8" ht="14.4" hidden="1">
      <c r="A1714" t="s">
        <v>237</v>
      </c>
      <c r="B1714" t="s">
        <v>554</v>
      </c>
      <c r="C1714" t="s">
        <v>1022</v>
      </c>
      <c r="D1714" s="2">
        <v>45945</v>
      </c>
      <c r="E1714">
        <v>2</v>
      </c>
      <c r="F1714" s="2">
        <v>45947</v>
      </c>
      <c r="G1714" s="6">
        <v>1</v>
      </c>
      <c r="H1714" s="6">
        <v>1</v>
      </c>
    </row>
    <row r="1715" spans="1:8" ht="14.4" hidden="1">
      <c r="A1715" t="s">
        <v>237</v>
      </c>
      <c r="B1715" t="s">
        <v>556</v>
      </c>
      <c r="C1715" t="s">
        <v>551</v>
      </c>
      <c r="D1715" s="2">
        <v>45924</v>
      </c>
      <c r="E1715">
        <v>1</v>
      </c>
      <c r="F1715" s="2">
        <v>45925</v>
      </c>
      <c r="G1715" s="6">
        <v>1</v>
      </c>
      <c r="H1715" s="6">
        <v>1</v>
      </c>
    </row>
    <row r="1716" spans="1:8" ht="14.4" hidden="1">
      <c r="A1716" t="s">
        <v>237</v>
      </c>
      <c r="B1716" t="s">
        <v>606</v>
      </c>
      <c r="C1716" t="s">
        <v>555</v>
      </c>
      <c r="D1716" s="2">
        <v>45931</v>
      </c>
      <c r="E1716">
        <v>1</v>
      </c>
      <c r="F1716" s="2">
        <v>45932</v>
      </c>
      <c r="G1716" s="6">
        <v>1</v>
      </c>
      <c r="H1716" s="6">
        <v>1</v>
      </c>
    </row>
    <row r="1717" spans="1:8" ht="14.4" hidden="1">
      <c r="A1717" t="s">
        <v>237</v>
      </c>
      <c r="B1717" t="s">
        <v>608</v>
      </c>
      <c r="C1717" t="s">
        <v>557</v>
      </c>
      <c r="D1717" s="2">
        <v>45941</v>
      </c>
      <c r="E1717">
        <v>1</v>
      </c>
      <c r="F1717" s="2">
        <v>45943</v>
      </c>
      <c r="G1717" s="6">
        <v>1</v>
      </c>
      <c r="H1717" s="6">
        <v>1</v>
      </c>
    </row>
    <row r="1718" spans="1:8" ht="14.4" hidden="1">
      <c r="A1718" t="s">
        <v>237</v>
      </c>
      <c r="B1718">
        <v>2</v>
      </c>
      <c r="C1718" t="s">
        <v>558</v>
      </c>
      <c r="D1718" s="2">
        <v>45950</v>
      </c>
      <c r="E1718">
        <v>1</v>
      </c>
      <c r="F1718" s="2">
        <v>45951</v>
      </c>
      <c r="G1718" s="6">
        <v>1</v>
      </c>
      <c r="H1718" s="6">
        <v>1</v>
      </c>
    </row>
    <row r="1719" spans="1:8" ht="14.4" hidden="1">
      <c r="A1719" t="s">
        <v>237</v>
      </c>
      <c r="B1719" t="s">
        <v>559</v>
      </c>
      <c r="C1719" t="s">
        <v>560</v>
      </c>
      <c r="D1719" s="2">
        <v>45950</v>
      </c>
      <c r="E1719">
        <v>1</v>
      </c>
      <c r="F1719" s="2">
        <v>45951</v>
      </c>
      <c r="G1719" s="6">
        <v>1</v>
      </c>
      <c r="H1719" s="6">
        <v>1</v>
      </c>
    </row>
    <row r="1720" spans="1:8" ht="14.4" hidden="1">
      <c r="A1720" t="s">
        <v>237</v>
      </c>
      <c r="B1720">
        <v>3</v>
      </c>
      <c r="C1720" t="s">
        <v>561</v>
      </c>
      <c r="D1720" s="2">
        <v>45909</v>
      </c>
      <c r="E1720">
        <v>80</v>
      </c>
      <c r="F1720" s="2">
        <v>45989</v>
      </c>
      <c r="G1720" s="6">
        <v>1</v>
      </c>
      <c r="H1720" s="6">
        <v>1</v>
      </c>
    </row>
    <row r="1721" spans="1:8" ht="14.4" hidden="1">
      <c r="A1721" t="s">
        <v>237</v>
      </c>
      <c r="B1721" t="s">
        <v>562</v>
      </c>
      <c r="C1721" t="s">
        <v>563</v>
      </c>
      <c r="D1721" s="2">
        <v>45910</v>
      </c>
      <c r="E1721">
        <v>0</v>
      </c>
      <c r="F1721" s="2">
        <v>45910</v>
      </c>
      <c r="G1721" s="6">
        <v>1</v>
      </c>
      <c r="H1721" s="6">
        <v>1</v>
      </c>
    </row>
    <row r="1722" spans="1:8" ht="14.4" hidden="1">
      <c r="A1722" t="s">
        <v>237</v>
      </c>
      <c r="B1722" t="s">
        <v>564</v>
      </c>
      <c r="C1722" t="s">
        <v>565</v>
      </c>
      <c r="D1722" s="2">
        <v>45910</v>
      </c>
      <c r="E1722">
        <v>0</v>
      </c>
      <c r="F1722" s="2">
        <v>45910</v>
      </c>
      <c r="G1722" s="6">
        <v>1</v>
      </c>
      <c r="H1722" s="6">
        <v>1</v>
      </c>
    </row>
    <row r="1723" spans="1:8" ht="14.4" hidden="1">
      <c r="A1723" t="s">
        <v>237</v>
      </c>
      <c r="B1723" t="s">
        <v>566</v>
      </c>
      <c r="C1723" t="s">
        <v>567</v>
      </c>
      <c r="D1723" s="2">
        <v>45910</v>
      </c>
      <c r="E1723">
        <v>0</v>
      </c>
      <c r="F1723" s="2">
        <v>45910</v>
      </c>
      <c r="G1723" s="6">
        <v>1</v>
      </c>
      <c r="H1723" s="6">
        <v>1</v>
      </c>
    </row>
    <row r="1724" spans="1:8" ht="14.4" hidden="1">
      <c r="A1724" t="s">
        <v>237</v>
      </c>
      <c r="B1724" t="s">
        <v>568</v>
      </c>
      <c r="C1724" t="s">
        <v>569</v>
      </c>
      <c r="D1724" s="2">
        <v>45975</v>
      </c>
      <c r="E1724">
        <v>10</v>
      </c>
      <c r="F1724" s="2">
        <v>45989</v>
      </c>
      <c r="G1724" s="6">
        <v>1</v>
      </c>
      <c r="H1724" s="6">
        <v>1</v>
      </c>
    </row>
    <row r="1725" spans="1:8" ht="14.4" hidden="1">
      <c r="A1725" t="s">
        <v>237</v>
      </c>
      <c r="B1725" t="s">
        <v>570</v>
      </c>
      <c r="C1725" t="s">
        <v>571</v>
      </c>
      <c r="D1725" s="2">
        <v>45909</v>
      </c>
      <c r="E1725">
        <v>1</v>
      </c>
      <c r="F1725" s="2">
        <v>45910</v>
      </c>
      <c r="G1725" s="6">
        <v>1</v>
      </c>
      <c r="H1725" s="6">
        <v>1</v>
      </c>
    </row>
    <row r="1726" spans="1:8" ht="14.4" hidden="1">
      <c r="A1726" t="s">
        <v>237</v>
      </c>
      <c r="B1726">
        <v>4</v>
      </c>
      <c r="C1726" t="s">
        <v>572</v>
      </c>
      <c r="D1726" s="2">
        <v>45950</v>
      </c>
      <c r="E1726">
        <v>91</v>
      </c>
      <c r="F1726" s="2">
        <v>46041</v>
      </c>
      <c r="G1726" s="6">
        <v>1</v>
      </c>
      <c r="H1726" s="6">
        <v>1</v>
      </c>
    </row>
    <row r="1727" spans="1:8" ht="14.4" hidden="1">
      <c r="A1727" t="s">
        <v>237</v>
      </c>
      <c r="B1727" t="s">
        <v>573</v>
      </c>
      <c r="C1727" t="s">
        <v>574</v>
      </c>
      <c r="D1727" s="2">
        <v>45950</v>
      </c>
      <c r="E1727">
        <v>1</v>
      </c>
      <c r="F1727" s="2">
        <v>45951</v>
      </c>
      <c r="G1727" s="6">
        <v>1</v>
      </c>
      <c r="H1727" s="6">
        <v>1</v>
      </c>
    </row>
    <row r="1728" spans="1:8" ht="14.4" hidden="1">
      <c r="A1728" t="s">
        <v>237</v>
      </c>
      <c r="B1728" t="s">
        <v>575</v>
      </c>
      <c r="C1728" t="s">
        <v>641</v>
      </c>
      <c r="D1728" s="2">
        <v>45950</v>
      </c>
      <c r="E1728">
        <v>22</v>
      </c>
      <c r="F1728" s="2">
        <v>45980</v>
      </c>
      <c r="G1728" s="6">
        <v>1</v>
      </c>
      <c r="H1728" s="6">
        <v>1</v>
      </c>
    </row>
    <row r="1729" spans="1:8" ht="14.4" hidden="1">
      <c r="A1729" t="s">
        <v>237</v>
      </c>
      <c r="B1729" t="s">
        <v>1023</v>
      </c>
      <c r="C1729" t="s">
        <v>1024</v>
      </c>
      <c r="D1729" s="2">
        <v>45971</v>
      </c>
      <c r="E1729">
        <v>12</v>
      </c>
      <c r="F1729" s="2">
        <v>45987</v>
      </c>
      <c r="G1729" s="6">
        <v>1</v>
      </c>
      <c r="H1729" s="6">
        <v>1</v>
      </c>
    </row>
    <row r="1730" spans="1:8" ht="14.4" hidden="1">
      <c r="A1730" t="s">
        <v>237</v>
      </c>
      <c r="B1730" t="s">
        <v>577</v>
      </c>
      <c r="C1730" t="s">
        <v>642</v>
      </c>
      <c r="D1730" s="2">
        <v>45950</v>
      </c>
      <c r="E1730">
        <v>19</v>
      </c>
      <c r="F1730" s="2">
        <v>45975</v>
      </c>
      <c r="G1730" s="6">
        <v>1</v>
      </c>
      <c r="H1730" s="6">
        <v>1</v>
      </c>
    </row>
    <row r="1731" spans="1:8" ht="14.4" hidden="1">
      <c r="A1731" t="s">
        <v>237</v>
      </c>
      <c r="B1731" t="s">
        <v>1025</v>
      </c>
      <c r="C1731" t="s">
        <v>1026</v>
      </c>
      <c r="D1731" s="2">
        <v>45972</v>
      </c>
      <c r="E1731">
        <v>3</v>
      </c>
      <c r="F1731" s="2">
        <v>45975</v>
      </c>
      <c r="G1731" s="6">
        <v>1</v>
      </c>
      <c r="H1731" s="6">
        <v>1</v>
      </c>
    </row>
    <row r="1732" spans="1:8" ht="14.4" hidden="1">
      <c r="A1732" t="s">
        <v>237</v>
      </c>
      <c r="B1732" t="s">
        <v>579</v>
      </c>
      <c r="C1732" t="s">
        <v>643</v>
      </c>
      <c r="D1732" s="2">
        <v>45957</v>
      </c>
      <c r="E1732">
        <v>16</v>
      </c>
      <c r="F1732" s="2">
        <v>45979</v>
      </c>
      <c r="G1732" s="6">
        <v>1</v>
      </c>
      <c r="H1732" s="6">
        <v>1</v>
      </c>
    </row>
    <row r="1733" spans="1:8" ht="14.4" hidden="1">
      <c r="A1733" t="s">
        <v>237</v>
      </c>
      <c r="B1733" t="s">
        <v>1027</v>
      </c>
      <c r="C1733" t="s">
        <v>1028</v>
      </c>
      <c r="E1733"/>
      <c r="G1733" s="6">
        <v>1</v>
      </c>
      <c r="H1733" s="6">
        <v>1</v>
      </c>
    </row>
    <row r="1734" spans="1:8" ht="14.4" hidden="1">
      <c r="A1734" t="s">
        <v>237</v>
      </c>
      <c r="B1734" t="s">
        <v>1029</v>
      </c>
      <c r="C1734" t="s">
        <v>1030</v>
      </c>
      <c r="D1734" s="2">
        <v>45974</v>
      </c>
      <c r="E1734">
        <v>3</v>
      </c>
      <c r="F1734" s="2">
        <v>45979</v>
      </c>
      <c r="G1734" s="6">
        <v>1</v>
      </c>
      <c r="H1734" s="6">
        <v>1</v>
      </c>
    </row>
    <row r="1735" spans="1:8" ht="14.4" hidden="1">
      <c r="A1735" t="s">
        <v>237</v>
      </c>
      <c r="B1735" t="s">
        <v>615</v>
      </c>
      <c r="C1735" t="s">
        <v>1031</v>
      </c>
      <c r="D1735" s="2">
        <v>45982</v>
      </c>
      <c r="E1735">
        <v>2</v>
      </c>
      <c r="F1735" s="2">
        <v>45984</v>
      </c>
      <c r="G1735" s="6">
        <v>1</v>
      </c>
      <c r="H1735" s="6">
        <v>1</v>
      </c>
    </row>
    <row r="1736" spans="1:8" ht="14.4" hidden="1">
      <c r="A1736" t="s">
        <v>237</v>
      </c>
      <c r="B1736" t="s">
        <v>627</v>
      </c>
      <c r="C1736" t="s">
        <v>1032</v>
      </c>
      <c r="D1736" s="2">
        <v>45972</v>
      </c>
      <c r="E1736">
        <v>4</v>
      </c>
      <c r="F1736" s="2">
        <v>45978</v>
      </c>
      <c r="G1736" s="6">
        <v>1</v>
      </c>
      <c r="H1736" s="6">
        <v>1</v>
      </c>
    </row>
    <row r="1737" spans="1:8" ht="14.4" hidden="1">
      <c r="A1737" t="s">
        <v>237</v>
      </c>
      <c r="B1737" t="s">
        <v>629</v>
      </c>
      <c r="C1737" t="s">
        <v>578</v>
      </c>
      <c r="D1737" s="2">
        <v>45950</v>
      </c>
      <c r="E1737">
        <v>1</v>
      </c>
      <c r="F1737" s="2">
        <v>45951</v>
      </c>
      <c r="G1737" s="6">
        <v>1</v>
      </c>
      <c r="H1737" s="6">
        <v>1</v>
      </c>
    </row>
    <row r="1738" spans="1:8" ht="14.4" hidden="1">
      <c r="A1738" t="s">
        <v>237</v>
      </c>
      <c r="B1738" t="s">
        <v>629</v>
      </c>
      <c r="C1738" t="s">
        <v>1033</v>
      </c>
      <c r="D1738" s="2">
        <v>45980</v>
      </c>
      <c r="E1738">
        <v>14</v>
      </c>
      <c r="F1738" s="2">
        <v>46000</v>
      </c>
      <c r="G1738" s="6">
        <v>1</v>
      </c>
      <c r="H1738" s="6">
        <v>1</v>
      </c>
    </row>
    <row r="1739" spans="1:8" ht="14.4" hidden="1">
      <c r="A1739" t="s">
        <v>237</v>
      </c>
      <c r="B1739" t="s">
        <v>630</v>
      </c>
      <c r="C1739" t="s">
        <v>1034</v>
      </c>
      <c r="D1739" s="2">
        <v>45982</v>
      </c>
      <c r="E1739">
        <v>12</v>
      </c>
      <c r="F1739" s="2">
        <v>46000</v>
      </c>
      <c r="G1739" s="6">
        <v>1</v>
      </c>
      <c r="H1739" s="6">
        <v>1</v>
      </c>
    </row>
    <row r="1740" spans="1:8" ht="14.4" hidden="1">
      <c r="A1740" t="s">
        <v>237</v>
      </c>
      <c r="B1740" t="s">
        <v>1035</v>
      </c>
      <c r="C1740" t="s">
        <v>1036</v>
      </c>
      <c r="D1740" s="2">
        <v>45996</v>
      </c>
      <c r="E1740">
        <v>6</v>
      </c>
      <c r="F1740" s="2">
        <v>46041</v>
      </c>
      <c r="G1740" s="6">
        <v>1</v>
      </c>
      <c r="H1740" s="6">
        <v>1</v>
      </c>
    </row>
    <row r="1741" spans="1:8" ht="14.4" hidden="1">
      <c r="A1741" t="s">
        <v>237</v>
      </c>
      <c r="B1741">
        <v>5</v>
      </c>
      <c r="C1741" t="s">
        <v>581</v>
      </c>
      <c r="D1741" s="2">
        <v>45950</v>
      </c>
      <c r="E1741">
        <v>53</v>
      </c>
      <c r="F1741" s="2">
        <v>46003</v>
      </c>
      <c r="G1741" s="6">
        <v>1</v>
      </c>
      <c r="H1741" s="6">
        <v>1</v>
      </c>
    </row>
    <row r="1742" spans="1:8" ht="14.4" hidden="1">
      <c r="A1742" t="s">
        <v>237</v>
      </c>
      <c r="B1742" t="s">
        <v>582</v>
      </c>
      <c r="C1742" t="s">
        <v>583</v>
      </c>
      <c r="D1742" s="2">
        <v>45950</v>
      </c>
      <c r="E1742">
        <v>1</v>
      </c>
      <c r="F1742" s="2">
        <v>45951</v>
      </c>
      <c r="G1742" s="6">
        <v>1</v>
      </c>
      <c r="H1742" s="6">
        <v>1</v>
      </c>
    </row>
    <row r="1743" spans="1:8" ht="14.4" hidden="1">
      <c r="A1743" t="s">
        <v>237</v>
      </c>
      <c r="B1743" t="s">
        <v>584</v>
      </c>
      <c r="C1743" t="s">
        <v>646</v>
      </c>
      <c r="D1743" s="2">
        <v>45980</v>
      </c>
      <c r="E1743">
        <v>12</v>
      </c>
      <c r="F1743" s="2">
        <v>45996</v>
      </c>
      <c r="G1743" s="6">
        <v>1</v>
      </c>
      <c r="H1743" s="6">
        <v>1</v>
      </c>
    </row>
    <row r="1744" spans="1:8" ht="14.4" hidden="1">
      <c r="A1744" t="s">
        <v>237</v>
      </c>
      <c r="B1744" t="s">
        <v>647</v>
      </c>
      <c r="C1744" t="s">
        <v>648</v>
      </c>
      <c r="D1744" s="2">
        <v>45980</v>
      </c>
      <c r="E1744">
        <v>5</v>
      </c>
      <c r="F1744" s="2">
        <v>45987</v>
      </c>
      <c r="G1744" s="6">
        <v>1</v>
      </c>
      <c r="H1744" s="6">
        <v>1</v>
      </c>
    </row>
    <row r="1745" spans="1:8" ht="14.4" hidden="1">
      <c r="A1745" t="s">
        <v>237</v>
      </c>
      <c r="B1745" t="s">
        <v>649</v>
      </c>
      <c r="C1745" t="s">
        <v>650</v>
      </c>
      <c r="D1745" s="2">
        <v>45983</v>
      </c>
      <c r="E1745">
        <v>15</v>
      </c>
      <c r="F1745" s="2">
        <v>46003</v>
      </c>
      <c r="G1745" s="6">
        <v>1</v>
      </c>
      <c r="H1745" s="6">
        <v>1</v>
      </c>
    </row>
    <row r="1746" spans="1:8" ht="14.4" hidden="1">
      <c r="A1746" t="s">
        <v>237</v>
      </c>
      <c r="B1746">
        <v>6</v>
      </c>
      <c r="C1746" t="s">
        <v>240</v>
      </c>
      <c r="D1746" s="2">
        <v>45989</v>
      </c>
      <c r="E1746">
        <v>55</v>
      </c>
      <c r="F1746" s="2">
        <v>46044</v>
      </c>
      <c r="G1746" s="6">
        <v>1</v>
      </c>
      <c r="H1746" s="6">
        <v>1</v>
      </c>
    </row>
    <row r="1747" spans="1:8" ht="14.4" hidden="1">
      <c r="A1747" t="s">
        <v>237</v>
      </c>
      <c r="B1747" t="s">
        <v>586</v>
      </c>
      <c r="C1747" t="s">
        <v>1037</v>
      </c>
      <c r="D1747" s="2">
        <v>45989</v>
      </c>
      <c r="E1747">
        <v>1</v>
      </c>
      <c r="F1747" s="2">
        <v>45992</v>
      </c>
      <c r="G1747" s="6">
        <v>1</v>
      </c>
      <c r="H1747" s="6">
        <v>1</v>
      </c>
    </row>
    <row r="1748" spans="1:8" ht="14.4" hidden="1">
      <c r="A1748" t="s">
        <v>237</v>
      </c>
      <c r="B1748" t="s">
        <v>587</v>
      </c>
      <c r="C1748" t="s">
        <v>1038</v>
      </c>
      <c r="D1748" s="2">
        <v>45999</v>
      </c>
      <c r="E1748">
        <v>5</v>
      </c>
      <c r="F1748" s="2">
        <v>46004</v>
      </c>
      <c r="G1748" s="6">
        <v>1</v>
      </c>
      <c r="H1748" s="6">
        <v>1</v>
      </c>
    </row>
    <row r="1749" spans="1:8" ht="14.4" hidden="1">
      <c r="A1749" t="s">
        <v>237</v>
      </c>
      <c r="B1749" t="s">
        <v>599</v>
      </c>
      <c r="C1749" t="s">
        <v>593</v>
      </c>
      <c r="D1749" s="2">
        <v>46004</v>
      </c>
      <c r="E1749">
        <v>4</v>
      </c>
      <c r="F1749" s="2">
        <v>46044</v>
      </c>
      <c r="G1749" s="6">
        <v>1</v>
      </c>
      <c r="H1749" s="6">
        <v>1</v>
      </c>
    </row>
    <row r="1750" spans="1:8" ht="14.4" hidden="1">
      <c r="A1750" t="s">
        <v>237</v>
      </c>
      <c r="B1750" t="s">
        <v>979</v>
      </c>
      <c r="C1750" t="s">
        <v>1039</v>
      </c>
      <c r="D1750" s="2">
        <v>46044</v>
      </c>
      <c r="E1750">
        <v>2</v>
      </c>
      <c r="F1750" s="2">
        <v>46048</v>
      </c>
      <c r="G1750" s="6">
        <v>1</v>
      </c>
      <c r="H1750" s="6">
        <v>1</v>
      </c>
    </row>
    <row r="1751" spans="1:8" ht="14.4" hidden="1">
      <c r="A1751" t="s">
        <v>237</v>
      </c>
      <c r="B1751">
        <v>7</v>
      </c>
      <c r="C1751" t="s">
        <v>588</v>
      </c>
      <c r="D1751" s="2">
        <v>46037</v>
      </c>
      <c r="E1751">
        <v>7</v>
      </c>
      <c r="F1751" s="2">
        <v>46044</v>
      </c>
      <c r="G1751" s="6">
        <v>1</v>
      </c>
      <c r="H1751" s="6">
        <v>1</v>
      </c>
    </row>
    <row r="1752" spans="1:8" ht="14.4" hidden="1">
      <c r="A1752" t="s">
        <v>237</v>
      </c>
      <c r="B1752" t="s">
        <v>600</v>
      </c>
      <c r="C1752" t="s">
        <v>589</v>
      </c>
      <c r="D1752" s="2">
        <v>46037</v>
      </c>
      <c r="E1752">
        <v>2</v>
      </c>
      <c r="F1752" s="2">
        <v>46042</v>
      </c>
      <c r="G1752" s="6">
        <v>1</v>
      </c>
      <c r="H1752" s="6">
        <v>1</v>
      </c>
    </row>
    <row r="1753" spans="1:8" ht="14.4" hidden="1">
      <c r="A1753" t="s">
        <v>237</v>
      </c>
      <c r="B1753" t="s">
        <v>601</v>
      </c>
      <c r="C1753" t="s">
        <v>592</v>
      </c>
      <c r="D1753" s="2">
        <v>46042</v>
      </c>
      <c r="E1753">
        <v>2</v>
      </c>
      <c r="F1753" s="2">
        <v>46044</v>
      </c>
      <c r="G1753" s="6">
        <v>1</v>
      </c>
      <c r="H1753" s="6">
        <v>1</v>
      </c>
    </row>
    <row r="1754" spans="1:8" ht="14.4" hidden="1">
      <c r="A1754" t="s">
        <v>237</v>
      </c>
      <c r="B1754" t="s">
        <v>908</v>
      </c>
      <c r="C1754" t="s">
        <v>1040</v>
      </c>
      <c r="D1754" s="2">
        <v>46042</v>
      </c>
      <c r="E1754">
        <v>2</v>
      </c>
      <c r="F1754" s="2">
        <v>46044</v>
      </c>
      <c r="G1754" s="6">
        <v>1</v>
      </c>
      <c r="H1754" s="6">
        <v>1</v>
      </c>
    </row>
    <row r="1755" spans="1:8" ht="14.4" hidden="1">
      <c r="A1755" t="s">
        <v>237</v>
      </c>
      <c r="B1755">
        <v>8</v>
      </c>
      <c r="C1755" t="s">
        <v>590</v>
      </c>
      <c r="D1755" s="2">
        <v>46042</v>
      </c>
      <c r="E1755">
        <v>15</v>
      </c>
      <c r="F1755" s="2">
        <v>46057</v>
      </c>
      <c r="G1755" s="6">
        <v>0.7142857142857143</v>
      </c>
      <c r="H1755" s="6">
        <v>0.83330618863035077</v>
      </c>
    </row>
    <row r="1756" spans="1:8" ht="14.4" hidden="1">
      <c r="A1756" t="s">
        <v>237</v>
      </c>
      <c r="B1756" t="s">
        <v>602</v>
      </c>
      <c r="C1756" t="s">
        <v>594</v>
      </c>
      <c r="D1756" s="2">
        <v>46042</v>
      </c>
      <c r="E1756">
        <v>3</v>
      </c>
      <c r="F1756" s="2">
        <v>46045</v>
      </c>
      <c r="G1756" s="6">
        <v>1</v>
      </c>
      <c r="H1756" s="6">
        <v>1</v>
      </c>
    </row>
    <row r="1757" spans="1:8" ht="14.4" hidden="1">
      <c r="A1757" t="s">
        <v>237</v>
      </c>
      <c r="B1757" t="s">
        <v>603</v>
      </c>
      <c r="C1757" t="s">
        <v>595</v>
      </c>
      <c r="D1757" s="2">
        <v>46045</v>
      </c>
      <c r="E1757">
        <v>3</v>
      </c>
      <c r="F1757" s="2">
        <v>46050</v>
      </c>
      <c r="G1757" s="6">
        <v>1</v>
      </c>
      <c r="H1757" s="6">
        <v>1</v>
      </c>
    </row>
    <row r="1758" spans="1:8" ht="14.4" hidden="1">
      <c r="A1758" t="s">
        <v>237</v>
      </c>
      <c r="B1758" t="s">
        <v>604</v>
      </c>
      <c r="C1758" t="s">
        <v>596</v>
      </c>
      <c r="D1758" s="2">
        <v>46045</v>
      </c>
      <c r="E1758">
        <v>8</v>
      </c>
      <c r="F1758" s="2">
        <v>46057</v>
      </c>
      <c r="G1758" s="6">
        <v>0.5</v>
      </c>
      <c r="H1758" s="6">
        <v>1</v>
      </c>
    </row>
    <row r="1759" spans="1:8" ht="14.4" hidden="1">
      <c r="A1759" t="s">
        <v>535</v>
      </c>
      <c r="B1759">
        <v>1</v>
      </c>
      <c r="C1759" t="s">
        <v>547</v>
      </c>
      <c r="D1759" s="2">
        <v>45986</v>
      </c>
      <c r="E1759">
        <v>97</v>
      </c>
      <c r="F1759" s="2">
        <v>46083</v>
      </c>
      <c r="G1759" s="6">
        <v>5.6250000000000001E-2</v>
      </c>
      <c r="H1759" s="6">
        <v>5.6250000000000001E-2</v>
      </c>
    </row>
    <row r="1760" spans="1:8" ht="14.4" hidden="1">
      <c r="A1760" t="s">
        <v>535</v>
      </c>
      <c r="B1760" t="s">
        <v>548</v>
      </c>
      <c r="C1760" t="s">
        <v>597</v>
      </c>
      <c r="D1760" s="2">
        <v>45986</v>
      </c>
      <c r="E1760">
        <v>1</v>
      </c>
      <c r="F1760" s="2">
        <v>45987</v>
      </c>
      <c r="G1760" s="6">
        <v>1</v>
      </c>
      <c r="H1760" s="6">
        <v>1</v>
      </c>
    </row>
    <row r="1761" spans="1:8" ht="14.4" hidden="1">
      <c r="A1761" t="s">
        <v>535</v>
      </c>
      <c r="B1761" t="s">
        <v>550</v>
      </c>
      <c r="C1761" t="s">
        <v>1041</v>
      </c>
      <c r="D1761" s="2">
        <v>46053</v>
      </c>
      <c r="E1761">
        <v>21</v>
      </c>
      <c r="F1761" s="2">
        <v>46083</v>
      </c>
      <c r="G1761" s="6">
        <v>0.4</v>
      </c>
      <c r="H1761" s="6">
        <v>0.4</v>
      </c>
    </row>
    <row r="1762" spans="1:8" ht="14.4" hidden="1">
      <c r="A1762" t="s">
        <v>535</v>
      </c>
      <c r="B1762" t="s">
        <v>552</v>
      </c>
      <c r="C1762" t="s">
        <v>1042</v>
      </c>
      <c r="D1762" s="2">
        <v>46003</v>
      </c>
      <c r="E1762">
        <v>10</v>
      </c>
      <c r="F1762" s="2">
        <v>46052</v>
      </c>
      <c r="G1762" s="6">
        <v>1</v>
      </c>
      <c r="H1762" s="6">
        <v>1</v>
      </c>
    </row>
    <row r="1763" spans="1:8" ht="14.4" hidden="1">
      <c r="A1763" t="s">
        <v>535</v>
      </c>
      <c r="B1763" t="s">
        <v>554</v>
      </c>
      <c r="C1763" t="s">
        <v>598</v>
      </c>
      <c r="D1763" s="2">
        <v>46062</v>
      </c>
      <c r="E1763">
        <v>5</v>
      </c>
      <c r="F1763" s="2">
        <v>46069</v>
      </c>
      <c r="G1763" s="6">
        <v>0.25</v>
      </c>
      <c r="H1763" s="6">
        <v>0.42857142857142855</v>
      </c>
    </row>
    <row r="1764" spans="1:8" ht="14.4" hidden="1">
      <c r="A1764" t="s">
        <v>535</v>
      </c>
      <c r="B1764" t="s">
        <v>556</v>
      </c>
      <c r="C1764" t="s">
        <v>551</v>
      </c>
      <c r="D1764" s="2">
        <v>46069</v>
      </c>
      <c r="E1764">
        <v>1</v>
      </c>
      <c r="F1764" s="2">
        <v>46070</v>
      </c>
      <c r="G1764" s="6">
        <v>0</v>
      </c>
      <c r="H1764" s="6">
        <v>0</v>
      </c>
    </row>
    <row r="1765" spans="1:8" ht="14.4" hidden="1">
      <c r="A1765" t="s">
        <v>535</v>
      </c>
      <c r="B1765" t="s">
        <v>606</v>
      </c>
      <c r="C1765" t="s">
        <v>555</v>
      </c>
      <c r="D1765" s="2">
        <v>46069</v>
      </c>
      <c r="E1765">
        <v>1</v>
      </c>
      <c r="F1765" s="2">
        <v>46070</v>
      </c>
      <c r="G1765" s="6">
        <v>0</v>
      </c>
      <c r="H1765" s="6">
        <v>0</v>
      </c>
    </row>
    <row r="1766" spans="1:8" ht="14.4" hidden="1">
      <c r="A1766" t="s">
        <v>535</v>
      </c>
      <c r="B1766" t="s">
        <v>608</v>
      </c>
      <c r="C1766" t="s">
        <v>557</v>
      </c>
      <c r="D1766" s="2">
        <v>46069</v>
      </c>
      <c r="E1766">
        <v>1</v>
      </c>
      <c r="F1766" s="2">
        <v>46070</v>
      </c>
      <c r="G1766" s="6">
        <v>0</v>
      </c>
      <c r="H1766" s="6">
        <v>0</v>
      </c>
    </row>
    <row r="1767" spans="1:8" ht="14.4" hidden="1">
      <c r="A1767" t="s">
        <v>535</v>
      </c>
      <c r="B1767">
        <v>2</v>
      </c>
      <c r="C1767" t="s">
        <v>558</v>
      </c>
      <c r="D1767" s="2">
        <v>46076</v>
      </c>
      <c r="E1767">
        <v>1</v>
      </c>
      <c r="F1767" s="2">
        <v>46077</v>
      </c>
      <c r="G1767" s="6">
        <v>0</v>
      </c>
      <c r="H1767" s="6">
        <v>0</v>
      </c>
    </row>
    <row r="1768" spans="1:8" ht="14.4" hidden="1">
      <c r="A1768" t="s">
        <v>535</v>
      </c>
      <c r="B1768" t="s">
        <v>559</v>
      </c>
      <c r="C1768" t="s">
        <v>560</v>
      </c>
      <c r="D1768" s="2">
        <v>46076</v>
      </c>
      <c r="E1768">
        <v>1</v>
      </c>
      <c r="F1768" s="2">
        <v>46077</v>
      </c>
      <c r="G1768" s="6">
        <v>0</v>
      </c>
      <c r="H1768" s="6">
        <v>0</v>
      </c>
    </row>
    <row r="1769" spans="1:8" ht="14.4" hidden="1">
      <c r="A1769" t="s">
        <v>535</v>
      </c>
      <c r="B1769">
        <v>3</v>
      </c>
      <c r="C1769" t="s">
        <v>561</v>
      </c>
      <c r="D1769" s="2">
        <v>46039</v>
      </c>
      <c r="E1769">
        <v>45</v>
      </c>
      <c r="F1769" s="2">
        <v>46084</v>
      </c>
      <c r="G1769" s="6">
        <v>0.62333333333333329</v>
      </c>
      <c r="H1769" s="6">
        <v>0.62333333333333329</v>
      </c>
    </row>
    <row r="1770" spans="1:8" ht="14.4" hidden="1">
      <c r="A1770" t="s">
        <v>535</v>
      </c>
      <c r="B1770" t="s">
        <v>562</v>
      </c>
      <c r="C1770" t="s">
        <v>563</v>
      </c>
      <c r="D1770" s="2">
        <v>46076</v>
      </c>
      <c r="E1770">
        <v>1</v>
      </c>
      <c r="F1770" s="2">
        <v>46077</v>
      </c>
      <c r="G1770" s="6">
        <v>0</v>
      </c>
      <c r="H1770" s="6">
        <v>0</v>
      </c>
    </row>
    <row r="1771" spans="1:8" ht="14.4" hidden="1">
      <c r="A1771" t="s">
        <v>535</v>
      </c>
      <c r="B1771" t="s">
        <v>564</v>
      </c>
      <c r="C1771" t="s">
        <v>565</v>
      </c>
      <c r="D1771" s="2">
        <v>46077</v>
      </c>
      <c r="E1771">
        <v>1</v>
      </c>
      <c r="F1771" s="2">
        <v>46078</v>
      </c>
      <c r="G1771" s="6">
        <v>0</v>
      </c>
      <c r="H1771" s="6">
        <v>0</v>
      </c>
    </row>
    <row r="1772" spans="1:8" ht="14.4" hidden="1">
      <c r="A1772" t="s">
        <v>535</v>
      </c>
      <c r="B1772" t="s">
        <v>566</v>
      </c>
      <c r="C1772" t="s">
        <v>567</v>
      </c>
      <c r="D1772" s="2">
        <v>46039</v>
      </c>
      <c r="E1772">
        <v>22</v>
      </c>
      <c r="F1772" s="2">
        <v>46070</v>
      </c>
      <c r="G1772" s="6">
        <v>0.85</v>
      </c>
      <c r="H1772" s="6">
        <v>0.83870967741935487</v>
      </c>
    </row>
    <row r="1773" spans="1:8" ht="14.4" hidden="1">
      <c r="A1773" t="s">
        <v>535</v>
      </c>
      <c r="B1773" t="s">
        <v>568</v>
      </c>
      <c r="C1773" t="s">
        <v>569</v>
      </c>
      <c r="D1773" s="2">
        <v>46077</v>
      </c>
      <c r="E1773">
        <v>5</v>
      </c>
      <c r="F1773" s="2">
        <v>46084</v>
      </c>
      <c r="G1773" s="6">
        <v>0</v>
      </c>
      <c r="H1773" s="6">
        <v>0</v>
      </c>
    </row>
    <row r="1774" spans="1:8" ht="14.4" hidden="1">
      <c r="A1774" t="s">
        <v>535</v>
      </c>
      <c r="B1774" t="s">
        <v>570</v>
      </c>
      <c r="C1774" t="s">
        <v>571</v>
      </c>
      <c r="D1774" s="2">
        <v>46077</v>
      </c>
      <c r="E1774">
        <v>1</v>
      </c>
      <c r="F1774" s="2">
        <v>46078</v>
      </c>
      <c r="G1774" s="6">
        <v>0</v>
      </c>
      <c r="H1774" s="6">
        <v>0</v>
      </c>
    </row>
    <row r="1775" spans="1:8" ht="14.4" hidden="1">
      <c r="A1775" t="s">
        <v>535</v>
      </c>
      <c r="B1775">
        <v>4</v>
      </c>
      <c r="C1775" t="s">
        <v>572</v>
      </c>
      <c r="D1775" s="2">
        <v>46076</v>
      </c>
      <c r="E1775">
        <v>24</v>
      </c>
      <c r="F1775" s="2">
        <v>46100</v>
      </c>
      <c r="G1775" s="6">
        <v>0</v>
      </c>
      <c r="H1775" s="6">
        <v>0</v>
      </c>
    </row>
    <row r="1776" spans="1:8" ht="14.4" hidden="1">
      <c r="A1776" t="s">
        <v>535</v>
      </c>
      <c r="B1776" t="s">
        <v>573</v>
      </c>
      <c r="C1776" t="s">
        <v>574</v>
      </c>
      <c r="D1776" s="2">
        <v>46076</v>
      </c>
      <c r="E1776">
        <v>1</v>
      </c>
      <c r="F1776" s="2">
        <v>46077</v>
      </c>
      <c r="G1776" s="6">
        <v>0</v>
      </c>
      <c r="H1776" s="6">
        <v>0</v>
      </c>
    </row>
    <row r="1777" spans="1:8" ht="14.4" hidden="1">
      <c r="A1777" t="s">
        <v>535</v>
      </c>
      <c r="B1777" t="s">
        <v>575</v>
      </c>
      <c r="C1777" t="s">
        <v>576</v>
      </c>
      <c r="D1777" s="2">
        <v>46090</v>
      </c>
      <c r="E1777">
        <v>2</v>
      </c>
      <c r="F1777" s="2">
        <v>46092</v>
      </c>
      <c r="G1777" s="6">
        <v>0</v>
      </c>
      <c r="H1777" s="6">
        <v>0</v>
      </c>
    </row>
    <row r="1778" spans="1:8" ht="14.4" hidden="1">
      <c r="A1778" t="s">
        <v>535</v>
      </c>
      <c r="B1778" t="s">
        <v>577</v>
      </c>
      <c r="C1778" t="s">
        <v>578</v>
      </c>
      <c r="D1778" s="2">
        <v>46076</v>
      </c>
      <c r="E1778">
        <v>1</v>
      </c>
      <c r="F1778" s="2">
        <v>46077</v>
      </c>
      <c r="G1778" s="6">
        <v>0</v>
      </c>
      <c r="H1778" s="6">
        <v>0</v>
      </c>
    </row>
    <row r="1779" spans="1:8" ht="14.4" hidden="1">
      <c r="A1779" t="s">
        <v>535</v>
      </c>
      <c r="B1779" t="s">
        <v>579</v>
      </c>
      <c r="C1779" t="s">
        <v>580</v>
      </c>
      <c r="D1779" s="2">
        <v>46095</v>
      </c>
      <c r="E1779">
        <v>4</v>
      </c>
      <c r="F1779" s="2">
        <v>46100</v>
      </c>
      <c r="G1779" s="6">
        <v>0</v>
      </c>
      <c r="H1779" s="6">
        <v>0</v>
      </c>
    </row>
    <row r="1780" spans="1:8" ht="14.4" hidden="1">
      <c r="A1780" t="s">
        <v>535</v>
      </c>
      <c r="B1780">
        <v>5</v>
      </c>
      <c r="C1780" t="s">
        <v>581</v>
      </c>
      <c r="D1780" s="2">
        <v>46076</v>
      </c>
      <c r="E1780">
        <v>22</v>
      </c>
      <c r="F1780" s="2">
        <v>46098</v>
      </c>
      <c r="G1780" s="6">
        <v>0</v>
      </c>
      <c r="H1780" s="6">
        <v>0</v>
      </c>
    </row>
    <row r="1781" spans="1:8" ht="14.4" hidden="1">
      <c r="A1781" t="s">
        <v>535</v>
      </c>
      <c r="B1781" t="s">
        <v>582</v>
      </c>
      <c r="C1781" t="s">
        <v>583</v>
      </c>
      <c r="D1781" s="2">
        <v>46076</v>
      </c>
      <c r="E1781">
        <v>1</v>
      </c>
      <c r="F1781" s="2">
        <v>46077</v>
      </c>
      <c r="G1781" s="6">
        <v>0</v>
      </c>
      <c r="H1781" s="6">
        <v>0</v>
      </c>
    </row>
    <row r="1782" spans="1:8" ht="14.4" hidden="1">
      <c r="A1782" t="s">
        <v>535</v>
      </c>
      <c r="B1782" t="s">
        <v>584</v>
      </c>
      <c r="C1782" t="s">
        <v>585</v>
      </c>
      <c r="D1782" s="2">
        <v>46092</v>
      </c>
      <c r="E1782">
        <v>4</v>
      </c>
      <c r="F1782" s="2">
        <v>46098</v>
      </c>
      <c r="G1782" s="6">
        <v>0</v>
      </c>
      <c r="H1782" s="6">
        <v>0</v>
      </c>
    </row>
    <row r="1783" spans="1:8" ht="14.4" hidden="1">
      <c r="A1783" t="s">
        <v>535</v>
      </c>
      <c r="B1783">
        <v>6</v>
      </c>
      <c r="C1783" t="s">
        <v>240</v>
      </c>
      <c r="D1783" s="2">
        <v>46100</v>
      </c>
      <c r="E1783">
        <v>11</v>
      </c>
      <c r="F1783" s="2">
        <v>46111</v>
      </c>
      <c r="G1783" s="6">
        <v>0</v>
      </c>
      <c r="H1783" s="6">
        <v>0</v>
      </c>
    </row>
    <row r="1784" spans="1:8" ht="14.4" hidden="1">
      <c r="A1784" t="s">
        <v>535</v>
      </c>
      <c r="B1784" t="s">
        <v>586</v>
      </c>
      <c r="C1784" t="s">
        <v>240</v>
      </c>
      <c r="D1784" s="2">
        <v>46100</v>
      </c>
      <c r="E1784">
        <v>1</v>
      </c>
      <c r="F1784" s="2">
        <v>46101</v>
      </c>
      <c r="G1784" s="6">
        <v>0</v>
      </c>
      <c r="H1784" s="6">
        <v>0</v>
      </c>
    </row>
    <row r="1785" spans="1:8" ht="14.4" hidden="1">
      <c r="A1785" t="s">
        <v>535</v>
      </c>
      <c r="B1785" t="s">
        <v>587</v>
      </c>
      <c r="C1785" t="s">
        <v>169</v>
      </c>
      <c r="D1785" s="2">
        <v>46101</v>
      </c>
      <c r="E1785">
        <v>1</v>
      </c>
      <c r="F1785" s="2">
        <v>46104</v>
      </c>
      <c r="G1785" s="6">
        <v>0</v>
      </c>
      <c r="H1785" s="6">
        <v>0</v>
      </c>
    </row>
    <row r="1786" spans="1:8" ht="14.4" hidden="1">
      <c r="A1786" t="s">
        <v>535</v>
      </c>
      <c r="B1786" t="s">
        <v>599</v>
      </c>
      <c r="C1786" t="s">
        <v>593</v>
      </c>
      <c r="D1786" s="2">
        <v>46104</v>
      </c>
      <c r="E1786">
        <v>5</v>
      </c>
      <c r="F1786" s="2">
        <v>46111</v>
      </c>
      <c r="G1786" s="6">
        <v>0</v>
      </c>
      <c r="H1786" s="6">
        <v>0</v>
      </c>
    </row>
    <row r="1787" spans="1:8" ht="14.4" hidden="1">
      <c r="A1787" t="s">
        <v>535</v>
      </c>
      <c r="B1787">
        <v>7</v>
      </c>
      <c r="C1787" t="s">
        <v>588</v>
      </c>
      <c r="D1787" s="2">
        <v>46104</v>
      </c>
      <c r="E1787">
        <v>8</v>
      </c>
      <c r="F1787" s="2">
        <v>46112</v>
      </c>
      <c r="G1787" s="6">
        <v>0</v>
      </c>
      <c r="H1787" s="6">
        <v>0</v>
      </c>
    </row>
    <row r="1788" spans="1:8" ht="14.4" hidden="1">
      <c r="A1788" t="s">
        <v>535</v>
      </c>
      <c r="B1788" t="s">
        <v>600</v>
      </c>
      <c r="C1788" t="s">
        <v>589</v>
      </c>
      <c r="D1788" s="2">
        <v>46104</v>
      </c>
      <c r="E1788">
        <v>3</v>
      </c>
      <c r="F1788" s="2">
        <v>46107</v>
      </c>
      <c r="G1788" s="6">
        <v>0</v>
      </c>
      <c r="H1788" s="6">
        <v>0</v>
      </c>
    </row>
    <row r="1789" spans="1:8" ht="14.4" hidden="1">
      <c r="A1789" t="s">
        <v>535</v>
      </c>
      <c r="B1789" t="s">
        <v>601</v>
      </c>
      <c r="C1789" t="s">
        <v>592</v>
      </c>
      <c r="D1789" s="2">
        <v>46107</v>
      </c>
      <c r="E1789">
        <v>3</v>
      </c>
      <c r="F1789" s="2">
        <v>46112</v>
      </c>
      <c r="G1789" s="6">
        <v>0</v>
      </c>
      <c r="H1789" s="6">
        <v>0</v>
      </c>
    </row>
    <row r="1790" spans="1:8" ht="14.4" hidden="1">
      <c r="A1790" t="s">
        <v>535</v>
      </c>
      <c r="B1790">
        <v>8</v>
      </c>
      <c r="C1790" t="s">
        <v>590</v>
      </c>
      <c r="D1790" s="2">
        <v>46104</v>
      </c>
      <c r="E1790">
        <v>18</v>
      </c>
      <c r="F1790" s="2">
        <v>46122</v>
      </c>
      <c r="G1790" s="6">
        <v>0</v>
      </c>
      <c r="H1790" s="6">
        <v>0</v>
      </c>
    </row>
    <row r="1791" spans="1:8" ht="14.4" hidden="1">
      <c r="A1791" t="s">
        <v>535</v>
      </c>
      <c r="B1791" t="s">
        <v>602</v>
      </c>
      <c r="C1791" t="s">
        <v>594</v>
      </c>
      <c r="D1791" s="2">
        <v>46104</v>
      </c>
      <c r="E1791">
        <v>7</v>
      </c>
      <c r="F1791" s="2">
        <v>46113</v>
      </c>
      <c r="G1791" s="6">
        <v>0</v>
      </c>
      <c r="H1791" s="6">
        <v>0</v>
      </c>
    </row>
    <row r="1792" spans="1:8" ht="14.4" hidden="1">
      <c r="A1792" t="s">
        <v>535</v>
      </c>
      <c r="B1792" t="s">
        <v>603</v>
      </c>
      <c r="C1792" t="s">
        <v>595</v>
      </c>
      <c r="D1792" s="2">
        <v>46113</v>
      </c>
      <c r="E1792">
        <v>1</v>
      </c>
      <c r="F1792" s="2">
        <v>46114</v>
      </c>
      <c r="G1792" s="6">
        <v>0</v>
      </c>
      <c r="H1792" s="6">
        <v>0</v>
      </c>
    </row>
    <row r="1793" spans="1:8" ht="14.4" hidden="1">
      <c r="A1793" t="s">
        <v>535</v>
      </c>
      <c r="B1793" t="s">
        <v>604</v>
      </c>
      <c r="C1793" t="s">
        <v>596</v>
      </c>
      <c r="D1793" s="2">
        <v>46113</v>
      </c>
      <c r="E1793">
        <v>5</v>
      </c>
      <c r="F1793" s="2">
        <v>46122</v>
      </c>
      <c r="G1793" s="6">
        <v>0</v>
      </c>
      <c r="H1793" s="6">
        <v>0</v>
      </c>
    </row>
    <row r="1794" spans="1:8" ht="14.4" hidden="1">
      <c r="A1794" t="s">
        <v>238</v>
      </c>
      <c r="B1794">
        <v>1</v>
      </c>
      <c r="C1794" t="s">
        <v>547</v>
      </c>
      <c r="D1794" s="2">
        <v>45986</v>
      </c>
      <c r="E1794">
        <v>64</v>
      </c>
      <c r="F1794" s="2">
        <v>46050</v>
      </c>
      <c r="G1794" s="6">
        <v>1</v>
      </c>
      <c r="H1794" s="6">
        <v>1</v>
      </c>
    </row>
    <row r="1795" spans="1:8" ht="14.4" hidden="1">
      <c r="A1795" t="s">
        <v>238</v>
      </c>
      <c r="B1795" t="s">
        <v>548</v>
      </c>
      <c r="C1795" t="s">
        <v>597</v>
      </c>
      <c r="D1795" s="2">
        <v>45986</v>
      </c>
      <c r="E1795">
        <v>1</v>
      </c>
      <c r="F1795" s="2">
        <v>45987</v>
      </c>
      <c r="G1795" s="6">
        <v>1</v>
      </c>
      <c r="H1795" s="6">
        <v>1</v>
      </c>
    </row>
    <row r="1796" spans="1:8" ht="14.4" hidden="1">
      <c r="A1796" t="s">
        <v>238</v>
      </c>
      <c r="B1796" t="s">
        <v>550</v>
      </c>
      <c r="C1796" t="s">
        <v>598</v>
      </c>
      <c r="D1796" s="2">
        <v>45994</v>
      </c>
      <c r="E1796">
        <v>15</v>
      </c>
      <c r="F1796" s="2">
        <v>46050</v>
      </c>
      <c r="G1796" s="6">
        <v>1</v>
      </c>
      <c r="H1796" s="6">
        <v>1</v>
      </c>
    </row>
    <row r="1797" spans="1:8" ht="14.4" hidden="1">
      <c r="A1797" t="s">
        <v>238</v>
      </c>
      <c r="B1797" t="s">
        <v>552</v>
      </c>
      <c r="C1797" t="s">
        <v>551</v>
      </c>
      <c r="D1797" s="2">
        <v>46008</v>
      </c>
      <c r="E1797">
        <v>1</v>
      </c>
      <c r="F1797" s="2">
        <v>46041</v>
      </c>
      <c r="G1797" s="6">
        <v>1</v>
      </c>
      <c r="H1797" s="6">
        <v>1</v>
      </c>
    </row>
    <row r="1798" spans="1:8" ht="14.4" hidden="1">
      <c r="A1798" t="s">
        <v>238</v>
      </c>
      <c r="B1798" t="s">
        <v>554</v>
      </c>
      <c r="C1798" t="s">
        <v>555</v>
      </c>
      <c r="D1798" s="2">
        <v>46008</v>
      </c>
      <c r="E1798">
        <v>1</v>
      </c>
      <c r="F1798" s="2">
        <v>46041</v>
      </c>
      <c r="G1798" s="6">
        <v>1</v>
      </c>
      <c r="H1798" s="6">
        <v>1</v>
      </c>
    </row>
    <row r="1799" spans="1:8" ht="14.4" hidden="1">
      <c r="A1799" t="s">
        <v>238</v>
      </c>
      <c r="B1799" t="s">
        <v>556</v>
      </c>
      <c r="C1799" t="s">
        <v>557</v>
      </c>
      <c r="D1799" s="2">
        <v>46004</v>
      </c>
      <c r="E1799">
        <v>1</v>
      </c>
      <c r="F1799" s="2">
        <v>46041</v>
      </c>
      <c r="G1799" s="6">
        <v>1</v>
      </c>
      <c r="H1799" s="6">
        <v>1</v>
      </c>
    </row>
    <row r="1800" spans="1:8" ht="14.4" hidden="1">
      <c r="A1800" t="s">
        <v>238</v>
      </c>
      <c r="B1800">
        <v>2</v>
      </c>
      <c r="C1800" t="s">
        <v>558</v>
      </c>
      <c r="D1800" s="2">
        <v>46048</v>
      </c>
      <c r="E1800">
        <v>1</v>
      </c>
      <c r="F1800" s="2">
        <v>46049</v>
      </c>
      <c r="G1800" s="6">
        <v>1</v>
      </c>
      <c r="H1800" s="6">
        <v>1</v>
      </c>
    </row>
    <row r="1801" spans="1:8" ht="14.4" hidden="1">
      <c r="A1801" t="s">
        <v>238</v>
      </c>
      <c r="B1801" t="s">
        <v>559</v>
      </c>
      <c r="C1801" t="s">
        <v>560</v>
      </c>
      <c r="D1801" s="2">
        <v>46048</v>
      </c>
      <c r="E1801">
        <v>1</v>
      </c>
      <c r="F1801" s="2">
        <v>46049</v>
      </c>
      <c r="G1801" s="6">
        <v>1</v>
      </c>
      <c r="H1801" s="6">
        <v>1</v>
      </c>
    </row>
    <row r="1802" spans="1:8" ht="14.4" hidden="1">
      <c r="A1802" t="s">
        <v>238</v>
      </c>
      <c r="B1802">
        <v>3</v>
      </c>
      <c r="C1802" t="s">
        <v>561</v>
      </c>
      <c r="D1802" s="2">
        <v>45994</v>
      </c>
      <c r="E1802">
        <v>58</v>
      </c>
      <c r="F1802" s="2">
        <v>46052</v>
      </c>
      <c r="G1802" s="6">
        <v>1</v>
      </c>
      <c r="H1802" s="6">
        <v>1</v>
      </c>
    </row>
    <row r="1803" spans="1:8" ht="14.4" hidden="1">
      <c r="A1803" t="s">
        <v>238</v>
      </c>
      <c r="B1803" t="s">
        <v>562</v>
      </c>
      <c r="C1803" t="s">
        <v>563</v>
      </c>
      <c r="D1803" s="2">
        <v>46001</v>
      </c>
      <c r="E1803">
        <v>1</v>
      </c>
      <c r="F1803" s="2">
        <v>46002</v>
      </c>
      <c r="G1803" s="6">
        <v>1</v>
      </c>
      <c r="H1803" s="6">
        <v>1</v>
      </c>
    </row>
    <row r="1804" spans="1:8" ht="14.4" hidden="1">
      <c r="A1804" t="s">
        <v>238</v>
      </c>
      <c r="B1804" t="s">
        <v>564</v>
      </c>
      <c r="C1804" t="s">
        <v>565</v>
      </c>
      <c r="D1804" s="2">
        <v>46050</v>
      </c>
      <c r="E1804">
        <v>1</v>
      </c>
      <c r="F1804" s="2">
        <v>46051</v>
      </c>
      <c r="G1804" s="6">
        <v>1</v>
      </c>
      <c r="H1804" s="6">
        <v>1</v>
      </c>
    </row>
    <row r="1805" spans="1:8" ht="14.4" hidden="1">
      <c r="A1805" t="s">
        <v>238</v>
      </c>
      <c r="B1805" t="s">
        <v>566</v>
      </c>
      <c r="C1805" t="s">
        <v>567</v>
      </c>
      <c r="D1805" s="2">
        <v>45994</v>
      </c>
      <c r="E1805">
        <v>15</v>
      </c>
      <c r="F1805" s="2">
        <v>46050</v>
      </c>
      <c r="G1805" s="6">
        <v>1</v>
      </c>
      <c r="H1805" s="6">
        <v>1</v>
      </c>
    </row>
    <row r="1806" spans="1:8" ht="14.4" hidden="1">
      <c r="A1806" t="s">
        <v>238</v>
      </c>
      <c r="B1806" t="s">
        <v>568</v>
      </c>
      <c r="C1806" t="s">
        <v>569</v>
      </c>
      <c r="D1806" s="2">
        <v>46041</v>
      </c>
      <c r="E1806">
        <v>4</v>
      </c>
      <c r="F1806" s="2">
        <v>46045</v>
      </c>
      <c r="G1806" s="6">
        <v>1</v>
      </c>
      <c r="H1806" s="6">
        <v>1</v>
      </c>
    </row>
    <row r="1807" spans="1:8" ht="14.4" hidden="1">
      <c r="A1807" t="s">
        <v>238</v>
      </c>
      <c r="B1807" t="s">
        <v>570</v>
      </c>
      <c r="C1807" t="s">
        <v>571</v>
      </c>
      <c r="D1807" s="2">
        <v>46051</v>
      </c>
      <c r="E1807">
        <v>1</v>
      </c>
      <c r="F1807" s="2">
        <v>46052</v>
      </c>
      <c r="G1807" s="6">
        <v>1</v>
      </c>
      <c r="H1807" s="6">
        <v>1</v>
      </c>
    </row>
    <row r="1808" spans="1:8" ht="14.4" hidden="1">
      <c r="A1808" t="s">
        <v>238</v>
      </c>
      <c r="B1808">
        <v>4</v>
      </c>
      <c r="C1808" t="s">
        <v>572</v>
      </c>
      <c r="D1808" s="2">
        <v>46001</v>
      </c>
      <c r="E1808">
        <v>47</v>
      </c>
      <c r="F1808" s="2">
        <v>46048</v>
      </c>
      <c r="G1808" s="6">
        <v>1</v>
      </c>
      <c r="H1808" s="6">
        <v>1</v>
      </c>
    </row>
    <row r="1809" spans="1:8" ht="14.4" hidden="1">
      <c r="A1809" t="s">
        <v>238</v>
      </c>
      <c r="B1809" t="s">
        <v>573</v>
      </c>
      <c r="C1809" t="s">
        <v>574</v>
      </c>
      <c r="D1809" s="2">
        <v>46001</v>
      </c>
      <c r="E1809">
        <v>1</v>
      </c>
      <c r="F1809" s="2">
        <v>46002</v>
      </c>
      <c r="G1809" s="6">
        <v>1</v>
      </c>
      <c r="H1809" s="6">
        <v>1</v>
      </c>
    </row>
    <row r="1810" spans="1:8" ht="14.4" hidden="1">
      <c r="A1810" t="s">
        <v>238</v>
      </c>
      <c r="B1810" t="s">
        <v>575</v>
      </c>
      <c r="C1810" t="s">
        <v>576</v>
      </c>
      <c r="D1810" s="2">
        <v>46002</v>
      </c>
      <c r="E1810">
        <v>2</v>
      </c>
      <c r="F1810" s="2">
        <v>46004</v>
      </c>
      <c r="G1810" s="6">
        <v>1</v>
      </c>
      <c r="H1810" s="6">
        <v>1</v>
      </c>
    </row>
    <row r="1811" spans="1:8" ht="14.4" hidden="1">
      <c r="A1811" t="s">
        <v>238</v>
      </c>
      <c r="B1811" t="s">
        <v>577</v>
      </c>
      <c r="C1811" t="s">
        <v>578</v>
      </c>
      <c r="D1811" s="2">
        <v>46001</v>
      </c>
      <c r="E1811">
        <v>1</v>
      </c>
      <c r="F1811" s="2">
        <v>46002</v>
      </c>
      <c r="G1811" s="6">
        <v>1</v>
      </c>
      <c r="H1811" s="6">
        <v>1</v>
      </c>
    </row>
    <row r="1812" spans="1:8" ht="14.4" hidden="1">
      <c r="A1812" t="s">
        <v>238</v>
      </c>
      <c r="B1812" t="s">
        <v>579</v>
      </c>
      <c r="C1812" t="s">
        <v>580</v>
      </c>
      <c r="D1812" s="2">
        <v>46042</v>
      </c>
      <c r="E1812">
        <v>4</v>
      </c>
      <c r="F1812" s="2">
        <v>46048</v>
      </c>
      <c r="G1812" s="6">
        <v>1</v>
      </c>
      <c r="H1812" s="6">
        <v>1</v>
      </c>
    </row>
    <row r="1813" spans="1:8" ht="14.4" hidden="1">
      <c r="A1813" t="s">
        <v>238</v>
      </c>
      <c r="B1813">
        <v>5</v>
      </c>
      <c r="C1813" t="s">
        <v>581</v>
      </c>
      <c r="D1813" s="2">
        <v>46001</v>
      </c>
      <c r="E1813">
        <v>50</v>
      </c>
      <c r="F1813" s="2">
        <v>46051</v>
      </c>
      <c r="G1813" s="6">
        <v>1</v>
      </c>
      <c r="H1813" s="6">
        <v>1</v>
      </c>
    </row>
    <row r="1814" spans="1:8" ht="14.4" hidden="1">
      <c r="A1814" t="s">
        <v>238</v>
      </c>
      <c r="B1814" t="s">
        <v>582</v>
      </c>
      <c r="C1814" t="s">
        <v>583</v>
      </c>
      <c r="D1814" s="2">
        <v>46001</v>
      </c>
      <c r="E1814">
        <v>1</v>
      </c>
      <c r="F1814" s="2">
        <v>46002</v>
      </c>
      <c r="G1814" s="6">
        <v>1</v>
      </c>
      <c r="H1814" s="6">
        <v>1</v>
      </c>
    </row>
    <row r="1815" spans="1:8" ht="14.4" hidden="1">
      <c r="A1815" t="s">
        <v>238</v>
      </c>
      <c r="B1815" t="s">
        <v>584</v>
      </c>
      <c r="C1815" t="s">
        <v>585</v>
      </c>
      <c r="D1815" s="2">
        <v>46004</v>
      </c>
      <c r="E1815">
        <v>9</v>
      </c>
      <c r="F1815" s="2">
        <v>46051</v>
      </c>
      <c r="G1815" s="6">
        <v>1</v>
      </c>
      <c r="H1815" s="6">
        <v>1</v>
      </c>
    </row>
    <row r="1816" spans="1:8" ht="14.4" hidden="1">
      <c r="A1816" t="s">
        <v>238</v>
      </c>
      <c r="B1816">
        <v>6</v>
      </c>
      <c r="C1816" t="s">
        <v>240</v>
      </c>
      <c r="D1816" s="2">
        <v>46051</v>
      </c>
      <c r="E1816">
        <v>8</v>
      </c>
      <c r="F1816" s="2">
        <v>46059</v>
      </c>
      <c r="G1816" s="6">
        <v>0.59285714285714286</v>
      </c>
      <c r="H1816" s="6">
        <v>1</v>
      </c>
    </row>
    <row r="1817" spans="1:8" ht="14.4" hidden="1">
      <c r="A1817" t="s">
        <v>238</v>
      </c>
      <c r="B1817" t="s">
        <v>586</v>
      </c>
      <c r="C1817" t="s">
        <v>240</v>
      </c>
      <c r="D1817" s="2">
        <v>46051</v>
      </c>
      <c r="E1817">
        <v>1</v>
      </c>
      <c r="F1817" s="2">
        <v>46052</v>
      </c>
      <c r="G1817" s="6">
        <v>1</v>
      </c>
      <c r="H1817" s="6">
        <v>1</v>
      </c>
    </row>
    <row r="1818" spans="1:8" ht="14.4" hidden="1">
      <c r="A1818" t="s">
        <v>238</v>
      </c>
      <c r="B1818" t="s">
        <v>587</v>
      </c>
      <c r="C1818" t="s">
        <v>169</v>
      </c>
      <c r="D1818" s="2">
        <v>46051</v>
      </c>
      <c r="E1818">
        <v>1</v>
      </c>
      <c r="F1818" s="2">
        <v>46052</v>
      </c>
      <c r="G1818" s="6">
        <v>1</v>
      </c>
      <c r="H1818" s="6">
        <v>1</v>
      </c>
    </row>
    <row r="1819" spans="1:8" ht="14.4" hidden="1">
      <c r="A1819" t="s">
        <v>238</v>
      </c>
      <c r="B1819" t="s">
        <v>599</v>
      </c>
      <c r="C1819" t="s">
        <v>593</v>
      </c>
      <c r="D1819" s="2">
        <v>46052</v>
      </c>
      <c r="E1819">
        <v>5</v>
      </c>
      <c r="F1819" s="2">
        <v>46059</v>
      </c>
      <c r="G1819" s="6">
        <v>0.43</v>
      </c>
      <c r="H1819" s="6">
        <v>1</v>
      </c>
    </row>
    <row r="1820" spans="1:8" ht="14.4" hidden="1">
      <c r="A1820" t="s">
        <v>238</v>
      </c>
      <c r="B1820">
        <v>7</v>
      </c>
      <c r="C1820" t="s">
        <v>588</v>
      </c>
      <c r="D1820" s="2">
        <v>46058</v>
      </c>
      <c r="E1820">
        <v>8</v>
      </c>
      <c r="F1820" s="2">
        <v>46066</v>
      </c>
      <c r="G1820" s="6">
        <v>0</v>
      </c>
      <c r="H1820" s="6">
        <v>1</v>
      </c>
    </row>
    <row r="1821" spans="1:8" ht="14.4" hidden="1">
      <c r="A1821" t="s">
        <v>238</v>
      </c>
      <c r="B1821" t="s">
        <v>600</v>
      </c>
      <c r="C1821" t="s">
        <v>589</v>
      </c>
      <c r="D1821" s="2">
        <v>46058</v>
      </c>
      <c r="E1821">
        <v>3</v>
      </c>
      <c r="F1821" s="2">
        <v>46063</v>
      </c>
      <c r="G1821" s="6">
        <v>0</v>
      </c>
      <c r="H1821" s="6">
        <v>1</v>
      </c>
    </row>
    <row r="1822" spans="1:8" ht="14.4" hidden="1">
      <c r="A1822" t="s">
        <v>238</v>
      </c>
      <c r="B1822" t="s">
        <v>601</v>
      </c>
      <c r="C1822" t="s">
        <v>592</v>
      </c>
      <c r="D1822" s="2">
        <v>46063</v>
      </c>
      <c r="E1822">
        <v>3</v>
      </c>
      <c r="F1822" s="2">
        <v>46066</v>
      </c>
      <c r="G1822" s="6">
        <v>0</v>
      </c>
      <c r="H1822" s="6">
        <v>0.66666666666666663</v>
      </c>
    </row>
    <row r="1823" spans="1:8" ht="14.4" hidden="1">
      <c r="A1823" t="s">
        <v>238</v>
      </c>
      <c r="B1823">
        <v>8</v>
      </c>
      <c r="C1823" t="s">
        <v>590</v>
      </c>
      <c r="D1823" s="2">
        <v>46063</v>
      </c>
      <c r="E1823">
        <v>16</v>
      </c>
      <c r="F1823" s="2">
        <v>46079</v>
      </c>
      <c r="G1823" s="6">
        <v>0</v>
      </c>
      <c r="H1823" s="6">
        <v>0.3776892241963497</v>
      </c>
    </row>
    <row r="1824" spans="1:8" ht="14.4" hidden="1">
      <c r="A1824" t="s">
        <v>238</v>
      </c>
      <c r="B1824" t="s">
        <v>602</v>
      </c>
      <c r="C1824" t="s">
        <v>594</v>
      </c>
      <c r="D1824" s="2">
        <v>46063</v>
      </c>
      <c r="E1824">
        <v>7</v>
      </c>
      <c r="F1824" s="2">
        <v>46072</v>
      </c>
      <c r="G1824" s="6">
        <v>0</v>
      </c>
      <c r="H1824" s="6">
        <v>0.22222222222222221</v>
      </c>
    </row>
    <row r="1825" spans="1:8" ht="14.4" hidden="1">
      <c r="A1825" t="s">
        <v>238</v>
      </c>
      <c r="B1825" t="s">
        <v>603</v>
      </c>
      <c r="C1825" t="s">
        <v>595</v>
      </c>
      <c r="D1825" s="2">
        <v>46072</v>
      </c>
      <c r="E1825">
        <v>1</v>
      </c>
      <c r="F1825" s="2">
        <v>46073</v>
      </c>
      <c r="G1825" s="6">
        <v>0</v>
      </c>
      <c r="H1825" s="6">
        <v>0</v>
      </c>
    </row>
    <row r="1826" spans="1:8" ht="14.4" hidden="1">
      <c r="A1826" t="s">
        <v>238</v>
      </c>
      <c r="B1826" t="s">
        <v>604</v>
      </c>
      <c r="C1826" t="s">
        <v>596</v>
      </c>
      <c r="D1826" s="2">
        <v>46072</v>
      </c>
      <c r="E1826">
        <v>5</v>
      </c>
      <c r="F1826" s="2">
        <v>46079</v>
      </c>
      <c r="G1826" s="6">
        <v>0</v>
      </c>
      <c r="H1826" s="6">
        <v>0</v>
      </c>
    </row>
    <row r="1827" spans="1:8" ht="14.4" hidden="1">
      <c r="A1827" t="s">
        <v>536</v>
      </c>
      <c r="B1827">
        <v>1</v>
      </c>
      <c r="C1827" t="s">
        <v>547</v>
      </c>
      <c r="D1827" s="2">
        <v>46036</v>
      </c>
      <c r="E1827">
        <v>69</v>
      </c>
      <c r="F1827" s="2">
        <v>46105</v>
      </c>
      <c r="G1827" s="6">
        <v>1.5625E-2</v>
      </c>
      <c r="H1827" s="6">
        <v>1.5625E-2</v>
      </c>
    </row>
    <row r="1828" spans="1:8" ht="14.4" hidden="1">
      <c r="A1828" t="s">
        <v>536</v>
      </c>
      <c r="B1828" t="s">
        <v>548</v>
      </c>
      <c r="C1828" t="s">
        <v>597</v>
      </c>
      <c r="D1828" s="2">
        <v>46036</v>
      </c>
      <c r="E1828">
        <v>1</v>
      </c>
      <c r="F1828" s="2">
        <v>46041</v>
      </c>
      <c r="G1828" s="6">
        <v>1</v>
      </c>
      <c r="H1828" s="6">
        <v>1</v>
      </c>
    </row>
    <row r="1829" spans="1:8" ht="14.4" hidden="1">
      <c r="A1829" t="s">
        <v>536</v>
      </c>
      <c r="B1829" t="s">
        <v>550</v>
      </c>
      <c r="C1829" t="s">
        <v>1043</v>
      </c>
      <c r="D1829" s="2">
        <v>46036</v>
      </c>
      <c r="E1829">
        <v>45</v>
      </c>
      <c r="F1829" s="2">
        <v>46101</v>
      </c>
      <c r="G1829" s="6">
        <v>0</v>
      </c>
      <c r="H1829" s="6">
        <v>0.44615384615384618</v>
      </c>
    </row>
    <row r="1830" spans="1:8" ht="14.4" hidden="1">
      <c r="A1830" t="s">
        <v>536</v>
      </c>
      <c r="B1830" t="s">
        <v>552</v>
      </c>
      <c r="C1830" t="s">
        <v>598</v>
      </c>
      <c r="D1830" s="2">
        <v>46086</v>
      </c>
      <c r="E1830">
        <v>10</v>
      </c>
      <c r="F1830" s="2">
        <v>46100</v>
      </c>
      <c r="G1830" s="6">
        <v>0</v>
      </c>
      <c r="H1830" s="6">
        <v>0</v>
      </c>
    </row>
    <row r="1831" spans="1:8" ht="14.4" hidden="1">
      <c r="A1831" t="s">
        <v>536</v>
      </c>
      <c r="B1831" t="s">
        <v>554</v>
      </c>
      <c r="C1831" t="s">
        <v>551</v>
      </c>
      <c r="D1831" s="2">
        <v>46100</v>
      </c>
      <c r="E1831">
        <v>2</v>
      </c>
      <c r="F1831" s="2">
        <v>46104</v>
      </c>
      <c r="G1831" s="6">
        <v>0</v>
      </c>
      <c r="H1831" s="6">
        <v>0</v>
      </c>
    </row>
    <row r="1832" spans="1:8" ht="14.4" hidden="1">
      <c r="A1832" t="s">
        <v>536</v>
      </c>
      <c r="B1832" t="s">
        <v>556</v>
      </c>
      <c r="C1832" t="s">
        <v>555</v>
      </c>
      <c r="D1832" s="2">
        <v>46100</v>
      </c>
      <c r="E1832">
        <v>3</v>
      </c>
      <c r="F1832" s="2">
        <v>46105</v>
      </c>
      <c r="G1832" s="6">
        <v>0</v>
      </c>
      <c r="H1832" s="6">
        <v>0</v>
      </c>
    </row>
    <row r="1833" spans="1:8" ht="14.4" hidden="1">
      <c r="A1833" t="s">
        <v>536</v>
      </c>
      <c r="B1833" t="s">
        <v>606</v>
      </c>
      <c r="C1833" t="s">
        <v>557</v>
      </c>
      <c r="D1833" s="2">
        <v>46096</v>
      </c>
      <c r="E1833">
        <v>3</v>
      </c>
      <c r="F1833" s="2">
        <v>46099</v>
      </c>
      <c r="G1833" s="6">
        <v>0</v>
      </c>
      <c r="H1833" s="6">
        <v>0</v>
      </c>
    </row>
    <row r="1834" spans="1:8" ht="14.4" hidden="1">
      <c r="A1834" t="s">
        <v>536</v>
      </c>
      <c r="B1834">
        <v>2</v>
      </c>
      <c r="C1834" t="s">
        <v>558</v>
      </c>
      <c r="D1834" s="2">
        <v>46105</v>
      </c>
      <c r="E1834">
        <v>1</v>
      </c>
      <c r="F1834" s="2">
        <v>46106</v>
      </c>
      <c r="G1834" s="6">
        <v>0</v>
      </c>
      <c r="H1834" s="6">
        <v>0</v>
      </c>
    </row>
    <row r="1835" spans="1:8" ht="14.4" hidden="1">
      <c r="A1835" t="s">
        <v>536</v>
      </c>
      <c r="B1835" t="s">
        <v>559</v>
      </c>
      <c r="C1835" t="s">
        <v>560</v>
      </c>
      <c r="D1835" s="2">
        <v>46105</v>
      </c>
      <c r="E1835">
        <v>1</v>
      </c>
      <c r="F1835" s="2">
        <v>46106</v>
      </c>
      <c r="G1835" s="6">
        <v>0</v>
      </c>
      <c r="H1835" s="6">
        <v>0</v>
      </c>
    </row>
    <row r="1836" spans="1:8" ht="14.4" hidden="1">
      <c r="A1836" t="s">
        <v>536</v>
      </c>
      <c r="B1836">
        <v>3</v>
      </c>
      <c r="C1836" t="s">
        <v>561</v>
      </c>
      <c r="D1836" s="2">
        <v>46086</v>
      </c>
      <c r="E1836">
        <v>43</v>
      </c>
      <c r="F1836" s="2">
        <v>46129</v>
      </c>
      <c r="G1836" s="6">
        <v>0</v>
      </c>
      <c r="H1836" s="6">
        <v>0</v>
      </c>
    </row>
    <row r="1837" spans="1:8" ht="14.4" hidden="1">
      <c r="A1837" t="s">
        <v>536</v>
      </c>
      <c r="B1837" t="s">
        <v>562</v>
      </c>
      <c r="C1837" t="s">
        <v>563</v>
      </c>
      <c r="D1837" s="2">
        <v>46106</v>
      </c>
      <c r="E1837">
        <v>1</v>
      </c>
      <c r="F1837" s="2">
        <v>46107</v>
      </c>
      <c r="G1837" s="6">
        <v>0</v>
      </c>
      <c r="H1837" s="6">
        <v>0</v>
      </c>
    </row>
    <row r="1838" spans="1:8" ht="14.4" hidden="1">
      <c r="A1838" t="s">
        <v>536</v>
      </c>
      <c r="B1838" t="s">
        <v>564</v>
      </c>
      <c r="C1838" t="s">
        <v>565</v>
      </c>
      <c r="D1838" s="2">
        <v>46107</v>
      </c>
      <c r="E1838">
        <v>1</v>
      </c>
      <c r="F1838" s="2">
        <v>46108</v>
      </c>
      <c r="G1838" s="6">
        <v>0</v>
      </c>
      <c r="H1838" s="6">
        <v>0</v>
      </c>
    </row>
    <row r="1839" spans="1:8" ht="14.4" hidden="1">
      <c r="A1839" t="s">
        <v>536</v>
      </c>
      <c r="B1839" t="s">
        <v>566</v>
      </c>
      <c r="C1839" t="s">
        <v>567</v>
      </c>
      <c r="D1839" s="2">
        <v>46086</v>
      </c>
      <c r="E1839">
        <v>25</v>
      </c>
      <c r="F1839" s="2">
        <v>46125</v>
      </c>
      <c r="G1839" s="6">
        <v>0</v>
      </c>
      <c r="H1839" s="6">
        <v>0</v>
      </c>
    </row>
    <row r="1840" spans="1:8" ht="14.4" hidden="1">
      <c r="A1840" t="s">
        <v>536</v>
      </c>
      <c r="B1840" t="s">
        <v>568</v>
      </c>
      <c r="C1840" t="s">
        <v>569</v>
      </c>
      <c r="D1840" s="2">
        <v>46106</v>
      </c>
      <c r="E1840">
        <v>15</v>
      </c>
      <c r="F1840" s="2">
        <v>46129</v>
      </c>
      <c r="G1840" s="6">
        <v>0</v>
      </c>
      <c r="H1840" s="6">
        <v>0</v>
      </c>
    </row>
    <row r="1841" spans="1:8" ht="14.4" hidden="1">
      <c r="A1841" t="s">
        <v>536</v>
      </c>
      <c r="B1841" t="s">
        <v>570</v>
      </c>
      <c r="C1841" t="s">
        <v>571</v>
      </c>
      <c r="D1841" s="2">
        <v>46106</v>
      </c>
      <c r="E1841">
        <v>1</v>
      </c>
      <c r="F1841" s="2">
        <v>46107</v>
      </c>
      <c r="G1841" s="6">
        <v>0</v>
      </c>
      <c r="H1841" s="6">
        <v>0</v>
      </c>
    </row>
    <row r="1842" spans="1:8" ht="14.4" hidden="1">
      <c r="A1842" t="s">
        <v>536</v>
      </c>
      <c r="B1842">
        <v>4</v>
      </c>
      <c r="C1842" t="s">
        <v>572</v>
      </c>
      <c r="D1842" s="2">
        <v>46105</v>
      </c>
      <c r="E1842">
        <v>29</v>
      </c>
      <c r="F1842" s="2">
        <v>46134</v>
      </c>
      <c r="G1842" s="6">
        <v>0</v>
      </c>
      <c r="H1842" s="6">
        <v>0</v>
      </c>
    </row>
    <row r="1843" spans="1:8" ht="14.4" hidden="1">
      <c r="A1843" t="s">
        <v>536</v>
      </c>
      <c r="B1843" t="s">
        <v>573</v>
      </c>
      <c r="C1843" t="s">
        <v>574</v>
      </c>
      <c r="D1843" s="2">
        <v>46105</v>
      </c>
      <c r="E1843">
        <v>1</v>
      </c>
      <c r="F1843" s="2">
        <v>46106</v>
      </c>
      <c r="G1843" s="6">
        <v>0</v>
      </c>
      <c r="H1843" s="6">
        <v>0</v>
      </c>
    </row>
    <row r="1844" spans="1:8" ht="14.4" hidden="1">
      <c r="A1844" t="s">
        <v>536</v>
      </c>
      <c r="B1844" t="s">
        <v>575</v>
      </c>
      <c r="C1844" t="s">
        <v>576</v>
      </c>
      <c r="D1844" s="2">
        <v>46106</v>
      </c>
      <c r="E1844">
        <v>3</v>
      </c>
      <c r="F1844" s="2">
        <v>46111</v>
      </c>
      <c r="G1844" s="6">
        <v>0</v>
      </c>
      <c r="H1844" s="6">
        <v>0</v>
      </c>
    </row>
    <row r="1845" spans="1:8" ht="14.4" hidden="1">
      <c r="A1845" t="s">
        <v>536</v>
      </c>
      <c r="B1845" t="s">
        <v>577</v>
      </c>
      <c r="C1845" t="s">
        <v>578</v>
      </c>
      <c r="D1845" s="2">
        <v>46105</v>
      </c>
      <c r="E1845">
        <v>1</v>
      </c>
      <c r="F1845" s="2">
        <v>46106</v>
      </c>
      <c r="G1845" s="6">
        <v>0</v>
      </c>
      <c r="H1845" s="6">
        <v>0</v>
      </c>
    </row>
    <row r="1846" spans="1:8" ht="14.4" hidden="1">
      <c r="A1846" t="s">
        <v>536</v>
      </c>
      <c r="B1846" t="s">
        <v>579</v>
      </c>
      <c r="C1846" t="s">
        <v>580</v>
      </c>
      <c r="D1846" s="2">
        <v>46123</v>
      </c>
      <c r="E1846">
        <v>8</v>
      </c>
      <c r="F1846" s="2">
        <v>46134</v>
      </c>
      <c r="G1846" s="6">
        <v>0</v>
      </c>
      <c r="H1846" s="6">
        <v>0</v>
      </c>
    </row>
    <row r="1847" spans="1:8" ht="14.4" hidden="1">
      <c r="A1847" t="s">
        <v>536</v>
      </c>
      <c r="B1847">
        <v>5</v>
      </c>
      <c r="C1847" t="s">
        <v>581</v>
      </c>
      <c r="D1847" s="2">
        <v>46105</v>
      </c>
      <c r="E1847">
        <v>21</v>
      </c>
      <c r="F1847" s="2">
        <v>46126</v>
      </c>
      <c r="G1847" s="6">
        <v>0</v>
      </c>
      <c r="H1847" s="6">
        <v>0</v>
      </c>
    </row>
    <row r="1848" spans="1:8" ht="14.4" hidden="1">
      <c r="A1848" t="s">
        <v>536</v>
      </c>
      <c r="B1848" t="s">
        <v>582</v>
      </c>
      <c r="C1848" t="s">
        <v>583</v>
      </c>
      <c r="D1848" s="2">
        <v>46105</v>
      </c>
      <c r="E1848">
        <v>1</v>
      </c>
      <c r="F1848" s="2">
        <v>46106</v>
      </c>
      <c r="G1848" s="6">
        <v>0</v>
      </c>
      <c r="H1848" s="6">
        <v>0</v>
      </c>
    </row>
    <row r="1849" spans="1:8" ht="14.4" hidden="1">
      <c r="A1849" t="s">
        <v>536</v>
      </c>
      <c r="B1849" t="s">
        <v>584</v>
      </c>
      <c r="C1849" t="s">
        <v>585</v>
      </c>
      <c r="D1849" s="2">
        <v>46111</v>
      </c>
      <c r="E1849">
        <v>9</v>
      </c>
      <c r="F1849" s="2">
        <v>46126</v>
      </c>
      <c r="G1849" s="6">
        <v>0</v>
      </c>
      <c r="H1849" s="6">
        <v>0</v>
      </c>
    </row>
    <row r="1850" spans="1:8" ht="14.4" hidden="1">
      <c r="A1850" t="s">
        <v>536</v>
      </c>
      <c r="B1850">
        <v>6</v>
      </c>
      <c r="C1850" t="s">
        <v>240</v>
      </c>
      <c r="D1850" s="2">
        <v>46134</v>
      </c>
      <c r="E1850">
        <v>13</v>
      </c>
      <c r="F1850" s="2">
        <v>46147</v>
      </c>
      <c r="G1850" s="6">
        <v>0</v>
      </c>
      <c r="H1850" s="6">
        <v>0</v>
      </c>
    </row>
    <row r="1851" spans="1:8" ht="14.4" hidden="1">
      <c r="A1851" t="s">
        <v>536</v>
      </c>
      <c r="B1851" t="s">
        <v>586</v>
      </c>
      <c r="C1851" t="s">
        <v>240</v>
      </c>
      <c r="D1851" s="2">
        <v>46134</v>
      </c>
      <c r="E1851">
        <v>1</v>
      </c>
      <c r="F1851" s="2">
        <v>46135</v>
      </c>
      <c r="G1851" s="6">
        <v>0</v>
      </c>
      <c r="H1851" s="6">
        <v>0</v>
      </c>
    </row>
    <row r="1852" spans="1:8" ht="14.4" hidden="1">
      <c r="A1852" t="s">
        <v>536</v>
      </c>
      <c r="B1852" t="s">
        <v>587</v>
      </c>
      <c r="C1852" t="s">
        <v>169</v>
      </c>
      <c r="D1852" s="2">
        <v>46135</v>
      </c>
      <c r="E1852">
        <v>1</v>
      </c>
      <c r="F1852" s="2">
        <v>46136</v>
      </c>
      <c r="G1852" s="6">
        <v>0</v>
      </c>
      <c r="H1852" s="6">
        <v>0</v>
      </c>
    </row>
    <row r="1853" spans="1:8" ht="14.4" hidden="1">
      <c r="A1853" t="s">
        <v>536</v>
      </c>
      <c r="B1853" t="s">
        <v>599</v>
      </c>
      <c r="C1853" t="s">
        <v>593</v>
      </c>
      <c r="D1853" s="2">
        <v>46136</v>
      </c>
      <c r="E1853">
        <v>5</v>
      </c>
      <c r="F1853" s="2">
        <v>46147</v>
      </c>
      <c r="G1853" s="6">
        <v>0</v>
      </c>
      <c r="H1853" s="6">
        <v>0</v>
      </c>
    </row>
    <row r="1854" spans="1:8" ht="14.4" hidden="1">
      <c r="A1854" t="s">
        <v>536</v>
      </c>
      <c r="B1854">
        <v>7</v>
      </c>
      <c r="C1854" t="s">
        <v>588</v>
      </c>
      <c r="D1854" s="2">
        <v>46136</v>
      </c>
      <c r="E1854">
        <v>12</v>
      </c>
      <c r="F1854" s="2">
        <v>46148</v>
      </c>
      <c r="G1854" s="6">
        <v>0</v>
      </c>
      <c r="H1854" s="6">
        <v>0</v>
      </c>
    </row>
    <row r="1855" spans="1:8" ht="14.4" hidden="1">
      <c r="A1855" t="s">
        <v>536</v>
      </c>
      <c r="B1855" t="s">
        <v>600</v>
      </c>
      <c r="C1855" t="s">
        <v>589</v>
      </c>
      <c r="D1855" s="2">
        <v>46136</v>
      </c>
      <c r="E1855">
        <v>3</v>
      </c>
      <c r="F1855" s="2">
        <v>46142</v>
      </c>
      <c r="G1855" s="6">
        <v>0</v>
      </c>
      <c r="H1855" s="6">
        <v>0</v>
      </c>
    </row>
    <row r="1856" spans="1:8" ht="14.4" hidden="1">
      <c r="A1856" t="s">
        <v>536</v>
      </c>
      <c r="B1856" t="s">
        <v>601</v>
      </c>
      <c r="C1856" t="s">
        <v>592</v>
      </c>
      <c r="D1856" s="2">
        <v>46142</v>
      </c>
      <c r="E1856">
        <v>3</v>
      </c>
      <c r="F1856" s="2">
        <v>46148</v>
      </c>
      <c r="G1856" s="6">
        <v>0</v>
      </c>
      <c r="H1856" s="6">
        <v>0</v>
      </c>
    </row>
    <row r="1857" spans="1:8" ht="14.4" hidden="1">
      <c r="A1857" t="s">
        <v>536</v>
      </c>
      <c r="B1857">
        <v>8</v>
      </c>
      <c r="C1857" t="s">
        <v>590</v>
      </c>
      <c r="D1857" s="2">
        <v>46142</v>
      </c>
      <c r="E1857">
        <v>19</v>
      </c>
      <c r="F1857" s="2">
        <v>46161</v>
      </c>
      <c r="G1857" s="6">
        <v>0</v>
      </c>
      <c r="H1857" s="6">
        <v>0</v>
      </c>
    </row>
    <row r="1858" spans="1:8" ht="14.4" hidden="1">
      <c r="A1858" t="s">
        <v>536</v>
      </c>
      <c r="B1858" t="s">
        <v>602</v>
      </c>
      <c r="C1858" t="s">
        <v>594</v>
      </c>
      <c r="D1858" s="2">
        <v>46142</v>
      </c>
      <c r="E1858">
        <v>7</v>
      </c>
      <c r="F1858" s="2">
        <v>46154</v>
      </c>
      <c r="G1858" s="6">
        <v>0</v>
      </c>
      <c r="H1858" s="6">
        <v>0</v>
      </c>
    </row>
    <row r="1859" spans="1:8" ht="14.4" hidden="1">
      <c r="A1859" t="s">
        <v>536</v>
      </c>
      <c r="B1859" t="s">
        <v>603</v>
      </c>
      <c r="C1859" t="s">
        <v>595</v>
      </c>
      <c r="D1859" s="2">
        <v>46154</v>
      </c>
      <c r="E1859">
        <v>1</v>
      </c>
      <c r="F1859" s="2">
        <v>46155</v>
      </c>
      <c r="G1859" s="6">
        <v>0</v>
      </c>
      <c r="H1859" s="6">
        <v>0</v>
      </c>
    </row>
    <row r="1860" spans="1:8" ht="14.4" hidden="1">
      <c r="A1860" t="s">
        <v>536</v>
      </c>
      <c r="B1860" t="s">
        <v>604</v>
      </c>
      <c r="C1860" t="s">
        <v>596</v>
      </c>
      <c r="D1860" s="2">
        <v>46154</v>
      </c>
      <c r="E1860">
        <v>5</v>
      </c>
      <c r="F1860" s="2">
        <v>46161</v>
      </c>
      <c r="G1860" s="6">
        <v>0</v>
      </c>
      <c r="H1860" s="6">
        <v>0</v>
      </c>
    </row>
    <row r="1861" spans="1:8" ht="14.4" hidden="1">
      <c r="A1861" t="s">
        <v>537</v>
      </c>
      <c r="B1861">
        <v>1</v>
      </c>
      <c r="C1861" t="s">
        <v>547</v>
      </c>
      <c r="D1861" s="2">
        <v>46036</v>
      </c>
      <c r="E1861">
        <v>16</v>
      </c>
      <c r="F1861" s="2">
        <v>46052</v>
      </c>
      <c r="G1861" s="6">
        <v>1</v>
      </c>
      <c r="H1861" s="6">
        <v>1</v>
      </c>
    </row>
    <row r="1862" spans="1:8" ht="14.4" hidden="1">
      <c r="A1862" t="s">
        <v>537</v>
      </c>
      <c r="B1862" t="s">
        <v>548</v>
      </c>
      <c r="C1862" t="s">
        <v>597</v>
      </c>
      <c r="D1862" s="2">
        <v>46036</v>
      </c>
      <c r="E1862">
        <v>1</v>
      </c>
      <c r="F1862" s="2">
        <v>46037</v>
      </c>
      <c r="G1862" s="6">
        <v>1</v>
      </c>
      <c r="H1862" s="6">
        <v>1</v>
      </c>
    </row>
    <row r="1863" spans="1:8" ht="14.4" hidden="1">
      <c r="A1863" t="s">
        <v>537</v>
      </c>
      <c r="B1863" t="s">
        <v>550</v>
      </c>
      <c r="C1863" t="s">
        <v>598</v>
      </c>
      <c r="D1863" s="2">
        <v>46037</v>
      </c>
      <c r="E1863">
        <v>8</v>
      </c>
      <c r="F1863" s="2">
        <v>46049</v>
      </c>
      <c r="G1863" s="6">
        <v>1</v>
      </c>
      <c r="H1863" s="6">
        <v>1</v>
      </c>
    </row>
    <row r="1864" spans="1:8" ht="14.4" hidden="1">
      <c r="A1864" t="s">
        <v>537</v>
      </c>
      <c r="B1864" t="s">
        <v>552</v>
      </c>
      <c r="C1864" t="s">
        <v>551</v>
      </c>
      <c r="D1864" s="2">
        <v>46049</v>
      </c>
      <c r="E1864">
        <v>1</v>
      </c>
      <c r="F1864" s="2">
        <v>46050</v>
      </c>
      <c r="G1864" s="6">
        <v>1</v>
      </c>
      <c r="H1864" s="6">
        <v>1</v>
      </c>
    </row>
    <row r="1865" spans="1:8" ht="14.4" hidden="1">
      <c r="A1865" t="s">
        <v>537</v>
      </c>
      <c r="B1865" t="s">
        <v>554</v>
      </c>
      <c r="C1865" t="s">
        <v>555</v>
      </c>
      <c r="D1865" s="2">
        <v>46051</v>
      </c>
      <c r="E1865">
        <v>1</v>
      </c>
      <c r="F1865" s="2">
        <v>46052</v>
      </c>
      <c r="G1865" s="6">
        <v>1</v>
      </c>
      <c r="H1865" s="6">
        <v>1</v>
      </c>
    </row>
    <row r="1866" spans="1:8" ht="14.4" hidden="1">
      <c r="A1866" t="s">
        <v>537</v>
      </c>
      <c r="B1866" t="s">
        <v>556</v>
      </c>
      <c r="C1866" t="s">
        <v>557</v>
      </c>
      <c r="D1866" s="2">
        <v>46047</v>
      </c>
      <c r="E1866">
        <v>1</v>
      </c>
      <c r="F1866" s="2">
        <v>46048</v>
      </c>
      <c r="G1866" s="6">
        <v>1</v>
      </c>
      <c r="H1866" s="6">
        <v>1</v>
      </c>
    </row>
    <row r="1867" spans="1:8" ht="14.4" hidden="1">
      <c r="A1867" t="s">
        <v>537</v>
      </c>
      <c r="B1867">
        <v>2</v>
      </c>
      <c r="C1867" t="s">
        <v>558</v>
      </c>
      <c r="D1867" s="2">
        <v>46049</v>
      </c>
      <c r="E1867">
        <v>1</v>
      </c>
      <c r="F1867" s="2">
        <v>46050</v>
      </c>
      <c r="G1867" s="6">
        <v>1</v>
      </c>
      <c r="H1867" s="6">
        <v>1</v>
      </c>
    </row>
    <row r="1868" spans="1:8" ht="14.4" hidden="1">
      <c r="A1868" t="s">
        <v>537</v>
      </c>
      <c r="B1868" t="s">
        <v>559</v>
      </c>
      <c r="C1868" t="s">
        <v>560</v>
      </c>
      <c r="D1868" s="2">
        <v>46049</v>
      </c>
      <c r="E1868">
        <v>1</v>
      </c>
      <c r="F1868" s="2">
        <v>46050</v>
      </c>
      <c r="G1868" s="6">
        <v>1</v>
      </c>
      <c r="H1868" s="6">
        <v>1</v>
      </c>
    </row>
    <row r="1869" spans="1:8" ht="14.4" hidden="1">
      <c r="A1869" t="s">
        <v>537</v>
      </c>
      <c r="B1869">
        <v>3</v>
      </c>
      <c r="C1869" t="s">
        <v>561</v>
      </c>
      <c r="D1869" s="2">
        <v>46035</v>
      </c>
      <c r="E1869">
        <v>44</v>
      </c>
      <c r="F1869" s="2">
        <v>46079</v>
      </c>
      <c r="G1869" s="6">
        <v>0.55128205128205132</v>
      </c>
      <c r="H1869" s="6">
        <v>0.58831908831908841</v>
      </c>
    </row>
    <row r="1870" spans="1:8" ht="14.4" hidden="1">
      <c r="A1870" t="s">
        <v>537</v>
      </c>
      <c r="B1870" t="s">
        <v>562</v>
      </c>
      <c r="C1870" t="s">
        <v>563</v>
      </c>
      <c r="D1870" s="2">
        <v>46050</v>
      </c>
      <c r="E1870">
        <v>1</v>
      </c>
      <c r="F1870" s="2">
        <v>46051</v>
      </c>
      <c r="G1870" s="6">
        <v>1</v>
      </c>
      <c r="H1870" s="6">
        <v>1</v>
      </c>
    </row>
    <row r="1871" spans="1:8" ht="14.4" hidden="1">
      <c r="A1871" t="s">
        <v>537</v>
      </c>
      <c r="B1871" t="s">
        <v>564</v>
      </c>
      <c r="C1871" t="s">
        <v>565</v>
      </c>
      <c r="D1871" s="2">
        <v>46063</v>
      </c>
      <c r="E1871">
        <v>1</v>
      </c>
      <c r="F1871" s="2">
        <v>46064</v>
      </c>
      <c r="G1871" s="6">
        <v>1</v>
      </c>
      <c r="H1871" s="6">
        <v>1</v>
      </c>
    </row>
    <row r="1872" spans="1:8" ht="14.4" hidden="1">
      <c r="A1872" t="s">
        <v>537</v>
      </c>
      <c r="B1872" t="s">
        <v>566</v>
      </c>
      <c r="C1872" t="s">
        <v>567</v>
      </c>
      <c r="D1872" s="2">
        <v>46035</v>
      </c>
      <c r="E1872">
        <v>26</v>
      </c>
      <c r="F1872" s="2">
        <v>46071</v>
      </c>
      <c r="G1872" s="6">
        <v>0.75</v>
      </c>
      <c r="H1872" s="6">
        <v>0.80555555555555547</v>
      </c>
    </row>
    <row r="1873" spans="1:8" ht="14.4" hidden="1">
      <c r="A1873" t="s">
        <v>537</v>
      </c>
      <c r="B1873" t="s">
        <v>568</v>
      </c>
      <c r="C1873" t="s">
        <v>569</v>
      </c>
      <c r="D1873" s="2">
        <v>46065</v>
      </c>
      <c r="E1873">
        <v>10</v>
      </c>
      <c r="F1873" s="2">
        <v>46079</v>
      </c>
      <c r="G1873" s="6">
        <v>0</v>
      </c>
      <c r="H1873" s="6">
        <v>0</v>
      </c>
    </row>
    <row r="1874" spans="1:8" ht="14.4" hidden="1">
      <c r="A1874" t="s">
        <v>537</v>
      </c>
      <c r="B1874" t="s">
        <v>570</v>
      </c>
      <c r="C1874" t="s">
        <v>571</v>
      </c>
      <c r="D1874" s="2">
        <v>46065</v>
      </c>
      <c r="E1874">
        <v>1</v>
      </c>
      <c r="F1874" s="2">
        <v>46066</v>
      </c>
      <c r="G1874" s="6">
        <v>0</v>
      </c>
      <c r="H1874" s="6">
        <v>0</v>
      </c>
    </row>
    <row r="1875" spans="1:8" ht="14.4" hidden="1">
      <c r="A1875" t="s">
        <v>537</v>
      </c>
      <c r="B1875">
        <v>4</v>
      </c>
      <c r="C1875" t="s">
        <v>572</v>
      </c>
      <c r="D1875" s="2">
        <v>46049</v>
      </c>
      <c r="E1875">
        <v>45</v>
      </c>
      <c r="F1875" s="2">
        <v>46094</v>
      </c>
      <c r="G1875" s="6">
        <v>0.1388888888888889</v>
      </c>
      <c r="H1875" s="6">
        <v>0.31241520410710605</v>
      </c>
    </row>
    <row r="1876" spans="1:8" ht="14.4" hidden="1">
      <c r="A1876" t="s">
        <v>537</v>
      </c>
      <c r="B1876" t="s">
        <v>573</v>
      </c>
      <c r="C1876" t="s">
        <v>574</v>
      </c>
      <c r="D1876" s="2">
        <v>46049</v>
      </c>
      <c r="E1876">
        <v>1</v>
      </c>
      <c r="F1876" s="2">
        <v>46050</v>
      </c>
      <c r="G1876" s="6">
        <v>1</v>
      </c>
      <c r="H1876" s="6">
        <v>1</v>
      </c>
    </row>
    <row r="1877" spans="1:8" ht="14.4" hidden="1">
      <c r="A1877" t="s">
        <v>537</v>
      </c>
      <c r="B1877" t="s">
        <v>575</v>
      </c>
      <c r="C1877" t="s">
        <v>576</v>
      </c>
      <c r="D1877" s="2">
        <v>46062</v>
      </c>
      <c r="E1877">
        <v>6</v>
      </c>
      <c r="F1877" s="2">
        <v>46070</v>
      </c>
      <c r="G1877" s="6">
        <v>0.25</v>
      </c>
      <c r="H1877" s="6">
        <v>0.25</v>
      </c>
    </row>
    <row r="1878" spans="1:8" ht="14.4" hidden="1">
      <c r="A1878" t="s">
        <v>537</v>
      </c>
      <c r="B1878" t="s">
        <v>577</v>
      </c>
      <c r="C1878" t="s">
        <v>578</v>
      </c>
      <c r="D1878" s="2">
        <v>46051</v>
      </c>
      <c r="E1878">
        <v>1</v>
      </c>
      <c r="F1878" s="2">
        <v>46052</v>
      </c>
      <c r="G1878" s="6">
        <v>1</v>
      </c>
      <c r="H1878" s="6">
        <v>1</v>
      </c>
    </row>
    <row r="1879" spans="1:8" ht="14.4" hidden="1">
      <c r="A1879" t="s">
        <v>537</v>
      </c>
      <c r="B1879" t="s">
        <v>579</v>
      </c>
      <c r="C1879" t="s">
        <v>580</v>
      </c>
      <c r="D1879" s="2">
        <v>46081</v>
      </c>
      <c r="E1879">
        <v>10</v>
      </c>
      <c r="F1879" s="2">
        <v>46094</v>
      </c>
      <c r="G1879" s="6">
        <v>0</v>
      </c>
      <c r="H1879" s="6">
        <v>0</v>
      </c>
    </row>
    <row r="1880" spans="1:8" ht="14.4" hidden="1">
      <c r="A1880" t="s">
        <v>537</v>
      </c>
      <c r="B1880">
        <v>5</v>
      </c>
      <c r="C1880" t="s">
        <v>581</v>
      </c>
      <c r="D1880" s="2">
        <v>46049</v>
      </c>
      <c r="E1880">
        <v>35</v>
      </c>
      <c r="F1880" s="2">
        <v>46084</v>
      </c>
      <c r="G1880" s="6">
        <v>9.0909090909090912E-2</v>
      </c>
      <c r="H1880" s="6">
        <v>9.0909090909090912E-2</v>
      </c>
    </row>
    <row r="1881" spans="1:8" ht="14.4" hidden="1">
      <c r="A1881" t="s">
        <v>537</v>
      </c>
      <c r="B1881" t="s">
        <v>582</v>
      </c>
      <c r="C1881" t="s">
        <v>583</v>
      </c>
      <c r="D1881" s="2">
        <v>46049</v>
      </c>
      <c r="E1881">
        <v>1</v>
      </c>
      <c r="F1881" s="2">
        <v>46050</v>
      </c>
      <c r="G1881" s="6">
        <v>1</v>
      </c>
      <c r="H1881" s="6">
        <v>1</v>
      </c>
    </row>
    <row r="1882" spans="1:8" ht="14.4" hidden="1">
      <c r="A1882" t="s">
        <v>537</v>
      </c>
      <c r="B1882" t="s">
        <v>584</v>
      </c>
      <c r="C1882" t="s">
        <v>585</v>
      </c>
      <c r="D1882" s="2">
        <v>46070</v>
      </c>
      <c r="E1882">
        <v>10</v>
      </c>
      <c r="F1882" s="2">
        <v>46084</v>
      </c>
      <c r="G1882" s="6">
        <v>0</v>
      </c>
      <c r="H1882" s="6">
        <v>0</v>
      </c>
    </row>
    <row r="1883" spans="1:8" ht="14.4" hidden="1">
      <c r="A1883" t="s">
        <v>537</v>
      </c>
      <c r="B1883">
        <v>6</v>
      </c>
      <c r="C1883" t="s">
        <v>240</v>
      </c>
      <c r="D1883" s="2">
        <v>46094</v>
      </c>
      <c r="E1883">
        <v>11</v>
      </c>
      <c r="F1883" s="2">
        <v>46105</v>
      </c>
      <c r="G1883" s="6">
        <v>0</v>
      </c>
      <c r="H1883" s="6">
        <v>0</v>
      </c>
    </row>
    <row r="1884" spans="1:8" ht="14.4" hidden="1">
      <c r="A1884" t="s">
        <v>537</v>
      </c>
      <c r="B1884" t="s">
        <v>586</v>
      </c>
      <c r="C1884" t="s">
        <v>240</v>
      </c>
      <c r="D1884" s="2">
        <v>46094</v>
      </c>
      <c r="E1884">
        <v>1</v>
      </c>
      <c r="F1884" s="2">
        <v>46097</v>
      </c>
      <c r="G1884" s="6">
        <v>0</v>
      </c>
      <c r="H1884" s="6">
        <v>0</v>
      </c>
    </row>
    <row r="1885" spans="1:8" ht="14.4" hidden="1">
      <c r="A1885" t="s">
        <v>537</v>
      </c>
      <c r="B1885" t="s">
        <v>587</v>
      </c>
      <c r="C1885" t="s">
        <v>169</v>
      </c>
      <c r="D1885" s="2">
        <v>46097</v>
      </c>
      <c r="E1885">
        <v>1</v>
      </c>
      <c r="F1885" s="2">
        <v>46098</v>
      </c>
      <c r="G1885" s="6">
        <v>0</v>
      </c>
      <c r="H1885" s="6">
        <v>0</v>
      </c>
    </row>
    <row r="1886" spans="1:8" ht="14.4" hidden="1">
      <c r="A1886" t="s">
        <v>537</v>
      </c>
      <c r="B1886" t="s">
        <v>599</v>
      </c>
      <c r="C1886" t="s">
        <v>593</v>
      </c>
      <c r="D1886" s="2">
        <v>46098</v>
      </c>
      <c r="E1886">
        <v>5</v>
      </c>
      <c r="F1886" s="2">
        <v>46105</v>
      </c>
      <c r="G1886" s="6">
        <v>0</v>
      </c>
      <c r="H1886" s="6">
        <v>0</v>
      </c>
    </row>
    <row r="1887" spans="1:8" ht="14.4" hidden="1">
      <c r="A1887" t="s">
        <v>537</v>
      </c>
      <c r="B1887">
        <v>7</v>
      </c>
      <c r="C1887" t="s">
        <v>588</v>
      </c>
      <c r="D1887" s="2">
        <v>46098</v>
      </c>
      <c r="E1887">
        <v>8</v>
      </c>
      <c r="F1887" s="2">
        <v>46106</v>
      </c>
      <c r="G1887" s="6">
        <v>0</v>
      </c>
      <c r="H1887" s="6">
        <v>0</v>
      </c>
    </row>
    <row r="1888" spans="1:8" ht="14.4" hidden="1">
      <c r="A1888" t="s">
        <v>537</v>
      </c>
      <c r="B1888" t="s">
        <v>600</v>
      </c>
      <c r="C1888" t="s">
        <v>589</v>
      </c>
      <c r="D1888" s="2">
        <v>46098</v>
      </c>
      <c r="E1888">
        <v>3</v>
      </c>
      <c r="F1888" s="2">
        <v>46101</v>
      </c>
      <c r="G1888" s="6">
        <v>0</v>
      </c>
      <c r="H1888" s="6">
        <v>0</v>
      </c>
    </row>
    <row r="1889" spans="1:8" ht="14.4" hidden="1">
      <c r="A1889" t="s">
        <v>537</v>
      </c>
      <c r="B1889" t="s">
        <v>601</v>
      </c>
      <c r="C1889" t="s">
        <v>592</v>
      </c>
      <c r="D1889" s="2">
        <v>46101</v>
      </c>
      <c r="E1889">
        <v>3</v>
      </c>
      <c r="F1889" s="2">
        <v>46106</v>
      </c>
      <c r="G1889" s="6">
        <v>0</v>
      </c>
      <c r="H1889" s="6">
        <v>0</v>
      </c>
    </row>
    <row r="1890" spans="1:8" ht="14.4" hidden="1">
      <c r="A1890" t="s">
        <v>537</v>
      </c>
      <c r="B1890">
        <v>8</v>
      </c>
      <c r="C1890" t="s">
        <v>590</v>
      </c>
      <c r="D1890" s="2">
        <v>46101</v>
      </c>
      <c r="E1890">
        <v>20</v>
      </c>
      <c r="F1890" s="2">
        <v>46121</v>
      </c>
      <c r="G1890" s="6">
        <v>0</v>
      </c>
      <c r="H1890" s="6">
        <v>0</v>
      </c>
    </row>
    <row r="1891" spans="1:8" ht="14.4" hidden="1">
      <c r="A1891" t="s">
        <v>537</v>
      </c>
      <c r="B1891" t="s">
        <v>602</v>
      </c>
      <c r="C1891" t="s">
        <v>594</v>
      </c>
      <c r="D1891" s="2">
        <v>46101</v>
      </c>
      <c r="E1891">
        <v>7</v>
      </c>
      <c r="F1891" s="2">
        <v>46112</v>
      </c>
      <c r="G1891" s="6">
        <v>0</v>
      </c>
      <c r="H1891" s="6">
        <v>0</v>
      </c>
    </row>
    <row r="1892" spans="1:8" ht="14.4" hidden="1">
      <c r="A1892" t="s">
        <v>537</v>
      </c>
      <c r="B1892" t="s">
        <v>603</v>
      </c>
      <c r="C1892" t="s">
        <v>595</v>
      </c>
      <c r="D1892" s="2">
        <v>46112</v>
      </c>
      <c r="E1892">
        <v>1</v>
      </c>
      <c r="F1892" s="2">
        <v>46113</v>
      </c>
      <c r="G1892" s="6">
        <v>0</v>
      </c>
      <c r="H1892" s="6">
        <v>0</v>
      </c>
    </row>
    <row r="1893" spans="1:8" ht="14.4" hidden="1">
      <c r="A1893" t="s">
        <v>537</v>
      </c>
      <c r="B1893" t="s">
        <v>604</v>
      </c>
      <c r="C1893" t="s">
        <v>596</v>
      </c>
      <c r="D1893" s="2">
        <v>46112</v>
      </c>
      <c r="E1893">
        <v>5</v>
      </c>
      <c r="F1893" s="2">
        <v>46121</v>
      </c>
      <c r="G1893" s="6">
        <v>0</v>
      </c>
      <c r="H1893" s="6">
        <v>0</v>
      </c>
    </row>
    <row r="1894" spans="1:8" ht="14.4" hidden="1">
      <c r="A1894" t="s">
        <v>242</v>
      </c>
      <c r="B1894">
        <v>1</v>
      </c>
      <c r="C1894" t="s">
        <v>547</v>
      </c>
      <c r="D1894" s="2">
        <v>45594</v>
      </c>
      <c r="E1894">
        <v>25</v>
      </c>
      <c r="F1894" s="2">
        <v>45619</v>
      </c>
      <c r="G1894" s="6">
        <v>1</v>
      </c>
      <c r="H1894" s="6">
        <v>1</v>
      </c>
    </row>
    <row r="1895" spans="1:8" ht="14.4" hidden="1">
      <c r="A1895" t="s">
        <v>242</v>
      </c>
      <c r="B1895" t="s">
        <v>548</v>
      </c>
      <c r="C1895" t="s">
        <v>41</v>
      </c>
      <c r="D1895" s="2">
        <v>45594</v>
      </c>
      <c r="E1895">
        <v>1</v>
      </c>
      <c r="F1895" s="2">
        <v>45595</v>
      </c>
      <c r="G1895" s="6">
        <v>1</v>
      </c>
      <c r="H1895" s="6">
        <v>1</v>
      </c>
    </row>
    <row r="1896" spans="1:8" ht="14.4" hidden="1">
      <c r="A1896" t="s">
        <v>242</v>
      </c>
      <c r="B1896" t="s">
        <v>550</v>
      </c>
      <c r="C1896" t="s">
        <v>551</v>
      </c>
      <c r="D1896" s="2">
        <v>45604</v>
      </c>
      <c r="E1896">
        <v>1</v>
      </c>
      <c r="F1896" s="2">
        <v>45607</v>
      </c>
      <c r="G1896" s="6">
        <v>1</v>
      </c>
      <c r="H1896" s="6">
        <v>1</v>
      </c>
    </row>
    <row r="1897" spans="1:8" ht="14.4" hidden="1">
      <c r="A1897" t="s">
        <v>242</v>
      </c>
      <c r="B1897" t="s">
        <v>552</v>
      </c>
      <c r="C1897" t="s">
        <v>553</v>
      </c>
      <c r="D1897" s="2">
        <v>45604</v>
      </c>
      <c r="E1897">
        <v>15</v>
      </c>
      <c r="F1897" s="2">
        <v>45619</v>
      </c>
      <c r="G1897" s="6">
        <v>1</v>
      </c>
      <c r="H1897" s="6">
        <v>1</v>
      </c>
    </row>
    <row r="1898" spans="1:8" ht="14.4" hidden="1">
      <c r="A1898" t="s">
        <v>242</v>
      </c>
      <c r="B1898" t="s">
        <v>554</v>
      </c>
      <c r="C1898" t="s">
        <v>555</v>
      </c>
      <c r="D1898" s="2">
        <v>45612</v>
      </c>
      <c r="E1898">
        <v>1</v>
      </c>
      <c r="F1898" s="2">
        <v>45614</v>
      </c>
      <c r="G1898" s="6">
        <v>1</v>
      </c>
      <c r="H1898" s="6">
        <v>1</v>
      </c>
    </row>
    <row r="1899" spans="1:8" ht="14.4" hidden="1">
      <c r="A1899" t="s">
        <v>242</v>
      </c>
      <c r="B1899" t="s">
        <v>556</v>
      </c>
      <c r="C1899" t="s">
        <v>557</v>
      </c>
      <c r="D1899" s="2">
        <v>45612</v>
      </c>
      <c r="E1899">
        <v>1</v>
      </c>
      <c r="F1899" s="2">
        <v>45614</v>
      </c>
      <c r="G1899" s="6">
        <v>1</v>
      </c>
      <c r="H1899" s="6">
        <v>1</v>
      </c>
    </row>
    <row r="1900" spans="1:8" ht="14.4" hidden="1">
      <c r="A1900" t="s">
        <v>242</v>
      </c>
      <c r="B1900">
        <v>2</v>
      </c>
      <c r="C1900" t="s">
        <v>558</v>
      </c>
      <c r="D1900" s="2">
        <v>45663</v>
      </c>
      <c r="E1900">
        <v>36</v>
      </c>
      <c r="F1900" s="2">
        <v>45699</v>
      </c>
      <c r="G1900" s="6">
        <v>1</v>
      </c>
      <c r="H1900" s="6">
        <v>1</v>
      </c>
    </row>
    <row r="1901" spans="1:8" ht="14.4" hidden="1">
      <c r="A1901" t="s">
        <v>242</v>
      </c>
      <c r="B1901" t="s">
        <v>559</v>
      </c>
      <c r="C1901" t="s">
        <v>1044</v>
      </c>
      <c r="D1901" s="2">
        <v>45663</v>
      </c>
      <c r="E1901">
        <v>1</v>
      </c>
      <c r="F1901" s="2">
        <v>45664</v>
      </c>
      <c r="G1901" s="6">
        <v>1</v>
      </c>
      <c r="H1901" s="6">
        <v>1</v>
      </c>
    </row>
    <row r="1902" spans="1:8" ht="14.4" hidden="1">
      <c r="A1902" t="s">
        <v>242</v>
      </c>
      <c r="B1902" t="s">
        <v>671</v>
      </c>
      <c r="C1902" t="s">
        <v>1045</v>
      </c>
      <c r="D1902" s="2">
        <v>45698</v>
      </c>
      <c r="E1902">
        <v>1</v>
      </c>
      <c r="F1902" s="2">
        <v>45699</v>
      </c>
      <c r="G1902" s="6">
        <v>1</v>
      </c>
      <c r="H1902" s="6">
        <v>1</v>
      </c>
    </row>
    <row r="1903" spans="1:8" ht="14.4" hidden="1">
      <c r="A1903" t="s">
        <v>242</v>
      </c>
      <c r="B1903">
        <v>3</v>
      </c>
      <c r="C1903" t="s">
        <v>1046</v>
      </c>
      <c r="D1903" s="2">
        <v>45607</v>
      </c>
      <c r="E1903">
        <v>95</v>
      </c>
      <c r="F1903" s="2">
        <v>45702</v>
      </c>
      <c r="G1903" s="6">
        <v>1</v>
      </c>
      <c r="H1903" s="6">
        <v>1</v>
      </c>
    </row>
    <row r="1904" spans="1:8" ht="14.4" hidden="1">
      <c r="A1904" t="s">
        <v>242</v>
      </c>
      <c r="B1904" t="s">
        <v>562</v>
      </c>
      <c r="C1904" t="s">
        <v>1047</v>
      </c>
      <c r="D1904" s="2">
        <v>45607</v>
      </c>
      <c r="E1904">
        <v>1</v>
      </c>
      <c r="F1904" s="2">
        <v>45608</v>
      </c>
      <c r="G1904" s="6">
        <v>1</v>
      </c>
      <c r="H1904" s="6">
        <v>1</v>
      </c>
    </row>
    <row r="1905" spans="1:8" ht="14.4" hidden="1">
      <c r="A1905" t="s">
        <v>242</v>
      </c>
      <c r="B1905" t="s">
        <v>564</v>
      </c>
      <c r="C1905" t="s">
        <v>1048</v>
      </c>
      <c r="D1905" s="2">
        <v>45608</v>
      </c>
      <c r="E1905">
        <v>15</v>
      </c>
      <c r="F1905" s="2">
        <v>45629</v>
      </c>
      <c r="G1905" s="6">
        <v>1</v>
      </c>
      <c r="H1905" s="6">
        <v>1</v>
      </c>
    </row>
    <row r="1906" spans="1:8" ht="14.4" hidden="1">
      <c r="A1906" t="s">
        <v>242</v>
      </c>
      <c r="B1906" t="s">
        <v>566</v>
      </c>
      <c r="C1906" t="s">
        <v>1049</v>
      </c>
      <c r="D1906" s="2">
        <v>45629</v>
      </c>
      <c r="E1906">
        <v>50</v>
      </c>
      <c r="F1906" s="2">
        <v>45702</v>
      </c>
      <c r="G1906" s="6">
        <v>1</v>
      </c>
      <c r="H1906" s="6">
        <v>1</v>
      </c>
    </row>
    <row r="1907" spans="1:8" ht="14.4" hidden="1">
      <c r="A1907" t="s">
        <v>242</v>
      </c>
      <c r="B1907">
        <v>4</v>
      </c>
      <c r="C1907" t="s">
        <v>561</v>
      </c>
      <c r="D1907" s="2">
        <v>45638</v>
      </c>
      <c r="E1907">
        <v>118</v>
      </c>
      <c r="F1907" s="2">
        <v>45756</v>
      </c>
      <c r="G1907" s="6">
        <v>1</v>
      </c>
      <c r="H1907" s="6">
        <v>1</v>
      </c>
    </row>
    <row r="1908" spans="1:8" ht="14.4" hidden="1">
      <c r="A1908" t="s">
        <v>242</v>
      </c>
      <c r="B1908" t="s">
        <v>573</v>
      </c>
      <c r="C1908" t="s">
        <v>1050</v>
      </c>
      <c r="D1908" s="2">
        <v>45692</v>
      </c>
      <c r="E1908">
        <v>1</v>
      </c>
      <c r="F1908" s="2">
        <v>45693</v>
      </c>
      <c r="G1908" s="6">
        <v>1</v>
      </c>
      <c r="H1908" s="6">
        <v>1</v>
      </c>
    </row>
    <row r="1909" spans="1:8" ht="14.4" hidden="1">
      <c r="A1909" t="s">
        <v>242</v>
      </c>
      <c r="B1909" t="s">
        <v>575</v>
      </c>
      <c r="C1909" t="s">
        <v>1051</v>
      </c>
      <c r="D1909" s="2">
        <v>45677</v>
      </c>
      <c r="E1909">
        <v>35</v>
      </c>
      <c r="F1909" s="2">
        <v>45726</v>
      </c>
      <c r="G1909" s="6">
        <v>1</v>
      </c>
      <c r="H1909" s="6">
        <v>1</v>
      </c>
    </row>
    <row r="1910" spans="1:8" ht="14.4" hidden="1">
      <c r="A1910" t="s">
        <v>242</v>
      </c>
      <c r="B1910" t="s">
        <v>577</v>
      </c>
      <c r="C1910" t="s">
        <v>1052</v>
      </c>
      <c r="D1910" s="2">
        <v>45677</v>
      </c>
      <c r="E1910">
        <v>42</v>
      </c>
      <c r="F1910" s="2">
        <v>45735</v>
      </c>
      <c r="G1910" s="6">
        <v>1</v>
      </c>
      <c r="H1910" s="6">
        <v>1</v>
      </c>
    </row>
    <row r="1911" spans="1:8" ht="14.4" hidden="1">
      <c r="A1911" t="s">
        <v>242</v>
      </c>
      <c r="B1911" t="s">
        <v>579</v>
      </c>
      <c r="C1911" t="s">
        <v>1053</v>
      </c>
      <c r="D1911" s="2">
        <v>45731</v>
      </c>
      <c r="E1911">
        <v>5</v>
      </c>
      <c r="F1911" s="2">
        <v>45737</v>
      </c>
      <c r="G1911" s="6">
        <v>1</v>
      </c>
      <c r="H1911" s="6">
        <v>1</v>
      </c>
    </row>
    <row r="1912" spans="1:8" ht="14.4" hidden="1">
      <c r="A1912" t="s">
        <v>242</v>
      </c>
      <c r="B1912" t="s">
        <v>615</v>
      </c>
      <c r="C1912" t="s">
        <v>1054</v>
      </c>
      <c r="D1912" s="2">
        <v>45740</v>
      </c>
      <c r="E1912">
        <v>6</v>
      </c>
      <c r="F1912" s="2">
        <v>45748</v>
      </c>
      <c r="G1912" s="6">
        <v>1</v>
      </c>
      <c r="H1912" s="6">
        <v>1</v>
      </c>
    </row>
    <row r="1913" spans="1:8" ht="14.4" hidden="1">
      <c r="A1913" t="s">
        <v>242</v>
      </c>
      <c r="B1913" t="s">
        <v>627</v>
      </c>
      <c r="C1913" t="s">
        <v>1055</v>
      </c>
      <c r="D1913" s="2">
        <v>45737</v>
      </c>
      <c r="E1913">
        <v>2</v>
      </c>
      <c r="F1913" s="2">
        <v>45741</v>
      </c>
      <c r="G1913" s="6">
        <v>1</v>
      </c>
      <c r="H1913" s="6">
        <v>1</v>
      </c>
    </row>
    <row r="1914" spans="1:8" ht="14.4" hidden="1">
      <c r="A1914" t="s">
        <v>242</v>
      </c>
      <c r="B1914" t="s">
        <v>629</v>
      </c>
      <c r="C1914" t="s">
        <v>1056</v>
      </c>
      <c r="D1914" s="2">
        <v>45748</v>
      </c>
      <c r="E1914">
        <v>4</v>
      </c>
      <c r="F1914" s="2">
        <v>45754</v>
      </c>
      <c r="G1914" s="6">
        <v>1</v>
      </c>
      <c r="H1914" s="6">
        <v>1</v>
      </c>
    </row>
    <row r="1915" spans="1:8" ht="14.4" hidden="1">
      <c r="A1915" t="s">
        <v>242</v>
      </c>
      <c r="B1915" t="s">
        <v>630</v>
      </c>
      <c r="C1915" t="s">
        <v>1057</v>
      </c>
      <c r="D1915" s="2">
        <v>45638</v>
      </c>
      <c r="E1915">
        <v>46</v>
      </c>
      <c r="F1915" s="2">
        <v>45707</v>
      </c>
      <c r="G1915" s="6">
        <v>1</v>
      </c>
      <c r="H1915" s="6">
        <v>1</v>
      </c>
    </row>
    <row r="1916" spans="1:8" ht="14.4" hidden="1">
      <c r="A1916" t="s">
        <v>242</v>
      </c>
      <c r="B1916" t="s">
        <v>1035</v>
      </c>
      <c r="C1916" t="s">
        <v>1058</v>
      </c>
      <c r="D1916" s="2">
        <v>45707</v>
      </c>
      <c r="E1916">
        <v>2</v>
      </c>
      <c r="F1916" s="2">
        <v>45709</v>
      </c>
      <c r="G1916" s="6">
        <v>1</v>
      </c>
      <c r="H1916" s="6">
        <v>1</v>
      </c>
    </row>
    <row r="1917" spans="1:8" ht="14.4" hidden="1">
      <c r="A1917" t="s">
        <v>242</v>
      </c>
      <c r="B1917" t="s">
        <v>1059</v>
      </c>
      <c r="C1917" t="s">
        <v>1060</v>
      </c>
      <c r="D1917" s="2">
        <v>45707</v>
      </c>
      <c r="E1917">
        <v>2</v>
      </c>
      <c r="F1917" s="2">
        <v>45709</v>
      </c>
      <c r="G1917" s="6">
        <v>1</v>
      </c>
      <c r="H1917" s="6">
        <v>1</v>
      </c>
    </row>
    <row r="1918" spans="1:8" ht="14.4" hidden="1">
      <c r="A1918" t="s">
        <v>242</v>
      </c>
      <c r="B1918" t="s">
        <v>1061</v>
      </c>
      <c r="C1918" t="s">
        <v>1062</v>
      </c>
      <c r="D1918" s="2">
        <v>45741</v>
      </c>
      <c r="E1918">
        <v>4</v>
      </c>
      <c r="F1918" s="2">
        <v>45747</v>
      </c>
      <c r="G1918" s="6">
        <v>1</v>
      </c>
      <c r="H1918" s="6">
        <v>1</v>
      </c>
    </row>
    <row r="1919" spans="1:8" ht="14.4" hidden="1">
      <c r="A1919" t="s">
        <v>242</v>
      </c>
      <c r="B1919" t="s">
        <v>852</v>
      </c>
      <c r="C1919" t="s">
        <v>1063</v>
      </c>
      <c r="D1919" s="2">
        <v>45751</v>
      </c>
      <c r="E1919">
        <v>3</v>
      </c>
      <c r="F1919" s="2">
        <v>45756</v>
      </c>
      <c r="G1919" s="6">
        <v>1</v>
      </c>
      <c r="H1919" s="6">
        <v>1</v>
      </c>
    </row>
    <row r="1920" spans="1:8" ht="14.4" hidden="1">
      <c r="A1920" t="s">
        <v>242</v>
      </c>
      <c r="B1920" t="s">
        <v>854</v>
      </c>
      <c r="C1920" t="s">
        <v>1064</v>
      </c>
      <c r="D1920" s="2">
        <v>45710</v>
      </c>
      <c r="E1920">
        <v>12</v>
      </c>
      <c r="F1920" s="2">
        <v>45727</v>
      </c>
      <c r="G1920" s="6">
        <v>1</v>
      </c>
      <c r="H1920" s="6">
        <v>1</v>
      </c>
    </row>
    <row r="1921" spans="1:8" ht="14.4" hidden="1">
      <c r="A1921" t="s">
        <v>242</v>
      </c>
      <c r="B1921" t="s">
        <v>856</v>
      </c>
      <c r="C1921" t="s">
        <v>1065</v>
      </c>
      <c r="D1921" s="2">
        <v>45710</v>
      </c>
      <c r="E1921">
        <v>2</v>
      </c>
      <c r="F1921" s="2">
        <v>45713</v>
      </c>
      <c r="G1921" s="6">
        <v>1</v>
      </c>
      <c r="H1921" s="6">
        <v>1</v>
      </c>
    </row>
    <row r="1922" spans="1:8" ht="14.4" hidden="1">
      <c r="A1922" t="s">
        <v>242</v>
      </c>
      <c r="B1922" t="s">
        <v>1066</v>
      </c>
      <c r="C1922" t="s">
        <v>1067</v>
      </c>
      <c r="D1922" s="2">
        <v>45710</v>
      </c>
      <c r="E1922">
        <v>11</v>
      </c>
      <c r="F1922" s="2">
        <v>45726</v>
      </c>
      <c r="G1922" s="6">
        <v>1</v>
      </c>
      <c r="H1922" s="6">
        <v>1</v>
      </c>
    </row>
    <row r="1923" spans="1:8" ht="14.4" hidden="1">
      <c r="A1923" t="s">
        <v>242</v>
      </c>
      <c r="B1923" t="s">
        <v>1068</v>
      </c>
      <c r="C1923" t="s">
        <v>1069</v>
      </c>
      <c r="D1923" s="2">
        <v>45710</v>
      </c>
      <c r="E1923">
        <v>1</v>
      </c>
      <c r="F1923" s="2">
        <v>45710</v>
      </c>
      <c r="G1923" s="6">
        <v>1</v>
      </c>
      <c r="H1923" s="6">
        <v>1</v>
      </c>
    </row>
    <row r="1924" spans="1:8" ht="14.4" hidden="1">
      <c r="A1924" t="s">
        <v>242</v>
      </c>
      <c r="B1924" t="s">
        <v>1070</v>
      </c>
      <c r="C1924" t="s">
        <v>1071</v>
      </c>
      <c r="D1924" s="2">
        <v>45727</v>
      </c>
      <c r="E1924">
        <v>4</v>
      </c>
      <c r="F1924" s="2">
        <v>45733</v>
      </c>
      <c r="G1924" s="6">
        <v>1</v>
      </c>
      <c r="H1924" s="6">
        <v>1</v>
      </c>
    </row>
    <row r="1925" spans="1:8" ht="14.4" hidden="1">
      <c r="A1925" t="s">
        <v>242</v>
      </c>
      <c r="B1925" t="s">
        <v>1072</v>
      </c>
      <c r="C1925" t="s">
        <v>1073</v>
      </c>
      <c r="D1925" s="2">
        <v>45713</v>
      </c>
      <c r="E1925">
        <v>10</v>
      </c>
      <c r="F1925" s="2">
        <v>45727</v>
      </c>
      <c r="G1925" s="6">
        <v>1</v>
      </c>
      <c r="H1925" s="6">
        <v>1</v>
      </c>
    </row>
    <row r="1926" spans="1:8" ht="14.4" hidden="1">
      <c r="A1926" t="s">
        <v>242</v>
      </c>
      <c r="B1926">
        <v>5</v>
      </c>
      <c r="C1926" t="s">
        <v>1074</v>
      </c>
      <c r="D1926" s="2">
        <v>45671</v>
      </c>
      <c r="E1926">
        <v>64</v>
      </c>
      <c r="F1926" s="2">
        <v>45735</v>
      </c>
      <c r="G1926" s="6">
        <v>1</v>
      </c>
      <c r="H1926" s="6">
        <v>1</v>
      </c>
    </row>
    <row r="1927" spans="1:8" ht="14.4" hidden="1">
      <c r="A1927" t="s">
        <v>242</v>
      </c>
      <c r="B1927" t="s">
        <v>582</v>
      </c>
      <c r="C1927" t="s">
        <v>1075</v>
      </c>
      <c r="D1927" s="2">
        <v>45671</v>
      </c>
      <c r="E1927">
        <v>1</v>
      </c>
      <c r="F1927" s="2">
        <v>45672</v>
      </c>
      <c r="G1927" s="6">
        <v>1</v>
      </c>
      <c r="H1927" s="6">
        <v>1</v>
      </c>
    </row>
    <row r="1928" spans="1:8" ht="14.4" hidden="1">
      <c r="A1928" t="s">
        <v>242</v>
      </c>
      <c r="B1928" t="s">
        <v>584</v>
      </c>
      <c r="C1928" t="s">
        <v>1076</v>
      </c>
      <c r="D1928" s="2">
        <v>45722</v>
      </c>
      <c r="E1928">
        <v>1</v>
      </c>
      <c r="F1928" s="2">
        <v>45723</v>
      </c>
      <c r="G1928" s="6">
        <v>1</v>
      </c>
      <c r="H1928" s="6">
        <v>1</v>
      </c>
    </row>
    <row r="1929" spans="1:8" ht="14.4" hidden="1">
      <c r="A1929" t="s">
        <v>242</v>
      </c>
      <c r="B1929" t="s">
        <v>647</v>
      </c>
      <c r="C1929" t="s">
        <v>1077</v>
      </c>
      <c r="D1929" s="2">
        <v>45685</v>
      </c>
      <c r="E1929">
        <v>3</v>
      </c>
      <c r="F1929" s="2">
        <v>45688</v>
      </c>
      <c r="G1929" s="6">
        <v>1</v>
      </c>
      <c r="H1929" s="6">
        <v>1</v>
      </c>
    </row>
    <row r="1930" spans="1:8" ht="14.4" hidden="1">
      <c r="A1930" t="s">
        <v>242</v>
      </c>
      <c r="B1930" t="s">
        <v>649</v>
      </c>
      <c r="C1930" t="s">
        <v>1078</v>
      </c>
      <c r="D1930" s="2">
        <v>45672</v>
      </c>
      <c r="E1930">
        <v>4</v>
      </c>
      <c r="F1930" s="2">
        <v>45678</v>
      </c>
      <c r="G1930" s="6">
        <v>1</v>
      </c>
      <c r="H1930" s="6">
        <v>1</v>
      </c>
    </row>
    <row r="1931" spans="1:8" ht="14.4" hidden="1">
      <c r="A1931" t="s">
        <v>242</v>
      </c>
      <c r="B1931" t="s">
        <v>651</v>
      </c>
      <c r="C1931" t="s">
        <v>1079</v>
      </c>
      <c r="D1931" s="2">
        <v>45686</v>
      </c>
      <c r="E1931">
        <v>35</v>
      </c>
      <c r="F1931" s="2">
        <v>45735</v>
      </c>
      <c r="G1931" s="6">
        <v>1</v>
      </c>
      <c r="H1931" s="6">
        <v>1</v>
      </c>
    </row>
    <row r="1932" spans="1:8" ht="14.4" hidden="1">
      <c r="A1932" t="s">
        <v>242</v>
      </c>
      <c r="B1932" t="s">
        <v>653</v>
      </c>
      <c r="C1932" t="s">
        <v>1080</v>
      </c>
      <c r="D1932" s="2">
        <v>45686</v>
      </c>
      <c r="E1932">
        <v>35</v>
      </c>
      <c r="F1932" s="2">
        <v>45735</v>
      </c>
      <c r="G1932" s="6">
        <v>1</v>
      </c>
      <c r="H1932" s="6">
        <v>1</v>
      </c>
    </row>
    <row r="1933" spans="1:8" ht="14.4" hidden="1">
      <c r="A1933" t="s">
        <v>242</v>
      </c>
      <c r="B1933">
        <v>6</v>
      </c>
      <c r="C1933" t="s">
        <v>1081</v>
      </c>
      <c r="D1933" s="2">
        <v>45671</v>
      </c>
      <c r="E1933">
        <v>87</v>
      </c>
      <c r="F1933" s="2">
        <v>45758</v>
      </c>
      <c r="G1933" s="6">
        <v>1</v>
      </c>
      <c r="H1933" s="6">
        <v>1</v>
      </c>
    </row>
    <row r="1934" spans="1:8" ht="14.4" hidden="1">
      <c r="A1934" t="s">
        <v>242</v>
      </c>
      <c r="B1934" t="s">
        <v>586</v>
      </c>
      <c r="C1934" t="s">
        <v>1075</v>
      </c>
      <c r="D1934" s="2">
        <v>45671</v>
      </c>
      <c r="E1934">
        <v>1</v>
      </c>
      <c r="F1934" s="2">
        <v>45672</v>
      </c>
      <c r="G1934" s="6">
        <v>1</v>
      </c>
      <c r="H1934" s="6">
        <v>1</v>
      </c>
    </row>
    <row r="1935" spans="1:8" ht="14.4" hidden="1">
      <c r="A1935" t="s">
        <v>242</v>
      </c>
      <c r="B1935" t="s">
        <v>587</v>
      </c>
      <c r="C1935" t="s">
        <v>1076</v>
      </c>
      <c r="D1935" s="2">
        <v>45722</v>
      </c>
      <c r="E1935">
        <v>1</v>
      </c>
      <c r="F1935" s="2">
        <v>45723</v>
      </c>
      <c r="G1935" s="6">
        <v>1</v>
      </c>
      <c r="H1935" s="6">
        <v>1</v>
      </c>
    </row>
    <row r="1936" spans="1:8" ht="14.4" hidden="1">
      <c r="A1936" t="s">
        <v>242</v>
      </c>
      <c r="B1936" t="s">
        <v>599</v>
      </c>
      <c r="C1936" t="s">
        <v>1082</v>
      </c>
      <c r="D1936" s="2">
        <v>45685</v>
      </c>
      <c r="E1936">
        <v>3</v>
      </c>
      <c r="F1936" s="2">
        <v>45688</v>
      </c>
      <c r="G1936" s="6">
        <v>1</v>
      </c>
      <c r="H1936" s="6">
        <v>1</v>
      </c>
    </row>
    <row r="1937" spans="1:8" ht="14.4" hidden="1">
      <c r="A1937" t="s">
        <v>242</v>
      </c>
      <c r="B1937" t="s">
        <v>979</v>
      </c>
      <c r="C1937" t="s">
        <v>1083</v>
      </c>
      <c r="D1937" s="2">
        <v>45695</v>
      </c>
      <c r="E1937">
        <v>11</v>
      </c>
      <c r="F1937" s="2">
        <v>45712</v>
      </c>
      <c r="G1937" s="6">
        <v>1</v>
      </c>
      <c r="H1937" s="6">
        <v>1</v>
      </c>
    </row>
    <row r="1938" spans="1:8" ht="14.4" hidden="1">
      <c r="A1938" t="s">
        <v>242</v>
      </c>
      <c r="B1938" t="s">
        <v>981</v>
      </c>
      <c r="C1938" t="s">
        <v>1084</v>
      </c>
      <c r="D1938" s="2">
        <v>45708</v>
      </c>
      <c r="E1938">
        <v>36</v>
      </c>
      <c r="F1938" s="2">
        <v>45758</v>
      </c>
      <c r="G1938" s="6">
        <v>1</v>
      </c>
      <c r="H1938" s="6">
        <v>1</v>
      </c>
    </row>
    <row r="1939" spans="1:8" ht="14.4" hidden="1">
      <c r="A1939" t="s">
        <v>242</v>
      </c>
      <c r="B1939" t="s">
        <v>983</v>
      </c>
      <c r="C1939" t="s">
        <v>1085</v>
      </c>
      <c r="D1939" s="2">
        <v>45708</v>
      </c>
      <c r="E1939">
        <v>36</v>
      </c>
      <c r="F1939" s="2">
        <v>45758</v>
      </c>
      <c r="G1939" s="6">
        <v>1</v>
      </c>
      <c r="H1939" s="6">
        <v>1</v>
      </c>
    </row>
    <row r="1940" spans="1:8" ht="14.4" hidden="1">
      <c r="A1940" t="s">
        <v>242</v>
      </c>
      <c r="B1940">
        <v>7</v>
      </c>
      <c r="C1940" t="s">
        <v>1086</v>
      </c>
      <c r="D1940" s="2">
        <v>45705</v>
      </c>
      <c r="E1940">
        <v>62</v>
      </c>
      <c r="F1940" s="2">
        <v>45767</v>
      </c>
      <c r="G1940" s="6">
        <v>1</v>
      </c>
      <c r="H1940" s="6">
        <v>1</v>
      </c>
    </row>
    <row r="1941" spans="1:8" ht="14.4" hidden="1">
      <c r="A1941" t="s">
        <v>242</v>
      </c>
      <c r="B1941" t="s">
        <v>600</v>
      </c>
      <c r="C1941" t="s">
        <v>1087</v>
      </c>
      <c r="D1941" s="2">
        <v>45715</v>
      </c>
      <c r="E1941">
        <v>1</v>
      </c>
      <c r="F1941" s="2">
        <v>45716</v>
      </c>
      <c r="G1941" s="6">
        <v>1</v>
      </c>
      <c r="H1941" s="6">
        <v>1</v>
      </c>
    </row>
    <row r="1942" spans="1:8" ht="14.4" hidden="1">
      <c r="A1942" t="s">
        <v>242</v>
      </c>
      <c r="B1942" t="s">
        <v>601</v>
      </c>
      <c r="C1942" t="s">
        <v>1088</v>
      </c>
      <c r="D1942" s="2">
        <v>45882</v>
      </c>
      <c r="E1942">
        <v>5</v>
      </c>
      <c r="F1942" s="2">
        <v>45889</v>
      </c>
      <c r="G1942" s="6">
        <v>1</v>
      </c>
      <c r="H1942" s="6">
        <v>1</v>
      </c>
    </row>
    <row r="1943" spans="1:8" ht="14.4" hidden="1">
      <c r="A1943" t="s">
        <v>242</v>
      </c>
      <c r="B1943" t="s">
        <v>908</v>
      </c>
      <c r="C1943" t="s">
        <v>1089</v>
      </c>
      <c r="D1943" s="2">
        <v>45889</v>
      </c>
      <c r="E1943">
        <v>1</v>
      </c>
      <c r="F1943" s="2">
        <v>45890</v>
      </c>
      <c r="G1943" s="6">
        <v>1</v>
      </c>
      <c r="H1943" s="6">
        <v>1</v>
      </c>
    </row>
    <row r="1944" spans="1:8" ht="14.4" hidden="1">
      <c r="A1944" t="s">
        <v>242</v>
      </c>
      <c r="B1944" t="s">
        <v>926</v>
      </c>
      <c r="C1944" t="s">
        <v>1090</v>
      </c>
      <c r="D1944" s="2">
        <v>45715</v>
      </c>
      <c r="E1944">
        <v>1</v>
      </c>
      <c r="F1944" s="2">
        <v>45716</v>
      </c>
      <c r="G1944" s="6">
        <v>1</v>
      </c>
      <c r="H1944" s="6">
        <v>1</v>
      </c>
    </row>
    <row r="1945" spans="1:8" ht="14.4" hidden="1">
      <c r="A1945" t="s">
        <v>242</v>
      </c>
      <c r="B1945" t="s">
        <v>929</v>
      </c>
      <c r="C1945" t="s">
        <v>1091</v>
      </c>
      <c r="D1945" s="2">
        <v>45889</v>
      </c>
      <c r="E1945">
        <v>5</v>
      </c>
      <c r="F1945" s="2">
        <v>45896</v>
      </c>
      <c r="G1945" s="6">
        <v>1</v>
      </c>
      <c r="H1945" s="6">
        <v>1</v>
      </c>
    </row>
    <row r="1946" spans="1:8" ht="14.4" hidden="1">
      <c r="A1946" t="s">
        <v>242</v>
      </c>
      <c r="B1946" t="s">
        <v>930</v>
      </c>
      <c r="C1946" t="s">
        <v>1092</v>
      </c>
      <c r="D1946" s="2">
        <v>45896</v>
      </c>
      <c r="E1946">
        <v>1</v>
      </c>
      <c r="F1946" s="2">
        <v>45897</v>
      </c>
      <c r="G1946" s="6">
        <v>1</v>
      </c>
      <c r="H1946" s="6">
        <v>1</v>
      </c>
    </row>
    <row r="1947" spans="1:8" ht="14.4" hidden="1">
      <c r="A1947" t="s">
        <v>242</v>
      </c>
      <c r="B1947" t="s">
        <v>931</v>
      </c>
      <c r="C1947" t="s">
        <v>1093</v>
      </c>
      <c r="D1947" s="2">
        <v>45758</v>
      </c>
      <c r="E1947">
        <v>10</v>
      </c>
      <c r="F1947" s="2">
        <v>45842</v>
      </c>
      <c r="G1947" s="6">
        <v>1</v>
      </c>
      <c r="H1947" s="6">
        <v>1</v>
      </c>
    </row>
    <row r="1948" spans="1:8" ht="14.4" hidden="1">
      <c r="A1948" t="s">
        <v>242</v>
      </c>
      <c r="B1948" t="s">
        <v>932</v>
      </c>
      <c r="C1948" t="s">
        <v>1094</v>
      </c>
      <c r="D1948" s="2">
        <v>45758</v>
      </c>
      <c r="E1948">
        <v>10</v>
      </c>
      <c r="F1948" s="2">
        <v>45842</v>
      </c>
      <c r="G1948" s="6">
        <v>1</v>
      </c>
      <c r="H1948" s="6">
        <v>1</v>
      </c>
    </row>
    <row r="1949" spans="1:8" ht="14.4" hidden="1">
      <c r="A1949" t="s">
        <v>242</v>
      </c>
      <c r="B1949" t="s">
        <v>1095</v>
      </c>
      <c r="C1949" t="s">
        <v>1096</v>
      </c>
      <c r="D1949" s="2">
        <v>45861</v>
      </c>
      <c r="E1949">
        <v>2</v>
      </c>
      <c r="F1949" s="2">
        <v>45863</v>
      </c>
      <c r="G1949" s="6">
        <v>1</v>
      </c>
      <c r="H1949" s="6">
        <v>1</v>
      </c>
    </row>
    <row r="1950" spans="1:8" ht="14.4" hidden="1">
      <c r="A1950" t="s">
        <v>242</v>
      </c>
      <c r="B1950" t="s">
        <v>1097</v>
      </c>
      <c r="C1950" t="s">
        <v>1098</v>
      </c>
      <c r="D1950" s="2">
        <v>45884</v>
      </c>
      <c r="E1950">
        <v>5</v>
      </c>
      <c r="F1950" s="2">
        <v>45891</v>
      </c>
      <c r="G1950" s="6">
        <v>1</v>
      </c>
      <c r="H1950" s="6">
        <v>1</v>
      </c>
    </row>
    <row r="1951" spans="1:8" ht="14.4" hidden="1">
      <c r="A1951" t="s">
        <v>242</v>
      </c>
      <c r="B1951" t="s">
        <v>1099</v>
      </c>
      <c r="C1951" t="s">
        <v>1100</v>
      </c>
      <c r="D1951" s="2">
        <v>45765</v>
      </c>
      <c r="E1951">
        <v>7</v>
      </c>
      <c r="F1951" s="2">
        <v>45772</v>
      </c>
      <c r="G1951" s="6">
        <v>1</v>
      </c>
      <c r="H1951" s="6">
        <v>1</v>
      </c>
    </row>
    <row r="1952" spans="1:8" ht="14.4" hidden="1">
      <c r="A1952" t="s">
        <v>242</v>
      </c>
      <c r="B1952">
        <v>8</v>
      </c>
      <c r="C1952" t="s">
        <v>240</v>
      </c>
      <c r="D1952" s="2">
        <v>45735</v>
      </c>
      <c r="E1952">
        <v>113</v>
      </c>
      <c r="F1952" s="2">
        <v>45848</v>
      </c>
      <c r="G1952" s="6">
        <v>1</v>
      </c>
      <c r="H1952" s="6">
        <v>1</v>
      </c>
    </row>
    <row r="1953" spans="1:8" ht="14.4" hidden="1">
      <c r="A1953" t="s">
        <v>242</v>
      </c>
      <c r="B1953" t="s">
        <v>602</v>
      </c>
      <c r="C1953" t="s">
        <v>1101</v>
      </c>
      <c r="D1953" s="2">
        <v>45735</v>
      </c>
      <c r="E1953">
        <v>4</v>
      </c>
      <c r="F1953" s="2">
        <v>45741</v>
      </c>
      <c r="G1953" s="6">
        <v>1</v>
      </c>
      <c r="H1953" s="6">
        <v>1</v>
      </c>
    </row>
    <row r="1954" spans="1:8" ht="14.4" hidden="1">
      <c r="A1954" t="s">
        <v>242</v>
      </c>
      <c r="B1954" t="s">
        <v>603</v>
      </c>
      <c r="C1954" t="s">
        <v>1102</v>
      </c>
      <c r="D1954" s="2">
        <v>45741</v>
      </c>
      <c r="E1954">
        <v>5</v>
      </c>
      <c r="F1954" s="2">
        <v>45748</v>
      </c>
      <c r="G1954" s="6">
        <v>1</v>
      </c>
      <c r="H1954" s="6">
        <v>1</v>
      </c>
    </row>
    <row r="1955" spans="1:8" ht="14.4" hidden="1">
      <c r="A1955" t="s">
        <v>242</v>
      </c>
      <c r="B1955" t="s">
        <v>604</v>
      </c>
      <c r="C1955" t="s">
        <v>1103</v>
      </c>
      <c r="D1955" s="2">
        <v>45756</v>
      </c>
      <c r="E1955">
        <v>4</v>
      </c>
      <c r="F1955" s="2">
        <v>45762</v>
      </c>
      <c r="G1955" s="6">
        <v>1</v>
      </c>
      <c r="H1955" s="6">
        <v>1</v>
      </c>
    </row>
    <row r="1956" spans="1:8" ht="14.4" hidden="1">
      <c r="A1956" t="s">
        <v>242</v>
      </c>
      <c r="B1956" t="s">
        <v>1104</v>
      </c>
      <c r="C1956" t="s">
        <v>1105</v>
      </c>
      <c r="D1956" s="2">
        <v>45762</v>
      </c>
      <c r="E1956">
        <v>62</v>
      </c>
      <c r="F1956" s="2">
        <v>45848</v>
      </c>
      <c r="G1956" s="6">
        <v>1</v>
      </c>
      <c r="H1956" s="6">
        <v>1</v>
      </c>
    </row>
    <row r="1957" spans="1:8" ht="14.4" hidden="1">
      <c r="A1957" t="s">
        <v>242</v>
      </c>
      <c r="B1957">
        <v>9</v>
      </c>
      <c r="C1957" t="s">
        <v>588</v>
      </c>
      <c r="D1957" s="2">
        <v>45749</v>
      </c>
      <c r="E1957">
        <v>113</v>
      </c>
      <c r="F1957" s="2">
        <v>45862</v>
      </c>
      <c r="G1957" s="6">
        <v>1</v>
      </c>
      <c r="H1957" s="6">
        <v>1</v>
      </c>
    </row>
    <row r="1958" spans="1:8" ht="14.4" hidden="1">
      <c r="A1958" t="s">
        <v>242</v>
      </c>
      <c r="B1958" t="s">
        <v>1106</v>
      </c>
      <c r="C1958" t="s">
        <v>1107</v>
      </c>
      <c r="D1958" s="2">
        <v>45749</v>
      </c>
      <c r="E1958">
        <v>15</v>
      </c>
      <c r="F1958" s="2">
        <v>45770</v>
      </c>
      <c r="G1958" s="6">
        <v>1</v>
      </c>
      <c r="H1958" s="6">
        <v>1</v>
      </c>
    </row>
    <row r="1959" spans="1:8" ht="14.4" hidden="1">
      <c r="A1959" t="s">
        <v>242</v>
      </c>
      <c r="B1959" t="s">
        <v>1108</v>
      </c>
      <c r="C1959" t="s">
        <v>1109</v>
      </c>
      <c r="D1959" s="2">
        <v>45848</v>
      </c>
      <c r="E1959">
        <v>10</v>
      </c>
      <c r="F1959" s="2">
        <v>45862</v>
      </c>
      <c r="G1959" s="6">
        <v>1</v>
      </c>
      <c r="H1959" s="6">
        <v>1</v>
      </c>
    </row>
    <row r="1960" spans="1:8" ht="14.4" hidden="1">
      <c r="A1960" t="s">
        <v>242</v>
      </c>
      <c r="B1960">
        <v>10</v>
      </c>
      <c r="C1960" t="s">
        <v>590</v>
      </c>
      <c r="D1960" s="2">
        <v>45735</v>
      </c>
      <c r="E1960">
        <v>190</v>
      </c>
      <c r="F1960" s="2">
        <v>45925</v>
      </c>
      <c r="G1960" s="6">
        <v>1</v>
      </c>
      <c r="H1960" s="6">
        <v>1</v>
      </c>
    </row>
    <row r="1961" spans="1:8" ht="14.4" hidden="1">
      <c r="A1961" t="s">
        <v>242</v>
      </c>
      <c r="B1961" t="s">
        <v>1110</v>
      </c>
      <c r="C1961" t="s">
        <v>591</v>
      </c>
      <c r="D1961" s="2">
        <v>45735</v>
      </c>
      <c r="E1961">
        <v>2</v>
      </c>
      <c r="F1961" s="2">
        <v>45737</v>
      </c>
      <c r="G1961" s="6">
        <v>1</v>
      </c>
      <c r="H1961" s="6">
        <v>1</v>
      </c>
    </row>
    <row r="1962" spans="1:8" ht="14.4" hidden="1">
      <c r="A1962" t="s">
        <v>242</v>
      </c>
      <c r="B1962" t="s">
        <v>1111</v>
      </c>
      <c r="C1962" t="s">
        <v>1112</v>
      </c>
      <c r="D1962" s="2">
        <v>45848</v>
      </c>
      <c r="E1962">
        <v>35</v>
      </c>
      <c r="F1962" s="2">
        <v>45897</v>
      </c>
      <c r="G1962" s="6">
        <v>1</v>
      </c>
      <c r="H1962" s="6">
        <v>1</v>
      </c>
    </row>
    <row r="1963" spans="1:8" ht="14.4" hidden="1">
      <c r="A1963" t="s">
        <v>242</v>
      </c>
      <c r="B1963" t="s">
        <v>1113</v>
      </c>
      <c r="C1963" t="s">
        <v>593</v>
      </c>
      <c r="D1963" s="2">
        <v>45848</v>
      </c>
      <c r="E1963">
        <v>30</v>
      </c>
      <c r="F1963" s="2">
        <v>45890</v>
      </c>
      <c r="G1963" s="6">
        <v>1</v>
      </c>
      <c r="H1963" s="6">
        <v>1</v>
      </c>
    </row>
    <row r="1964" spans="1:8" ht="14.4" hidden="1">
      <c r="A1964" t="s">
        <v>242</v>
      </c>
      <c r="B1964" t="s">
        <v>1114</v>
      </c>
      <c r="C1964" t="s">
        <v>594</v>
      </c>
      <c r="D1964" s="2">
        <v>45848</v>
      </c>
      <c r="E1964">
        <v>55</v>
      </c>
      <c r="F1964" s="2">
        <v>45925</v>
      </c>
      <c r="G1964" s="6">
        <v>1</v>
      </c>
      <c r="H1964" s="6">
        <v>1</v>
      </c>
    </row>
    <row r="1965" spans="1:8" ht="14.4" hidden="1">
      <c r="A1965" t="s">
        <v>242</v>
      </c>
      <c r="B1965" t="s">
        <v>1115</v>
      </c>
      <c r="C1965" t="s">
        <v>595</v>
      </c>
      <c r="D1965" s="2">
        <v>45887</v>
      </c>
      <c r="E1965">
        <v>20</v>
      </c>
      <c r="F1965" s="2">
        <v>45915</v>
      </c>
      <c r="G1965" s="6">
        <v>1</v>
      </c>
      <c r="H1965" s="6">
        <v>1</v>
      </c>
    </row>
    <row r="1966" spans="1:8" ht="14.4" hidden="1">
      <c r="A1966" t="s">
        <v>242</v>
      </c>
      <c r="B1966" t="s">
        <v>1116</v>
      </c>
      <c r="C1966" t="s">
        <v>596</v>
      </c>
      <c r="D1966" s="2">
        <v>45862</v>
      </c>
      <c r="E1966">
        <v>45</v>
      </c>
      <c r="F1966" s="2">
        <v>45925</v>
      </c>
      <c r="G1966" s="6">
        <v>1</v>
      </c>
      <c r="H1966" s="6">
        <v>1</v>
      </c>
    </row>
    <row r="1967" spans="1:8" ht="14.4" hidden="1">
      <c r="A1967" t="s">
        <v>244</v>
      </c>
      <c r="B1967">
        <v>1</v>
      </c>
      <c r="C1967" t="s">
        <v>547</v>
      </c>
      <c r="D1967" s="2">
        <v>45594</v>
      </c>
      <c r="E1967">
        <v>91</v>
      </c>
      <c r="F1967" s="2">
        <v>45685</v>
      </c>
      <c r="G1967" s="6">
        <v>1</v>
      </c>
      <c r="H1967" s="6">
        <v>1</v>
      </c>
    </row>
    <row r="1968" spans="1:8" ht="14.4" hidden="1">
      <c r="A1968" t="s">
        <v>244</v>
      </c>
      <c r="B1968" t="s">
        <v>548</v>
      </c>
      <c r="C1968" t="s">
        <v>549</v>
      </c>
      <c r="D1968" s="2">
        <v>45594</v>
      </c>
      <c r="E1968">
        <v>1</v>
      </c>
      <c r="F1968" s="2">
        <v>45595</v>
      </c>
      <c r="G1968" s="6">
        <v>1</v>
      </c>
      <c r="H1968" s="6">
        <v>1</v>
      </c>
    </row>
    <row r="1969" spans="1:8" ht="14.4" hidden="1">
      <c r="A1969" t="s">
        <v>244</v>
      </c>
      <c r="B1969" t="s">
        <v>550</v>
      </c>
      <c r="C1969" t="s">
        <v>551</v>
      </c>
      <c r="D1969" s="2">
        <v>45684</v>
      </c>
      <c r="E1969">
        <v>1</v>
      </c>
      <c r="F1969" s="2">
        <v>45685</v>
      </c>
      <c r="G1969" s="6">
        <v>1</v>
      </c>
      <c r="H1969" s="6">
        <v>1</v>
      </c>
    </row>
    <row r="1970" spans="1:8" ht="14.4" hidden="1">
      <c r="A1970" t="s">
        <v>244</v>
      </c>
      <c r="B1970" t="s">
        <v>552</v>
      </c>
      <c r="C1970" t="s">
        <v>553</v>
      </c>
      <c r="D1970" s="2">
        <v>45670</v>
      </c>
      <c r="E1970">
        <v>15</v>
      </c>
      <c r="F1970" s="2">
        <v>45685</v>
      </c>
      <c r="G1970" s="6">
        <v>1</v>
      </c>
      <c r="H1970" s="6">
        <v>1</v>
      </c>
    </row>
    <row r="1971" spans="1:8" ht="14.4" hidden="1">
      <c r="A1971" t="s">
        <v>244</v>
      </c>
      <c r="B1971" t="s">
        <v>554</v>
      </c>
      <c r="C1971" t="s">
        <v>555</v>
      </c>
      <c r="D1971" s="2">
        <v>45684</v>
      </c>
      <c r="E1971">
        <v>1</v>
      </c>
      <c r="F1971" s="2">
        <v>45685</v>
      </c>
      <c r="G1971" s="6">
        <v>1</v>
      </c>
      <c r="H1971" s="6">
        <v>1</v>
      </c>
    </row>
    <row r="1972" spans="1:8" ht="14.4" hidden="1">
      <c r="A1972" t="s">
        <v>244</v>
      </c>
      <c r="B1972" t="s">
        <v>556</v>
      </c>
      <c r="C1972" t="s">
        <v>557</v>
      </c>
      <c r="D1972" s="2">
        <v>45684</v>
      </c>
      <c r="E1972">
        <v>1</v>
      </c>
      <c r="F1972" s="2">
        <v>45685</v>
      </c>
      <c r="G1972" s="6">
        <v>1</v>
      </c>
      <c r="H1972" s="6">
        <v>1</v>
      </c>
    </row>
    <row r="1973" spans="1:8" ht="14.4" hidden="1">
      <c r="A1973" t="s">
        <v>244</v>
      </c>
      <c r="B1973">
        <v>2</v>
      </c>
      <c r="C1973" t="s">
        <v>558</v>
      </c>
      <c r="D1973" s="2">
        <v>45688</v>
      </c>
      <c r="E1973">
        <v>5</v>
      </c>
      <c r="F1973" s="2">
        <v>45693</v>
      </c>
      <c r="G1973" s="6">
        <v>1</v>
      </c>
      <c r="H1973" s="6">
        <v>1</v>
      </c>
    </row>
    <row r="1974" spans="1:8" ht="14.4" hidden="1">
      <c r="A1974" t="s">
        <v>244</v>
      </c>
      <c r="B1974" t="s">
        <v>559</v>
      </c>
      <c r="C1974" t="s">
        <v>788</v>
      </c>
      <c r="D1974" s="2">
        <v>45688</v>
      </c>
      <c r="E1974">
        <v>3</v>
      </c>
      <c r="F1974" s="2">
        <v>45693</v>
      </c>
      <c r="G1974" s="6">
        <v>1</v>
      </c>
      <c r="H1974" s="6">
        <v>1</v>
      </c>
    </row>
    <row r="1975" spans="1:8" ht="14.4" hidden="1">
      <c r="A1975" t="s">
        <v>244</v>
      </c>
      <c r="B1975">
        <v>3</v>
      </c>
      <c r="C1975" t="s">
        <v>561</v>
      </c>
      <c r="D1975" s="2">
        <v>45681</v>
      </c>
      <c r="E1975">
        <v>35</v>
      </c>
      <c r="F1975" s="2">
        <v>45716</v>
      </c>
      <c r="G1975" s="6">
        <v>1</v>
      </c>
      <c r="H1975" s="6">
        <v>1</v>
      </c>
    </row>
    <row r="1976" spans="1:8" ht="14.4" hidden="1">
      <c r="A1976" t="s">
        <v>244</v>
      </c>
      <c r="B1976" t="s">
        <v>562</v>
      </c>
      <c r="C1976" t="s">
        <v>563</v>
      </c>
      <c r="D1976" s="2">
        <v>45694</v>
      </c>
      <c r="E1976">
        <v>1</v>
      </c>
      <c r="F1976" s="2">
        <v>45695</v>
      </c>
      <c r="G1976" s="6">
        <v>1</v>
      </c>
      <c r="H1976" s="6">
        <v>1</v>
      </c>
    </row>
    <row r="1977" spans="1:8" ht="14.4" hidden="1">
      <c r="A1977" t="s">
        <v>244</v>
      </c>
      <c r="B1977" t="s">
        <v>564</v>
      </c>
      <c r="C1977" t="s">
        <v>565</v>
      </c>
      <c r="D1977" s="2">
        <v>45709</v>
      </c>
      <c r="E1977">
        <v>2</v>
      </c>
      <c r="F1977" s="2">
        <v>45713</v>
      </c>
      <c r="G1977" s="6">
        <v>1</v>
      </c>
      <c r="H1977" s="6">
        <v>1</v>
      </c>
    </row>
    <row r="1978" spans="1:8" ht="14.4" hidden="1">
      <c r="A1978" t="s">
        <v>244</v>
      </c>
      <c r="B1978" t="s">
        <v>566</v>
      </c>
      <c r="C1978" t="s">
        <v>567</v>
      </c>
      <c r="D1978" s="2">
        <v>45681</v>
      </c>
      <c r="E1978">
        <v>20</v>
      </c>
      <c r="F1978" s="2">
        <v>45709</v>
      </c>
      <c r="G1978" s="6">
        <v>1</v>
      </c>
      <c r="H1978" s="6">
        <v>1</v>
      </c>
    </row>
    <row r="1979" spans="1:8" ht="14.4" hidden="1">
      <c r="A1979" t="s">
        <v>244</v>
      </c>
      <c r="B1979" t="s">
        <v>568</v>
      </c>
      <c r="C1979" t="s">
        <v>569</v>
      </c>
      <c r="D1979" s="2">
        <v>45709</v>
      </c>
      <c r="E1979">
        <v>5</v>
      </c>
      <c r="F1979" s="2">
        <v>45716</v>
      </c>
      <c r="G1979" s="6">
        <v>1</v>
      </c>
      <c r="H1979" s="6">
        <v>1</v>
      </c>
    </row>
    <row r="1980" spans="1:8" ht="14.4" hidden="1">
      <c r="A1980" t="s">
        <v>244</v>
      </c>
      <c r="B1980" t="s">
        <v>570</v>
      </c>
      <c r="C1980" t="s">
        <v>571</v>
      </c>
      <c r="D1980" s="2">
        <v>45702</v>
      </c>
      <c r="E1980">
        <v>1</v>
      </c>
      <c r="F1980" s="2">
        <v>45705</v>
      </c>
      <c r="G1980" s="6">
        <v>1</v>
      </c>
      <c r="H1980" s="6">
        <v>1</v>
      </c>
    </row>
    <row r="1981" spans="1:8" ht="14.4" hidden="1">
      <c r="A1981" t="s">
        <v>244</v>
      </c>
      <c r="B1981">
        <v>4</v>
      </c>
      <c r="C1981" t="s">
        <v>572</v>
      </c>
      <c r="D1981" s="2">
        <v>45694</v>
      </c>
      <c r="E1981">
        <v>22</v>
      </c>
      <c r="F1981" s="2">
        <v>45716</v>
      </c>
      <c r="G1981" s="6">
        <v>1</v>
      </c>
      <c r="H1981" s="6">
        <v>1</v>
      </c>
    </row>
    <row r="1982" spans="1:8" ht="14.4" hidden="1">
      <c r="A1982" t="s">
        <v>244</v>
      </c>
      <c r="B1982" t="s">
        <v>573</v>
      </c>
      <c r="C1982" t="s">
        <v>574</v>
      </c>
      <c r="D1982" s="2">
        <v>45694</v>
      </c>
      <c r="E1982">
        <v>1</v>
      </c>
      <c r="F1982" s="2">
        <v>45695</v>
      </c>
      <c r="G1982" s="6">
        <v>1</v>
      </c>
      <c r="H1982" s="6">
        <v>1</v>
      </c>
    </row>
    <row r="1983" spans="1:8" ht="14.4" hidden="1">
      <c r="A1983" t="s">
        <v>244</v>
      </c>
      <c r="B1983" t="s">
        <v>575</v>
      </c>
      <c r="C1983" t="s">
        <v>576</v>
      </c>
      <c r="D1983" s="2">
        <v>45695</v>
      </c>
      <c r="E1983">
        <v>4</v>
      </c>
      <c r="F1983" s="2">
        <v>45701</v>
      </c>
      <c r="G1983" s="6">
        <v>1</v>
      </c>
      <c r="H1983" s="6">
        <v>1</v>
      </c>
    </row>
    <row r="1984" spans="1:8" ht="14.4" hidden="1">
      <c r="A1984" t="s">
        <v>244</v>
      </c>
      <c r="B1984" t="s">
        <v>577</v>
      </c>
      <c r="C1984" t="s">
        <v>578</v>
      </c>
      <c r="D1984" s="2">
        <v>45694</v>
      </c>
      <c r="E1984">
        <v>1</v>
      </c>
      <c r="F1984" s="2">
        <v>45695</v>
      </c>
      <c r="G1984" s="6">
        <v>1</v>
      </c>
      <c r="H1984" s="6">
        <v>1</v>
      </c>
    </row>
    <row r="1985" spans="1:8" ht="14.4" hidden="1">
      <c r="A1985" t="s">
        <v>244</v>
      </c>
      <c r="B1985" t="s">
        <v>579</v>
      </c>
      <c r="C1985" t="s">
        <v>580</v>
      </c>
      <c r="D1985" s="2">
        <v>45709</v>
      </c>
      <c r="E1985">
        <v>5</v>
      </c>
      <c r="F1985" s="2">
        <v>45716</v>
      </c>
      <c r="G1985" s="6">
        <v>1</v>
      </c>
      <c r="H1985" s="6">
        <v>1</v>
      </c>
    </row>
    <row r="1986" spans="1:8" ht="14.4" hidden="1">
      <c r="A1986" t="s">
        <v>244</v>
      </c>
      <c r="B1986">
        <v>5</v>
      </c>
      <c r="C1986" t="s">
        <v>581</v>
      </c>
      <c r="D1986" s="2">
        <v>45694</v>
      </c>
      <c r="E1986">
        <v>18</v>
      </c>
      <c r="F1986" s="2">
        <v>45712</v>
      </c>
      <c r="G1986" s="6">
        <v>1</v>
      </c>
      <c r="H1986" s="6">
        <v>1</v>
      </c>
    </row>
    <row r="1987" spans="1:8" ht="14.4" hidden="1">
      <c r="A1987" t="s">
        <v>244</v>
      </c>
      <c r="B1987" t="s">
        <v>582</v>
      </c>
      <c r="C1987" t="s">
        <v>583</v>
      </c>
      <c r="D1987" s="2">
        <v>45694</v>
      </c>
      <c r="E1987">
        <v>1</v>
      </c>
      <c r="F1987" s="2">
        <v>45695</v>
      </c>
      <c r="G1987" s="6">
        <v>1</v>
      </c>
      <c r="H1987" s="6">
        <v>1</v>
      </c>
    </row>
    <row r="1988" spans="1:8" ht="14.4" hidden="1">
      <c r="A1988" t="s">
        <v>244</v>
      </c>
      <c r="B1988" t="s">
        <v>584</v>
      </c>
      <c r="C1988" t="s">
        <v>585</v>
      </c>
      <c r="D1988" s="2">
        <v>45694</v>
      </c>
      <c r="E1988">
        <v>12</v>
      </c>
      <c r="F1988" s="2">
        <v>45712</v>
      </c>
      <c r="G1988" s="6">
        <v>1</v>
      </c>
      <c r="H1988" s="6">
        <v>1</v>
      </c>
    </row>
    <row r="1989" spans="1:8" ht="14.4" hidden="1">
      <c r="A1989" t="s">
        <v>244</v>
      </c>
      <c r="B1989">
        <v>6</v>
      </c>
      <c r="C1989" t="s">
        <v>240</v>
      </c>
      <c r="D1989" s="2">
        <v>45716</v>
      </c>
      <c r="E1989">
        <v>6</v>
      </c>
      <c r="F1989" s="2">
        <v>45722</v>
      </c>
      <c r="G1989" s="6">
        <v>1</v>
      </c>
      <c r="H1989" s="6">
        <v>1</v>
      </c>
    </row>
    <row r="1990" spans="1:8" ht="14.4" hidden="1">
      <c r="A1990" t="s">
        <v>244</v>
      </c>
      <c r="B1990" t="s">
        <v>586</v>
      </c>
      <c r="C1990" t="s">
        <v>240</v>
      </c>
      <c r="D1990" s="2">
        <v>45716</v>
      </c>
      <c r="E1990">
        <v>1</v>
      </c>
      <c r="F1990" s="2">
        <v>45719</v>
      </c>
      <c r="G1990" s="6">
        <v>1</v>
      </c>
      <c r="H1990" s="6">
        <v>1</v>
      </c>
    </row>
    <row r="1991" spans="1:8" ht="14.4" hidden="1">
      <c r="A1991" t="s">
        <v>244</v>
      </c>
      <c r="B1991" t="s">
        <v>587</v>
      </c>
      <c r="C1991" t="s">
        <v>169</v>
      </c>
      <c r="D1991" s="2">
        <v>45716</v>
      </c>
      <c r="E1991">
        <v>4</v>
      </c>
      <c r="F1991" s="2">
        <v>45722</v>
      </c>
      <c r="G1991" s="6">
        <v>1</v>
      </c>
      <c r="H1991" s="6">
        <v>1</v>
      </c>
    </row>
    <row r="1992" spans="1:8" ht="14.4" hidden="1">
      <c r="A1992" t="s">
        <v>244</v>
      </c>
      <c r="B1992">
        <v>7</v>
      </c>
      <c r="C1992" t="s">
        <v>588</v>
      </c>
      <c r="D1992" s="2">
        <v>45716</v>
      </c>
      <c r="E1992">
        <v>17</v>
      </c>
      <c r="F1992" s="2">
        <v>45733</v>
      </c>
      <c r="G1992" s="6">
        <v>1</v>
      </c>
      <c r="H1992" s="6">
        <v>1</v>
      </c>
    </row>
    <row r="1993" spans="1:8" ht="14.4" hidden="1">
      <c r="A1993" t="s">
        <v>244</v>
      </c>
      <c r="B1993">
        <v>7.1</v>
      </c>
      <c r="C1993" t="s">
        <v>589</v>
      </c>
      <c r="D1993" s="2">
        <v>45716</v>
      </c>
      <c r="E1993">
        <v>11</v>
      </c>
      <c r="F1993" s="2">
        <v>45733</v>
      </c>
      <c r="G1993" s="6">
        <v>1</v>
      </c>
      <c r="H1993" s="6">
        <v>1</v>
      </c>
    </row>
    <row r="1994" spans="1:8" ht="14.4" hidden="1">
      <c r="A1994" t="s">
        <v>244</v>
      </c>
      <c r="B1994">
        <v>8</v>
      </c>
      <c r="C1994" t="s">
        <v>590</v>
      </c>
      <c r="D1994" s="2">
        <v>45716</v>
      </c>
      <c r="E1994">
        <v>171</v>
      </c>
      <c r="F1994" s="2">
        <v>45887</v>
      </c>
      <c r="G1994" s="6">
        <v>1</v>
      </c>
      <c r="H1994" s="6">
        <v>1</v>
      </c>
    </row>
    <row r="1995" spans="1:8" ht="14.4" hidden="1">
      <c r="A1995" t="s">
        <v>244</v>
      </c>
      <c r="B1995">
        <v>8.1</v>
      </c>
      <c r="C1995" t="s">
        <v>591</v>
      </c>
      <c r="D1995" s="2">
        <v>45716</v>
      </c>
      <c r="E1995">
        <v>2</v>
      </c>
      <c r="F1995" s="2">
        <v>45720</v>
      </c>
      <c r="G1995" s="6">
        <v>1</v>
      </c>
      <c r="H1995" s="6">
        <v>1</v>
      </c>
    </row>
    <row r="1996" spans="1:8" ht="14.4" hidden="1">
      <c r="A1996" t="s">
        <v>244</v>
      </c>
      <c r="B1996">
        <v>8.1999999999999993</v>
      </c>
      <c r="C1996" t="s">
        <v>592</v>
      </c>
      <c r="D1996" s="2">
        <v>45733</v>
      </c>
      <c r="E1996">
        <v>10</v>
      </c>
      <c r="F1996" s="2">
        <v>45747</v>
      </c>
      <c r="G1996" s="6">
        <v>1</v>
      </c>
      <c r="H1996" s="6">
        <v>1</v>
      </c>
    </row>
    <row r="1997" spans="1:8" ht="14.4" hidden="1">
      <c r="A1997" t="s">
        <v>244</v>
      </c>
      <c r="B1997">
        <v>8.3000000000000007</v>
      </c>
      <c r="C1997" t="s">
        <v>593</v>
      </c>
      <c r="D1997" s="2">
        <v>45716</v>
      </c>
      <c r="E1997">
        <v>10</v>
      </c>
      <c r="F1997" s="2">
        <v>45730</v>
      </c>
      <c r="G1997" s="6">
        <v>1</v>
      </c>
      <c r="H1997" s="6">
        <v>1</v>
      </c>
    </row>
    <row r="1998" spans="1:8" ht="14.4" hidden="1">
      <c r="A1998" t="s">
        <v>244</v>
      </c>
      <c r="B1998">
        <v>8.4</v>
      </c>
      <c r="C1998" t="s">
        <v>594</v>
      </c>
      <c r="D1998" s="2">
        <v>45747</v>
      </c>
      <c r="E1998">
        <v>10</v>
      </c>
      <c r="F1998" s="2">
        <v>45761</v>
      </c>
      <c r="G1998" s="6">
        <v>1</v>
      </c>
      <c r="H1998" s="6">
        <v>1</v>
      </c>
    </row>
    <row r="1999" spans="1:8" ht="14.4" hidden="1">
      <c r="A1999" t="s">
        <v>244</v>
      </c>
      <c r="B1999">
        <v>8.5</v>
      </c>
      <c r="C1999" t="s">
        <v>595</v>
      </c>
      <c r="D1999" s="2">
        <v>45884</v>
      </c>
      <c r="E1999">
        <v>1</v>
      </c>
      <c r="F1999" s="2">
        <v>45887</v>
      </c>
      <c r="G1999" s="6">
        <v>1</v>
      </c>
      <c r="H1999" s="6">
        <v>1</v>
      </c>
    </row>
    <row r="2000" spans="1:8" ht="14.4" hidden="1">
      <c r="A2000" t="s">
        <v>244</v>
      </c>
      <c r="B2000">
        <v>8.6</v>
      </c>
      <c r="C2000" t="s">
        <v>596</v>
      </c>
      <c r="D2000" s="2">
        <v>45722</v>
      </c>
      <c r="E2000">
        <v>5</v>
      </c>
      <c r="F2000" s="2">
        <v>45729</v>
      </c>
      <c r="G2000" s="6">
        <v>1</v>
      </c>
      <c r="H2000" s="6">
        <v>1</v>
      </c>
    </row>
    <row r="2001" spans="1:8" ht="14.4" hidden="1">
      <c r="A2001" t="s">
        <v>246</v>
      </c>
      <c r="B2001">
        <v>1</v>
      </c>
      <c r="C2001" t="s">
        <v>547</v>
      </c>
      <c r="D2001" s="2">
        <v>45776</v>
      </c>
      <c r="E2001">
        <v>17</v>
      </c>
      <c r="F2001" s="2">
        <v>45793</v>
      </c>
      <c r="G2001" s="6">
        <v>1</v>
      </c>
      <c r="H2001" s="6">
        <v>1</v>
      </c>
    </row>
    <row r="2002" spans="1:8" ht="14.4" hidden="1">
      <c r="A2002" t="s">
        <v>246</v>
      </c>
      <c r="B2002" t="s">
        <v>548</v>
      </c>
      <c r="C2002" t="s">
        <v>549</v>
      </c>
      <c r="D2002" s="2">
        <v>45790</v>
      </c>
      <c r="E2002">
        <v>1</v>
      </c>
      <c r="F2002" s="2">
        <v>45791</v>
      </c>
      <c r="G2002" s="6">
        <v>1</v>
      </c>
      <c r="H2002" s="6">
        <v>1</v>
      </c>
    </row>
    <row r="2003" spans="1:8" ht="14.4" hidden="1">
      <c r="A2003" t="s">
        <v>246</v>
      </c>
      <c r="B2003" t="s">
        <v>550</v>
      </c>
      <c r="C2003" t="s">
        <v>551</v>
      </c>
      <c r="D2003" s="2">
        <v>45792</v>
      </c>
      <c r="E2003">
        <v>1</v>
      </c>
      <c r="F2003" s="2">
        <v>45793</v>
      </c>
      <c r="G2003" s="6">
        <v>1</v>
      </c>
      <c r="H2003" s="6">
        <v>1</v>
      </c>
    </row>
    <row r="2004" spans="1:8" ht="14.4" hidden="1">
      <c r="A2004" t="s">
        <v>246</v>
      </c>
      <c r="B2004" t="s">
        <v>552</v>
      </c>
      <c r="C2004" t="s">
        <v>553</v>
      </c>
      <c r="D2004" s="2">
        <v>45776</v>
      </c>
      <c r="E2004">
        <v>10</v>
      </c>
      <c r="F2004" s="2">
        <v>45791</v>
      </c>
      <c r="G2004" s="6">
        <v>1</v>
      </c>
      <c r="H2004" s="6">
        <v>1</v>
      </c>
    </row>
    <row r="2005" spans="1:8" ht="14.4" hidden="1">
      <c r="A2005" t="s">
        <v>246</v>
      </c>
      <c r="B2005" t="s">
        <v>554</v>
      </c>
      <c r="C2005" t="s">
        <v>555</v>
      </c>
      <c r="D2005" s="2">
        <v>45791</v>
      </c>
      <c r="E2005">
        <v>1</v>
      </c>
      <c r="F2005" s="2">
        <v>45792</v>
      </c>
      <c r="G2005" s="6">
        <v>1</v>
      </c>
      <c r="H2005" s="6">
        <v>1</v>
      </c>
    </row>
    <row r="2006" spans="1:8" ht="14.4" hidden="1">
      <c r="A2006" t="s">
        <v>246</v>
      </c>
      <c r="B2006" t="s">
        <v>556</v>
      </c>
      <c r="C2006" t="s">
        <v>557</v>
      </c>
      <c r="D2006" s="2">
        <v>45785</v>
      </c>
      <c r="E2006">
        <v>1</v>
      </c>
      <c r="F2006" s="2">
        <v>45786</v>
      </c>
      <c r="G2006" s="6">
        <v>1</v>
      </c>
      <c r="H2006" s="6">
        <v>1</v>
      </c>
    </row>
    <row r="2007" spans="1:8" ht="14.4" hidden="1">
      <c r="A2007" t="s">
        <v>246</v>
      </c>
      <c r="B2007">
        <v>2</v>
      </c>
      <c r="C2007" t="s">
        <v>558</v>
      </c>
      <c r="D2007" s="2">
        <v>45818</v>
      </c>
      <c r="E2007">
        <v>1</v>
      </c>
      <c r="F2007" s="2">
        <v>45819</v>
      </c>
      <c r="G2007" s="6">
        <v>1</v>
      </c>
      <c r="H2007" s="6">
        <v>1</v>
      </c>
    </row>
    <row r="2008" spans="1:8" ht="14.4" hidden="1">
      <c r="A2008" t="s">
        <v>246</v>
      </c>
      <c r="B2008" t="s">
        <v>559</v>
      </c>
      <c r="C2008" t="s">
        <v>560</v>
      </c>
      <c r="D2008" s="2">
        <v>45818</v>
      </c>
      <c r="E2008">
        <v>1</v>
      </c>
      <c r="F2008" s="2">
        <v>45819</v>
      </c>
      <c r="G2008" s="6">
        <v>1</v>
      </c>
      <c r="H2008" s="6">
        <v>1</v>
      </c>
    </row>
    <row r="2009" spans="1:8" ht="14.4" hidden="1">
      <c r="A2009" t="s">
        <v>246</v>
      </c>
      <c r="B2009">
        <v>3</v>
      </c>
      <c r="C2009" t="s">
        <v>561</v>
      </c>
      <c r="D2009" s="2">
        <v>45797</v>
      </c>
      <c r="E2009">
        <v>272</v>
      </c>
      <c r="F2009" s="2">
        <v>46069</v>
      </c>
      <c r="G2009" s="6">
        <v>0.87906976744186049</v>
      </c>
      <c r="H2009" s="6">
        <v>0.66124001536051891</v>
      </c>
    </row>
    <row r="2010" spans="1:8" ht="14.4" hidden="1">
      <c r="A2010" t="s">
        <v>246</v>
      </c>
      <c r="B2010" t="s">
        <v>562</v>
      </c>
      <c r="C2010" t="s">
        <v>563</v>
      </c>
      <c r="D2010" s="2">
        <v>45819</v>
      </c>
      <c r="E2010">
        <v>1</v>
      </c>
      <c r="F2010" s="2">
        <v>45820</v>
      </c>
      <c r="G2010" s="6">
        <v>1</v>
      </c>
      <c r="H2010" s="6">
        <v>1</v>
      </c>
    </row>
    <row r="2011" spans="1:8" ht="14.4" hidden="1">
      <c r="A2011" t="s">
        <v>246</v>
      </c>
      <c r="B2011" t="s">
        <v>564</v>
      </c>
      <c r="C2011" t="s">
        <v>565</v>
      </c>
      <c r="D2011" s="2">
        <v>45889</v>
      </c>
      <c r="E2011">
        <v>1</v>
      </c>
      <c r="F2011" s="2">
        <v>45890</v>
      </c>
      <c r="G2011" s="6">
        <v>1</v>
      </c>
      <c r="H2011" s="6">
        <v>1</v>
      </c>
    </row>
    <row r="2012" spans="1:8" ht="14.4" hidden="1">
      <c r="A2012" t="s">
        <v>246</v>
      </c>
      <c r="B2012" t="s">
        <v>566</v>
      </c>
      <c r="C2012" t="s">
        <v>567</v>
      </c>
      <c r="D2012" s="2">
        <v>45797</v>
      </c>
      <c r="E2012">
        <v>25</v>
      </c>
      <c r="F2012" s="2">
        <v>45833</v>
      </c>
      <c r="G2012" s="6">
        <v>1</v>
      </c>
      <c r="H2012" s="6">
        <v>1</v>
      </c>
    </row>
    <row r="2013" spans="1:8" ht="14.4" hidden="1">
      <c r="A2013" t="s">
        <v>246</v>
      </c>
      <c r="B2013" t="s">
        <v>568</v>
      </c>
      <c r="C2013" t="s">
        <v>569</v>
      </c>
      <c r="D2013" s="2">
        <v>45889</v>
      </c>
      <c r="E2013">
        <v>180</v>
      </c>
      <c r="F2013" s="2">
        <v>46069</v>
      </c>
      <c r="G2013" s="6">
        <v>0.9</v>
      </c>
      <c r="H2013" s="6">
        <v>0.97222222222222221</v>
      </c>
    </row>
    <row r="2014" spans="1:8" ht="14.4" hidden="1">
      <c r="A2014" t="s">
        <v>246</v>
      </c>
      <c r="B2014" t="s">
        <v>570</v>
      </c>
      <c r="C2014" t="s">
        <v>1117</v>
      </c>
      <c r="D2014" s="2">
        <v>46056</v>
      </c>
      <c r="E2014">
        <v>7</v>
      </c>
      <c r="F2014" s="2">
        <v>46065</v>
      </c>
      <c r="G2014" s="6">
        <v>0.1</v>
      </c>
      <c r="H2014" s="6">
        <v>0.88888888888888884</v>
      </c>
    </row>
    <row r="2015" spans="1:8" ht="14.4" hidden="1">
      <c r="A2015" t="s">
        <v>246</v>
      </c>
      <c r="B2015" t="s">
        <v>619</v>
      </c>
      <c r="C2015" t="s">
        <v>571</v>
      </c>
      <c r="D2015" s="2">
        <v>46065</v>
      </c>
      <c r="E2015">
        <v>1</v>
      </c>
      <c r="F2015" s="2">
        <v>46066</v>
      </c>
      <c r="G2015" s="6">
        <v>0</v>
      </c>
      <c r="H2015" s="6">
        <v>0</v>
      </c>
    </row>
    <row r="2016" spans="1:8" ht="14.4" hidden="1">
      <c r="A2016" t="s">
        <v>246</v>
      </c>
      <c r="B2016">
        <v>4</v>
      </c>
      <c r="C2016" t="s">
        <v>572</v>
      </c>
      <c r="D2016" s="2">
        <v>45818</v>
      </c>
      <c r="E2016">
        <v>143</v>
      </c>
      <c r="F2016" s="2">
        <v>45961</v>
      </c>
      <c r="G2016" s="6">
        <v>0.95454545454545459</v>
      </c>
      <c r="H2016" s="6">
        <v>0.75020171402403124</v>
      </c>
    </row>
    <row r="2017" spans="1:8" ht="14.4" hidden="1">
      <c r="A2017" t="s">
        <v>246</v>
      </c>
      <c r="B2017" t="s">
        <v>573</v>
      </c>
      <c r="C2017" t="s">
        <v>613</v>
      </c>
      <c r="E2017"/>
      <c r="G2017" s="6">
        <v>0</v>
      </c>
      <c r="H2017" s="6">
        <v>0</v>
      </c>
    </row>
    <row r="2018" spans="1:8" ht="14.4" hidden="1">
      <c r="A2018" t="s">
        <v>246</v>
      </c>
      <c r="B2018" t="s">
        <v>573</v>
      </c>
      <c r="C2018" t="s">
        <v>574</v>
      </c>
      <c r="D2018" s="2">
        <v>45819</v>
      </c>
      <c r="E2018">
        <v>1</v>
      </c>
      <c r="F2018" s="2">
        <v>45820</v>
      </c>
      <c r="G2018" s="6">
        <v>1</v>
      </c>
      <c r="H2018" s="6">
        <v>1</v>
      </c>
    </row>
    <row r="2019" spans="1:8" ht="14.4" hidden="1">
      <c r="A2019" t="s">
        <v>246</v>
      </c>
      <c r="B2019" t="s">
        <v>575</v>
      </c>
      <c r="C2019" t="s">
        <v>576</v>
      </c>
      <c r="D2019" s="2">
        <v>45818</v>
      </c>
      <c r="E2019">
        <v>6</v>
      </c>
      <c r="F2019" s="2">
        <v>45827</v>
      </c>
      <c r="G2019" s="6">
        <v>1</v>
      </c>
      <c r="H2019" s="6">
        <v>1</v>
      </c>
    </row>
    <row r="2020" spans="1:8" ht="14.4" hidden="1">
      <c r="A2020" t="s">
        <v>246</v>
      </c>
      <c r="B2020" t="s">
        <v>577</v>
      </c>
      <c r="C2020" t="s">
        <v>578</v>
      </c>
      <c r="D2020" s="2">
        <v>45819</v>
      </c>
      <c r="E2020">
        <v>1</v>
      </c>
      <c r="F2020" s="2">
        <v>45820</v>
      </c>
      <c r="G2020" s="6">
        <v>1</v>
      </c>
      <c r="H2020" s="6">
        <v>1</v>
      </c>
    </row>
    <row r="2021" spans="1:8" ht="14.4" hidden="1">
      <c r="A2021" t="s">
        <v>246</v>
      </c>
      <c r="B2021" t="s">
        <v>577</v>
      </c>
      <c r="C2021" t="s">
        <v>580</v>
      </c>
      <c r="D2021" s="2">
        <v>45943</v>
      </c>
      <c r="E2021">
        <v>14</v>
      </c>
      <c r="F2021" s="2">
        <v>45961</v>
      </c>
      <c r="G2021" s="6">
        <v>1</v>
      </c>
      <c r="H2021" s="6">
        <v>1</v>
      </c>
    </row>
    <row r="2022" spans="1:8" ht="14.4" hidden="1">
      <c r="A2022" t="s">
        <v>246</v>
      </c>
      <c r="B2022">
        <v>5</v>
      </c>
      <c r="C2022" t="s">
        <v>581</v>
      </c>
      <c r="D2022" s="2">
        <v>45819</v>
      </c>
      <c r="E2022">
        <v>51</v>
      </c>
      <c r="F2022" s="2">
        <v>45870</v>
      </c>
      <c r="G2022" s="6">
        <v>1</v>
      </c>
      <c r="H2022" s="6">
        <v>1</v>
      </c>
    </row>
    <row r="2023" spans="1:8" ht="14.4" hidden="1">
      <c r="A2023" t="s">
        <v>246</v>
      </c>
      <c r="B2023" t="s">
        <v>582</v>
      </c>
      <c r="C2023" t="s">
        <v>583</v>
      </c>
      <c r="D2023" s="2">
        <v>45819</v>
      </c>
      <c r="E2023">
        <v>1</v>
      </c>
      <c r="F2023" s="2">
        <v>45820</v>
      </c>
      <c r="G2023" s="6">
        <v>1</v>
      </c>
      <c r="H2023" s="6">
        <v>1</v>
      </c>
    </row>
    <row r="2024" spans="1:8" ht="14.4" hidden="1">
      <c r="A2024" t="s">
        <v>246</v>
      </c>
      <c r="B2024" t="s">
        <v>584</v>
      </c>
      <c r="C2024" t="s">
        <v>585</v>
      </c>
      <c r="D2024" s="2">
        <v>45820</v>
      </c>
      <c r="E2024">
        <v>35</v>
      </c>
      <c r="F2024" s="2">
        <v>45870</v>
      </c>
      <c r="G2024" s="6">
        <v>1</v>
      </c>
      <c r="H2024" s="6">
        <v>1</v>
      </c>
    </row>
    <row r="2025" spans="1:8" ht="14.4" hidden="1">
      <c r="A2025" t="s">
        <v>246</v>
      </c>
      <c r="B2025">
        <v>6</v>
      </c>
      <c r="C2025" t="s">
        <v>240</v>
      </c>
      <c r="D2025" s="2">
        <v>45943</v>
      </c>
      <c r="E2025">
        <v>127</v>
      </c>
      <c r="F2025" s="2">
        <v>46070</v>
      </c>
      <c r="G2025" s="6">
        <v>0.54878048780487809</v>
      </c>
      <c r="H2025" s="6">
        <v>0.33324641082474976</v>
      </c>
    </row>
    <row r="2026" spans="1:8" ht="14.4" hidden="1">
      <c r="A2026" t="s">
        <v>246</v>
      </c>
      <c r="B2026" t="s">
        <v>586</v>
      </c>
      <c r="C2026" t="s">
        <v>1118</v>
      </c>
      <c r="D2026" s="2">
        <v>45943</v>
      </c>
      <c r="E2026">
        <v>45</v>
      </c>
      <c r="F2026" s="2">
        <v>46006</v>
      </c>
      <c r="G2026" s="6">
        <v>1</v>
      </c>
      <c r="H2026" s="6">
        <v>1</v>
      </c>
    </row>
    <row r="2027" spans="1:8" ht="14.4" hidden="1">
      <c r="A2027" t="s">
        <v>246</v>
      </c>
      <c r="B2027" t="s">
        <v>587</v>
      </c>
      <c r="C2027" t="s">
        <v>1119</v>
      </c>
      <c r="D2027" s="2">
        <v>45943</v>
      </c>
      <c r="E2027">
        <v>35</v>
      </c>
      <c r="F2027" s="2">
        <v>45978</v>
      </c>
      <c r="G2027" s="6">
        <v>1</v>
      </c>
      <c r="H2027" s="6">
        <v>1</v>
      </c>
    </row>
    <row r="2028" spans="1:8" ht="14.4" hidden="1">
      <c r="A2028" t="s">
        <v>246</v>
      </c>
      <c r="B2028" t="s">
        <v>599</v>
      </c>
      <c r="C2028" t="s">
        <v>169</v>
      </c>
      <c r="D2028" s="2">
        <v>46068</v>
      </c>
      <c r="E2028">
        <v>2</v>
      </c>
      <c r="F2028" s="2">
        <v>46070</v>
      </c>
      <c r="G2028" s="6">
        <v>0</v>
      </c>
      <c r="H2028" s="6">
        <v>0</v>
      </c>
    </row>
    <row r="2029" spans="1:8" ht="14.4" hidden="1">
      <c r="A2029" t="s">
        <v>246</v>
      </c>
      <c r="B2029">
        <v>7</v>
      </c>
      <c r="C2029" t="s">
        <v>588</v>
      </c>
      <c r="D2029" s="2">
        <v>46042</v>
      </c>
      <c r="E2029">
        <v>1</v>
      </c>
      <c r="F2029" s="2">
        <v>46043</v>
      </c>
      <c r="G2029" s="6">
        <v>1</v>
      </c>
      <c r="H2029" s="6">
        <v>1</v>
      </c>
    </row>
    <row r="2030" spans="1:8" ht="14.4" hidden="1">
      <c r="A2030" t="s">
        <v>246</v>
      </c>
      <c r="B2030">
        <v>7.1</v>
      </c>
      <c r="C2030" t="s">
        <v>589</v>
      </c>
      <c r="D2030" s="2">
        <v>46042</v>
      </c>
      <c r="E2030">
        <v>1</v>
      </c>
      <c r="F2030" s="2">
        <v>46043</v>
      </c>
      <c r="G2030" s="6">
        <v>1</v>
      </c>
      <c r="H2030" s="6">
        <v>1</v>
      </c>
    </row>
    <row r="2031" spans="1:8" ht="14.4" hidden="1">
      <c r="A2031" t="s">
        <v>246</v>
      </c>
      <c r="B2031">
        <v>8</v>
      </c>
      <c r="C2031" t="s">
        <v>590</v>
      </c>
      <c r="D2031" s="2">
        <v>46071</v>
      </c>
      <c r="E2031">
        <v>16</v>
      </c>
      <c r="F2031" s="2">
        <v>46087</v>
      </c>
      <c r="G2031" s="6">
        <v>0</v>
      </c>
      <c r="H2031" s="6">
        <v>0</v>
      </c>
    </row>
    <row r="2032" spans="1:8" ht="14.4" hidden="1">
      <c r="A2032" t="s">
        <v>246</v>
      </c>
      <c r="B2032">
        <v>8.1</v>
      </c>
      <c r="C2032" t="s">
        <v>591</v>
      </c>
      <c r="D2032" s="2">
        <v>46071</v>
      </c>
      <c r="E2032">
        <v>2</v>
      </c>
      <c r="F2032" s="2">
        <v>46073</v>
      </c>
      <c r="G2032" s="6">
        <v>0</v>
      </c>
      <c r="H2032" s="6">
        <v>0</v>
      </c>
    </row>
    <row r="2033" spans="1:8" ht="14.4" hidden="1">
      <c r="A2033" t="s">
        <v>246</v>
      </c>
      <c r="B2033">
        <v>8.1999999999999993</v>
      </c>
      <c r="C2033" t="s">
        <v>592</v>
      </c>
      <c r="D2033" s="2">
        <v>46073</v>
      </c>
      <c r="E2033">
        <v>5</v>
      </c>
      <c r="F2033" s="2">
        <v>46080</v>
      </c>
      <c r="G2033" s="6">
        <v>0</v>
      </c>
      <c r="H2033" s="6">
        <v>0</v>
      </c>
    </row>
    <row r="2034" spans="1:8" ht="14.4" hidden="1">
      <c r="A2034" t="s">
        <v>246</v>
      </c>
      <c r="B2034">
        <v>8.3000000000000007</v>
      </c>
      <c r="C2034" t="s">
        <v>593</v>
      </c>
      <c r="D2034" s="2">
        <v>46080</v>
      </c>
      <c r="E2034">
        <v>5</v>
      </c>
      <c r="F2034" s="2">
        <v>46087</v>
      </c>
      <c r="G2034" s="6">
        <v>0</v>
      </c>
      <c r="H2034" s="6">
        <v>0</v>
      </c>
    </row>
    <row r="2035" spans="1:8" ht="14.4" hidden="1">
      <c r="A2035" t="s">
        <v>246</v>
      </c>
      <c r="B2035">
        <v>8.4</v>
      </c>
      <c r="C2035" t="s">
        <v>594</v>
      </c>
      <c r="D2035" s="2">
        <v>46073</v>
      </c>
      <c r="E2035">
        <v>5</v>
      </c>
      <c r="F2035" s="2">
        <v>46080</v>
      </c>
      <c r="G2035" s="6">
        <v>0</v>
      </c>
      <c r="H2035" s="6">
        <v>0</v>
      </c>
    </row>
    <row r="2036" spans="1:8" ht="14.4" hidden="1">
      <c r="A2036" t="s">
        <v>246</v>
      </c>
      <c r="B2036">
        <v>8.5</v>
      </c>
      <c r="C2036" t="s">
        <v>595</v>
      </c>
      <c r="D2036" s="2">
        <v>46080</v>
      </c>
      <c r="E2036">
        <v>1</v>
      </c>
      <c r="F2036" s="2">
        <v>46083</v>
      </c>
      <c r="G2036" s="6">
        <v>0</v>
      </c>
      <c r="H2036" s="6">
        <v>0</v>
      </c>
    </row>
    <row r="2037" spans="1:8" ht="14.4" hidden="1">
      <c r="A2037" t="s">
        <v>246</v>
      </c>
      <c r="B2037">
        <v>8.6</v>
      </c>
      <c r="C2037" t="s">
        <v>596</v>
      </c>
      <c r="D2037" s="2">
        <v>46075</v>
      </c>
      <c r="E2037">
        <v>5</v>
      </c>
      <c r="F2037" s="2">
        <v>46080</v>
      </c>
      <c r="G2037" s="6">
        <v>0</v>
      </c>
      <c r="H2037" s="6">
        <v>0</v>
      </c>
    </row>
    <row r="2038" spans="1:8" ht="14.4" hidden="1">
      <c r="A2038" t="s">
        <v>248</v>
      </c>
      <c r="B2038">
        <v>1</v>
      </c>
      <c r="C2038" t="s">
        <v>547</v>
      </c>
      <c r="D2038" s="2">
        <v>45776</v>
      </c>
      <c r="E2038">
        <v>17</v>
      </c>
      <c r="F2038" s="2">
        <v>45793</v>
      </c>
      <c r="G2038" s="6">
        <v>1</v>
      </c>
      <c r="H2038" s="6">
        <v>1</v>
      </c>
    </row>
    <row r="2039" spans="1:8" ht="14.4" hidden="1">
      <c r="A2039" t="s">
        <v>248</v>
      </c>
      <c r="B2039" t="s">
        <v>548</v>
      </c>
      <c r="C2039" t="s">
        <v>549</v>
      </c>
      <c r="D2039" s="2">
        <v>45790</v>
      </c>
      <c r="E2039">
        <v>1</v>
      </c>
      <c r="F2039" s="2">
        <v>45791</v>
      </c>
      <c r="G2039" s="6">
        <v>1</v>
      </c>
      <c r="H2039" s="6">
        <v>1</v>
      </c>
    </row>
    <row r="2040" spans="1:8" ht="14.4" hidden="1">
      <c r="A2040" t="s">
        <v>248</v>
      </c>
      <c r="B2040" t="s">
        <v>550</v>
      </c>
      <c r="C2040" t="s">
        <v>551</v>
      </c>
      <c r="D2040" s="2">
        <v>45792</v>
      </c>
      <c r="E2040">
        <v>1</v>
      </c>
      <c r="F2040" s="2">
        <v>45793</v>
      </c>
      <c r="G2040" s="6">
        <v>1</v>
      </c>
      <c r="H2040" s="6">
        <v>1</v>
      </c>
    </row>
    <row r="2041" spans="1:8" ht="14.4" hidden="1">
      <c r="A2041" t="s">
        <v>248</v>
      </c>
      <c r="B2041" t="s">
        <v>552</v>
      </c>
      <c r="C2041" t="s">
        <v>553</v>
      </c>
      <c r="D2041" s="2">
        <v>45776</v>
      </c>
      <c r="E2041">
        <v>10</v>
      </c>
      <c r="F2041" s="2">
        <v>45791</v>
      </c>
      <c r="G2041" s="6">
        <v>1</v>
      </c>
      <c r="H2041" s="6">
        <v>1</v>
      </c>
    </row>
    <row r="2042" spans="1:8" ht="14.4" hidden="1">
      <c r="A2042" t="s">
        <v>248</v>
      </c>
      <c r="B2042" t="s">
        <v>554</v>
      </c>
      <c r="C2042" t="s">
        <v>555</v>
      </c>
      <c r="D2042" s="2">
        <v>45791</v>
      </c>
      <c r="E2042">
        <v>1</v>
      </c>
      <c r="F2042" s="2">
        <v>45792</v>
      </c>
      <c r="G2042" s="6">
        <v>1</v>
      </c>
      <c r="H2042" s="6">
        <v>1</v>
      </c>
    </row>
    <row r="2043" spans="1:8" ht="14.4" hidden="1">
      <c r="A2043" t="s">
        <v>248</v>
      </c>
      <c r="B2043" t="s">
        <v>556</v>
      </c>
      <c r="C2043" t="s">
        <v>557</v>
      </c>
      <c r="D2043" s="2">
        <v>45785</v>
      </c>
      <c r="E2043">
        <v>1</v>
      </c>
      <c r="F2043" s="2">
        <v>45786</v>
      </c>
      <c r="G2043" s="6">
        <v>1</v>
      </c>
      <c r="H2043" s="6">
        <v>1</v>
      </c>
    </row>
    <row r="2044" spans="1:8" ht="14.4" hidden="1">
      <c r="A2044" t="s">
        <v>248</v>
      </c>
      <c r="B2044">
        <v>2</v>
      </c>
      <c r="C2044" t="s">
        <v>558</v>
      </c>
      <c r="D2044" s="2">
        <v>45797</v>
      </c>
      <c r="E2044">
        <v>1</v>
      </c>
      <c r="F2044" s="2">
        <v>45798</v>
      </c>
      <c r="G2044" s="6">
        <v>1</v>
      </c>
      <c r="H2044" s="6">
        <v>1</v>
      </c>
    </row>
    <row r="2045" spans="1:8" ht="14.4" hidden="1">
      <c r="A2045" t="s">
        <v>248</v>
      </c>
      <c r="B2045" t="s">
        <v>559</v>
      </c>
      <c r="C2045" t="s">
        <v>560</v>
      </c>
      <c r="D2045" s="2">
        <v>45797</v>
      </c>
      <c r="E2045">
        <v>1</v>
      </c>
      <c r="F2045" s="2">
        <v>45798</v>
      </c>
      <c r="G2045" s="6">
        <v>1</v>
      </c>
      <c r="H2045" s="6">
        <v>1</v>
      </c>
    </row>
    <row r="2046" spans="1:8" ht="14.4" hidden="1">
      <c r="A2046" t="s">
        <v>248</v>
      </c>
      <c r="B2046">
        <v>3</v>
      </c>
      <c r="C2046" t="s">
        <v>561</v>
      </c>
      <c r="D2046" s="2">
        <v>45776</v>
      </c>
      <c r="E2046">
        <v>129</v>
      </c>
      <c r="F2046" s="2">
        <v>45905</v>
      </c>
      <c r="G2046" s="6">
        <v>1</v>
      </c>
      <c r="H2046" s="6">
        <v>1</v>
      </c>
    </row>
    <row r="2047" spans="1:8" ht="14.4" hidden="1">
      <c r="A2047" t="s">
        <v>248</v>
      </c>
      <c r="B2047" t="s">
        <v>562</v>
      </c>
      <c r="C2047" t="s">
        <v>563</v>
      </c>
      <c r="D2047" s="2">
        <v>45806</v>
      </c>
      <c r="E2047">
        <v>1</v>
      </c>
      <c r="F2047" s="2">
        <v>45807</v>
      </c>
      <c r="G2047" s="6">
        <v>1</v>
      </c>
      <c r="H2047" s="6">
        <v>1</v>
      </c>
    </row>
    <row r="2048" spans="1:8" ht="14.4" hidden="1">
      <c r="A2048" t="s">
        <v>248</v>
      </c>
      <c r="B2048" t="s">
        <v>564</v>
      </c>
      <c r="C2048" t="s">
        <v>565</v>
      </c>
      <c r="D2048" s="2">
        <v>45867</v>
      </c>
      <c r="E2048">
        <v>5</v>
      </c>
      <c r="F2048" s="2">
        <v>45874</v>
      </c>
      <c r="G2048" s="6">
        <v>1</v>
      </c>
      <c r="H2048" s="6">
        <v>1</v>
      </c>
    </row>
    <row r="2049" spans="1:8" ht="14.4" hidden="1">
      <c r="A2049" t="s">
        <v>248</v>
      </c>
      <c r="B2049" t="s">
        <v>566</v>
      </c>
      <c r="C2049" t="s">
        <v>567</v>
      </c>
      <c r="D2049" s="2">
        <v>45776</v>
      </c>
      <c r="E2049">
        <v>40</v>
      </c>
      <c r="F2049" s="2">
        <v>45834</v>
      </c>
      <c r="G2049">
        <v>1</v>
      </c>
      <c r="H2049">
        <v>1</v>
      </c>
    </row>
    <row r="2050" spans="1:8" ht="14.4" hidden="1">
      <c r="A2050" t="s">
        <v>248</v>
      </c>
      <c r="B2050" t="s">
        <v>568</v>
      </c>
      <c r="C2050" t="s">
        <v>569</v>
      </c>
      <c r="D2050" s="2">
        <v>45867</v>
      </c>
      <c r="E2050">
        <v>28</v>
      </c>
      <c r="F2050" s="2">
        <v>45905</v>
      </c>
      <c r="G2050">
        <v>1</v>
      </c>
      <c r="H2050">
        <v>1</v>
      </c>
    </row>
    <row r="2051" spans="1:8" ht="14.4" hidden="1">
      <c r="A2051" t="s">
        <v>248</v>
      </c>
      <c r="B2051" t="s">
        <v>570</v>
      </c>
      <c r="C2051" t="s">
        <v>571</v>
      </c>
      <c r="D2051" s="2">
        <v>45893</v>
      </c>
      <c r="E2051">
        <v>0</v>
      </c>
      <c r="F2051" s="2">
        <v>45893</v>
      </c>
      <c r="G2051">
        <v>1</v>
      </c>
      <c r="H2051">
        <v>1</v>
      </c>
    </row>
    <row r="2052" spans="1:8" ht="14.4" hidden="1">
      <c r="A2052" t="s">
        <v>248</v>
      </c>
      <c r="B2052">
        <v>4</v>
      </c>
      <c r="C2052" t="s">
        <v>572</v>
      </c>
      <c r="D2052" s="2">
        <v>45797</v>
      </c>
      <c r="E2052">
        <v>104</v>
      </c>
      <c r="F2052" s="2">
        <v>45901</v>
      </c>
      <c r="G2052">
        <v>1</v>
      </c>
      <c r="H2052">
        <v>1</v>
      </c>
    </row>
    <row r="2053" spans="1:8" ht="14.4" hidden="1">
      <c r="A2053" t="s">
        <v>248</v>
      </c>
      <c r="B2053" t="s">
        <v>573</v>
      </c>
      <c r="C2053" t="s">
        <v>613</v>
      </c>
      <c r="E2053"/>
      <c r="G2053">
        <v>0</v>
      </c>
      <c r="H2053">
        <v>0</v>
      </c>
    </row>
    <row r="2054" spans="1:8" ht="14.4" hidden="1">
      <c r="A2054" t="s">
        <v>248</v>
      </c>
      <c r="B2054" t="s">
        <v>573</v>
      </c>
      <c r="C2054" t="s">
        <v>574</v>
      </c>
      <c r="D2054" s="2">
        <v>45797</v>
      </c>
      <c r="E2054">
        <v>1</v>
      </c>
      <c r="F2054" s="2">
        <v>45798</v>
      </c>
      <c r="G2054">
        <v>1</v>
      </c>
      <c r="H2054">
        <v>1</v>
      </c>
    </row>
    <row r="2055" spans="1:8" ht="14.4" hidden="1">
      <c r="A2055" t="s">
        <v>248</v>
      </c>
      <c r="B2055" t="s">
        <v>575</v>
      </c>
      <c r="C2055" t="s">
        <v>576</v>
      </c>
      <c r="D2055" s="2">
        <v>45798</v>
      </c>
      <c r="E2055">
        <v>13</v>
      </c>
      <c r="F2055" s="2">
        <v>45817</v>
      </c>
      <c r="G2055">
        <v>1</v>
      </c>
      <c r="H2055">
        <v>1</v>
      </c>
    </row>
    <row r="2056" spans="1:8" ht="14.4" hidden="1">
      <c r="A2056" t="s">
        <v>248</v>
      </c>
      <c r="B2056" t="s">
        <v>577</v>
      </c>
      <c r="C2056" t="s">
        <v>578</v>
      </c>
      <c r="D2056" s="2">
        <v>45806</v>
      </c>
      <c r="E2056">
        <v>1</v>
      </c>
      <c r="F2056" s="2">
        <v>45807</v>
      </c>
      <c r="G2056">
        <v>1</v>
      </c>
      <c r="H2056">
        <v>1</v>
      </c>
    </row>
    <row r="2057" spans="1:8" ht="14.4" hidden="1">
      <c r="A2057" t="s">
        <v>248</v>
      </c>
      <c r="B2057" t="s">
        <v>577</v>
      </c>
      <c r="C2057" t="s">
        <v>580</v>
      </c>
      <c r="D2057" s="2">
        <v>45814</v>
      </c>
      <c r="E2057">
        <v>60</v>
      </c>
      <c r="F2057" s="2">
        <v>45901</v>
      </c>
      <c r="G2057">
        <v>1</v>
      </c>
      <c r="H2057">
        <v>1</v>
      </c>
    </row>
    <row r="2058" spans="1:8" ht="14.4" hidden="1">
      <c r="A2058" t="s">
        <v>248</v>
      </c>
      <c r="B2058">
        <v>5</v>
      </c>
      <c r="C2058" t="s">
        <v>581</v>
      </c>
      <c r="D2058" s="2">
        <v>45806</v>
      </c>
      <c r="E2058">
        <v>125</v>
      </c>
      <c r="F2058" s="2">
        <v>45931</v>
      </c>
      <c r="G2058">
        <v>1</v>
      </c>
      <c r="H2058">
        <v>1</v>
      </c>
    </row>
    <row r="2059" spans="1:8" ht="14.4" hidden="1">
      <c r="A2059" t="s">
        <v>248</v>
      </c>
      <c r="B2059" t="s">
        <v>582</v>
      </c>
      <c r="C2059" t="s">
        <v>583</v>
      </c>
      <c r="D2059" s="2">
        <v>45806</v>
      </c>
      <c r="E2059">
        <v>1</v>
      </c>
      <c r="F2059" s="2">
        <v>45807</v>
      </c>
      <c r="G2059">
        <v>1</v>
      </c>
      <c r="H2059">
        <v>1</v>
      </c>
    </row>
    <row r="2060" spans="1:8" ht="14.4" hidden="1">
      <c r="A2060" t="s">
        <v>248</v>
      </c>
      <c r="B2060" t="s">
        <v>584</v>
      </c>
      <c r="C2060" t="s">
        <v>585</v>
      </c>
      <c r="D2060" s="2">
        <v>45807</v>
      </c>
      <c r="E2060">
        <v>86</v>
      </c>
      <c r="F2060" s="2">
        <v>45931</v>
      </c>
      <c r="G2060">
        <v>1</v>
      </c>
      <c r="H2060">
        <v>1</v>
      </c>
    </row>
    <row r="2061" spans="1:8" ht="14.4" hidden="1">
      <c r="A2061" t="s">
        <v>248</v>
      </c>
      <c r="B2061">
        <v>6</v>
      </c>
      <c r="C2061" t="s">
        <v>240</v>
      </c>
      <c r="D2061" s="2">
        <v>45939</v>
      </c>
      <c r="E2061">
        <v>6</v>
      </c>
      <c r="F2061" s="2">
        <v>45945</v>
      </c>
      <c r="G2061">
        <v>1</v>
      </c>
      <c r="H2061">
        <v>1</v>
      </c>
    </row>
    <row r="2062" spans="1:8" ht="14.4" hidden="1">
      <c r="A2062" t="s">
        <v>248</v>
      </c>
      <c r="B2062" t="s">
        <v>586</v>
      </c>
      <c r="C2062" t="s">
        <v>240</v>
      </c>
      <c r="D2062" s="2">
        <v>45939</v>
      </c>
      <c r="E2062">
        <v>1</v>
      </c>
      <c r="F2062" s="2">
        <v>45940</v>
      </c>
      <c r="G2062">
        <v>1</v>
      </c>
      <c r="H2062">
        <v>1</v>
      </c>
    </row>
    <row r="2063" spans="1:8" ht="14.4" hidden="1">
      <c r="A2063" t="s">
        <v>248</v>
      </c>
      <c r="B2063" t="s">
        <v>587</v>
      </c>
      <c r="C2063" t="s">
        <v>169</v>
      </c>
      <c r="D2063" s="2">
        <v>45940</v>
      </c>
      <c r="E2063">
        <v>3</v>
      </c>
      <c r="F2063" s="2">
        <v>45945</v>
      </c>
      <c r="G2063">
        <v>1</v>
      </c>
      <c r="H2063">
        <v>1</v>
      </c>
    </row>
    <row r="2064" spans="1:8" ht="14.4" hidden="1">
      <c r="A2064" t="s">
        <v>248</v>
      </c>
      <c r="B2064">
        <v>7</v>
      </c>
      <c r="C2064" t="s">
        <v>588</v>
      </c>
      <c r="D2064" s="2">
        <v>45943</v>
      </c>
      <c r="E2064">
        <v>1</v>
      </c>
      <c r="F2064" s="2">
        <v>45944</v>
      </c>
      <c r="G2064">
        <v>1</v>
      </c>
      <c r="H2064">
        <v>1</v>
      </c>
    </row>
    <row r="2065" spans="1:8" ht="14.4" hidden="1">
      <c r="A2065" t="s">
        <v>248</v>
      </c>
      <c r="B2065">
        <v>7.1</v>
      </c>
      <c r="C2065" t="s">
        <v>589</v>
      </c>
      <c r="D2065" s="2">
        <v>45943</v>
      </c>
      <c r="E2065">
        <v>1</v>
      </c>
      <c r="F2065" s="2">
        <v>45944</v>
      </c>
      <c r="G2065">
        <v>1</v>
      </c>
      <c r="H2065">
        <v>1</v>
      </c>
    </row>
    <row r="2066" spans="1:8" ht="14.4" hidden="1">
      <c r="A2066" t="s">
        <v>248</v>
      </c>
      <c r="B2066">
        <v>8</v>
      </c>
      <c r="C2066" t="s">
        <v>590</v>
      </c>
      <c r="D2066" s="2">
        <v>45944</v>
      </c>
      <c r="E2066">
        <v>48</v>
      </c>
      <c r="F2066" s="2">
        <v>45992</v>
      </c>
      <c r="G2066">
        <v>0.8571428571428571</v>
      </c>
      <c r="H2066">
        <v>1</v>
      </c>
    </row>
    <row r="2067" spans="1:8" ht="14.4" hidden="1">
      <c r="A2067" t="s">
        <v>248</v>
      </c>
      <c r="B2067">
        <v>8.1</v>
      </c>
      <c r="C2067" t="s">
        <v>591</v>
      </c>
      <c r="D2067" s="2">
        <v>45944</v>
      </c>
      <c r="E2067">
        <v>2</v>
      </c>
      <c r="F2067" s="2">
        <v>45946</v>
      </c>
      <c r="G2067">
        <v>1</v>
      </c>
      <c r="H2067">
        <v>1</v>
      </c>
    </row>
    <row r="2068" spans="1:8" ht="14.4" hidden="1">
      <c r="A2068" t="s">
        <v>248</v>
      </c>
      <c r="B2068">
        <v>8.1999999999999993</v>
      </c>
      <c r="C2068" t="s">
        <v>592</v>
      </c>
      <c r="D2068" s="2">
        <v>45972</v>
      </c>
      <c r="E2068">
        <v>5</v>
      </c>
      <c r="F2068" s="2">
        <v>45979</v>
      </c>
      <c r="G2068">
        <v>1</v>
      </c>
      <c r="H2068">
        <v>1</v>
      </c>
    </row>
    <row r="2069" spans="1:8" ht="14.4" hidden="1">
      <c r="A2069" t="s">
        <v>248</v>
      </c>
      <c r="B2069">
        <v>8.3000000000000007</v>
      </c>
      <c r="C2069" t="s">
        <v>593</v>
      </c>
      <c r="D2069" s="2">
        <v>45979</v>
      </c>
      <c r="E2069">
        <v>3</v>
      </c>
      <c r="F2069" s="2">
        <v>45982</v>
      </c>
      <c r="G2069">
        <v>1</v>
      </c>
      <c r="H2069">
        <v>1</v>
      </c>
    </row>
    <row r="2070" spans="1:8" ht="14.4" hidden="1">
      <c r="A2070" t="s">
        <v>248</v>
      </c>
      <c r="B2070">
        <v>8.4</v>
      </c>
      <c r="C2070" t="s">
        <v>594</v>
      </c>
      <c r="D2070" s="2">
        <v>45961</v>
      </c>
      <c r="E2070">
        <v>15</v>
      </c>
      <c r="F2070" s="2">
        <v>45982</v>
      </c>
      <c r="G2070">
        <v>1</v>
      </c>
      <c r="H2070">
        <v>1</v>
      </c>
    </row>
    <row r="2071" spans="1:8" ht="14.4" hidden="1">
      <c r="A2071" t="s">
        <v>248</v>
      </c>
      <c r="B2071">
        <v>8.5</v>
      </c>
      <c r="C2071" t="s">
        <v>595</v>
      </c>
      <c r="D2071" s="2">
        <v>45985</v>
      </c>
      <c r="E2071">
        <v>5</v>
      </c>
      <c r="F2071" s="2">
        <v>45992</v>
      </c>
      <c r="G2071">
        <v>0</v>
      </c>
      <c r="H2071">
        <v>1</v>
      </c>
    </row>
    <row r="2072" spans="1:8" ht="14.4" hidden="1">
      <c r="A2072" t="s">
        <v>248</v>
      </c>
      <c r="B2072">
        <v>8.6</v>
      </c>
      <c r="C2072" t="s">
        <v>596</v>
      </c>
      <c r="D2072" s="2">
        <v>45985</v>
      </c>
      <c r="E2072">
        <v>5</v>
      </c>
      <c r="F2072" s="2">
        <v>45992</v>
      </c>
      <c r="G2072">
        <v>1</v>
      </c>
      <c r="H2072">
        <v>1</v>
      </c>
    </row>
    <row r="2073" spans="1:8" ht="14.4" hidden="1">
      <c r="A2073" t="s">
        <v>250</v>
      </c>
      <c r="B2073">
        <v>1</v>
      </c>
      <c r="C2073" t="s">
        <v>547</v>
      </c>
      <c r="D2073" s="2">
        <v>45756</v>
      </c>
      <c r="E2073">
        <v>111</v>
      </c>
      <c r="F2073" s="2">
        <v>45867</v>
      </c>
      <c r="G2073">
        <v>1</v>
      </c>
      <c r="H2073">
        <v>1</v>
      </c>
    </row>
    <row r="2074" spans="1:8" ht="14.4" hidden="1">
      <c r="A2074" t="s">
        <v>250</v>
      </c>
      <c r="B2074" t="s">
        <v>548</v>
      </c>
      <c r="C2074" t="s">
        <v>549</v>
      </c>
      <c r="D2074" s="2">
        <v>45756</v>
      </c>
      <c r="E2074">
        <v>1</v>
      </c>
      <c r="F2074" s="2">
        <v>45757</v>
      </c>
      <c r="G2074">
        <v>1</v>
      </c>
      <c r="H2074">
        <v>1</v>
      </c>
    </row>
    <row r="2075" spans="1:8" ht="14.4" hidden="1">
      <c r="A2075" t="s">
        <v>250</v>
      </c>
      <c r="B2075" t="s">
        <v>550</v>
      </c>
      <c r="C2075" t="s">
        <v>551</v>
      </c>
      <c r="D2075" s="2">
        <v>45860</v>
      </c>
      <c r="E2075">
        <v>1</v>
      </c>
      <c r="F2075" s="2">
        <v>45861</v>
      </c>
      <c r="G2075">
        <v>1</v>
      </c>
      <c r="H2075">
        <v>1</v>
      </c>
    </row>
    <row r="2076" spans="1:8" ht="14.4" hidden="1">
      <c r="A2076" t="s">
        <v>250</v>
      </c>
      <c r="B2076" t="s">
        <v>552</v>
      </c>
      <c r="C2076" t="s">
        <v>553</v>
      </c>
      <c r="D2076" s="2">
        <v>45853</v>
      </c>
      <c r="E2076">
        <v>10</v>
      </c>
      <c r="F2076" s="2">
        <v>45867</v>
      </c>
      <c r="G2076">
        <v>1</v>
      </c>
      <c r="H2076">
        <v>1</v>
      </c>
    </row>
    <row r="2077" spans="1:8" ht="14.4" hidden="1">
      <c r="A2077" t="s">
        <v>250</v>
      </c>
      <c r="B2077" t="s">
        <v>554</v>
      </c>
      <c r="C2077" t="s">
        <v>555</v>
      </c>
      <c r="D2077" s="2">
        <v>45855</v>
      </c>
      <c r="E2077">
        <v>1</v>
      </c>
      <c r="F2077" s="2">
        <v>45856</v>
      </c>
      <c r="G2077">
        <v>1</v>
      </c>
      <c r="H2077">
        <v>1</v>
      </c>
    </row>
    <row r="2078" spans="1:8" ht="14.4" hidden="1">
      <c r="A2078" t="s">
        <v>250</v>
      </c>
      <c r="B2078" t="s">
        <v>556</v>
      </c>
      <c r="C2078" t="s">
        <v>557</v>
      </c>
      <c r="D2078" s="2">
        <v>45860</v>
      </c>
      <c r="E2078">
        <v>1</v>
      </c>
      <c r="F2078" s="2">
        <v>45861</v>
      </c>
      <c r="G2078">
        <v>1</v>
      </c>
      <c r="H2078">
        <v>1</v>
      </c>
    </row>
    <row r="2079" spans="1:8" ht="14.4" hidden="1">
      <c r="A2079" t="s">
        <v>250</v>
      </c>
      <c r="B2079">
        <v>2</v>
      </c>
      <c r="C2079" t="s">
        <v>558</v>
      </c>
      <c r="D2079" s="2">
        <v>45867</v>
      </c>
      <c r="E2079">
        <v>1</v>
      </c>
      <c r="F2079" s="2">
        <v>45868</v>
      </c>
      <c r="G2079">
        <v>1</v>
      </c>
      <c r="H2079">
        <v>1</v>
      </c>
    </row>
    <row r="2080" spans="1:8" ht="14.4" hidden="1">
      <c r="A2080" t="s">
        <v>250</v>
      </c>
      <c r="B2080" t="s">
        <v>559</v>
      </c>
      <c r="C2080" t="s">
        <v>560</v>
      </c>
      <c r="D2080" s="2">
        <v>45867</v>
      </c>
      <c r="E2080">
        <v>1</v>
      </c>
      <c r="F2080" s="2">
        <v>45868</v>
      </c>
      <c r="G2080">
        <v>1</v>
      </c>
      <c r="H2080">
        <v>1</v>
      </c>
    </row>
    <row r="2081" spans="1:8" ht="14.4" hidden="1">
      <c r="A2081" t="s">
        <v>250</v>
      </c>
      <c r="B2081" t="s">
        <v>671</v>
      </c>
      <c r="C2081" t="s">
        <v>1120</v>
      </c>
      <c r="D2081" s="2">
        <v>45869</v>
      </c>
      <c r="E2081">
        <v>76</v>
      </c>
      <c r="F2081" s="2">
        <v>45978</v>
      </c>
      <c r="G2081">
        <v>1</v>
      </c>
      <c r="H2081">
        <v>1</v>
      </c>
    </row>
    <row r="2082" spans="1:8" ht="14.4" hidden="1">
      <c r="A2082" t="s">
        <v>250</v>
      </c>
      <c r="B2082" t="s">
        <v>673</v>
      </c>
      <c r="C2082" t="s">
        <v>1121</v>
      </c>
      <c r="D2082" s="2">
        <v>45978</v>
      </c>
      <c r="E2082">
        <v>2</v>
      </c>
      <c r="F2082" s="2">
        <v>45980</v>
      </c>
      <c r="G2082">
        <v>1</v>
      </c>
      <c r="H2082">
        <v>1</v>
      </c>
    </row>
    <row r="2083" spans="1:8" ht="14.4" hidden="1">
      <c r="A2083" t="s">
        <v>250</v>
      </c>
      <c r="B2083">
        <v>3</v>
      </c>
      <c r="C2083" t="s">
        <v>561</v>
      </c>
      <c r="D2083" s="2">
        <v>45860</v>
      </c>
      <c r="E2083">
        <v>134</v>
      </c>
      <c r="F2083" s="2">
        <v>45994</v>
      </c>
      <c r="G2083">
        <v>1</v>
      </c>
      <c r="H2083">
        <v>1</v>
      </c>
    </row>
    <row r="2084" spans="1:8" ht="14.4" hidden="1">
      <c r="A2084" t="s">
        <v>250</v>
      </c>
      <c r="B2084" t="s">
        <v>562</v>
      </c>
      <c r="C2084" t="s">
        <v>563</v>
      </c>
      <c r="D2084" s="2">
        <v>45868</v>
      </c>
      <c r="E2084">
        <v>1</v>
      </c>
      <c r="F2084" s="2">
        <v>45869</v>
      </c>
      <c r="G2084">
        <v>1</v>
      </c>
      <c r="H2084">
        <v>1</v>
      </c>
    </row>
    <row r="2085" spans="1:8" ht="14.4" hidden="1">
      <c r="A2085" t="s">
        <v>250</v>
      </c>
      <c r="B2085" t="s">
        <v>564</v>
      </c>
      <c r="C2085" t="s">
        <v>565</v>
      </c>
      <c r="D2085" s="2">
        <v>45875</v>
      </c>
      <c r="E2085">
        <v>1</v>
      </c>
      <c r="F2085" s="2">
        <v>45876</v>
      </c>
      <c r="G2085">
        <v>1</v>
      </c>
      <c r="H2085">
        <v>1</v>
      </c>
    </row>
    <row r="2086" spans="1:8" ht="14.4" hidden="1">
      <c r="A2086" t="s">
        <v>250</v>
      </c>
      <c r="B2086" t="s">
        <v>566</v>
      </c>
      <c r="C2086" t="s">
        <v>567</v>
      </c>
      <c r="D2086" s="2">
        <v>45860</v>
      </c>
      <c r="E2086">
        <v>70</v>
      </c>
      <c r="F2086" s="2">
        <v>45959</v>
      </c>
      <c r="G2086">
        <v>1</v>
      </c>
      <c r="H2086">
        <v>1</v>
      </c>
    </row>
    <row r="2087" spans="1:8" ht="14.4" hidden="1">
      <c r="A2087" t="s">
        <v>250</v>
      </c>
      <c r="B2087" t="s">
        <v>568</v>
      </c>
      <c r="C2087" t="s">
        <v>569</v>
      </c>
      <c r="D2087" s="2">
        <v>45983</v>
      </c>
      <c r="E2087">
        <v>7</v>
      </c>
      <c r="F2087" s="2">
        <v>45993</v>
      </c>
      <c r="G2087">
        <v>1</v>
      </c>
      <c r="H2087">
        <v>1</v>
      </c>
    </row>
    <row r="2088" spans="1:8" ht="14.4" hidden="1">
      <c r="A2088" t="s">
        <v>250</v>
      </c>
      <c r="B2088" t="s">
        <v>570</v>
      </c>
      <c r="C2088" t="s">
        <v>571</v>
      </c>
      <c r="D2088" s="2">
        <v>45989</v>
      </c>
      <c r="E2088">
        <v>3</v>
      </c>
      <c r="F2088" s="2">
        <v>45994</v>
      </c>
      <c r="G2088">
        <v>1</v>
      </c>
      <c r="H2088">
        <v>1</v>
      </c>
    </row>
    <row r="2089" spans="1:8" ht="14.4" hidden="1">
      <c r="A2089" t="s">
        <v>250</v>
      </c>
      <c r="B2089">
        <v>4</v>
      </c>
      <c r="C2089" t="s">
        <v>572</v>
      </c>
      <c r="D2089" s="2">
        <v>45869</v>
      </c>
      <c r="E2089">
        <v>204</v>
      </c>
      <c r="F2089" s="2">
        <v>46073</v>
      </c>
      <c r="G2089">
        <v>0.17566371681415929</v>
      </c>
      <c r="H2089">
        <v>0.29893651144086003</v>
      </c>
    </row>
    <row r="2090" spans="1:8" ht="14.4" hidden="1">
      <c r="A2090" t="s">
        <v>250</v>
      </c>
      <c r="B2090" t="s">
        <v>573</v>
      </c>
      <c r="C2090" t="s">
        <v>613</v>
      </c>
      <c r="E2090"/>
      <c r="G2090">
        <v>0</v>
      </c>
      <c r="H2090">
        <v>0</v>
      </c>
    </row>
    <row r="2091" spans="1:8" ht="14.4" hidden="1">
      <c r="A2091" t="s">
        <v>250</v>
      </c>
      <c r="B2091" t="s">
        <v>573</v>
      </c>
      <c r="C2091" t="s">
        <v>574</v>
      </c>
      <c r="D2091" s="2">
        <v>45869</v>
      </c>
      <c r="E2091">
        <v>1</v>
      </c>
      <c r="F2091" s="2">
        <v>45870</v>
      </c>
      <c r="G2091">
        <v>1</v>
      </c>
      <c r="H2091">
        <v>1</v>
      </c>
    </row>
    <row r="2092" spans="1:8" ht="14.4" hidden="1">
      <c r="A2092" t="s">
        <v>250</v>
      </c>
      <c r="B2092" t="s">
        <v>575</v>
      </c>
      <c r="C2092" t="s">
        <v>1122</v>
      </c>
      <c r="D2092" s="2">
        <v>46034</v>
      </c>
      <c r="E2092">
        <v>29</v>
      </c>
      <c r="F2092" s="2">
        <v>46073</v>
      </c>
      <c r="G2092">
        <v>0.65</v>
      </c>
      <c r="H2092">
        <v>0.79487179487179493</v>
      </c>
    </row>
    <row r="2093" spans="1:8" ht="14.4" hidden="1">
      <c r="A2093" t="s">
        <v>250</v>
      </c>
      <c r="B2093" t="s">
        <v>577</v>
      </c>
      <c r="C2093" t="s">
        <v>1123</v>
      </c>
      <c r="D2093" s="2">
        <v>46034</v>
      </c>
      <c r="E2093">
        <v>12</v>
      </c>
      <c r="F2093" s="2">
        <v>46050</v>
      </c>
      <c r="G2093">
        <v>1</v>
      </c>
      <c r="H2093">
        <v>1</v>
      </c>
    </row>
    <row r="2094" spans="1:8" ht="14.4" hidden="1">
      <c r="A2094" t="s">
        <v>250</v>
      </c>
      <c r="B2094" t="s">
        <v>579</v>
      </c>
      <c r="C2094" t="s">
        <v>1124</v>
      </c>
      <c r="D2094" s="2">
        <v>45971</v>
      </c>
      <c r="E2094">
        <v>35</v>
      </c>
      <c r="F2094" s="2">
        <v>46048</v>
      </c>
      <c r="G2094">
        <v>1</v>
      </c>
      <c r="H2094">
        <v>1</v>
      </c>
    </row>
    <row r="2095" spans="1:8" ht="14.4" hidden="1">
      <c r="A2095" t="s">
        <v>250</v>
      </c>
      <c r="B2095" t="s">
        <v>615</v>
      </c>
      <c r="C2095" t="s">
        <v>1125</v>
      </c>
      <c r="D2095" s="2">
        <v>45964</v>
      </c>
      <c r="E2095">
        <v>35</v>
      </c>
      <c r="F2095" s="2">
        <v>46041</v>
      </c>
      <c r="G2095">
        <v>1</v>
      </c>
      <c r="H2095">
        <v>1</v>
      </c>
    </row>
    <row r="2096" spans="1:8" ht="14.4" hidden="1">
      <c r="A2096" t="s">
        <v>250</v>
      </c>
      <c r="B2096" t="s">
        <v>627</v>
      </c>
      <c r="C2096" t="s">
        <v>578</v>
      </c>
      <c r="D2096" s="2">
        <v>45869</v>
      </c>
      <c r="E2096">
        <v>1</v>
      </c>
      <c r="F2096" s="2">
        <v>45870</v>
      </c>
      <c r="G2096">
        <v>1</v>
      </c>
      <c r="H2096">
        <v>1</v>
      </c>
    </row>
    <row r="2097" spans="1:8" ht="14.4" hidden="1">
      <c r="A2097" t="s">
        <v>250</v>
      </c>
      <c r="B2097">
        <v>5</v>
      </c>
      <c r="C2097" t="s">
        <v>581</v>
      </c>
      <c r="D2097" s="2">
        <v>45966</v>
      </c>
      <c r="E2097">
        <v>84</v>
      </c>
      <c r="F2097" s="2">
        <v>46050</v>
      </c>
      <c r="G2097">
        <v>1</v>
      </c>
      <c r="H2097">
        <v>1</v>
      </c>
    </row>
    <row r="2098" spans="1:8" ht="14.4" hidden="1">
      <c r="A2098" t="s">
        <v>250</v>
      </c>
      <c r="B2098" t="s">
        <v>582</v>
      </c>
      <c r="C2098" t="s">
        <v>583</v>
      </c>
      <c r="D2098" s="2">
        <v>45966</v>
      </c>
      <c r="E2098">
        <v>1</v>
      </c>
      <c r="F2098" s="2">
        <v>45967</v>
      </c>
      <c r="G2098">
        <v>1</v>
      </c>
      <c r="H2098">
        <v>1</v>
      </c>
    </row>
    <row r="2099" spans="1:8" ht="14.4" hidden="1">
      <c r="A2099" t="s">
        <v>250</v>
      </c>
      <c r="B2099" t="s">
        <v>584</v>
      </c>
      <c r="C2099" t="s">
        <v>585</v>
      </c>
      <c r="D2099" s="2">
        <v>45967</v>
      </c>
      <c r="E2099">
        <v>39</v>
      </c>
      <c r="F2099" s="2">
        <v>46050</v>
      </c>
      <c r="G2099">
        <v>1</v>
      </c>
      <c r="H2099">
        <v>1</v>
      </c>
    </row>
    <row r="2100" spans="1:8" ht="14.4" hidden="1">
      <c r="A2100" t="s">
        <v>250</v>
      </c>
      <c r="B2100">
        <v>6</v>
      </c>
      <c r="C2100" t="s">
        <v>240</v>
      </c>
      <c r="D2100" s="2">
        <v>46074</v>
      </c>
      <c r="E2100">
        <v>4</v>
      </c>
      <c r="F2100" s="2">
        <v>46078</v>
      </c>
      <c r="G2100">
        <v>0</v>
      </c>
      <c r="H2100">
        <v>0</v>
      </c>
    </row>
    <row r="2101" spans="1:8" ht="14.4" hidden="1">
      <c r="A2101" t="s">
        <v>250</v>
      </c>
      <c r="B2101" t="s">
        <v>586</v>
      </c>
      <c r="C2101" t="s">
        <v>240</v>
      </c>
      <c r="D2101" s="2">
        <v>46074</v>
      </c>
      <c r="E2101">
        <v>1</v>
      </c>
      <c r="F2101" s="2">
        <v>46076</v>
      </c>
      <c r="G2101">
        <v>0</v>
      </c>
      <c r="H2101">
        <v>0</v>
      </c>
    </row>
    <row r="2102" spans="1:8" ht="14.4" hidden="1">
      <c r="A2102" t="s">
        <v>250</v>
      </c>
      <c r="B2102" t="s">
        <v>587</v>
      </c>
      <c r="C2102" t="s">
        <v>169</v>
      </c>
      <c r="D2102" s="2">
        <v>46076</v>
      </c>
      <c r="E2102">
        <v>2</v>
      </c>
      <c r="F2102" s="2">
        <v>46078</v>
      </c>
      <c r="G2102">
        <v>0</v>
      </c>
      <c r="H2102">
        <v>0</v>
      </c>
    </row>
    <row r="2103" spans="1:8" ht="14.4" hidden="1">
      <c r="A2103" t="s">
        <v>250</v>
      </c>
      <c r="B2103">
        <v>7</v>
      </c>
      <c r="C2103" t="s">
        <v>588</v>
      </c>
      <c r="D2103" s="2">
        <v>46074</v>
      </c>
      <c r="E2103">
        <v>2</v>
      </c>
      <c r="F2103" s="2">
        <v>46076</v>
      </c>
      <c r="G2103">
        <v>0</v>
      </c>
      <c r="H2103">
        <v>0</v>
      </c>
    </row>
    <row r="2104" spans="1:8" ht="14.4" hidden="1">
      <c r="A2104" t="s">
        <v>250</v>
      </c>
      <c r="B2104">
        <v>7.1</v>
      </c>
      <c r="C2104" t="s">
        <v>589</v>
      </c>
      <c r="D2104" s="2">
        <v>46074</v>
      </c>
      <c r="E2104">
        <v>1</v>
      </c>
      <c r="F2104" s="2">
        <v>46076</v>
      </c>
      <c r="G2104">
        <v>0</v>
      </c>
      <c r="H2104">
        <v>0</v>
      </c>
    </row>
    <row r="2105" spans="1:8" ht="14.4" hidden="1">
      <c r="A2105" t="s">
        <v>250</v>
      </c>
      <c r="B2105">
        <v>8</v>
      </c>
      <c r="C2105" t="s">
        <v>590</v>
      </c>
      <c r="D2105" s="2">
        <v>46076</v>
      </c>
      <c r="E2105">
        <v>17</v>
      </c>
      <c r="F2105" s="2">
        <v>46093</v>
      </c>
      <c r="G2105">
        <v>0</v>
      </c>
      <c r="H2105">
        <v>0</v>
      </c>
    </row>
    <row r="2106" spans="1:8" ht="14.4" hidden="1">
      <c r="A2106" t="s">
        <v>250</v>
      </c>
      <c r="B2106">
        <v>8.1</v>
      </c>
      <c r="C2106" t="s">
        <v>591</v>
      </c>
      <c r="D2106" s="2">
        <v>46076</v>
      </c>
      <c r="E2106">
        <v>2</v>
      </c>
      <c r="F2106" s="2">
        <v>46078</v>
      </c>
      <c r="G2106">
        <v>0</v>
      </c>
      <c r="H2106">
        <v>0</v>
      </c>
    </row>
    <row r="2107" spans="1:8" ht="14.4" hidden="1">
      <c r="A2107" t="s">
        <v>250</v>
      </c>
      <c r="B2107">
        <v>8.1999999999999993</v>
      </c>
      <c r="C2107" t="s">
        <v>592</v>
      </c>
      <c r="D2107" s="2">
        <v>46076</v>
      </c>
      <c r="E2107">
        <v>5</v>
      </c>
      <c r="F2107" s="2">
        <v>46083</v>
      </c>
      <c r="G2107">
        <v>0</v>
      </c>
      <c r="H2107">
        <v>0</v>
      </c>
    </row>
    <row r="2108" spans="1:8" ht="14.4" hidden="1">
      <c r="A2108" t="s">
        <v>250</v>
      </c>
      <c r="B2108">
        <v>8.3000000000000007</v>
      </c>
      <c r="C2108" t="s">
        <v>593</v>
      </c>
      <c r="D2108" s="2">
        <v>46078</v>
      </c>
      <c r="E2108">
        <v>5</v>
      </c>
      <c r="F2108" s="2">
        <v>46085</v>
      </c>
      <c r="G2108">
        <v>0</v>
      </c>
      <c r="H2108">
        <v>0</v>
      </c>
    </row>
    <row r="2109" spans="1:8" ht="14.4" hidden="1">
      <c r="A2109" t="s">
        <v>250</v>
      </c>
      <c r="B2109">
        <v>8.4</v>
      </c>
      <c r="C2109" t="s">
        <v>594</v>
      </c>
      <c r="D2109" s="2">
        <v>46085</v>
      </c>
      <c r="E2109">
        <v>5</v>
      </c>
      <c r="F2109" s="2">
        <v>46092</v>
      </c>
      <c r="G2109">
        <v>0</v>
      </c>
      <c r="H2109">
        <v>0</v>
      </c>
    </row>
    <row r="2110" spans="1:8" ht="14.4" hidden="1">
      <c r="A2110" t="s">
        <v>250</v>
      </c>
      <c r="B2110">
        <v>8.5</v>
      </c>
      <c r="C2110" t="s">
        <v>595</v>
      </c>
      <c r="D2110" s="2">
        <v>46092</v>
      </c>
      <c r="E2110">
        <v>1</v>
      </c>
      <c r="F2110" s="2">
        <v>46093</v>
      </c>
      <c r="G2110">
        <v>0</v>
      </c>
      <c r="H2110">
        <v>0</v>
      </c>
    </row>
    <row r="2111" spans="1:8" ht="14.4" hidden="1">
      <c r="A2111" t="s">
        <v>250</v>
      </c>
      <c r="B2111">
        <v>8.6</v>
      </c>
      <c r="C2111" t="s">
        <v>596</v>
      </c>
      <c r="D2111" s="2">
        <v>46085</v>
      </c>
      <c r="E2111">
        <v>5</v>
      </c>
      <c r="F2111" s="2">
        <v>46092</v>
      </c>
      <c r="G2111">
        <v>0</v>
      </c>
      <c r="H2111">
        <v>0</v>
      </c>
    </row>
    <row r="2112" spans="1:8" ht="14.4" hidden="1">
      <c r="A2112" t="s">
        <v>254</v>
      </c>
      <c r="B2112">
        <v>1</v>
      </c>
      <c r="C2112" t="s">
        <v>547</v>
      </c>
      <c r="D2112" s="2">
        <v>45873</v>
      </c>
      <c r="E2112">
        <v>63</v>
      </c>
      <c r="F2112" s="2">
        <v>45936</v>
      </c>
      <c r="G2112">
        <v>1</v>
      </c>
      <c r="H2112">
        <v>1</v>
      </c>
    </row>
    <row r="2113" spans="1:8" ht="14.4" hidden="1">
      <c r="A2113" t="s">
        <v>254</v>
      </c>
      <c r="B2113" t="s">
        <v>548</v>
      </c>
      <c r="C2113" t="s">
        <v>549</v>
      </c>
      <c r="D2113" s="2">
        <v>45873</v>
      </c>
      <c r="E2113">
        <v>1</v>
      </c>
      <c r="F2113" s="2">
        <v>45874</v>
      </c>
      <c r="G2113">
        <v>1</v>
      </c>
      <c r="H2113">
        <v>1</v>
      </c>
    </row>
    <row r="2114" spans="1:8" ht="14.4" hidden="1">
      <c r="A2114" t="s">
        <v>254</v>
      </c>
      <c r="B2114" t="s">
        <v>550</v>
      </c>
      <c r="C2114" t="s">
        <v>551</v>
      </c>
      <c r="D2114" s="2">
        <v>45933</v>
      </c>
      <c r="E2114">
        <v>1</v>
      </c>
      <c r="F2114" s="2">
        <v>45936</v>
      </c>
      <c r="G2114">
        <v>1</v>
      </c>
      <c r="H2114">
        <v>1</v>
      </c>
    </row>
    <row r="2115" spans="1:8" ht="14.4" hidden="1">
      <c r="A2115" t="s">
        <v>254</v>
      </c>
      <c r="B2115" t="s">
        <v>552</v>
      </c>
      <c r="C2115" t="s">
        <v>553</v>
      </c>
      <c r="D2115" s="2">
        <v>45915</v>
      </c>
      <c r="E2115">
        <v>8</v>
      </c>
      <c r="F2115" s="2">
        <v>45926</v>
      </c>
      <c r="G2115">
        <v>1</v>
      </c>
      <c r="H2115">
        <v>1</v>
      </c>
    </row>
    <row r="2116" spans="1:8" ht="14.4" hidden="1">
      <c r="A2116" t="s">
        <v>254</v>
      </c>
      <c r="B2116" t="s">
        <v>554</v>
      </c>
      <c r="C2116" t="s">
        <v>555</v>
      </c>
      <c r="D2116" s="2">
        <v>45933</v>
      </c>
      <c r="E2116">
        <v>1</v>
      </c>
      <c r="F2116" s="2">
        <v>45936</v>
      </c>
      <c r="G2116">
        <v>1</v>
      </c>
      <c r="H2116">
        <v>1</v>
      </c>
    </row>
    <row r="2117" spans="1:8" ht="14.4" hidden="1">
      <c r="A2117" t="s">
        <v>254</v>
      </c>
      <c r="B2117" t="s">
        <v>556</v>
      </c>
      <c r="C2117" t="s">
        <v>557</v>
      </c>
      <c r="D2117" s="2">
        <v>45926</v>
      </c>
      <c r="E2117">
        <v>1</v>
      </c>
      <c r="F2117" s="2">
        <v>45929</v>
      </c>
      <c r="G2117">
        <v>1</v>
      </c>
      <c r="H2117">
        <v>1</v>
      </c>
    </row>
    <row r="2118" spans="1:8" ht="14.4" hidden="1">
      <c r="A2118" t="s">
        <v>254</v>
      </c>
      <c r="B2118">
        <v>2</v>
      </c>
      <c r="C2118" t="s">
        <v>558</v>
      </c>
      <c r="D2118" s="2">
        <v>45947</v>
      </c>
      <c r="E2118">
        <v>1</v>
      </c>
      <c r="F2118" s="2">
        <v>45948</v>
      </c>
      <c r="G2118">
        <v>1</v>
      </c>
      <c r="H2118">
        <v>1</v>
      </c>
    </row>
    <row r="2119" spans="1:8" ht="14.4" hidden="1">
      <c r="A2119" t="s">
        <v>254</v>
      </c>
      <c r="B2119" t="s">
        <v>559</v>
      </c>
      <c r="C2119" t="s">
        <v>560</v>
      </c>
      <c r="D2119" s="2">
        <v>45947</v>
      </c>
      <c r="E2119">
        <v>1</v>
      </c>
      <c r="F2119" s="2">
        <v>45948</v>
      </c>
      <c r="G2119">
        <v>1</v>
      </c>
      <c r="H2119">
        <v>1</v>
      </c>
    </row>
    <row r="2120" spans="1:8" ht="14.4" hidden="1">
      <c r="A2120" t="s">
        <v>254</v>
      </c>
      <c r="B2120">
        <v>3</v>
      </c>
      <c r="C2120" t="s">
        <v>561</v>
      </c>
      <c r="D2120" s="2">
        <v>45919</v>
      </c>
      <c r="E2120">
        <v>59</v>
      </c>
      <c r="F2120" s="2">
        <v>45978</v>
      </c>
      <c r="G2120">
        <v>1</v>
      </c>
      <c r="H2120">
        <v>1</v>
      </c>
    </row>
    <row r="2121" spans="1:8" ht="14.4" hidden="1">
      <c r="A2121" t="s">
        <v>254</v>
      </c>
      <c r="B2121" t="s">
        <v>562</v>
      </c>
      <c r="C2121" t="s">
        <v>563</v>
      </c>
      <c r="D2121" s="2">
        <v>45947</v>
      </c>
      <c r="E2121">
        <v>1</v>
      </c>
      <c r="F2121" s="2">
        <v>45950</v>
      </c>
      <c r="G2121">
        <v>1</v>
      </c>
      <c r="H2121">
        <v>1</v>
      </c>
    </row>
    <row r="2122" spans="1:8" ht="14.4" hidden="1">
      <c r="A2122" t="s">
        <v>254</v>
      </c>
      <c r="B2122" t="s">
        <v>564</v>
      </c>
      <c r="C2122" t="s">
        <v>565</v>
      </c>
      <c r="D2122" s="2">
        <v>45950</v>
      </c>
      <c r="E2122">
        <v>2</v>
      </c>
      <c r="F2122" s="2">
        <v>45952</v>
      </c>
      <c r="G2122">
        <v>1</v>
      </c>
      <c r="H2122">
        <v>1</v>
      </c>
    </row>
    <row r="2123" spans="1:8" ht="14.4" hidden="1">
      <c r="A2123" t="s">
        <v>254</v>
      </c>
      <c r="B2123" t="s">
        <v>566</v>
      </c>
      <c r="C2123" t="s">
        <v>567</v>
      </c>
      <c r="D2123" s="2">
        <v>45919</v>
      </c>
      <c r="E2123">
        <v>20</v>
      </c>
      <c r="F2123" s="2">
        <v>45950</v>
      </c>
      <c r="G2123">
        <v>1</v>
      </c>
      <c r="H2123">
        <v>1</v>
      </c>
    </row>
    <row r="2124" spans="1:8" ht="14.4" hidden="1">
      <c r="A2124" t="s">
        <v>254</v>
      </c>
      <c r="B2124" t="s">
        <v>568</v>
      </c>
      <c r="C2124" t="s">
        <v>569</v>
      </c>
      <c r="D2124" s="2">
        <v>45950</v>
      </c>
      <c r="E2124">
        <v>19</v>
      </c>
      <c r="F2124" s="2">
        <v>45975</v>
      </c>
      <c r="G2124">
        <v>1</v>
      </c>
      <c r="H2124">
        <v>1</v>
      </c>
    </row>
    <row r="2125" spans="1:8" ht="14.4" hidden="1">
      <c r="A2125" t="s">
        <v>254</v>
      </c>
      <c r="B2125" t="s">
        <v>570</v>
      </c>
      <c r="C2125" t="s">
        <v>571</v>
      </c>
      <c r="D2125" s="2">
        <v>45975</v>
      </c>
      <c r="E2125">
        <v>1</v>
      </c>
      <c r="F2125" s="2">
        <v>45978</v>
      </c>
      <c r="G2125">
        <v>1</v>
      </c>
      <c r="H2125">
        <v>1</v>
      </c>
    </row>
    <row r="2126" spans="1:8" ht="14.4" hidden="1">
      <c r="A2126" t="s">
        <v>254</v>
      </c>
      <c r="B2126">
        <v>4</v>
      </c>
      <c r="C2126" t="s">
        <v>572</v>
      </c>
      <c r="D2126" s="2">
        <v>45947</v>
      </c>
      <c r="E2126">
        <v>45</v>
      </c>
      <c r="F2126" s="2">
        <v>45992</v>
      </c>
      <c r="G2126">
        <v>0.95238095238095233</v>
      </c>
      <c r="H2126">
        <v>0.75008158381377132</v>
      </c>
    </row>
    <row r="2127" spans="1:8" ht="14.4" hidden="1">
      <c r="A2127" t="s">
        <v>254</v>
      </c>
      <c r="B2127" t="s">
        <v>573</v>
      </c>
      <c r="C2127" t="s">
        <v>640</v>
      </c>
      <c r="D2127" s="2">
        <v>45944</v>
      </c>
      <c r="E2127">
        <v>4</v>
      </c>
      <c r="F2127" s="2">
        <v>45950</v>
      </c>
      <c r="G2127">
        <v>1</v>
      </c>
      <c r="H2127">
        <v>1</v>
      </c>
    </row>
    <row r="2128" spans="1:8" ht="14.4" hidden="1">
      <c r="A2128" t="s">
        <v>254</v>
      </c>
      <c r="B2128" t="s">
        <v>573</v>
      </c>
      <c r="C2128" t="s">
        <v>574</v>
      </c>
      <c r="D2128" s="2">
        <v>45947</v>
      </c>
      <c r="E2128">
        <v>1</v>
      </c>
      <c r="F2128" s="2">
        <v>45950</v>
      </c>
      <c r="G2128">
        <v>1</v>
      </c>
      <c r="H2128">
        <v>1</v>
      </c>
    </row>
    <row r="2129" spans="1:8" ht="14.4" hidden="1">
      <c r="A2129" t="s">
        <v>254</v>
      </c>
      <c r="B2129" t="s">
        <v>575</v>
      </c>
      <c r="C2129" t="s">
        <v>576</v>
      </c>
      <c r="D2129" s="2">
        <v>45947</v>
      </c>
      <c r="E2129">
        <v>15</v>
      </c>
      <c r="F2129" s="2">
        <v>45968</v>
      </c>
      <c r="G2129">
        <v>1</v>
      </c>
      <c r="H2129">
        <v>1</v>
      </c>
    </row>
    <row r="2130" spans="1:8" ht="14.4" hidden="1">
      <c r="A2130" t="s">
        <v>254</v>
      </c>
      <c r="B2130" t="s">
        <v>629</v>
      </c>
      <c r="C2130" t="s">
        <v>578</v>
      </c>
      <c r="D2130" s="2">
        <v>45947</v>
      </c>
      <c r="E2130">
        <v>1</v>
      </c>
      <c r="F2130" s="2">
        <v>45950</v>
      </c>
      <c r="G2130">
        <v>1</v>
      </c>
      <c r="H2130">
        <v>1</v>
      </c>
    </row>
    <row r="2131" spans="1:8" ht="14.4" hidden="1">
      <c r="A2131" t="s">
        <v>254</v>
      </c>
      <c r="B2131" t="s">
        <v>630</v>
      </c>
      <c r="C2131" t="s">
        <v>580</v>
      </c>
      <c r="D2131" s="2">
        <v>45986</v>
      </c>
      <c r="E2131">
        <v>4</v>
      </c>
      <c r="F2131" s="2">
        <v>45992</v>
      </c>
      <c r="G2131">
        <v>1</v>
      </c>
      <c r="H2131">
        <v>1</v>
      </c>
    </row>
    <row r="2132" spans="1:8" ht="14.4" hidden="1">
      <c r="A2132" t="s">
        <v>254</v>
      </c>
      <c r="B2132">
        <v>5</v>
      </c>
      <c r="C2132" t="s">
        <v>581</v>
      </c>
      <c r="D2132" s="2">
        <v>45947</v>
      </c>
      <c r="E2132">
        <v>42</v>
      </c>
      <c r="F2132" s="2">
        <v>45989</v>
      </c>
      <c r="G2132">
        <v>1</v>
      </c>
      <c r="H2132">
        <v>1</v>
      </c>
    </row>
    <row r="2133" spans="1:8" ht="14.4" hidden="1">
      <c r="A2133" t="s">
        <v>254</v>
      </c>
      <c r="B2133" t="s">
        <v>582</v>
      </c>
      <c r="C2133" t="s">
        <v>583</v>
      </c>
      <c r="D2133" s="2">
        <v>45947</v>
      </c>
      <c r="E2133">
        <v>1</v>
      </c>
      <c r="F2133" s="2">
        <v>45950</v>
      </c>
      <c r="G2133">
        <v>1</v>
      </c>
      <c r="H2133">
        <v>1</v>
      </c>
    </row>
    <row r="2134" spans="1:8" ht="14.4" hidden="1">
      <c r="A2134" t="s">
        <v>254</v>
      </c>
      <c r="B2134" t="s">
        <v>584</v>
      </c>
      <c r="C2134" t="s">
        <v>585</v>
      </c>
      <c r="D2134" s="2">
        <v>45968</v>
      </c>
      <c r="E2134">
        <v>15</v>
      </c>
      <c r="F2134" s="2">
        <v>45989</v>
      </c>
      <c r="G2134">
        <v>1</v>
      </c>
      <c r="H2134">
        <v>1</v>
      </c>
    </row>
    <row r="2135" spans="1:8" ht="14.4" hidden="1">
      <c r="A2135" t="s">
        <v>254</v>
      </c>
      <c r="B2135">
        <v>6</v>
      </c>
      <c r="C2135" t="s">
        <v>240</v>
      </c>
      <c r="D2135" s="2">
        <v>45992</v>
      </c>
      <c r="E2135">
        <v>2</v>
      </c>
      <c r="F2135" s="2">
        <v>45994</v>
      </c>
      <c r="G2135">
        <v>1</v>
      </c>
      <c r="H2135">
        <v>1</v>
      </c>
    </row>
    <row r="2136" spans="1:8" ht="14.4" hidden="1">
      <c r="A2136" t="s">
        <v>254</v>
      </c>
      <c r="B2136" t="s">
        <v>586</v>
      </c>
      <c r="C2136" t="s">
        <v>240</v>
      </c>
      <c r="D2136" s="2">
        <v>45992</v>
      </c>
      <c r="E2136">
        <v>1</v>
      </c>
      <c r="F2136" s="2">
        <v>45993</v>
      </c>
      <c r="G2136">
        <v>1</v>
      </c>
      <c r="H2136">
        <v>1</v>
      </c>
    </row>
    <row r="2137" spans="1:8" ht="14.4" hidden="1">
      <c r="A2137" t="s">
        <v>254</v>
      </c>
      <c r="B2137" t="s">
        <v>587</v>
      </c>
      <c r="C2137" t="s">
        <v>169</v>
      </c>
      <c r="D2137" s="2">
        <v>45993</v>
      </c>
      <c r="E2137">
        <v>1</v>
      </c>
      <c r="F2137" s="2">
        <v>45994</v>
      </c>
      <c r="G2137">
        <v>1</v>
      </c>
      <c r="H2137">
        <v>1</v>
      </c>
    </row>
    <row r="2138" spans="1:8" ht="14.4" hidden="1">
      <c r="A2138" t="s">
        <v>254</v>
      </c>
      <c r="B2138">
        <v>7</v>
      </c>
      <c r="C2138" t="s">
        <v>588</v>
      </c>
      <c r="D2138" s="2">
        <v>45992</v>
      </c>
      <c r="E2138">
        <v>1</v>
      </c>
      <c r="F2138" s="2">
        <v>45993</v>
      </c>
      <c r="G2138">
        <v>1</v>
      </c>
      <c r="H2138">
        <v>1</v>
      </c>
    </row>
    <row r="2139" spans="1:8" ht="14.4" hidden="1">
      <c r="A2139" t="s">
        <v>254</v>
      </c>
      <c r="B2139">
        <v>7.1</v>
      </c>
      <c r="C2139" t="s">
        <v>589</v>
      </c>
      <c r="D2139" s="2">
        <v>45992</v>
      </c>
      <c r="E2139">
        <v>1</v>
      </c>
      <c r="F2139" s="2">
        <v>45993</v>
      </c>
      <c r="G2139">
        <v>1</v>
      </c>
      <c r="H2139">
        <v>1</v>
      </c>
    </row>
    <row r="2140" spans="1:8" ht="14.4" hidden="1">
      <c r="A2140" t="s">
        <v>254</v>
      </c>
      <c r="B2140">
        <v>8</v>
      </c>
      <c r="C2140" t="s">
        <v>590</v>
      </c>
      <c r="D2140" s="2">
        <v>45994</v>
      </c>
      <c r="E2140">
        <v>78</v>
      </c>
      <c r="F2140" s="2">
        <v>46072</v>
      </c>
      <c r="G2140">
        <v>0.84803921568627461</v>
      </c>
      <c r="H2140">
        <v>0.66653638199465837</v>
      </c>
    </row>
    <row r="2141" spans="1:8" ht="14.4" hidden="1">
      <c r="A2141" t="s">
        <v>254</v>
      </c>
      <c r="B2141">
        <v>8.1</v>
      </c>
      <c r="C2141" t="s">
        <v>591</v>
      </c>
      <c r="D2141" s="2">
        <v>46034</v>
      </c>
      <c r="E2141">
        <v>1</v>
      </c>
      <c r="F2141" s="2">
        <v>46035</v>
      </c>
      <c r="G2141">
        <v>1</v>
      </c>
      <c r="H2141">
        <v>1</v>
      </c>
    </row>
    <row r="2142" spans="1:8" ht="14.4" hidden="1">
      <c r="A2142" t="s">
        <v>254</v>
      </c>
      <c r="B2142">
        <v>8.1999999999999993</v>
      </c>
      <c r="C2142" t="s">
        <v>592</v>
      </c>
      <c r="D2142" s="2">
        <v>46036</v>
      </c>
      <c r="E2142">
        <v>5</v>
      </c>
      <c r="F2142" s="2">
        <v>46043</v>
      </c>
      <c r="G2142">
        <v>1</v>
      </c>
      <c r="H2142">
        <v>1</v>
      </c>
    </row>
    <row r="2143" spans="1:8" ht="14.4" hidden="1">
      <c r="A2143" t="s">
        <v>254</v>
      </c>
      <c r="B2143">
        <v>8.3000000000000007</v>
      </c>
      <c r="C2143" t="s">
        <v>593</v>
      </c>
      <c r="D2143" s="2">
        <v>45994</v>
      </c>
      <c r="E2143">
        <v>26</v>
      </c>
      <c r="F2143" s="2">
        <v>46034</v>
      </c>
      <c r="G2143">
        <v>1</v>
      </c>
      <c r="H2143">
        <v>1</v>
      </c>
    </row>
    <row r="2144" spans="1:8" ht="14.4" hidden="1">
      <c r="A2144" t="s">
        <v>254</v>
      </c>
      <c r="B2144">
        <v>8.4</v>
      </c>
      <c r="C2144" t="s">
        <v>594</v>
      </c>
      <c r="D2144" s="2">
        <v>46043</v>
      </c>
      <c r="E2144">
        <v>15</v>
      </c>
      <c r="F2144" s="2">
        <v>46064</v>
      </c>
      <c r="G2144">
        <v>0.75</v>
      </c>
      <c r="H2144">
        <v>1</v>
      </c>
    </row>
    <row r="2145" spans="1:8" ht="14.4" hidden="1">
      <c r="A2145" t="s">
        <v>254</v>
      </c>
      <c r="B2145">
        <v>8.5</v>
      </c>
      <c r="C2145" t="s">
        <v>595</v>
      </c>
      <c r="D2145" s="2">
        <v>46071</v>
      </c>
      <c r="E2145">
        <v>1</v>
      </c>
      <c r="F2145" s="2">
        <v>46072</v>
      </c>
      <c r="G2145">
        <v>0</v>
      </c>
      <c r="H2145">
        <v>0</v>
      </c>
    </row>
    <row r="2146" spans="1:8" ht="14.4" hidden="1">
      <c r="A2146" t="s">
        <v>254</v>
      </c>
      <c r="B2146">
        <v>8.6</v>
      </c>
      <c r="C2146" t="s">
        <v>596</v>
      </c>
      <c r="D2146" s="2">
        <v>46065</v>
      </c>
      <c r="E2146">
        <v>3</v>
      </c>
      <c r="F2146" s="2">
        <v>46070</v>
      </c>
      <c r="G2146">
        <v>0</v>
      </c>
      <c r="H2146">
        <v>0</v>
      </c>
    </row>
    <row r="2147" spans="1:8" ht="14.4" hidden="1">
      <c r="A2147" t="s">
        <v>539</v>
      </c>
      <c r="B2147">
        <v>1</v>
      </c>
      <c r="C2147" t="s">
        <v>547</v>
      </c>
      <c r="D2147" s="2">
        <v>46038</v>
      </c>
      <c r="E2147">
        <v>34</v>
      </c>
      <c r="F2147" s="2">
        <v>46072</v>
      </c>
      <c r="G2147">
        <v>0.5</v>
      </c>
      <c r="H2147">
        <v>0.5</v>
      </c>
    </row>
    <row r="2148" spans="1:8" ht="14.4" hidden="1">
      <c r="A2148" t="s">
        <v>539</v>
      </c>
      <c r="B2148" t="s">
        <v>548</v>
      </c>
      <c r="C2148" t="s">
        <v>597</v>
      </c>
      <c r="D2148" s="2">
        <v>46038</v>
      </c>
      <c r="E2148">
        <v>1</v>
      </c>
      <c r="F2148" s="2">
        <v>46041</v>
      </c>
      <c r="G2148">
        <v>1</v>
      </c>
      <c r="H2148">
        <v>1</v>
      </c>
    </row>
    <row r="2149" spans="1:8" ht="14.4" hidden="1">
      <c r="A2149" t="s">
        <v>539</v>
      </c>
      <c r="B2149" t="s">
        <v>550</v>
      </c>
      <c r="C2149" t="s">
        <v>598</v>
      </c>
      <c r="D2149" s="2">
        <v>46062</v>
      </c>
      <c r="E2149">
        <v>5</v>
      </c>
      <c r="F2149" s="2">
        <v>46069</v>
      </c>
      <c r="G2149">
        <v>0</v>
      </c>
      <c r="H2149">
        <v>0.2857142857142857</v>
      </c>
    </row>
    <row r="2150" spans="1:8" ht="14.4" hidden="1">
      <c r="A2150" t="s">
        <v>539</v>
      </c>
      <c r="B2150" t="s">
        <v>552</v>
      </c>
      <c r="C2150" t="s">
        <v>551</v>
      </c>
      <c r="D2150" s="2">
        <v>46069</v>
      </c>
      <c r="E2150">
        <v>1</v>
      </c>
      <c r="F2150" s="2">
        <v>46070</v>
      </c>
      <c r="G2150">
        <v>0</v>
      </c>
      <c r="H2150">
        <v>0</v>
      </c>
    </row>
    <row r="2151" spans="1:8" ht="14.4" hidden="1">
      <c r="A2151" t="s">
        <v>539</v>
      </c>
      <c r="B2151" t="s">
        <v>554</v>
      </c>
      <c r="C2151" t="s">
        <v>1126</v>
      </c>
      <c r="D2151" s="2">
        <v>46040</v>
      </c>
      <c r="E2151">
        <v>10</v>
      </c>
      <c r="F2151" s="2">
        <v>46052</v>
      </c>
      <c r="G2151">
        <v>1</v>
      </c>
      <c r="H2151">
        <v>1</v>
      </c>
    </row>
    <row r="2152" spans="1:8" ht="14.4" hidden="1">
      <c r="A2152" t="s">
        <v>539</v>
      </c>
      <c r="B2152" t="s">
        <v>556</v>
      </c>
      <c r="C2152" t="s">
        <v>557</v>
      </c>
      <c r="D2152" s="2">
        <v>46069</v>
      </c>
      <c r="E2152">
        <v>3</v>
      </c>
      <c r="F2152" s="2">
        <v>46072</v>
      </c>
      <c r="G2152">
        <v>0</v>
      </c>
      <c r="H2152">
        <v>0</v>
      </c>
    </row>
    <row r="2153" spans="1:8" ht="14.4" hidden="1">
      <c r="A2153" t="s">
        <v>539</v>
      </c>
      <c r="B2153">
        <v>2</v>
      </c>
      <c r="C2153" t="s">
        <v>558</v>
      </c>
      <c r="D2153" s="2">
        <v>46076</v>
      </c>
      <c r="E2153">
        <v>1</v>
      </c>
      <c r="F2153" s="2">
        <v>46077</v>
      </c>
      <c r="G2153">
        <v>0</v>
      </c>
      <c r="H2153">
        <v>0</v>
      </c>
    </row>
    <row r="2154" spans="1:8" ht="14.4" hidden="1">
      <c r="A2154" t="s">
        <v>539</v>
      </c>
      <c r="B2154" t="s">
        <v>559</v>
      </c>
      <c r="C2154" t="s">
        <v>560</v>
      </c>
      <c r="D2154" s="2">
        <v>46076</v>
      </c>
      <c r="E2154">
        <v>1</v>
      </c>
      <c r="F2154" s="2">
        <v>46077</v>
      </c>
      <c r="G2154">
        <v>0</v>
      </c>
      <c r="H2154">
        <v>0</v>
      </c>
    </row>
    <row r="2155" spans="1:8" ht="14.4" hidden="1">
      <c r="A2155" t="s">
        <v>539</v>
      </c>
      <c r="B2155">
        <v>3</v>
      </c>
      <c r="C2155" t="s">
        <v>561</v>
      </c>
      <c r="D2155" s="2">
        <v>46076</v>
      </c>
      <c r="E2155">
        <v>2</v>
      </c>
      <c r="F2155" s="2">
        <v>46078</v>
      </c>
      <c r="G2155">
        <v>0</v>
      </c>
      <c r="H2155">
        <v>0</v>
      </c>
    </row>
    <row r="2156" spans="1:8" ht="14.4" hidden="1">
      <c r="A2156" t="s">
        <v>539</v>
      </c>
      <c r="B2156" t="s">
        <v>562</v>
      </c>
      <c r="C2156" t="s">
        <v>563</v>
      </c>
      <c r="D2156" s="2">
        <v>46076</v>
      </c>
      <c r="E2156">
        <v>1</v>
      </c>
      <c r="F2156" s="2">
        <v>46077</v>
      </c>
      <c r="G2156">
        <v>0</v>
      </c>
      <c r="H2156">
        <v>0</v>
      </c>
    </row>
    <row r="2157" spans="1:8" ht="14.4" hidden="1">
      <c r="A2157" t="s">
        <v>539</v>
      </c>
      <c r="B2157" t="s">
        <v>564</v>
      </c>
      <c r="C2157" t="s">
        <v>565</v>
      </c>
      <c r="D2157" s="2">
        <v>46077</v>
      </c>
      <c r="E2157">
        <v>1</v>
      </c>
      <c r="F2157" s="2">
        <v>46078</v>
      </c>
      <c r="G2157">
        <v>0</v>
      </c>
      <c r="H2157">
        <v>0</v>
      </c>
    </row>
    <row r="2158" spans="1:8" ht="14.4" hidden="1">
      <c r="A2158" t="s">
        <v>539</v>
      </c>
      <c r="B2158" t="s">
        <v>566</v>
      </c>
      <c r="C2158" t="s">
        <v>1127</v>
      </c>
      <c r="E2158"/>
      <c r="G2158"/>
      <c r="H2158"/>
    </row>
    <row r="2159" spans="1:8" ht="14.4" hidden="1">
      <c r="A2159" t="s">
        <v>539</v>
      </c>
      <c r="B2159" t="s">
        <v>568</v>
      </c>
      <c r="C2159" t="s">
        <v>569</v>
      </c>
      <c r="D2159" s="2">
        <v>46076</v>
      </c>
      <c r="E2159">
        <v>2</v>
      </c>
      <c r="F2159" s="2">
        <v>46078</v>
      </c>
      <c r="G2159">
        <v>0</v>
      </c>
      <c r="H2159">
        <v>0</v>
      </c>
    </row>
    <row r="2160" spans="1:8" ht="14.4" hidden="1">
      <c r="A2160" t="s">
        <v>539</v>
      </c>
      <c r="B2160" t="s">
        <v>570</v>
      </c>
      <c r="C2160" t="s">
        <v>571</v>
      </c>
      <c r="D2160" s="2">
        <v>46076</v>
      </c>
      <c r="E2160">
        <v>1</v>
      </c>
      <c r="F2160" s="2">
        <v>46077</v>
      </c>
      <c r="G2160">
        <v>0</v>
      </c>
      <c r="H2160">
        <v>0</v>
      </c>
    </row>
    <row r="2161" spans="1:8" ht="14.4" hidden="1">
      <c r="A2161" t="s">
        <v>539</v>
      </c>
      <c r="B2161">
        <v>4</v>
      </c>
      <c r="C2161" t="s">
        <v>1128</v>
      </c>
      <c r="D2161" s="2">
        <v>46074</v>
      </c>
      <c r="E2161">
        <v>4</v>
      </c>
      <c r="F2161" s="2">
        <v>46078</v>
      </c>
      <c r="G2161">
        <v>0</v>
      </c>
      <c r="H2161">
        <v>0</v>
      </c>
    </row>
    <row r="2162" spans="1:8" ht="14.4" hidden="1">
      <c r="A2162" t="s">
        <v>539</v>
      </c>
      <c r="B2162" t="s">
        <v>573</v>
      </c>
      <c r="C2162" t="s">
        <v>1129</v>
      </c>
      <c r="D2162" s="2">
        <v>46076</v>
      </c>
      <c r="E2162">
        <v>1</v>
      </c>
      <c r="F2162" s="2">
        <v>46077</v>
      </c>
      <c r="G2162">
        <v>0</v>
      </c>
      <c r="H2162">
        <v>0</v>
      </c>
    </row>
    <row r="2163" spans="1:8" ht="14.4" hidden="1">
      <c r="A2163" t="s">
        <v>539</v>
      </c>
      <c r="B2163" t="s">
        <v>575</v>
      </c>
      <c r="C2163" t="s">
        <v>1130</v>
      </c>
      <c r="D2163" s="2">
        <v>46077</v>
      </c>
      <c r="E2163">
        <v>1</v>
      </c>
      <c r="F2163" s="2">
        <v>46078</v>
      </c>
      <c r="G2163">
        <v>0</v>
      </c>
      <c r="H2163">
        <v>0</v>
      </c>
    </row>
    <row r="2164" spans="1:8" ht="14.4" hidden="1">
      <c r="A2164" t="s">
        <v>539</v>
      </c>
      <c r="B2164" t="s">
        <v>577</v>
      </c>
      <c r="C2164" t="s">
        <v>1131</v>
      </c>
      <c r="D2164" s="2">
        <v>46076</v>
      </c>
      <c r="E2164">
        <v>1</v>
      </c>
      <c r="F2164" s="2">
        <v>46077</v>
      </c>
      <c r="G2164">
        <v>0</v>
      </c>
      <c r="H2164">
        <v>0</v>
      </c>
    </row>
    <row r="2165" spans="1:8" ht="14.4" hidden="1">
      <c r="A2165" t="s">
        <v>539</v>
      </c>
      <c r="B2165" t="s">
        <v>579</v>
      </c>
      <c r="C2165" t="s">
        <v>1132</v>
      </c>
      <c r="D2165" s="2">
        <v>46074</v>
      </c>
      <c r="E2165">
        <v>2</v>
      </c>
      <c r="F2165" s="2">
        <v>46077</v>
      </c>
      <c r="G2165">
        <v>0</v>
      </c>
      <c r="H2165">
        <v>0</v>
      </c>
    </row>
    <row r="2166" spans="1:8" ht="14.4" hidden="1">
      <c r="A2166" t="s">
        <v>539</v>
      </c>
      <c r="B2166">
        <v>6</v>
      </c>
      <c r="C2166" t="s">
        <v>240</v>
      </c>
      <c r="D2166" s="2">
        <v>46078</v>
      </c>
      <c r="E2166">
        <v>16</v>
      </c>
      <c r="F2166" s="2">
        <v>46094</v>
      </c>
      <c r="G2166">
        <v>0</v>
      </c>
      <c r="H2166">
        <v>0</v>
      </c>
    </row>
    <row r="2167" spans="1:8" ht="14.4" hidden="1">
      <c r="A2167" t="s">
        <v>539</v>
      </c>
      <c r="B2167" t="s">
        <v>586</v>
      </c>
      <c r="C2167" t="s">
        <v>240</v>
      </c>
      <c r="D2167" s="2">
        <v>46078</v>
      </c>
      <c r="E2167">
        <v>1</v>
      </c>
      <c r="F2167" s="2">
        <v>46079</v>
      </c>
      <c r="G2167">
        <v>0</v>
      </c>
      <c r="H2167">
        <v>0</v>
      </c>
    </row>
    <row r="2168" spans="1:8" ht="14.4" hidden="1">
      <c r="A2168" t="s">
        <v>539</v>
      </c>
      <c r="B2168" t="s">
        <v>587</v>
      </c>
      <c r="C2168" t="s">
        <v>169</v>
      </c>
      <c r="D2168" s="2">
        <v>46079</v>
      </c>
      <c r="E2168">
        <v>1</v>
      </c>
      <c r="F2168" s="2">
        <v>46080</v>
      </c>
      <c r="G2168">
        <v>0</v>
      </c>
      <c r="H2168">
        <v>0</v>
      </c>
    </row>
    <row r="2169" spans="1:8" ht="14.4" hidden="1">
      <c r="A2169" t="s">
        <v>539</v>
      </c>
      <c r="B2169" t="s">
        <v>599</v>
      </c>
      <c r="C2169" t="s">
        <v>593</v>
      </c>
      <c r="D2169" s="2">
        <v>46080</v>
      </c>
      <c r="E2169">
        <v>10</v>
      </c>
      <c r="F2169" s="2">
        <v>46094</v>
      </c>
      <c r="G2169">
        <v>0</v>
      </c>
      <c r="H2169">
        <v>0</v>
      </c>
    </row>
    <row r="2170" spans="1:8" ht="14.4" hidden="1">
      <c r="A2170" t="s">
        <v>539</v>
      </c>
      <c r="B2170">
        <v>7</v>
      </c>
      <c r="C2170" t="s">
        <v>588</v>
      </c>
      <c r="D2170" s="2">
        <v>46094</v>
      </c>
      <c r="E2170">
        <v>5</v>
      </c>
      <c r="F2170" s="2">
        <v>46099</v>
      </c>
      <c r="G2170">
        <v>0</v>
      </c>
      <c r="H2170">
        <v>0</v>
      </c>
    </row>
    <row r="2171" spans="1:8" ht="14.4" hidden="1">
      <c r="A2171" t="s">
        <v>539</v>
      </c>
      <c r="B2171" t="s">
        <v>600</v>
      </c>
      <c r="C2171" t="s">
        <v>589</v>
      </c>
      <c r="D2171" s="2">
        <v>46094</v>
      </c>
      <c r="E2171">
        <v>1</v>
      </c>
      <c r="F2171" s="2">
        <v>46097</v>
      </c>
      <c r="G2171">
        <v>0</v>
      </c>
      <c r="H2171">
        <v>0</v>
      </c>
    </row>
    <row r="2172" spans="1:8" ht="14.4" hidden="1">
      <c r="A2172" t="s">
        <v>539</v>
      </c>
      <c r="B2172" t="s">
        <v>601</v>
      </c>
      <c r="C2172" t="s">
        <v>592</v>
      </c>
      <c r="D2172" s="2">
        <v>46097</v>
      </c>
      <c r="E2172">
        <v>2</v>
      </c>
      <c r="F2172" s="2">
        <v>46099</v>
      </c>
      <c r="G2172">
        <v>0</v>
      </c>
      <c r="H2172">
        <v>0</v>
      </c>
    </row>
    <row r="2173" spans="1:8" ht="14.4" hidden="1">
      <c r="A2173" t="s">
        <v>539</v>
      </c>
      <c r="B2173">
        <v>8</v>
      </c>
      <c r="C2173" t="s">
        <v>590</v>
      </c>
      <c r="D2173" s="2">
        <v>46097</v>
      </c>
      <c r="E2173">
        <v>10</v>
      </c>
      <c r="F2173" s="2">
        <v>46107</v>
      </c>
      <c r="G2173">
        <v>0</v>
      </c>
      <c r="H2173">
        <v>0</v>
      </c>
    </row>
    <row r="2174" spans="1:8" ht="14.4" hidden="1">
      <c r="A2174" t="s">
        <v>539</v>
      </c>
      <c r="B2174" t="s">
        <v>602</v>
      </c>
      <c r="C2174" t="s">
        <v>594</v>
      </c>
      <c r="D2174" s="2">
        <v>46097</v>
      </c>
      <c r="E2174">
        <v>3</v>
      </c>
      <c r="F2174" s="2">
        <v>46100</v>
      </c>
      <c r="G2174">
        <v>0</v>
      </c>
      <c r="H2174">
        <v>0</v>
      </c>
    </row>
    <row r="2175" spans="1:8" ht="14.4" hidden="1">
      <c r="A2175" t="s">
        <v>539</v>
      </c>
      <c r="B2175" t="s">
        <v>603</v>
      </c>
      <c r="C2175" t="s">
        <v>595</v>
      </c>
      <c r="D2175" s="2">
        <v>46100</v>
      </c>
      <c r="E2175">
        <v>1</v>
      </c>
      <c r="F2175" s="2">
        <v>46101</v>
      </c>
      <c r="G2175">
        <v>0</v>
      </c>
      <c r="H2175">
        <v>0</v>
      </c>
    </row>
    <row r="2176" spans="1:8" ht="14.4" hidden="1">
      <c r="A2176" t="s">
        <v>539</v>
      </c>
      <c r="B2176" t="s">
        <v>604</v>
      </c>
      <c r="C2176" t="s">
        <v>596</v>
      </c>
      <c r="D2176" s="2">
        <v>46100</v>
      </c>
      <c r="E2176">
        <v>5</v>
      </c>
      <c r="F2176" s="2">
        <v>46107</v>
      </c>
      <c r="G2176">
        <v>0</v>
      </c>
      <c r="H2176">
        <v>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3F71C-2926-4F8D-BD2B-E08B41242109}">
  <sheetPr codeName="Sheet7"/>
  <dimension ref="A1:AB4326"/>
  <sheetViews>
    <sheetView zoomScale="130" zoomScaleNormal="130" workbookViewId="0">
      <selection activeCell="C4209" sqref="C4209"/>
    </sheetView>
  </sheetViews>
  <sheetFormatPr defaultColWidth="20.81640625" defaultRowHeight="14.5"/>
  <cols>
    <col min="1" max="1" width="14" bestFit="1" customWidth="1"/>
    <col min="2" max="2" width="13" bestFit="1" customWidth="1"/>
    <col min="3" max="3" width="15.7265625" bestFit="1" customWidth="1"/>
    <col min="4" max="4" width="22.453125" bestFit="1" customWidth="1"/>
    <col min="5" max="5" width="17.36328125" bestFit="1" customWidth="1"/>
    <col min="6" max="6" width="13.36328125" style="1" bestFit="1" customWidth="1"/>
    <col min="7" max="7" width="46.1796875" hidden="1" customWidth="1"/>
    <col min="8" max="8" width="21" bestFit="1" customWidth="1"/>
    <col min="9" max="9" width="34.81640625" style="170" hidden="1" customWidth="1"/>
    <col min="10" max="10" width="30.54296875" style="1" hidden="1" customWidth="1"/>
    <col min="11" max="11" width="23.453125" style="193" bestFit="1" customWidth="1"/>
    <col min="12" max="12" width="31.453125" style="1" bestFit="1" customWidth="1"/>
    <col min="13" max="13" width="21.6328125" style="1" bestFit="1" customWidth="1"/>
    <col min="14" max="14" width="14.54296875" style="1" bestFit="1" customWidth="1"/>
    <col min="15" max="15" width="20.81640625" style="1"/>
    <col min="19" max="19" width="20.81640625" style="1"/>
    <col min="21" max="21" width="20.81640625" style="1"/>
    <col min="25" max="26" width="20.81640625" style="1"/>
    <col min="28" max="28" width="20.81640625" style="1"/>
  </cols>
  <sheetData>
    <row r="1" spans="1:28">
      <c r="A1" t="s">
        <v>494</v>
      </c>
      <c r="B1" t="s">
        <v>1133</v>
      </c>
      <c r="C1" t="s">
        <v>112</v>
      </c>
      <c r="D1" t="s">
        <v>1134</v>
      </c>
      <c r="E1" t="s">
        <v>1135</v>
      </c>
      <c r="F1" t="s">
        <v>1136</v>
      </c>
      <c r="G1" t="s">
        <v>1137</v>
      </c>
      <c r="H1" s="1" t="s">
        <v>1138</v>
      </c>
      <c r="I1" t="s">
        <v>1139</v>
      </c>
      <c r="J1" t="s">
        <v>1140</v>
      </c>
      <c r="K1" s="170" t="s">
        <v>1141</v>
      </c>
      <c r="L1" s="1" t="s">
        <v>1142</v>
      </c>
      <c r="M1" s="2" t="s">
        <v>1143</v>
      </c>
      <c r="N1" s="1" t="s">
        <v>1144</v>
      </c>
      <c r="O1"/>
      <c r="S1"/>
      <c r="U1"/>
      <c r="Y1"/>
      <c r="Z1"/>
      <c r="AB1"/>
    </row>
    <row r="2" spans="1:28" ht="14.4" hidden="1">
      <c r="A2" t="s">
        <v>155</v>
      </c>
      <c r="B2" s="1">
        <v>6</v>
      </c>
      <c r="C2" s="258" t="s">
        <v>1145</v>
      </c>
      <c r="D2" t="s">
        <v>1146</v>
      </c>
      <c r="E2" t="s">
        <v>1147</v>
      </c>
      <c r="F2">
        <v>600</v>
      </c>
      <c r="G2">
        <v>1128.5</v>
      </c>
      <c r="H2" s="1">
        <v>677100</v>
      </c>
      <c r="I2"/>
      <c r="J2" t="s">
        <v>1148</v>
      </c>
      <c r="K2" s="170">
        <v>45961</v>
      </c>
      <c r="L2" s="1">
        <v>982465.71707089036</v>
      </c>
      <c r="M2" s="1">
        <v>46009</v>
      </c>
      <c r="N2" s="1">
        <v>706622.74</v>
      </c>
      <c r="O2"/>
      <c r="S2"/>
      <c r="U2"/>
      <c r="Y2"/>
      <c r="Z2"/>
      <c r="AB2"/>
    </row>
    <row r="3" spans="1:28" ht="14.4" hidden="1">
      <c r="A3" t="s">
        <v>155</v>
      </c>
      <c r="B3" s="1">
        <v>7</v>
      </c>
      <c r="C3" s="258" t="s">
        <v>1149</v>
      </c>
      <c r="D3" t="s">
        <v>1146</v>
      </c>
      <c r="E3" t="s">
        <v>1150</v>
      </c>
      <c r="F3"/>
      <c r="H3" s="1">
        <v>14365.74</v>
      </c>
      <c r="I3"/>
      <c r="J3" t="s">
        <v>1148</v>
      </c>
      <c r="K3" s="170">
        <v>45961</v>
      </c>
      <c r="L3" s="1">
        <v>20844.553316133472</v>
      </c>
      <c r="M3" s="1">
        <v>46009</v>
      </c>
      <c r="O3"/>
      <c r="S3"/>
      <c r="U3"/>
      <c r="Y3"/>
      <c r="Z3"/>
      <c r="AB3"/>
    </row>
    <row r="4" spans="1:28" ht="14.4" hidden="1">
      <c r="A4" t="s">
        <v>155</v>
      </c>
      <c r="B4" s="1">
        <v>8</v>
      </c>
      <c r="C4" s="258" t="s">
        <v>1151</v>
      </c>
      <c r="D4" t="s">
        <v>1146</v>
      </c>
      <c r="E4" t="s">
        <v>1152</v>
      </c>
      <c r="F4"/>
      <c r="H4" s="1">
        <v>12900</v>
      </c>
      <c r="I4"/>
      <c r="J4" t="s">
        <v>1148</v>
      </c>
      <c r="K4" s="170">
        <v>45961</v>
      </c>
      <c r="L4" s="1">
        <v>18717.778393464021</v>
      </c>
      <c r="M4" s="1">
        <v>46009</v>
      </c>
      <c r="O4"/>
      <c r="S4"/>
      <c r="U4"/>
      <c r="Y4"/>
      <c r="Z4"/>
      <c r="AB4"/>
    </row>
    <row r="5" spans="1:28" ht="14.4" hidden="1">
      <c r="A5" t="s">
        <v>155</v>
      </c>
      <c r="B5" s="1">
        <v>9</v>
      </c>
      <c r="C5" s="258" t="s">
        <v>1153</v>
      </c>
      <c r="D5" t="s">
        <v>1146</v>
      </c>
      <c r="E5" t="s">
        <v>1154</v>
      </c>
      <c r="F5">
        <v>2</v>
      </c>
      <c r="G5">
        <v>1128.5</v>
      </c>
      <c r="H5" s="1">
        <v>2257</v>
      </c>
      <c r="I5"/>
      <c r="J5" t="s">
        <v>1155</v>
      </c>
      <c r="K5" s="170">
        <v>46022</v>
      </c>
      <c r="L5" s="1">
        <v>0</v>
      </c>
      <c r="M5" s="1">
        <v>46022</v>
      </c>
      <c r="O5"/>
      <c r="S5"/>
      <c r="U5"/>
      <c r="Y5"/>
      <c r="Z5"/>
      <c r="AB5"/>
    </row>
    <row r="6" spans="1:28" ht="14.4" hidden="1">
      <c r="A6" t="s">
        <v>155</v>
      </c>
      <c r="B6" s="1">
        <v>13</v>
      </c>
      <c r="C6" s="258" t="s">
        <v>1156</v>
      </c>
      <c r="D6" t="s">
        <v>1157</v>
      </c>
      <c r="E6" t="s">
        <v>1158</v>
      </c>
      <c r="F6">
        <v>3</v>
      </c>
      <c r="G6">
        <v>65246</v>
      </c>
      <c r="H6" s="1">
        <v>195738</v>
      </c>
      <c r="I6"/>
      <c r="J6" t="s">
        <v>1148</v>
      </c>
      <c r="K6" s="170">
        <v>45961</v>
      </c>
      <c r="L6" s="1">
        <v>256097.56097560975</v>
      </c>
      <c r="M6" s="1">
        <v>46009</v>
      </c>
      <c r="N6" s="1">
        <v>195738</v>
      </c>
      <c r="O6"/>
      <c r="S6"/>
      <c r="U6"/>
      <c r="Y6"/>
      <c r="Z6"/>
      <c r="AB6"/>
    </row>
    <row r="7" spans="1:28" ht="14.4" hidden="1">
      <c r="A7" t="s">
        <v>155</v>
      </c>
      <c r="B7" s="1">
        <v>21</v>
      </c>
      <c r="C7" s="258" t="s">
        <v>1159</v>
      </c>
      <c r="D7" t="s">
        <v>1160</v>
      </c>
      <c r="E7" t="s">
        <v>1161</v>
      </c>
      <c r="F7"/>
      <c r="H7" s="1">
        <v>69250</v>
      </c>
      <c r="I7" t="s">
        <v>1162</v>
      </c>
      <c r="J7" t="s">
        <v>1163</v>
      </c>
      <c r="K7" s="170">
        <v>45930</v>
      </c>
      <c r="L7" s="1">
        <v>178536.58536585365</v>
      </c>
      <c r="M7" s="1">
        <v>45960</v>
      </c>
      <c r="N7" s="1">
        <v>69250</v>
      </c>
      <c r="O7"/>
      <c r="S7"/>
      <c r="U7"/>
      <c r="Y7"/>
      <c r="Z7"/>
      <c r="AB7"/>
    </row>
    <row r="8" spans="1:28" ht="14.4" hidden="1">
      <c r="A8" t="s">
        <v>155</v>
      </c>
      <c r="B8" s="1">
        <v>28</v>
      </c>
      <c r="C8" s="258" t="s">
        <v>1164</v>
      </c>
      <c r="D8" t="s">
        <v>1165</v>
      </c>
      <c r="E8" t="s">
        <v>1166</v>
      </c>
      <c r="F8">
        <v>8000</v>
      </c>
      <c r="G8">
        <v>13.65</v>
      </c>
      <c r="H8" s="1">
        <v>109200</v>
      </c>
      <c r="I8"/>
      <c r="J8" t="s">
        <v>1167</v>
      </c>
      <c r="K8" s="170">
        <v>45961</v>
      </c>
      <c r="L8" s="1">
        <v>148263.86931691709</v>
      </c>
      <c r="M8" s="1">
        <v>46003</v>
      </c>
      <c r="N8" s="1">
        <v>257154.89999999997</v>
      </c>
      <c r="O8"/>
      <c r="S8"/>
      <c r="U8"/>
      <c r="Y8"/>
      <c r="Z8"/>
      <c r="AB8"/>
    </row>
    <row r="9" spans="1:28" ht="14.4" hidden="1">
      <c r="A9" t="s">
        <v>155</v>
      </c>
      <c r="B9" s="1">
        <v>32</v>
      </c>
      <c r="C9" s="258" t="s">
        <v>1168</v>
      </c>
      <c r="D9" t="s">
        <v>1165</v>
      </c>
      <c r="E9" t="s">
        <v>1169</v>
      </c>
      <c r="F9">
        <v>147954.9</v>
      </c>
      <c r="G9">
        <v>0.15</v>
      </c>
      <c r="H9" s="1">
        <v>22193.234999999997</v>
      </c>
      <c r="I9" t="s">
        <v>1170</v>
      </c>
      <c r="J9" t="s">
        <v>1171</v>
      </c>
      <c r="K9" s="170">
        <v>45961</v>
      </c>
      <c r="L9" s="1">
        <v>30132.370821974633</v>
      </c>
      <c r="M9" s="1">
        <v>45939</v>
      </c>
      <c r="O9"/>
      <c r="S9"/>
      <c r="U9"/>
      <c r="Y9"/>
      <c r="Z9"/>
      <c r="AB9"/>
    </row>
    <row r="10" spans="1:28" ht="14.4" hidden="1">
      <c r="A10" t="s">
        <v>155</v>
      </c>
      <c r="B10" s="1">
        <v>33</v>
      </c>
      <c r="C10" s="258" t="s">
        <v>1172</v>
      </c>
      <c r="D10" t="s">
        <v>1165</v>
      </c>
      <c r="E10" t="s">
        <v>558</v>
      </c>
      <c r="F10"/>
      <c r="G10">
        <v>0.15</v>
      </c>
      <c r="H10" s="1">
        <v>22193.234999999997</v>
      </c>
      <c r="I10"/>
      <c r="J10" t="s">
        <v>1173</v>
      </c>
      <c r="K10" s="170">
        <v>45961</v>
      </c>
      <c r="L10" s="1">
        <v>30132.370821974633</v>
      </c>
      <c r="M10" s="1">
        <v>45939</v>
      </c>
      <c r="O10"/>
      <c r="S10"/>
      <c r="U10"/>
      <c r="Y10"/>
      <c r="Z10"/>
      <c r="AB10"/>
    </row>
    <row r="11" spans="1:28" ht="14.4" hidden="1">
      <c r="A11" t="s">
        <v>155</v>
      </c>
      <c r="B11" s="1">
        <v>34</v>
      </c>
      <c r="C11" s="258" t="s">
        <v>1174</v>
      </c>
      <c r="D11" t="s">
        <v>1165</v>
      </c>
      <c r="E11" t="s">
        <v>1175</v>
      </c>
      <c r="F11"/>
      <c r="G11">
        <v>0.2</v>
      </c>
      <c r="H11" s="1">
        <v>29590.98</v>
      </c>
      <c r="I11"/>
      <c r="J11" t="s">
        <v>1176</v>
      </c>
      <c r="K11" s="170">
        <v>45991</v>
      </c>
      <c r="L11" s="1">
        <v>40176.494429299513</v>
      </c>
      <c r="M11" s="1">
        <v>45999</v>
      </c>
      <c r="O11"/>
      <c r="S11"/>
      <c r="U11"/>
      <c r="Y11"/>
      <c r="Z11"/>
      <c r="AB11"/>
    </row>
    <row r="12" spans="1:28" ht="14.4" hidden="1">
      <c r="A12" t="s">
        <v>155</v>
      </c>
      <c r="B12" s="1">
        <v>35</v>
      </c>
      <c r="C12" s="258" t="s">
        <v>1177</v>
      </c>
      <c r="D12" t="s">
        <v>1165</v>
      </c>
      <c r="E12" t="s">
        <v>1178</v>
      </c>
      <c r="F12"/>
      <c r="G12">
        <v>0.2</v>
      </c>
      <c r="H12" s="1">
        <v>29590.98</v>
      </c>
      <c r="I12"/>
      <c r="J12" t="s">
        <v>1179</v>
      </c>
      <c r="K12" s="170">
        <v>46022</v>
      </c>
      <c r="L12" s="1">
        <v>40176.494429299513</v>
      </c>
      <c r="M12" s="1">
        <v>46015</v>
      </c>
      <c r="O12"/>
      <c r="S12"/>
      <c r="U12"/>
      <c r="Y12"/>
      <c r="Z12"/>
      <c r="AB12"/>
    </row>
    <row r="13" spans="1:28" ht="14.4" hidden="1">
      <c r="A13" t="s">
        <v>155</v>
      </c>
      <c r="B13" s="1">
        <v>36</v>
      </c>
      <c r="C13" s="258" t="s">
        <v>1180</v>
      </c>
      <c r="D13" t="s">
        <v>1165</v>
      </c>
      <c r="E13" t="s">
        <v>1181</v>
      </c>
      <c r="F13"/>
      <c r="G13">
        <v>0.1</v>
      </c>
      <c r="H13" s="1">
        <v>14795.49</v>
      </c>
      <c r="I13"/>
      <c r="J13" t="s">
        <v>1182</v>
      </c>
      <c r="K13" s="170">
        <v>46022</v>
      </c>
      <c r="L13" s="1">
        <v>20088.247214649757</v>
      </c>
      <c r="M13" s="1">
        <v>46015</v>
      </c>
      <c r="O13"/>
      <c r="S13"/>
      <c r="U13"/>
      <c r="Y13"/>
      <c r="Z13"/>
      <c r="AB13"/>
    </row>
    <row r="14" spans="1:28" ht="14.4" hidden="1">
      <c r="A14" t="s">
        <v>155</v>
      </c>
      <c r="B14" s="1">
        <v>37</v>
      </c>
      <c r="C14" s="258" t="s">
        <v>1183</v>
      </c>
      <c r="D14" t="s">
        <v>1165</v>
      </c>
      <c r="E14" t="s">
        <v>1184</v>
      </c>
      <c r="F14"/>
      <c r="G14">
        <v>0.1</v>
      </c>
      <c r="H14" s="1">
        <v>14795.49</v>
      </c>
      <c r="I14"/>
      <c r="J14" t="s">
        <v>1185</v>
      </c>
      <c r="K14" s="170">
        <v>46022</v>
      </c>
      <c r="L14" s="1">
        <v>20088.247214649757</v>
      </c>
      <c r="M14" s="1">
        <v>46052</v>
      </c>
      <c r="O14"/>
      <c r="S14"/>
      <c r="U14"/>
      <c r="Y14"/>
      <c r="Z14"/>
      <c r="AB14"/>
    </row>
    <row r="15" spans="1:28" ht="14.4" hidden="1">
      <c r="A15" t="s">
        <v>155</v>
      </c>
      <c r="B15" s="1">
        <v>38</v>
      </c>
      <c r="C15" s="258" t="s">
        <v>1186</v>
      </c>
      <c r="D15" t="s">
        <v>1165</v>
      </c>
      <c r="E15" t="s">
        <v>1187</v>
      </c>
      <c r="F15"/>
      <c r="G15">
        <v>0.05</v>
      </c>
      <c r="H15" s="1">
        <v>7397.7449999999999</v>
      </c>
      <c r="I15"/>
      <c r="J15" t="s">
        <v>1188</v>
      </c>
      <c r="K15" s="170">
        <v>46022</v>
      </c>
      <c r="L15" s="1">
        <v>10044.123607324878</v>
      </c>
      <c r="M15" s="1">
        <v>46058</v>
      </c>
      <c r="O15"/>
      <c r="S15"/>
      <c r="U15"/>
      <c r="Y15"/>
      <c r="Z15"/>
      <c r="AB15"/>
    </row>
    <row r="16" spans="1:28" ht="14.4" hidden="1">
      <c r="A16" t="s">
        <v>155</v>
      </c>
      <c r="B16" s="1">
        <v>39</v>
      </c>
      <c r="C16" s="258" t="s">
        <v>1189</v>
      </c>
      <c r="D16" t="s">
        <v>1165</v>
      </c>
      <c r="E16" t="s">
        <v>1190</v>
      </c>
      <c r="F16"/>
      <c r="G16">
        <v>0.05</v>
      </c>
      <c r="H16" s="1">
        <v>7397.7449999999999</v>
      </c>
      <c r="I16"/>
      <c r="J16" t="s">
        <v>1191</v>
      </c>
      <c r="K16" s="170">
        <v>46022</v>
      </c>
      <c r="L16" s="1">
        <v>10044.123607324878</v>
      </c>
      <c r="M16" s="1">
        <v>46109</v>
      </c>
      <c r="O16"/>
      <c r="S16"/>
      <c r="U16"/>
      <c r="Y16"/>
      <c r="Z16"/>
      <c r="AB16"/>
    </row>
    <row r="17" spans="1:28" ht="14.4" hidden="1">
      <c r="A17" t="s">
        <v>155</v>
      </c>
      <c r="B17" s="1">
        <v>44</v>
      </c>
      <c r="C17" s="258" t="s">
        <v>1192</v>
      </c>
      <c r="D17" t="s">
        <v>1193</v>
      </c>
      <c r="E17" t="s">
        <v>1194</v>
      </c>
      <c r="F17"/>
      <c r="H17" s="1">
        <v>8598.34</v>
      </c>
      <c r="I17"/>
      <c r="J17" t="s">
        <v>1167</v>
      </c>
      <c r="K17" s="170">
        <v>45961</v>
      </c>
      <c r="L17" s="1">
        <v>11639.593368662485</v>
      </c>
      <c r="M17" s="1">
        <v>46004</v>
      </c>
      <c r="N17" s="1">
        <v>44864.75</v>
      </c>
      <c r="O17"/>
      <c r="S17"/>
      <c r="U17"/>
      <c r="Y17"/>
      <c r="Z17"/>
      <c r="AB17"/>
    </row>
    <row r="18" spans="1:28" ht="14.4" hidden="1">
      <c r="A18" t="s">
        <v>155</v>
      </c>
      <c r="B18" s="1">
        <v>45</v>
      </c>
      <c r="C18" s="258" t="s">
        <v>1195</v>
      </c>
      <c r="D18" t="s">
        <v>1193</v>
      </c>
      <c r="E18" t="s">
        <v>1196</v>
      </c>
      <c r="F18"/>
      <c r="H18" s="1">
        <v>22615.5</v>
      </c>
      <c r="I18" t="s">
        <v>1197</v>
      </c>
      <c r="J18" t="s">
        <v>1198</v>
      </c>
      <c r="K18" s="170">
        <v>45930</v>
      </c>
      <c r="L18" s="1">
        <v>31168.850302280833</v>
      </c>
      <c r="M18" s="1">
        <v>45960</v>
      </c>
      <c r="O18"/>
      <c r="S18"/>
      <c r="U18"/>
      <c r="Y18"/>
      <c r="Z18"/>
      <c r="AB18"/>
    </row>
    <row r="19" spans="1:28" ht="14.4" hidden="1">
      <c r="A19" t="s">
        <v>155</v>
      </c>
      <c r="B19" s="1">
        <v>46</v>
      </c>
      <c r="C19" s="258" t="s">
        <v>1199</v>
      </c>
      <c r="D19" t="s">
        <v>1193</v>
      </c>
      <c r="E19" t="s">
        <v>1200</v>
      </c>
      <c r="F19"/>
      <c r="H19" s="1">
        <v>11169</v>
      </c>
      <c r="I19"/>
      <c r="J19" t="s">
        <v>1201</v>
      </c>
      <c r="K19" s="170">
        <v>45961</v>
      </c>
      <c r="L19" s="1">
        <v>15320.089146811048</v>
      </c>
      <c r="M19" s="1">
        <v>45974</v>
      </c>
      <c r="O19"/>
      <c r="S19"/>
      <c r="U19"/>
      <c r="Y19"/>
      <c r="Z19"/>
      <c r="AB19"/>
    </row>
    <row r="20" spans="1:28" ht="14.4" hidden="1">
      <c r="A20" t="s">
        <v>155</v>
      </c>
      <c r="B20" s="1">
        <v>47</v>
      </c>
      <c r="C20" s="258" t="s">
        <v>1202</v>
      </c>
      <c r="D20" t="s">
        <v>1193</v>
      </c>
      <c r="E20" t="s">
        <v>1203</v>
      </c>
      <c r="F20"/>
      <c r="H20" s="1">
        <v>206.91</v>
      </c>
      <c r="I20"/>
      <c r="J20" t="s">
        <v>1204</v>
      </c>
      <c r="K20" s="170">
        <v>45961</v>
      </c>
      <c r="L20" s="1">
        <v>283.81051529829648</v>
      </c>
      <c r="M20" s="1">
        <v>45991</v>
      </c>
      <c r="O20"/>
      <c r="S20"/>
      <c r="U20"/>
      <c r="Y20"/>
      <c r="Z20"/>
      <c r="AB20"/>
    </row>
    <row r="21" spans="1:28" ht="14.4" hidden="1">
      <c r="A21" t="s">
        <v>155</v>
      </c>
      <c r="B21" s="1">
        <v>48</v>
      </c>
      <c r="C21" s="258" t="s">
        <v>1205</v>
      </c>
      <c r="D21" t="s">
        <v>1193</v>
      </c>
      <c r="E21" t="s">
        <v>1206</v>
      </c>
      <c r="F21"/>
      <c r="H21" s="1">
        <v>975</v>
      </c>
      <c r="I21"/>
      <c r="J21" t="s">
        <v>1207</v>
      </c>
      <c r="K21" s="170">
        <v>45930</v>
      </c>
      <c r="L21" s="1">
        <v>1343.752251540926</v>
      </c>
      <c r="M21" s="1">
        <v>45939</v>
      </c>
      <c r="O21"/>
      <c r="S21"/>
      <c r="U21"/>
      <c r="Y21"/>
      <c r="Z21"/>
      <c r="AB21"/>
    </row>
    <row r="22" spans="1:28" ht="14.4" hidden="1">
      <c r="A22" t="s">
        <v>155</v>
      </c>
      <c r="B22" s="1">
        <v>49</v>
      </c>
      <c r="C22" s="258" t="s">
        <v>1208</v>
      </c>
      <c r="D22" t="s">
        <v>1193</v>
      </c>
      <c r="E22" t="s">
        <v>1209</v>
      </c>
      <c r="F22"/>
      <c r="H22" s="1">
        <v>1300</v>
      </c>
      <c r="I22"/>
      <c r="J22" t="s">
        <v>1155</v>
      </c>
      <c r="K22" s="170">
        <v>46022</v>
      </c>
      <c r="L22" s="1">
        <v>0</v>
      </c>
      <c r="M22" s="1">
        <v>46022</v>
      </c>
      <c r="O22"/>
      <c r="S22"/>
      <c r="U22"/>
      <c r="Y22"/>
      <c r="Z22"/>
      <c r="AB22"/>
    </row>
    <row r="23" spans="1:28" ht="14.4" hidden="1">
      <c r="A23" t="s">
        <v>155</v>
      </c>
      <c r="B23" s="1">
        <v>54</v>
      </c>
      <c r="C23" s="258" t="s">
        <v>1210</v>
      </c>
      <c r="D23" t="s">
        <v>1211</v>
      </c>
      <c r="E23" t="s">
        <v>1212</v>
      </c>
      <c r="F23"/>
      <c r="H23" s="1">
        <v>130831.95</v>
      </c>
      <c r="I23" t="s">
        <v>1213</v>
      </c>
      <c r="J23" t="s">
        <v>1214</v>
      </c>
      <c r="K23" s="170">
        <v>45991</v>
      </c>
      <c r="L23" s="1">
        <v>320138.65301530325</v>
      </c>
      <c r="M23" s="1">
        <v>46021</v>
      </c>
      <c r="O23"/>
      <c r="S23"/>
      <c r="U23"/>
      <c r="Y23"/>
      <c r="Z23"/>
      <c r="AB23"/>
    </row>
    <row r="24" spans="1:28" ht="14.4" hidden="1">
      <c r="A24" t="s">
        <v>155</v>
      </c>
      <c r="B24" s="1">
        <v>59</v>
      </c>
      <c r="C24" s="258" t="s">
        <v>1215</v>
      </c>
      <c r="D24" t="s">
        <v>1211</v>
      </c>
      <c r="E24" t="s">
        <v>1169</v>
      </c>
      <c r="F24">
        <v>116890.33</v>
      </c>
      <c r="G24">
        <v>0.15</v>
      </c>
      <c r="H24" s="1">
        <v>17533.549500000001</v>
      </c>
      <c r="I24" t="s">
        <v>1170</v>
      </c>
      <c r="J24" t="s">
        <v>1171</v>
      </c>
      <c r="K24" s="170">
        <v>45961</v>
      </c>
      <c r="L24" s="1">
        <v>42903.640276760721</v>
      </c>
      <c r="M24" s="1">
        <v>45939</v>
      </c>
      <c r="O24"/>
      <c r="S24"/>
      <c r="U24"/>
      <c r="Y24"/>
      <c r="Z24"/>
      <c r="AB24"/>
    </row>
    <row r="25" spans="1:28" ht="14.4" hidden="1">
      <c r="A25" t="s">
        <v>155</v>
      </c>
      <c r="B25" s="1">
        <v>60</v>
      </c>
      <c r="C25" s="258" t="s">
        <v>1216</v>
      </c>
      <c r="D25" t="s">
        <v>1211</v>
      </c>
      <c r="E25" t="s">
        <v>558</v>
      </c>
      <c r="F25"/>
      <c r="G25">
        <v>0.15</v>
      </c>
      <c r="H25" s="1">
        <v>17533.549500000001</v>
      </c>
      <c r="I25"/>
      <c r="J25" t="s">
        <v>1173</v>
      </c>
      <c r="K25" s="170">
        <v>45961</v>
      </c>
      <c r="L25" s="1">
        <v>42903.640276760721</v>
      </c>
      <c r="M25" s="1">
        <v>45939</v>
      </c>
      <c r="O25"/>
      <c r="S25"/>
      <c r="U25"/>
      <c r="Y25"/>
      <c r="Z25"/>
      <c r="AB25"/>
    </row>
    <row r="26" spans="1:28" ht="14.4" hidden="1">
      <c r="A26" t="s">
        <v>155</v>
      </c>
      <c r="B26" s="1">
        <v>61</v>
      </c>
      <c r="C26" s="258" t="s">
        <v>1217</v>
      </c>
      <c r="D26" t="s">
        <v>1211</v>
      </c>
      <c r="E26" t="s">
        <v>1175</v>
      </c>
      <c r="F26"/>
      <c r="G26">
        <v>0.2</v>
      </c>
      <c r="H26" s="1">
        <v>23378.066000000003</v>
      </c>
      <c r="I26"/>
      <c r="J26" t="s">
        <v>1176</v>
      </c>
      <c r="K26" s="170">
        <v>45991</v>
      </c>
      <c r="L26" s="1">
        <v>57204.853702347631</v>
      </c>
      <c r="M26" s="1">
        <v>45999</v>
      </c>
      <c r="O26"/>
      <c r="S26"/>
      <c r="U26"/>
      <c r="Y26"/>
      <c r="Z26"/>
      <c r="AB26"/>
    </row>
    <row r="27" spans="1:28" ht="14.4" hidden="1">
      <c r="A27" t="s">
        <v>155</v>
      </c>
      <c r="B27" s="1">
        <v>62</v>
      </c>
      <c r="C27" s="258" t="s">
        <v>1218</v>
      </c>
      <c r="D27" t="s">
        <v>1211</v>
      </c>
      <c r="E27" t="s">
        <v>1178</v>
      </c>
      <c r="F27"/>
      <c r="G27">
        <v>0.2</v>
      </c>
      <c r="H27" s="1">
        <v>23378.066000000003</v>
      </c>
      <c r="I27"/>
      <c r="J27" t="s">
        <v>1179</v>
      </c>
      <c r="K27" s="170">
        <v>46022</v>
      </c>
      <c r="L27" s="1">
        <v>57204.853702347631</v>
      </c>
      <c r="M27" s="1">
        <v>46015</v>
      </c>
      <c r="O27"/>
      <c r="S27"/>
      <c r="U27"/>
      <c r="Y27"/>
      <c r="Z27"/>
      <c r="AB27"/>
    </row>
    <row r="28" spans="1:28" ht="14.4" hidden="1">
      <c r="A28" t="s">
        <v>155</v>
      </c>
      <c r="B28" s="1">
        <v>63</v>
      </c>
      <c r="C28" s="258" t="s">
        <v>1219</v>
      </c>
      <c r="D28" t="s">
        <v>1211</v>
      </c>
      <c r="E28" t="s">
        <v>1181</v>
      </c>
      <c r="F28"/>
      <c r="G28">
        <v>0.1</v>
      </c>
      <c r="H28" s="1">
        <v>11689.032999999999</v>
      </c>
      <c r="I28"/>
      <c r="J28" t="s">
        <v>1182</v>
      </c>
      <c r="K28" s="170">
        <v>46022</v>
      </c>
      <c r="L28" s="1">
        <v>28602.426851173816</v>
      </c>
      <c r="M28" s="1">
        <v>46015</v>
      </c>
      <c r="O28"/>
      <c r="S28"/>
      <c r="U28"/>
      <c r="Y28"/>
      <c r="Z28"/>
      <c r="AB28"/>
    </row>
    <row r="29" spans="1:28" ht="14.4" hidden="1">
      <c r="A29" t="s">
        <v>155</v>
      </c>
      <c r="B29" s="1">
        <v>64</v>
      </c>
      <c r="C29" s="258" t="s">
        <v>1220</v>
      </c>
      <c r="D29" t="s">
        <v>1211</v>
      </c>
      <c r="E29" t="s">
        <v>1184</v>
      </c>
      <c r="F29"/>
      <c r="G29">
        <v>0.1</v>
      </c>
      <c r="H29" s="1">
        <v>11689.032999999999</v>
      </c>
      <c r="I29"/>
      <c r="J29" t="s">
        <v>1185</v>
      </c>
      <c r="K29" s="170">
        <v>46022</v>
      </c>
      <c r="L29" s="1">
        <v>28602.426851173816</v>
      </c>
      <c r="M29" s="1">
        <v>46052</v>
      </c>
      <c r="O29"/>
      <c r="S29"/>
      <c r="U29"/>
      <c r="Y29"/>
      <c r="Z29"/>
      <c r="AB29"/>
    </row>
    <row r="30" spans="1:28" ht="14.4" hidden="1">
      <c r="A30" t="s">
        <v>155</v>
      </c>
      <c r="B30" s="1">
        <v>65</v>
      </c>
      <c r="C30" s="258" t="s">
        <v>1221</v>
      </c>
      <c r="D30" t="s">
        <v>1211</v>
      </c>
      <c r="E30" t="s">
        <v>1187</v>
      </c>
      <c r="F30"/>
      <c r="G30">
        <v>0.05</v>
      </c>
      <c r="H30" s="1">
        <v>5844.5165000000006</v>
      </c>
      <c r="I30"/>
      <c r="J30" t="s">
        <v>1188</v>
      </c>
      <c r="K30" s="170">
        <v>46022</v>
      </c>
      <c r="L30" s="1">
        <v>14301.213425586908</v>
      </c>
      <c r="M30" s="1">
        <v>46058</v>
      </c>
      <c r="O30"/>
      <c r="S30"/>
      <c r="U30"/>
      <c r="Y30"/>
      <c r="Z30"/>
      <c r="AB30"/>
    </row>
    <row r="31" spans="1:28" ht="14.4" hidden="1">
      <c r="A31" t="s">
        <v>155</v>
      </c>
      <c r="B31" s="1">
        <v>66</v>
      </c>
      <c r="C31" s="258" t="s">
        <v>1222</v>
      </c>
      <c r="D31" t="s">
        <v>1211</v>
      </c>
      <c r="E31" t="s">
        <v>1190</v>
      </c>
      <c r="F31"/>
      <c r="G31">
        <v>0.05</v>
      </c>
      <c r="H31" s="1">
        <v>5844.5165000000006</v>
      </c>
      <c r="I31"/>
      <c r="J31" t="s">
        <v>1191</v>
      </c>
      <c r="K31" s="170">
        <v>46022</v>
      </c>
      <c r="L31" s="1">
        <v>14301.213425586908</v>
      </c>
      <c r="M31" s="1">
        <v>46109</v>
      </c>
      <c r="O31"/>
      <c r="S31"/>
      <c r="U31"/>
      <c r="Y31"/>
      <c r="Z31"/>
      <c r="AB31"/>
    </row>
    <row r="32" spans="1:28" ht="14.4" hidden="1">
      <c r="A32" t="s">
        <v>155</v>
      </c>
      <c r="B32" s="1">
        <v>82</v>
      </c>
      <c r="C32" s="258" t="s">
        <v>1223</v>
      </c>
      <c r="D32" t="s">
        <v>1224</v>
      </c>
      <c r="E32" t="s">
        <v>1225</v>
      </c>
      <c r="F32"/>
      <c r="H32" s="1">
        <v>44000</v>
      </c>
      <c r="I32" t="s">
        <v>1226</v>
      </c>
      <c r="J32" t="s">
        <v>1227</v>
      </c>
      <c r="K32" s="170">
        <v>45930</v>
      </c>
      <c r="L32" s="1">
        <v>87904.905771395919</v>
      </c>
      <c r="M32" s="1">
        <v>45960</v>
      </c>
      <c r="O32"/>
      <c r="S32"/>
      <c r="U32"/>
      <c r="Y32"/>
      <c r="Z32"/>
      <c r="AB32"/>
    </row>
    <row r="33" spans="1:28" ht="14.4" hidden="1">
      <c r="A33" t="s">
        <v>155</v>
      </c>
      <c r="B33" s="1">
        <v>84</v>
      </c>
      <c r="C33" s="258" t="s">
        <v>1228</v>
      </c>
      <c r="D33" t="s">
        <v>1224</v>
      </c>
      <c r="E33" t="s">
        <v>1229</v>
      </c>
      <c r="F33">
        <v>75750</v>
      </c>
      <c r="G33">
        <v>0.5</v>
      </c>
      <c r="H33" s="1">
        <v>37875</v>
      </c>
      <c r="I33" t="s">
        <v>1230</v>
      </c>
      <c r="J33" t="s">
        <v>1231</v>
      </c>
      <c r="K33" s="170">
        <v>45961</v>
      </c>
      <c r="L33" s="1">
        <v>75668.143320264106</v>
      </c>
      <c r="M33" s="1">
        <v>45939</v>
      </c>
      <c r="O33"/>
      <c r="S33"/>
      <c r="U33"/>
      <c r="Y33"/>
      <c r="Z33"/>
      <c r="AB33"/>
    </row>
    <row r="34" spans="1:28" ht="14.4" hidden="1">
      <c r="A34" t="s">
        <v>155</v>
      </c>
      <c r="B34" s="1">
        <v>85</v>
      </c>
      <c r="C34" s="258" t="s">
        <v>1232</v>
      </c>
      <c r="D34" t="s">
        <v>1224</v>
      </c>
      <c r="F34"/>
      <c r="G34">
        <v>0.5</v>
      </c>
      <c r="H34" s="1">
        <v>37875</v>
      </c>
      <c r="I34"/>
      <c r="J34" t="s">
        <v>1231</v>
      </c>
      <c r="K34" s="170">
        <v>45961</v>
      </c>
      <c r="L34" s="1">
        <v>75668.143320264106</v>
      </c>
      <c r="M34" s="1">
        <v>45974</v>
      </c>
      <c r="O34"/>
      <c r="S34"/>
      <c r="U34"/>
      <c r="Y34"/>
      <c r="Z34"/>
      <c r="AB34"/>
    </row>
    <row r="35" spans="1:28" ht="14.4" hidden="1">
      <c r="A35" t="s">
        <v>155</v>
      </c>
      <c r="B35" s="1">
        <v>86</v>
      </c>
      <c r="C35" s="258" t="s">
        <v>1233</v>
      </c>
      <c r="D35" t="s">
        <v>1224</v>
      </c>
      <c r="E35" t="s">
        <v>848</v>
      </c>
      <c r="F35"/>
      <c r="H35" s="1">
        <v>29500</v>
      </c>
      <c r="I35" t="s">
        <v>1234</v>
      </c>
      <c r="J35" t="s">
        <v>1235</v>
      </c>
      <c r="K35" s="170">
        <v>45991</v>
      </c>
      <c r="L35" s="1">
        <v>0</v>
      </c>
      <c r="M35" s="1">
        <v>45980</v>
      </c>
      <c r="O35"/>
      <c r="S35"/>
      <c r="U35"/>
      <c r="Y35"/>
      <c r="Z35"/>
      <c r="AB35"/>
    </row>
    <row r="36" spans="1:28" ht="14.4" hidden="1">
      <c r="A36" t="s">
        <v>155</v>
      </c>
      <c r="B36" s="1">
        <v>87</v>
      </c>
      <c r="C36" s="258" t="s">
        <v>1236</v>
      </c>
      <c r="D36" t="s">
        <v>1224</v>
      </c>
      <c r="E36" t="s">
        <v>1237</v>
      </c>
      <c r="F36"/>
      <c r="H36" s="1">
        <v>71592.3</v>
      </c>
      <c r="I36" t="s">
        <v>1238</v>
      </c>
      <c r="J36" t="s">
        <v>1239</v>
      </c>
      <c r="K36" s="170">
        <v>45991</v>
      </c>
      <c r="L36" s="1">
        <v>0</v>
      </c>
      <c r="M36" s="1">
        <v>45974</v>
      </c>
      <c r="O36"/>
      <c r="S36"/>
      <c r="U36"/>
      <c r="Y36"/>
      <c r="Z36"/>
      <c r="AB36"/>
    </row>
    <row r="37" spans="1:28" ht="14.4" hidden="1">
      <c r="A37" t="s">
        <v>155</v>
      </c>
      <c r="B37" s="1">
        <v>88</v>
      </c>
      <c r="C37" s="258" t="s">
        <v>1240</v>
      </c>
      <c r="D37" t="s">
        <v>1224</v>
      </c>
      <c r="E37" t="s">
        <v>1241</v>
      </c>
      <c r="F37"/>
      <c r="H37" s="1">
        <v>-5272.5</v>
      </c>
      <c r="I37"/>
      <c r="J37" t="s">
        <v>1242</v>
      </c>
      <c r="K37" s="170">
        <v>46053</v>
      </c>
      <c r="M37" s="1">
        <v>46043</v>
      </c>
      <c r="O37"/>
      <c r="S37"/>
      <c r="U37"/>
      <c r="Y37"/>
      <c r="Z37"/>
      <c r="AB37"/>
    </row>
    <row r="38" spans="1:28" ht="14.4" hidden="1">
      <c r="A38" t="s">
        <v>155</v>
      </c>
      <c r="B38" s="1">
        <v>89</v>
      </c>
      <c r="C38" s="258" t="s">
        <v>1243</v>
      </c>
      <c r="D38" t="s">
        <v>1224</v>
      </c>
      <c r="E38" t="s">
        <v>1241</v>
      </c>
      <c r="F38"/>
      <c r="H38" s="1">
        <v>10436.700000000001</v>
      </c>
      <c r="I38"/>
      <c r="J38" t="s">
        <v>1244</v>
      </c>
      <c r="K38" s="170">
        <v>46053</v>
      </c>
      <c r="L38" s="1">
        <v>0</v>
      </c>
      <c r="M38" s="1">
        <v>46031</v>
      </c>
      <c r="O38"/>
      <c r="S38"/>
      <c r="U38"/>
      <c r="Y38"/>
      <c r="Z38"/>
      <c r="AB38"/>
    </row>
    <row r="39" spans="1:28" ht="14.4" hidden="1">
      <c r="A39" t="s">
        <v>155</v>
      </c>
      <c r="B39" s="1">
        <v>92</v>
      </c>
      <c r="C39" s="258" t="s">
        <v>1245</v>
      </c>
      <c r="D39" t="s">
        <v>1246</v>
      </c>
      <c r="E39" t="s">
        <v>1169</v>
      </c>
      <c r="F39">
        <v>321250</v>
      </c>
      <c r="G39">
        <v>0.15</v>
      </c>
      <c r="H39" s="1">
        <v>48187.5</v>
      </c>
      <c r="I39" t="s">
        <v>1170</v>
      </c>
      <c r="J39" t="s">
        <v>1171</v>
      </c>
      <c r="K39" s="170">
        <v>45961</v>
      </c>
      <c r="L39" s="1">
        <v>48499.999999999993</v>
      </c>
      <c r="M39" s="1">
        <v>45939</v>
      </c>
      <c r="O39"/>
      <c r="S39"/>
      <c r="U39"/>
      <c r="Y39"/>
      <c r="Z39"/>
      <c r="AB39"/>
    </row>
    <row r="40" spans="1:28" ht="14.4" hidden="1">
      <c r="A40" t="s">
        <v>155</v>
      </c>
      <c r="B40" s="1">
        <v>93</v>
      </c>
      <c r="C40" s="258" t="s">
        <v>1247</v>
      </c>
      <c r="D40" t="s">
        <v>1246</v>
      </c>
      <c r="E40" t="s">
        <v>558</v>
      </c>
      <c r="F40"/>
      <c r="G40">
        <v>0.15</v>
      </c>
      <c r="H40" s="1">
        <v>48187.5</v>
      </c>
      <c r="I40"/>
      <c r="J40" t="s">
        <v>1173</v>
      </c>
      <c r="K40" s="170">
        <v>45961</v>
      </c>
      <c r="L40" s="1">
        <v>48499.999999999993</v>
      </c>
      <c r="M40" s="1">
        <v>45939</v>
      </c>
      <c r="O40"/>
      <c r="S40"/>
      <c r="U40"/>
      <c r="Y40"/>
      <c r="Z40"/>
      <c r="AB40"/>
    </row>
    <row r="41" spans="1:28" ht="14.4" hidden="1">
      <c r="A41" t="s">
        <v>155</v>
      </c>
      <c r="B41" s="1">
        <v>94</v>
      </c>
      <c r="C41" s="258" t="s">
        <v>1248</v>
      </c>
      <c r="D41" t="s">
        <v>1246</v>
      </c>
      <c r="E41" t="s">
        <v>1175</v>
      </c>
      <c r="F41"/>
      <c r="G41">
        <v>0.2</v>
      </c>
      <c r="H41" s="1">
        <v>64250</v>
      </c>
      <c r="I41"/>
      <c r="J41" t="s">
        <v>1176</v>
      </c>
      <c r="K41" s="170">
        <v>45991</v>
      </c>
      <c r="L41" s="1">
        <v>64666.666666666664</v>
      </c>
      <c r="M41" s="1">
        <v>45999</v>
      </c>
      <c r="O41"/>
      <c r="S41"/>
      <c r="U41"/>
      <c r="Y41"/>
      <c r="Z41"/>
      <c r="AB41"/>
    </row>
    <row r="42" spans="1:28" ht="14.4" hidden="1">
      <c r="A42" t="s">
        <v>155</v>
      </c>
      <c r="B42" s="1">
        <v>95</v>
      </c>
      <c r="C42" s="258" t="s">
        <v>1249</v>
      </c>
      <c r="D42" t="s">
        <v>1246</v>
      </c>
      <c r="E42" t="s">
        <v>1178</v>
      </c>
      <c r="F42"/>
      <c r="G42">
        <v>0.2</v>
      </c>
      <c r="H42" s="1">
        <v>64250</v>
      </c>
      <c r="I42"/>
      <c r="J42" t="s">
        <v>1179</v>
      </c>
      <c r="K42" s="170">
        <v>46022</v>
      </c>
      <c r="L42" s="1">
        <v>64666.666666666664</v>
      </c>
      <c r="M42" s="1">
        <v>46015</v>
      </c>
      <c r="O42"/>
      <c r="S42"/>
      <c r="U42"/>
      <c r="Y42"/>
      <c r="Z42"/>
      <c r="AB42"/>
    </row>
    <row r="43" spans="1:28" ht="14.4" hidden="1">
      <c r="A43" t="s">
        <v>155</v>
      </c>
      <c r="B43" s="1">
        <v>96</v>
      </c>
      <c r="C43" s="258" t="s">
        <v>1250</v>
      </c>
      <c r="D43" t="s">
        <v>1246</v>
      </c>
      <c r="E43" t="s">
        <v>1181</v>
      </c>
      <c r="F43"/>
      <c r="G43">
        <v>0.1</v>
      </c>
      <c r="H43" s="1">
        <v>32125</v>
      </c>
      <c r="I43"/>
      <c r="J43" t="s">
        <v>1182</v>
      </c>
      <c r="K43" s="170">
        <v>46022</v>
      </c>
      <c r="L43" s="1">
        <v>32333.333333333332</v>
      </c>
      <c r="M43" s="1">
        <v>46015</v>
      </c>
      <c r="O43"/>
      <c r="S43"/>
      <c r="U43"/>
      <c r="Y43"/>
      <c r="Z43"/>
      <c r="AB43"/>
    </row>
    <row r="44" spans="1:28" ht="14.4" hidden="1">
      <c r="A44" t="s">
        <v>155</v>
      </c>
      <c r="B44" s="1">
        <v>97</v>
      </c>
      <c r="C44" s="258" t="s">
        <v>1251</v>
      </c>
      <c r="D44" t="s">
        <v>1246</v>
      </c>
      <c r="E44" t="s">
        <v>1184</v>
      </c>
      <c r="F44"/>
      <c r="G44">
        <v>0.1</v>
      </c>
      <c r="H44" s="1">
        <v>32125</v>
      </c>
      <c r="I44"/>
      <c r="J44" t="s">
        <v>1185</v>
      </c>
      <c r="K44" s="170">
        <v>46022</v>
      </c>
      <c r="L44" s="1">
        <v>32333.333333333332</v>
      </c>
      <c r="M44" s="1">
        <v>46052</v>
      </c>
      <c r="O44"/>
      <c r="S44"/>
      <c r="U44"/>
      <c r="Y44"/>
      <c r="Z44"/>
      <c r="AB44"/>
    </row>
    <row r="45" spans="1:28" ht="14.4" hidden="1">
      <c r="A45" t="s">
        <v>155</v>
      </c>
      <c r="B45" s="1">
        <v>98</v>
      </c>
      <c r="C45" s="258" t="s">
        <v>1252</v>
      </c>
      <c r="D45" t="s">
        <v>1246</v>
      </c>
      <c r="E45" t="s">
        <v>1187</v>
      </c>
      <c r="F45"/>
      <c r="G45">
        <v>0.05</v>
      </c>
      <c r="H45" s="1">
        <v>16062.5</v>
      </c>
      <c r="I45"/>
      <c r="J45" t="s">
        <v>1188</v>
      </c>
      <c r="K45" s="170">
        <v>46022</v>
      </c>
      <c r="L45" s="1">
        <v>16166.666666666666</v>
      </c>
      <c r="M45" s="1">
        <v>46058</v>
      </c>
      <c r="O45"/>
      <c r="S45"/>
      <c r="U45"/>
      <c r="Y45"/>
      <c r="Z45"/>
      <c r="AB45"/>
    </row>
    <row r="46" spans="1:28" ht="14.4" hidden="1">
      <c r="A46" t="s">
        <v>155</v>
      </c>
      <c r="B46" s="1">
        <v>99</v>
      </c>
      <c r="C46" s="258" t="s">
        <v>1253</v>
      </c>
      <c r="D46" t="s">
        <v>1246</v>
      </c>
      <c r="E46" t="s">
        <v>1190</v>
      </c>
      <c r="F46"/>
      <c r="G46">
        <v>0.05</v>
      </c>
      <c r="H46" s="1">
        <v>16062.5</v>
      </c>
      <c r="I46"/>
      <c r="J46" t="s">
        <v>1191</v>
      </c>
      <c r="K46" s="170">
        <v>46022</v>
      </c>
      <c r="L46" s="1">
        <v>16166.666666666666</v>
      </c>
      <c r="M46" s="1">
        <v>46109</v>
      </c>
      <c r="O46"/>
      <c r="S46"/>
      <c r="U46"/>
      <c r="Y46"/>
      <c r="Z46"/>
      <c r="AB46"/>
    </row>
    <row r="47" spans="1:28" ht="14.4" hidden="1">
      <c r="A47" t="s">
        <v>155</v>
      </c>
      <c r="B47" s="1">
        <v>108</v>
      </c>
      <c r="C47" s="258" t="s">
        <v>1254</v>
      </c>
      <c r="D47" t="s">
        <v>1255</v>
      </c>
      <c r="E47" t="s">
        <v>1169</v>
      </c>
      <c r="F47">
        <v>92395.69</v>
      </c>
      <c r="G47">
        <v>0.15</v>
      </c>
      <c r="H47" s="1">
        <v>13859.353499999999</v>
      </c>
      <c r="I47" t="s">
        <v>1170</v>
      </c>
      <c r="J47" t="s">
        <v>1171</v>
      </c>
      <c r="K47" s="170">
        <v>45961</v>
      </c>
      <c r="L47" s="1">
        <v>12824.244444444445</v>
      </c>
      <c r="M47" s="1">
        <v>45939</v>
      </c>
      <c r="O47"/>
      <c r="S47"/>
      <c r="U47"/>
      <c r="Y47"/>
      <c r="Z47"/>
      <c r="AB47"/>
    </row>
    <row r="48" spans="1:28" ht="14.4" hidden="1">
      <c r="A48" t="s">
        <v>155</v>
      </c>
      <c r="B48" s="1">
        <v>109</v>
      </c>
      <c r="C48" s="258" t="s">
        <v>1256</v>
      </c>
      <c r="D48" t="s">
        <v>1255</v>
      </c>
      <c r="E48" t="s">
        <v>558</v>
      </c>
      <c r="F48"/>
      <c r="G48">
        <v>0.15</v>
      </c>
      <c r="H48" s="1">
        <v>13859.353499999999</v>
      </c>
      <c r="I48"/>
      <c r="J48" t="s">
        <v>1173</v>
      </c>
      <c r="K48" s="170">
        <v>45961</v>
      </c>
      <c r="L48" s="1">
        <v>12824.244444444445</v>
      </c>
      <c r="M48" s="1">
        <v>45939</v>
      </c>
      <c r="O48"/>
      <c r="S48"/>
      <c r="U48"/>
      <c r="Y48"/>
      <c r="Z48"/>
      <c r="AB48"/>
    </row>
    <row r="49" spans="1:28" ht="14.4" hidden="1">
      <c r="A49" t="s">
        <v>155</v>
      </c>
      <c r="B49" s="1">
        <v>110</v>
      </c>
      <c r="C49" s="258" t="s">
        <v>1257</v>
      </c>
      <c r="D49" t="s">
        <v>1255</v>
      </c>
      <c r="E49" t="s">
        <v>1175</v>
      </c>
      <c r="F49"/>
      <c r="G49">
        <v>0.2</v>
      </c>
      <c r="H49" s="1">
        <v>18479.138000000003</v>
      </c>
      <c r="I49"/>
      <c r="J49" t="s">
        <v>1176</v>
      </c>
      <c r="K49" s="170">
        <v>45991</v>
      </c>
      <c r="L49" s="1">
        <v>17098.992592592593</v>
      </c>
      <c r="M49" s="1">
        <v>45999</v>
      </c>
      <c r="O49"/>
      <c r="S49"/>
      <c r="U49"/>
      <c r="Y49"/>
      <c r="Z49"/>
      <c r="AB49"/>
    </row>
    <row r="50" spans="1:28" ht="14.4" hidden="1">
      <c r="A50" t="s">
        <v>155</v>
      </c>
      <c r="B50" s="1">
        <v>111</v>
      </c>
      <c r="C50" s="258" t="s">
        <v>1258</v>
      </c>
      <c r="D50" t="s">
        <v>1255</v>
      </c>
      <c r="E50" t="s">
        <v>1178</v>
      </c>
      <c r="F50"/>
      <c r="G50">
        <v>0.2</v>
      </c>
      <c r="H50" s="1">
        <v>18479.138000000003</v>
      </c>
      <c r="I50"/>
      <c r="J50" t="s">
        <v>1179</v>
      </c>
      <c r="K50" s="170">
        <v>46022</v>
      </c>
      <c r="L50" s="1">
        <v>17098.992592592593</v>
      </c>
      <c r="M50" s="1">
        <v>46015</v>
      </c>
      <c r="O50"/>
      <c r="S50"/>
      <c r="U50"/>
      <c r="Y50"/>
      <c r="Z50"/>
      <c r="AB50"/>
    </row>
    <row r="51" spans="1:28" ht="14.4" hidden="1">
      <c r="A51" t="s">
        <v>155</v>
      </c>
      <c r="B51" s="1">
        <v>112</v>
      </c>
      <c r="C51" s="258" t="s">
        <v>1259</v>
      </c>
      <c r="D51" t="s">
        <v>1255</v>
      </c>
      <c r="E51" t="s">
        <v>1181</v>
      </c>
      <c r="F51"/>
      <c r="G51">
        <v>0.1</v>
      </c>
      <c r="H51" s="1">
        <v>9239.5690000000013</v>
      </c>
      <c r="I51"/>
      <c r="J51" t="s">
        <v>1182</v>
      </c>
      <c r="K51" s="170">
        <v>46022</v>
      </c>
      <c r="L51" s="1">
        <v>8549.4962962962964</v>
      </c>
      <c r="M51" s="1">
        <v>46015</v>
      </c>
      <c r="O51"/>
      <c r="S51"/>
      <c r="U51"/>
      <c r="Y51"/>
      <c r="Z51"/>
      <c r="AB51"/>
    </row>
    <row r="52" spans="1:28" ht="14.4" hidden="1">
      <c r="A52" t="s">
        <v>155</v>
      </c>
      <c r="B52" s="1">
        <v>113</v>
      </c>
      <c r="C52" s="258" t="s">
        <v>1260</v>
      </c>
      <c r="D52" t="s">
        <v>1255</v>
      </c>
      <c r="E52" t="s">
        <v>1184</v>
      </c>
      <c r="F52"/>
      <c r="G52">
        <v>0.1</v>
      </c>
      <c r="H52" s="1">
        <v>9239.5690000000013</v>
      </c>
      <c r="I52"/>
      <c r="J52" t="s">
        <v>1185</v>
      </c>
      <c r="K52" s="170">
        <v>46022</v>
      </c>
      <c r="L52" s="1">
        <v>8549.4962962962964</v>
      </c>
      <c r="M52" s="1">
        <v>46052</v>
      </c>
      <c r="O52"/>
      <c r="S52"/>
      <c r="U52"/>
      <c r="Y52"/>
      <c r="Z52"/>
      <c r="AB52"/>
    </row>
    <row r="53" spans="1:28" ht="14.4" hidden="1">
      <c r="A53" t="s">
        <v>155</v>
      </c>
      <c r="B53" s="1">
        <v>114</v>
      </c>
      <c r="C53" s="258" t="s">
        <v>1261</v>
      </c>
      <c r="D53" t="s">
        <v>1255</v>
      </c>
      <c r="E53" t="s">
        <v>1187</v>
      </c>
      <c r="F53"/>
      <c r="G53">
        <v>0.05</v>
      </c>
      <c r="H53" s="1">
        <v>4619.7845000000007</v>
      </c>
      <c r="I53"/>
      <c r="J53" t="s">
        <v>1188</v>
      </c>
      <c r="K53" s="170">
        <v>46022</v>
      </c>
      <c r="L53" s="1">
        <v>4274.7481481481482</v>
      </c>
      <c r="M53" s="1">
        <v>46058</v>
      </c>
      <c r="O53"/>
      <c r="S53"/>
      <c r="U53"/>
      <c r="Y53"/>
      <c r="Z53"/>
      <c r="AB53"/>
    </row>
    <row r="54" spans="1:28" ht="14.4" hidden="1">
      <c r="A54" t="s">
        <v>155</v>
      </c>
      <c r="B54" s="1">
        <v>115</v>
      </c>
      <c r="C54" s="258" t="s">
        <v>1262</v>
      </c>
      <c r="D54" t="s">
        <v>1255</v>
      </c>
      <c r="E54" t="s">
        <v>1190</v>
      </c>
      <c r="F54"/>
      <c r="G54">
        <v>0.05</v>
      </c>
      <c r="H54" s="1">
        <v>4619.7845000000007</v>
      </c>
      <c r="I54"/>
      <c r="J54" t="s">
        <v>1191</v>
      </c>
      <c r="K54" s="170">
        <v>46022</v>
      </c>
      <c r="L54" s="1">
        <v>4274.7481481481482</v>
      </c>
      <c r="M54" s="1">
        <v>46109</v>
      </c>
      <c r="O54"/>
      <c r="S54"/>
      <c r="U54"/>
      <c r="Y54"/>
      <c r="Z54"/>
      <c r="AB54"/>
    </row>
    <row r="55" spans="1:28" ht="14.4" hidden="1">
      <c r="A55" t="s">
        <v>155</v>
      </c>
      <c r="B55" s="1">
        <v>120</v>
      </c>
      <c r="C55" s="258" t="s">
        <v>1263</v>
      </c>
      <c r="D55" t="s">
        <v>1264</v>
      </c>
      <c r="E55" t="s">
        <v>1265</v>
      </c>
      <c r="F55"/>
      <c r="H55" s="1">
        <v>8750</v>
      </c>
      <c r="I55"/>
      <c r="J55" t="s">
        <v>1266</v>
      </c>
      <c r="K55" s="170">
        <v>46053</v>
      </c>
      <c r="L55" s="1">
        <v>72043.314500941618</v>
      </c>
      <c r="M55" s="1">
        <v>46066</v>
      </c>
      <c r="N55" s="1">
        <v>14750</v>
      </c>
      <c r="O55"/>
      <c r="S55"/>
      <c r="U55"/>
      <c r="Y55"/>
      <c r="Z55"/>
      <c r="AB55"/>
    </row>
    <row r="56" spans="1:28" ht="14.4" hidden="1">
      <c r="A56" t="s">
        <v>155</v>
      </c>
      <c r="B56" s="1">
        <v>121</v>
      </c>
      <c r="C56" s="258" t="s">
        <v>1267</v>
      </c>
      <c r="D56" t="s">
        <v>1264</v>
      </c>
      <c r="E56" t="s">
        <v>1268</v>
      </c>
      <c r="F56"/>
      <c r="H56" s="1">
        <v>0</v>
      </c>
      <c r="I56"/>
      <c r="J56" t="s">
        <v>1269</v>
      </c>
      <c r="K56" s="170">
        <v>45991</v>
      </c>
      <c r="L56" s="1">
        <v>0</v>
      </c>
      <c r="M56" s="1">
        <v>45991</v>
      </c>
      <c r="O56"/>
      <c r="S56"/>
      <c r="U56"/>
      <c r="Y56"/>
      <c r="Z56"/>
      <c r="AB56"/>
    </row>
    <row r="57" spans="1:28" ht="14.4" hidden="1">
      <c r="A57" t="s">
        <v>155</v>
      </c>
      <c r="B57" s="1">
        <v>122</v>
      </c>
      <c r="C57" s="258" t="s">
        <v>1270</v>
      </c>
      <c r="D57" t="s">
        <v>1264</v>
      </c>
      <c r="E57" t="s">
        <v>1271</v>
      </c>
      <c r="F57"/>
      <c r="H57" s="1">
        <v>0</v>
      </c>
      <c r="I57"/>
      <c r="J57"/>
      <c r="K57" s="170"/>
      <c r="L57" s="1">
        <v>0</v>
      </c>
      <c r="O57"/>
      <c r="S57"/>
      <c r="U57"/>
      <c r="Y57"/>
      <c r="Z57"/>
      <c r="AB57"/>
    </row>
    <row r="58" spans="1:28" ht="14.4" hidden="1">
      <c r="A58" t="s">
        <v>155</v>
      </c>
      <c r="B58" s="1">
        <v>123</v>
      </c>
      <c r="C58" s="258" t="s">
        <v>1272</v>
      </c>
      <c r="D58" t="s">
        <v>1264</v>
      </c>
      <c r="E58" t="s">
        <v>808</v>
      </c>
      <c r="F58"/>
      <c r="H58" s="1">
        <v>6000</v>
      </c>
      <c r="I58"/>
      <c r="J58"/>
      <c r="K58" s="170">
        <v>46081</v>
      </c>
      <c r="L58" s="1">
        <v>49401.129943502827</v>
      </c>
      <c r="M58" s="1">
        <v>46111</v>
      </c>
      <c r="O58"/>
      <c r="S58"/>
      <c r="U58"/>
      <c r="Y58"/>
      <c r="Z58"/>
      <c r="AB58"/>
    </row>
    <row r="59" spans="1:28" ht="14.4" hidden="1">
      <c r="A59" t="s">
        <v>155</v>
      </c>
      <c r="B59" s="1">
        <v>126</v>
      </c>
      <c r="C59" s="258" t="s">
        <v>1273</v>
      </c>
      <c r="D59" t="s">
        <v>1274</v>
      </c>
      <c r="E59" t="s">
        <v>1275</v>
      </c>
      <c r="F59"/>
      <c r="H59" s="1">
        <v>0</v>
      </c>
      <c r="I59"/>
      <c r="J59"/>
      <c r="K59" s="170"/>
      <c r="N59" s="1">
        <v>0</v>
      </c>
      <c r="O59"/>
      <c r="S59"/>
      <c r="U59"/>
      <c r="Y59"/>
      <c r="Z59"/>
      <c r="AB59"/>
    </row>
    <row r="60" spans="1:28" ht="14.4" hidden="1">
      <c r="A60" t="s">
        <v>155</v>
      </c>
      <c r="B60" s="1">
        <v>129</v>
      </c>
      <c r="C60" s="258" t="s">
        <v>1276</v>
      </c>
      <c r="D60" t="s">
        <v>1277</v>
      </c>
      <c r="E60" t="s">
        <v>1278</v>
      </c>
      <c r="F60"/>
      <c r="H60" s="1">
        <v>41047.631874999999</v>
      </c>
      <c r="I60"/>
      <c r="J60"/>
      <c r="K60" s="170">
        <v>46081</v>
      </c>
      <c r="L60" s="1">
        <v>35569.063385210808</v>
      </c>
      <c r="M60" s="1">
        <v>46112</v>
      </c>
      <c r="N60" s="1">
        <v>41047.631874999999</v>
      </c>
      <c r="O60"/>
      <c r="S60"/>
      <c r="U60"/>
      <c r="Y60"/>
      <c r="Z60"/>
      <c r="AB60"/>
    </row>
    <row r="61" spans="1:28" ht="14.4" hidden="1">
      <c r="A61" t="s">
        <v>155</v>
      </c>
      <c r="B61" s="1">
        <v>136</v>
      </c>
      <c r="C61" s="258" t="s">
        <v>1279</v>
      </c>
      <c r="D61" t="s">
        <v>1280</v>
      </c>
      <c r="E61" t="s">
        <v>1281</v>
      </c>
      <c r="F61"/>
      <c r="H61" s="1">
        <v>28.56</v>
      </c>
      <c r="I61"/>
      <c r="J61" t="s">
        <v>1282</v>
      </c>
      <c r="K61" s="170">
        <v>45930</v>
      </c>
      <c r="L61" s="1">
        <v>62.896405919661731</v>
      </c>
      <c r="M61" s="1">
        <v>45940</v>
      </c>
      <c r="N61" s="1">
        <v>1269.1600000000001</v>
      </c>
      <c r="O61"/>
      <c r="S61"/>
      <c r="U61"/>
      <c r="Y61"/>
      <c r="Z61"/>
      <c r="AB61"/>
    </row>
    <row r="62" spans="1:28" ht="14.4" hidden="1">
      <c r="A62" t="s">
        <v>155</v>
      </c>
      <c r="B62" s="1">
        <v>137</v>
      </c>
      <c r="C62" s="258" t="s">
        <v>1283</v>
      </c>
      <c r="D62" t="s">
        <v>1280</v>
      </c>
      <c r="E62" t="s">
        <v>1281</v>
      </c>
      <c r="F62"/>
      <c r="H62" s="1">
        <v>37</v>
      </c>
      <c r="I62"/>
      <c r="J62" t="s">
        <v>1282</v>
      </c>
      <c r="K62" s="170">
        <v>45961</v>
      </c>
      <c r="L62" s="1">
        <v>299.72248585606377</v>
      </c>
      <c r="M62" s="1">
        <v>45967</v>
      </c>
      <c r="O62"/>
      <c r="S62"/>
      <c r="U62"/>
      <c r="Y62"/>
      <c r="Z62"/>
      <c r="AB62"/>
    </row>
    <row r="63" spans="1:28" ht="14.4" hidden="1">
      <c r="A63" t="s">
        <v>155</v>
      </c>
      <c r="B63" s="1">
        <v>138</v>
      </c>
      <c r="C63" s="258" t="s">
        <v>1284</v>
      </c>
      <c r="D63" t="s">
        <v>1280</v>
      </c>
      <c r="E63" t="s">
        <v>1281</v>
      </c>
      <c r="F63"/>
      <c r="H63" s="1">
        <v>37</v>
      </c>
      <c r="I63"/>
      <c r="J63" t="s">
        <v>1282</v>
      </c>
      <c r="K63" s="170">
        <v>45991</v>
      </c>
      <c r="L63" s="1">
        <v>234.90785081991004</v>
      </c>
      <c r="M63" s="1">
        <v>45996</v>
      </c>
      <c r="O63"/>
      <c r="S63"/>
      <c r="U63"/>
      <c r="Y63"/>
      <c r="Z63"/>
      <c r="AB63"/>
    </row>
    <row r="64" spans="1:28" ht="14.4" hidden="1">
      <c r="A64" t="s">
        <v>155</v>
      </c>
      <c r="B64" s="1">
        <v>139</v>
      </c>
      <c r="C64" s="258" t="s">
        <v>1285</v>
      </c>
      <c r="D64" t="s">
        <v>1280</v>
      </c>
      <c r="E64" t="s">
        <v>1281</v>
      </c>
      <c r="F64"/>
      <c r="H64" s="1">
        <v>57.12</v>
      </c>
      <c r="I64"/>
      <c r="J64" t="s">
        <v>1282</v>
      </c>
      <c r="K64" s="170">
        <v>46022</v>
      </c>
      <c r="L64" s="1">
        <v>366.32476821192046</v>
      </c>
      <c r="M64" s="1">
        <v>46030</v>
      </c>
      <c r="O64"/>
      <c r="S64"/>
      <c r="U64"/>
      <c r="Y64"/>
      <c r="Z64"/>
      <c r="AB64"/>
    </row>
    <row r="65" spans="1:28" ht="14.4" hidden="1">
      <c r="A65" t="s">
        <v>155</v>
      </c>
      <c r="B65" s="1">
        <v>140</v>
      </c>
      <c r="C65" s="258" t="s">
        <v>1286</v>
      </c>
      <c r="D65" t="s">
        <v>1280</v>
      </c>
      <c r="E65" t="s">
        <v>1281</v>
      </c>
      <c r="F65"/>
      <c r="H65" s="1">
        <v>109.48</v>
      </c>
      <c r="I65"/>
      <c r="J65" t="s">
        <v>1282</v>
      </c>
      <c r="K65" s="170">
        <v>46053</v>
      </c>
      <c r="L65" s="1">
        <v>520.69245611270446</v>
      </c>
      <c r="M65" s="1">
        <v>46058</v>
      </c>
      <c r="O65"/>
      <c r="S65"/>
      <c r="U65"/>
      <c r="Y65"/>
      <c r="Z65"/>
      <c r="AB65"/>
    </row>
    <row r="66" spans="1:28" ht="14.4" hidden="1">
      <c r="A66" t="s">
        <v>155</v>
      </c>
      <c r="B66" s="1">
        <v>141</v>
      </c>
      <c r="C66" s="258" t="s">
        <v>1287</v>
      </c>
      <c r="D66" t="s">
        <v>1280</v>
      </c>
      <c r="E66" t="s">
        <v>1281</v>
      </c>
      <c r="F66"/>
      <c r="H66" s="1">
        <v>500</v>
      </c>
      <c r="I66"/>
      <c r="J66"/>
      <c r="K66" s="170">
        <v>46081</v>
      </c>
      <c r="L66" s="1">
        <v>2757.7295218884933</v>
      </c>
      <c r="M66" s="1">
        <v>46086</v>
      </c>
      <c r="O66"/>
      <c r="S66"/>
      <c r="U66"/>
      <c r="Y66"/>
      <c r="Z66"/>
      <c r="AB66"/>
    </row>
    <row r="67" spans="1:28" ht="14.4" hidden="1">
      <c r="A67" t="s">
        <v>155</v>
      </c>
      <c r="B67" s="1">
        <v>142</v>
      </c>
      <c r="C67" s="258" t="s">
        <v>1288</v>
      </c>
      <c r="D67" t="s">
        <v>1280</v>
      </c>
      <c r="E67" t="s">
        <v>1281</v>
      </c>
      <c r="F67"/>
      <c r="H67" s="1">
        <v>500</v>
      </c>
      <c r="I67"/>
      <c r="J67"/>
      <c r="K67" s="170">
        <v>46112</v>
      </c>
      <c r="L67" s="1">
        <v>2757.7295218884933</v>
      </c>
      <c r="M67" s="1">
        <v>46121</v>
      </c>
      <c r="O67"/>
      <c r="S67"/>
      <c r="U67"/>
      <c r="Y67"/>
      <c r="Z67"/>
      <c r="AB67"/>
    </row>
    <row r="68" spans="1:28" ht="14.4" hidden="1">
      <c r="A68" t="s">
        <v>502</v>
      </c>
      <c r="B68" s="1">
        <v>6</v>
      </c>
      <c r="C68" s="258" t="s">
        <v>1289</v>
      </c>
      <c r="D68" t="s">
        <v>1146</v>
      </c>
      <c r="E68" t="s">
        <v>1290</v>
      </c>
      <c r="F68">
        <v>196.72131147540983</v>
      </c>
      <c r="G68">
        <v>1311.5</v>
      </c>
      <c r="H68" s="1">
        <v>258000</v>
      </c>
      <c r="I68"/>
      <c r="J68"/>
      <c r="K68" s="170">
        <v>46203</v>
      </c>
      <c r="L68" s="1">
        <v>306672.09883720923</v>
      </c>
      <c r="M68" s="1">
        <v>46195</v>
      </c>
      <c r="N68" s="1">
        <v>258000</v>
      </c>
      <c r="O68"/>
      <c r="S68"/>
      <c r="U68"/>
      <c r="Y68"/>
      <c r="Z68"/>
      <c r="AB68"/>
    </row>
    <row r="69" spans="1:28" ht="14.4" hidden="1">
      <c r="A69" t="s">
        <v>502</v>
      </c>
      <c r="B69" s="1">
        <v>21</v>
      </c>
      <c r="C69" s="258" t="s">
        <v>1291</v>
      </c>
      <c r="D69" t="s">
        <v>1160</v>
      </c>
      <c r="E69" t="s">
        <v>1161</v>
      </c>
      <c r="F69"/>
      <c r="H69" s="1">
        <v>53802</v>
      </c>
      <c r="I69"/>
      <c r="J69"/>
      <c r="K69" s="170">
        <v>46142</v>
      </c>
      <c r="L69" s="1">
        <v>62560.465116279069</v>
      </c>
      <c r="M69" s="1">
        <v>46142</v>
      </c>
      <c r="N69" s="1">
        <v>53802</v>
      </c>
      <c r="O69"/>
      <c r="S69"/>
      <c r="U69"/>
      <c r="Y69"/>
      <c r="Z69"/>
      <c r="AB69"/>
    </row>
    <row r="70" spans="1:28" ht="14.4" hidden="1">
      <c r="A70" t="s">
        <v>502</v>
      </c>
      <c r="B70" s="1">
        <v>28</v>
      </c>
      <c r="C70" s="258" t="s">
        <v>1292</v>
      </c>
      <c r="D70" t="s">
        <v>1165</v>
      </c>
      <c r="E70" t="s">
        <v>836</v>
      </c>
      <c r="F70">
        <v>3000</v>
      </c>
      <c r="G70">
        <v>14</v>
      </c>
      <c r="H70" s="1">
        <v>42000</v>
      </c>
      <c r="I70"/>
      <c r="J70"/>
      <c r="K70" s="170">
        <v>46203</v>
      </c>
      <c r="L70" s="1">
        <v>53149.856199777671</v>
      </c>
      <c r="M70" s="1">
        <v>46195</v>
      </c>
      <c r="N70" s="1">
        <v>115032.935</v>
      </c>
      <c r="O70"/>
      <c r="S70"/>
      <c r="U70"/>
      <c r="Y70"/>
      <c r="Z70"/>
      <c r="AB70"/>
    </row>
    <row r="71" spans="1:28" ht="14.4" hidden="1">
      <c r="A71" t="s">
        <v>502</v>
      </c>
      <c r="B71" s="1">
        <v>32</v>
      </c>
      <c r="C71" s="258" t="s">
        <v>1293</v>
      </c>
      <c r="D71" t="s">
        <v>1165</v>
      </c>
      <c r="E71" t="s">
        <v>1169</v>
      </c>
      <c r="F71">
        <v>73032.934999999998</v>
      </c>
      <c r="G71">
        <v>0.1</v>
      </c>
      <c r="H71" s="1">
        <v>7303.2934999999998</v>
      </c>
      <c r="I71"/>
      <c r="J71"/>
      <c r="K71" s="170">
        <v>46142</v>
      </c>
      <c r="L71" s="1">
        <v>9242.1190311850223</v>
      </c>
      <c r="M71" s="1">
        <v>46134</v>
      </c>
      <c r="O71"/>
      <c r="S71"/>
      <c r="U71"/>
      <c r="Y71"/>
      <c r="Z71"/>
      <c r="AB71"/>
    </row>
    <row r="72" spans="1:28" ht="14.4" hidden="1">
      <c r="A72" t="s">
        <v>502</v>
      </c>
      <c r="B72" s="1">
        <v>33</v>
      </c>
      <c r="C72" s="258" t="s">
        <v>1294</v>
      </c>
      <c r="D72" t="s">
        <v>1165</v>
      </c>
      <c r="E72" t="s">
        <v>558</v>
      </c>
      <c r="F72"/>
      <c r="G72">
        <v>0.15</v>
      </c>
      <c r="H72" s="1">
        <v>10954.94025</v>
      </c>
      <c r="I72"/>
      <c r="J72"/>
      <c r="K72" s="170">
        <v>46142</v>
      </c>
      <c r="L72" s="1">
        <v>13863.178546777535</v>
      </c>
      <c r="M72" s="1">
        <v>46134</v>
      </c>
      <c r="O72"/>
      <c r="S72"/>
      <c r="U72"/>
      <c r="Y72"/>
      <c r="Z72"/>
      <c r="AB72"/>
    </row>
    <row r="73" spans="1:28" ht="14.4" hidden="1">
      <c r="A73" t="s">
        <v>502</v>
      </c>
      <c r="B73" s="1">
        <v>34</v>
      </c>
      <c r="C73" s="258" t="s">
        <v>1295</v>
      </c>
      <c r="D73" t="s">
        <v>1165</v>
      </c>
      <c r="E73" t="s">
        <v>1175</v>
      </c>
      <c r="F73"/>
      <c r="G73">
        <v>0.2</v>
      </c>
      <c r="H73" s="1">
        <v>14606.587</v>
      </c>
      <c r="I73"/>
      <c r="J73"/>
      <c r="K73" s="170">
        <v>46173</v>
      </c>
      <c r="L73" s="1">
        <v>18484.238062370045</v>
      </c>
      <c r="M73" s="1">
        <v>46167</v>
      </c>
      <c r="O73"/>
      <c r="S73"/>
      <c r="U73"/>
      <c r="Y73"/>
      <c r="Z73"/>
      <c r="AB73"/>
    </row>
    <row r="74" spans="1:28" ht="14.4" hidden="1">
      <c r="A74" t="s">
        <v>502</v>
      </c>
      <c r="B74" s="1">
        <v>35</v>
      </c>
      <c r="C74" s="258" t="s">
        <v>1296</v>
      </c>
      <c r="D74" t="s">
        <v>1165</v>
      </c>
      <c r="E74" t="s">
        <v>1178</v>
      </c>
      <c r="F74"/>
      <c r="G74">
        <v>0.25</v>
      </c>
      <c r="H74" s="1">
        <v>18258.233749999999</v>
      </c>
      <c r="I74"/>
      <c r="J74"/>
      <c r="K74" s="170">
        <v>46173</v>
      </c>
      <c r="L74" s="1">
        <v>23105.297577962559</v>
      </c>
      <c r="M74" s="1">
        <v>46163</v>
      </c>
      <c r="O74"/>
      <c r="S74"/>
      <c r="U74"/>
      <c r="Y74"/>
      <c r="Z74"/>
      <c r="AB74"/>
    </row>
    <row r="75" spans="1:28" ht="14.4" hidden="1">
      <c r="A75" t="s">
        <v>502</v>
      </c>
      <c r="B75" s="1">
        <v>36</v>
      </c>
      <c r="C75" s="258" t="s">
        <v>1297</v>
      </c>
      <c r="D75" t="s">
        <v>1165</v>
      </c>
      <c r="E75" t="s">
        <v>1181</v>
      </c>
      <c r="F75"/>
      <c r="G75">
        <v>0.1</v>
      </c>
      <c r="H75" s="1">
        <v>7303.2934999999998</v>
      </c>
      <c r="I75"/>
      <c r="J75"/>
      <c r="K75" s="170">
        <v>46203</v>
      </c>
      <c r="L75" s="1">
        <v>9242.1190311850223</v>
      </c>
      <c r="M75" s="1">
        <v>46176</v>
      </c>
      <c r="O75"/>
      <c r="S75"/>
      <c r="U75"/>
      <c r="Y75"/>
      <c r="Z75"/>
      <c r="AB75"/>
    </row>
    <row r="76" spans="1:28" ht="14.4" hidden="1">
      <c r="A76" t="s">
        <v>502</v>
      </c>
      <c r="B76" s="1">
        <v>37</v>
      </c>
      <c r="C76" s="258" t="s">
        <v>1298</v>
      </c>
      <c r="D76" t="s">
        <v>1165</v>
      </c>
      <c r="E76" t="s">
        <v>1184</v>
      </c>
      <c r="F76"/>
      <c r="G76">
        <v>0.1</v>
      </c>
      <c r="H76" s="1">
        <v>7303.2934999999998</v>
      </c>
      <c r="I76"/>
      <c r="J76"/>
      <c r="K76" s="170">
        <v>46203</v>
      </c>
      <c r="L76" s="1">
        <v>9242.1190311850223</v>
      </c>
      <c r="M76" s="1">
        <v>46177</v>
      </c>
      <c r="O76"/>
      <c r="S76"/>
      <c r="U76"/>
      <c r="Y76"/>
      <c r="Z76"/>
      <c r="AB76"/>
    </row>
    <row r="77" spans="1:28" ht="14.4" hidden="1">
      <c r="A77" t="s">
        <v>502</v>
      </c>
      <c r="B77" s="1">
        <v>38</v>
      </c>
      <c r="C77" s="258" t="s">
        <v>1299</v>
      </c>
      <c r="D77" t="s">
        <v>1165</v>
      </c>
      <c r="E77" t="s">
        <v>1187</v>
      </c>
      <c r="F77"/>
      <c r="G77">
        <v>0.05</v>
      </c>
      <c r="H77" s="1">
        <v>3651.6467499999999</v>
      </c>
      <c r="I77"/>
      <c r="J77"/>
      <c r="K77" s="170">
        <v>46203</v>
      </c>
      <c r="L77" s="1">
        <v>4621.0595155925112</v>
      </c>
      <c r="M77" s="1">
        <v>46177</v>
      </c>
      <c r="O77"/>
      <c r="S77"/>
      <c r="U77"/>
      <c r="Y77"/>
      <c r="Z77"/>
      <c r="AB77"/>
    </row>
    <row r="78" spans="1:28" ht="14.4" hidden="1">
      <c r="A78" t="s">
        <v>502</v>
      </c>
      <c r="B78" s="1">
        <v>39</v>
      </c>
      <c r="C78" s="258" t="s">
        <v>1300</v>
      </c>
      <c r="D78" t="s">
        <v>1165</v>
      </c>
      <c r="E78" t="s">
        <v>1190</v>
      </c>
      <c r="F78"/>
      <c r="G78">
        <v>0.05</v>
      </c>
      <c r="H78" s="1">
        <v>3651.6467499999999</v>
      </c>
      <c r="I78"/>
      <c r="J78"/>
      <c r="K78" s="170">
        <v>46203</v>
      </c>
      <c r="L78" s="1">
        <v>4621.0595155925112</v>
      </c>
      <c r="M78" s="1">
        <v>46200</v>
      </c>
      <c r="O78"/>
      <c r="S78"/>
      <c r="U78"/>
      <c r="Y78"/>
      <c r="Z78"/>
      <c r="AB78"/>
    </row>
    <row r="79" spans="1:28" ht="14.4" hidden="1">
      <c r="A79" t="s">
        <v>502</v>
      </c>
      <c r="B79" s="1">
        <v>44</v>
      </c>
      <c r="C79" s="258" t="s">
        <v>1301</v>
      </c>
      <c r="D79" t="s">
        <v>1193</v>
      </c>
      <c r="E79" t="s">
        <v>1302</v>
      </c>
      <c r="F79"/>
      <c r="H79" s="1">
        <v>8000</v>
      </c>
      <c r="I79"/>
      <c r="J79"/>
      <c r="K79" s="170">
        <v>46142</v>
      </c>
      <c r="L79" s="1">
        <v>0</v>
      </c>
      <c r="M79" s="1">
        <v>46142</v>
      </c>
      <c r="N79" s="1">
        <v>49000</v>
      </c>
      <c r="O79"/>
      <c r="S79"/>
      <c r="U79"/>
      <c r="Y79"/>
      <c r="Z79"/>
      <c r="AB79"/>
    </row>
    <row r="80" spans="1:28" ht="14.4" hidden="1">
      <c r="A80" t="s">
        <v>502</v>
      </c>
      <c r="B80" s="1">
        <v>45</v>
      </c>
      <c r="C80" s="258" t="s">
        <v>1303</v>
      </c>
      <c r="D80" t="s">
        <v>1193</v>
      </c>
      <c r="E80" t="s">
        <v>1304</v>
      </c>
      <c r="F80"/>
      <c r="H80" s="1">
        <v>26000</v>
      </c>
      <c r="I80"/>
      <c r="J80"/>
      <c r="K80" s="170">
        <v>46142</v>
      </c>
      <c r="L80" s="1">
        <v>0</v>
      </c>
      <c r="M80" s="1">
        <v>46142</v>
      </c>
      <c r="O80"/>
      <c r="S80"/>
      <c r="U80"/>
      <c r="Y80"/>
      <c r="Z80"/>
      <c r="AB80"/>
    </row>
    <row r="81" spans="1:28" ht="14.4" hidden="1">
      <c r="A81" t="s">
        <v>502</v>
      </c>
      <c r="B81" s="1">
        <v>46</v>
      </c>
      <c r="C81" s="258" t="s">
        <v>1305</v>
      </c>
      <c r="D81" t="s">
        <v>1193</v>
      </c>
      <c r="E81" t="s">
        <v>1306</v>
      </c>
      <c r="F81"/>
      <c r="H81" s="1">
        <v>15000</v>
      </c>
      <c r="I81"/>
      <c r="J81"/>
      <c r="K81" s="170">
        <v>46142</v>
      </c>
      <c r="L81" s="1">
        <v>0</v>
      </c>
      <c r="M81" s="1">
        <v>46142</v>
      </c>
      <c r="O81"/>
      <c r="S81"/>
      <c r="U81"/>
      <c r="Y81"/>
      <c r="Z81"/>
      <c r="AB81"/>
    </row>
    <row r="82" spans="1:28" ht="14.4" hidden="1">
      <c r="A82" t="s">
        <v>502</v>
      </c>
      <c r="B82" s="1">
        <v>58</v>
      </c>
      <c r="C82" s="258" t="s">
        <v>1307</v>
      </c>
      <c r="D82" t="s">
        <v>1211</v>
      </c>
      <c r="E82" t="s">
        <v>1169</v>
      </c>
      <c r="F82">
        <v>0</v>
      </c>
      <c r="G82">
        <v>0.1</v>
      </c>
      <c r="H82" s="1">
        <v>0</v>
      </c>
      <c r="I82"/>
      <c r="J82"/>
      <c r="K82" s="170">
        <v>46142</v>
      </c>
      <c r="M82" s="1">
        <v>46134</v>
      </c>
      <c r="O82"/>
      <c r="S82"/>
      <c r="U82"/>
      <c r="Y82"/>
      <c r="Z82"/>
      <c r="AB82"/>
    </row>
    <row r="83" spans="1:28" ht="14.4" hidden="1">
      <c r="A83" t="s">
        <v>502</v>
      </c>
      <c r="B83" s="1">
        <v>59</v>
      </c>
      <c r="C83" s="258" t="s">
        <v>1308</v>
      </c>
      <c r="D83" t="s">
        <v>1211</v>
      </c>
      <c r="E83" t="s">
        <v>558</v>
      </c>
      <c r="F83"/>
      <c r="G83">
        <v>0.15</v>
      </c>
      <c r="H83" s="1">
        <v>0</v>
      </c>
      <c r="I83"/>
      <c r="J83"/>
      <c r="K83" s="170">
        <v>46142</v>
      </c>
      <c r="M83" s="1">
        <v>46134</v>
      </c>
      <c r="O83"/>
      <c r="S83"/>
      <c r="U83"/>
      <c r="Y83"/>
      <c r="Z83"/>
      <c r="AB83"/>
    </row>
    <row r="84" spans="1:28" ht="14.4" hidden="1">
      <c r="A84" t="s">
        <v>502</v>
      </c>
      <c r="B84" s="1">
        <v>60</v>
      </c>
      <c r="C84" s="258" t="s">
        <v>1309</v>
      </c>
      <c r="D84" t="s">
        <v>1211</v>
      </c>
      <c r="E84" t="s">
        <v>1175</v>
      </c>
      <c r="F84"/>
      <c r="G84">
        <v>0.2</v>
      </c>
      <c r="H84" s="1">
        <v>0</v>
      </c>
      <c r="I84"/>
      <c r="J84"/>
      <c r="K84" s="170">
        <v>46173</v>
      </c>
      <c r="M84" s="1">
        <v>46167</v>
      </c>
      <c r="O84"/>
      <c r="S84"/>
      <c r="U84"/>
      <c r="Y84"/>
      <c r="Z84"/>
      <c r="AB84"/>
    </row>
    <row r="85" spans="1:28" ht="14.4" hidden="1">
      <c r="A85" t="s">
        <v>502</v>
      </c>
      <c r="B85" s="1">
        <v>61</v>
      </c>
      <c r="C85" s="258" t="s">
        <v>1310</v>
      </c>
      <c r="D85" t="s">
        <v>1211</v>
      </c>
      <c r="E85" t="s">
        <v>1178</v>
      </c>
      <c r="F85"/>
      <c r="G85">
        <v>0.25</v>
      </c>
      <c r="H85" s="1">
        <v>0</v>
      </c>
      <c r="I85"/>
      <c r="J85"/>
      <c r="K85" s="170">
        <v>46173</v>
      </c>
      <c r="M85" s="1">
        <v>46163</v>
      </c>
      <c r="O85"/>
      <c r="S85"/>
      <c r="U85"/>
      <c r="Y85"/>
      <c r="Z85"/>
      <c r="AB85"/>
    </row>
    <row r="86" spans="1:28" ht="14.4" hidden="1">
      <c r="A86" t="s">
        <v>502</v>
      </c>
      <c r="B86" s="1">
        <v>62</v>
      </c>
      <c r="C86" s="258" t="s">
        <v>1311</v>
      </c>
      <c r="D86" t="s">
        <v>1211</v>
      </c>
      <c r="E86" t="s">
        <v>1181</v>
      </c>
      <c r="F86"/>
      <c r="G86">
        <v>0.1</v>
      </c>
      <c r="H86" s="1">
        <v>0</v>
      </c>
      <c r="I86"/>
      <c r="J86"/>
      <c r="K86" s="170">
        <v>46203</v>
      </c>
      <c r="M86" s="1">
        <v>46176</v>
      </c>
      <c r="O86"/>
      <c r="S86"/>
      <c r="U86"/>
      <c r="Y86"/>
      <c r="Z86"/>
      <c r="AB86"/>
    </row>
    <row r="87" spans="1:28" ht="14.4" hidden="1">
      <c r="A87" t="s">
        <v>502</v>
      </c>
      <c r="B87" s="1">
        <v>63</v>
      </c>
      <c r="C87" s="258" t="s">
        <v>1312</v>
      </c>
      <c r="D87" t="s">
        <v>1211</v>
      </c>
      <c r="E87" t="s">
        <v>1184</v>
      </c>
      <c r="F87"/>
      <c r="G87">
        <v>0.1</v>
      </c>
      <c r="H87" s="1">
        <v>0</v>
      </c>
      <c r="I87"/>
      <c r="J87"/>
      <c r="K87" s="170">
        <v>46203</v>
      </c>
      <c r="M87" s="1">
        <v>46177</v>
      </c>
      <c r="O87"/>
      <c r="S87"/>
      <c r="U87"/>
      <c r="Y87"/>
      <c r="Z87"/>
      <c r="AB87"/>
    </row>
    <row r="88" spans="1:28" ht="14.4" hidden="1">
      <c r="A88" t="s">
        <v>502</v>
      </c>
      <c r="B88" s="1">
        <v>64</v>
      </c>
      <c r="C88" s="258" t="s">
        <v>1313</v>
      </c>
      <c r="D88" t="s">
        <v>1211</v>
      </c>
      <c r="E88" t="s">
        <v>1187</v>
      </c>
      <c r="F88"/>
      <c r="G88">
        <v>0.05</v>
      </c>
      <c r="H88" s="1">
        <v>0</v>
      </c>
      <c r="I88"/>
      <c r="J88"/>
      <c r="K88" s="170">
        <v>46203</v>
      </c>
      <c r="M88" s="1">
        <v>46177</v>
      </c>
      <c r="O88"/>
      <c r="S88"/>
      <c r="U88"/>
      <c r="Y88"/>
      <c r="Z88"/>
      <c r="AB88"/>
    </row>
    <row r="89" spans="1:28" ht="14.4" hidden="1">
      <c r="A89" t="s">
        <v>502</v>
      </c>
      <c r="B89" s="1">
        <v>65</v>
      </c>
      <c r="C89" s="258" t="s">
        <v>1314</v>
      </c>
      <c r="D89" t="s">
        <v>1211</v>
      </c>
      <c r="E89" t="s">
        <v>1190</v>
      </c>
      <c r="F89"/>
      <c r="G89">
        <v>0.05</v>
      </c>
      <c r="H89" s="1">
        <v>0</v>
      </c>
      <c r="I89"/>
      <c r="J89"/>
      <c r="K89" s="170">
        <v>46203</v>
      </c>
      <c r="M89" s="1">
        <v>46200</v>
      </c>
      <c r="O89"/>
      <c r="S89"/>
      <c r="U89"/>
      <c r="Y89"/>
      <c r="Z89"/>
      <c r="AB89"/>
    </row>
    <row r="90" spans="1:28" ht="14.4" hidden="1">
      <c r="A90" t="s">
        <v>502</v>
      </c>
      <c r="B90" s="1">
        <v>70</v>
      </c>
      <c r="C90" s="258" t="s">
        <v>1315</v>
      </c>
      <c r="D90" t="s">
        <v>1316</v>
      </c>
      <c r="E90" t="s">
        <v>1317</v>
      </c>
      <c r="F90"/>
      <c r="H90" s="1">
        <v>1008110</v>
      </c>
      <c r="I90"/>
      <c r="J90"/>
      <c r="K90" s="170">
        <v>46142</v>
      </c>
      <c r="L90" s="1">
        <v>1145579.5454545454</v>
      </c>
      <c r="M90" s="1">
        <v>46142</v>
      </c>
      <c r="N90" s="1">
        <v>1211692.6086956521</v>
      </c>
      <c r="O90"/>
      <c r="S90"/>
      <c r="U90"/>
      <c r="Y90"/>
      <c r="Z90"/>
      <c r="AB90"/>
    </row>
    <row r="91" spans="1:28" ht="14.4" hidden="1">
      <c r="A91" t="s">
        <v>502</v>
      </c>
      <c r="B91" s="1">
        <v>71</v>
      </c>
      <c r="C91" s="258" t="s">
        <v>1318</v>
      </c>
      <c r="D91" t="s">
        <v>1316</v>
      </c>
      <c r="E91" t="s">
        <v>1319</v>
      </c>
      <c r="F91"/>
      <c r="H91" s="1">
        <v>24200</v>
      </c>
      <c r="I91"/>
      <c r="J91"/>
      <c r="K91" s="170">
        <v>46142</v>
      </c>
      <c r="L91" s="1">
        <v>27500.000000000004</v>
      </c>
      <c r="M91" s="1">
        <v>46142</v>
      </c>
      <c r="O91"/>
      <c r="S91"/>
      <c r="U91"/>
      <c r="Y91"/>
      <c r="Z91"/>
      <c r="AB91"/>
    </row>
    <row r="92" spans="1:28" ht="14.4" hidden="1">
      <c r="A92" t="s">
        <v>502</v>
      </c>
      <c r="B92" s="1">
        <v>72</v>
      </c>
      <c r="C92" s="258" t="s">
        <v>1320</v>
      </c>
      <c r="D92" t="s">
        <v>1316</v>
      </c>
      <c r="E92" t="s">
        <v>1321</v>
      </c>
      <c r="F92"/>
      <c r="H92" s="1">
        <v>67600</v>
      </c>
      <c r="I92"/>
      <c r="J92"/>
      <c r="K92" s="170">
        <v>46142</v>
      </c>
      <c r="L92" s="1">
        <v>76818.181818181823</v>
      </c>
      <c r="M92" s="1">
        <v>46142</v>
      </c>
      <c r="O92"/>
      <c r="S92"/>
      <c r="U92"/>
      <c r="Y92"/>
      <c r="Z92"/>
      <c r="AB92"/>
    </row>
    <row r="93" spans="1:28" ht="14.4" hidden="1">
      <c r="A93" t="s">
        <v>502</v>
      </c>
      <c r="B93" s="1">
        <v>73</v>
      </c>
      <c r="C93" s="258" t="s">
        <v>1322</v>
      </c>
      <c r="D93" t="s">
        <v>1316</v>
      </c>
      <c r="E93" t="s">
        <v>1323</v>
      </c>
      <c r="F93"/>
      <c r="H93" s="1">
        <v>69200</v>
      </c>
      <c r="I93"/>
      <c r="J93"/>
      <c r="K93" s="170">
        <v>46142</v>
      </c>
      <c r="L93" s="1">
        <v>78636.363636363647</v>
      </c>
      <c r="M93" s="1">
        <v>46142</v>
      </c>
      <c r="O93"/>
      <c r="S93"/>
      <c r="U93"/>
      <c r="Y93"/>
      <c r="Z93"/>
      <c r="AB93"/>
    </row>
    <row r="94" spans="1:28" ht="14.4" hidden="1">
      <c r="A94" t="s">
        <v>502</v>
      </c>
      <c r="B94" s="1">
        <v>74</v>
      </c>
      <c r="C94" s="258" t="s">
        <v>1324</v>
      </c>
      <c r="D94" t="s">
        <v>1316</v>
      </c>
      <c r="E94" t="s">
        <v>1325</v>
      </c>
      <c r="F94"/>
      <c r="H94" s="1">
        <v>15000</v>
      </c>
      <c r="I94"/>
      <c r="J94"/>
      <c r="K94" s="170">
        <v>46142</v>
      </c>
      <c r="L94" s="1">
        <v>17045.454545454548</v>
      </c>
      <c r="M94" s="1">
        <v>46142</v>
      </c>
      <c r="O94"/>
      <c r="S94"/>
      <c r="U94"/>
      <c r="Y94"/>
      <c r="Z94"/>
      <c r="AB94"/>
    </row>
    <row r="95" spans="1:28" ht="14.4" hidden="1">
      <c r="A95" t="s">
        <v>502</v>
      </c>
      <c r="B95" s="1">
        <v>75</v>
      </c>
      <c r="C95" s="258" t="s">
        <v>1326</v>
      </c>
      <c r="D95" t="s">
        <v>1316</v>
      </c>
      <c r="E95" t="s">
        <v>1327</v>
      </c>
      <c r="F95"/>
      <c r="H95" s="1">
        <v>27582.608695652176</v>
      </c>
      <c r="I95"/>
      <c r="J95"/>
      <c r="K95" s="170">
        <v>46142</v>
      </c>
      <c r="L95" s="1">
        <v>31343.873517786567</v>
      </c>
      <c r="M95" s="1">
        <v>46142</v>
      </c>
      <c r="O95"/>
      <c r="S95"/>
      <c r="U95"/>
      <c r="Y95"/>
      <c r="Z95"/>
      <c r="AB95"/>
    </row>
    <row r="96" spans="1:28" ht="14.4" hidden="1">
      <c r="A96" t="s">
        <v>502</v>
      </c>
      <c r="B96" s="1">
        <v>80</v>
      </c>
      <c r="C96" s="258" t="s">
        <v>1328</v>
      </c>
      <c r="D96" t="s">
        <v>1224</v>
      </c>
      <c r="E96" t="s">
        <v>1329</v>
      </c>
      <c r="F96"/>
      <c r="H96" s="1">
        <v>315000</v>
      </c>
      <c r="I96"/>
      <c r="J96"/>
      <c r="K96" s="170">
        <v>46142</v>
      </c>
      <c r="L96" s="1">
        <v>366279.06976744189</v>
      </c>
      <c r="M96" s="1">
        <v>46142</v>
      </c>
      <c r="O96"/>
      <c r="S96"/>
      <c r="U96"/>
      <c r="Y96"/>
      <c r="Z96"/>
      <c r="AB96"/>
    </row>
    <row r="97" spans="1:28" ht="14.4" hidden="1">
      <c r="A97" t="s">
        <v>502</v>
      </c>
      <c r="B97" s="1">
        <v>81</v>
      </c>
      <c r="C97" s="258" t="s">
        <v>1330</v>
      </c>
      <c r="D97" t="s">
        <v>1224</v>
      </c>
      <c r="E97" t="s">
        <v>1331</v>
      </c>
      <c r="F97"/>
      <c r="H97" s="1">
        <v>125000</v>
      </c>
      <c r="I97"/>
      <c r="J97"/>
      <c r="K97" s="170">
        <v>46142</v>
      </c>
      <c r="L97" s="1">
        <v>145348.83720930232</v>
      </c>
      <c r="M97" s="1">
        <v>46142</v>
      </c>
      <c r="O97"/>
      <c r="S97"/>
      <c r="U97"/>
      <c r="Y97"/>
      <c r="Z97"/>
      <c r="AB97"/>
    </row>
    <row r="98" spans="1:28" ht="14.4" hidden="1">
      <c r="A98" t="s">
        <v>502</v>
      </c>
      <c r="B98" s="1">
        <v>82</v>
      </c>
      <c r="C98" s="258" t="s">
        <v>1332</v>
      </c>
      <c r="D98" t="s">
        <v>1224</v>
      </c>
      <c r="E98" t="s">
        <v>1333</v>
      </c>
      <c r="F98"/>
      <c r="H98" s="1">
        <v>253148.4</v>
      </c>
      <c r="I98"/>
      <c r="J98"/>
      <c r="K98" s="170">
        <v>46142</v>
      </c>
      <c r="L98" s="1">
        <v>294358.60465116281</v>
      </c>
      <c r="M98" s="1">
        <v>46142</v>
      </c>
      <c r="O98"/>
      <c r="S98"/>
      <c r="U98"/>
      <c r="Y98"/>
      <c r="Z98"/>
      <c r="AB98"/>
    </row>
    <row r="99" spans="1:28" ht="14.4" hidden="1">
      <c r="A99" t="s">
        <v>502</v>
      </c>
      <c r="B99" s="1">
        <v>90</v>
      </c>
      <c r="C99" s="258" t="s">
        <v>1334</v>
      </c>
      <c r="D99" t="s">
        <v>1246</v>
      </c>
      <c r="E99" t="s">
        <v>1169</v>
      </c>
      <c r="F99">
        <v>80801</v>
      </c>
      <c r="G99">
        <v>0.1</v>
      </c>
      <c r="H99" s="1">
        <v>8080.1</v>
      </c>
      <c r="I99"/>
      <c r="J99"/>
      <c r="K99" s="170">
        <v>46142</v>
      </c>
      <c r="L99" s="1">
        <v>10562.222222222224</v>
      </c>
      <c r="M99" s="1">
        <v>46134</v>
      </c>
      <c r="O99"/>
      <c r="S99"/>
      <c r="U99"/>
      <c r="Y99"/>
      <c r="Z99"/>
      <c r="AB99"/>
    </row>
    <row r="100" spans="1:28" ht="14.4" hidden="1">
      <c r="A100" t="s">
        <v>502</v>
      </c>
      <c r="B100" s="1">
        <v>91</v>
      </c>
      <c r="C100" s="258" t="s">
        <v>1335</v>
      </c>
      <c r="D100" t="s">
        <v>1246</v>
      </c>
      <c r="E100" t="s">
        <v>558</v>
      </c>
      <c r="F100"/>
      <c r="G100">
        <v>0.15</v>
      </c>
      <c r="H100" s="1">
        <v>12120.15</v>
      </c>
      <c r="I100"/>
      <c r="J100"/>
      <c r="K100" s="170">
        <v>46142</v>
      </c>
      <c r="L100" s="1">
        <v>15843.333333333332</v>
      </c>
      <c r="M100" s="1">
        <v>46134</v>
      </c>
      <c r="O100"/>
      <c r="S100"/>
      <c r="U100"/>
      <c r="Y100"/>
      <c r="Z100"/>
      <c r="AB100"/>
    </row>
    <row r="101" spans="1:28" ht="14.4" hidden="1">
      <c r="A101" t="s">
        <v>502</v>
      </c>
      <c r="B101" s="1">
        <v>92</v>
      </c>
      <c r="C101" s="258" t="s">
        <v>1336</v>
      </c>
      <c r="D101" t="s">
        <v>1246</v>
      </c>
      <c r="E101" t="s">
        <v>1175</v>
      </c>
      <c r="F101"/>
      <c r="G101">
        <v>0.2</v>
      </c>
      <c r="H101" s="1">
        <v>16160.2</v>
      </c>
      <c r="I101"/>
      <c r="J101"/>
      <c r="K101" s="170">
        <v>46173</v>
      </c>
      <c r="L101" s="1">
        <v>21124.444444444445</v>
      </c>
      <c r="M101" s="1">
        <v>46167</v>
      </c>
      <c r="O101"/>
      <c r="S101"/>
      <c r="U101"/>
      <c r="Y101"/>
      <c r="Z101"/>
      <c r="AB101"/>
    </row>
    <row r="102" spans="1:28" ht="14.4" hidden="1">
      <c r="A102" t="s">
        <v>502</v>
      </c>
      <c r="B102" s="1">
        <v>93</v>
      </c>
      <c r="C102" s="258" t="s">
        <v>1337</v>
      </c>
      <c r="D102" t="s">
        <v>1246</v>
      </c>
      <c r="E102" t="s">
        <v>1178</v>
      </c>
      <c r="F102"/>
      <c r="G102">
        <v>0.25</v>
      </c>
      <c r="H102" s="1">
        <v>20200.25</v>
      </c>
      <c r="I102"/>
      <c r="J102"/>
      <c r="K102" s="170">
        <v>46173</v>
      </c>
      <c r="L102" s="1">
        <v>26405.555555555555</v>
      </c>
      <c r="M102" s="1">
        <v>46163</v>
      </c>
      <c r="O102"/>
      <c r="S102"/>
      <c r="U102"/>
      <c r="Y102"/>
      <c r="Z102"/>
      <c r="AB102"/>
    </row>
    <row r="103" spans="1:28" ht="14.4" hidden="1">
      <c r="A103" t="s">
        <v>502</v>
      </c>
      <c r="B103" s="1">
        <v>94</v>
      </c>
      <c r="C103" s="258" t="s">
        <v>1338</v>
      </c>
      <c r="D103" t="s">
        <v>1246</v>
      </c>
      <c r="E103" t="s">
        <v>1181</v>
      </c>
      <c r="F103"/>
      <c r="G103">
        <v>0.1</v>
      </c>
      <c r="H103" s="1">
        <v>8080.1</v>
      </c>
      <c r="I103"/>
      <c r="J103"/>
      <c r="K103" s="170">
        <v>46203</v>
      </c>
      <c r="L103" s="1">
        <v>10562.222222222224</v>
      </c>
      <c r="M103" s="1">
        <v>46176</v>
      </c>
      <c r="O103"/>
      <c r="S103"/>
      <c r="U103"/>
      <c r="Y103"/>
      <c r="Z103"/>
      <c r="AB103"/>
    </row>
    <row r="104" spans="1:28" ht="14.4" hidden="1">
      <c r="A104" t="s">
        <v>502</v>
      </c>
      <c r="B104" s="1">
        <v>95</v>
      </c>
      <c r="C104" s="258" t="s">
        <v>1339</v>
      </c>
      <c r="D104" t="s">
        <v>1246</v>
      </c>
      <c r="E104" t="s">
        <v>1184</v>
      </c>
      <c r="F104"/>
      <c r="G104">
        <v>0.1</v>
      </c>
      <c r="H104" s="1">
        <v>8080.1</v>
      </c>
      <c r="I104"/>
      <c r="J104"/>
      <c r="K104" s="170">
        <v>46203</v>
      </c>
      <c r="L104" s="1">
        <v>10562.222222222224</v>
      </c>
      <c r="M104" s="1">
        <v>46177</v>
      </c>
      <c r="O104"/>
      <c r="S104"/>
      <c r="U104"/>
      <c r="Y104"/>
      <c r="Z104"/>
      <c r="AB104"/>
    </row>
    <row r="105" spans="1:28" ht="14.4" hidden="1">
      <c r="A105" t="s">
        <v>502</v>
      </c>
      <c r="B105" s="1">
        <v>96</v>
      </c>
      <c r="C105" s="258" t="s">
        <v>1340</v>
      </c>
      <c r="D105" t="s">
        <v>1246</v>
      </c>
      <c r="E105" t="s">
        <v>1187</v>
      </c>
      <c r="F105"/>
      <c r="G105">
        <v>0.05</v>
      </c>
      <c r="H105" s="1">
        <v>4040.05</v>
      </c>
      <c r="I105"/>
      <c r="J105"/>
      <c r="K105" s="170">
        <v>46203</v>
      </c>
      <c r="L105" s="1">
        <v>5281.1111111111113</v>
      </c>
      <c r="M105" s="1">
        <v>46177</v>
      </c>
      <c r="O105"/>
      <c r="S105"/>
      <c r="U105"/>
      <c r="Y105"/>
      <c r="Z105"/>
      <c r="AB105"/>
    </row>
    <row r="106" spans="1:28" ht="14.4" hidden="1">
      <c r="A106" t="s">
        <v>502</v>
      </c>
      <c r="B106" s="1">
        <v>97</v>
      </c>
      <c r="C106" s="258" t="s">
        <v>1341</v>
      </c>
      <c r="D106" t="s">
        <v>1246</v>
      </c>
      <c r="E106" t="s">
        <v>1190</v>
      </c>
      <c r="F106"/>
      <c r="G106">
        <v>0.05</v>
      </c>
      <c r="H106" s="1">
        <v>4040.05</v>
      </c>
      <c r="I106"/>
      <c r="J106"/>
      <c r="K106" s="170">
        <v>46203</v>
      </c>
      <c r="L106" s="1">
        <v>5281.1111111111113</v>
      </c>
      <c r="M106" s="1">
        <v>46200</v>
      </c>
      <c r="O106"/>
      <c r="S106"/>
      <c r="U106"/>
      <c r="Y106"/>
      <c r="Z106"/>
      <c r="AB106"/>
    </row>
    <row r="107" spans="1:28" ht="14.4" hidden="1">
      <c r="A107" t="s">
        <v>502</v>
      </c>
      <c r="B107" s="1">
        <v>102</v>
      </c>
      <c r="C107" s="258" t="s">
        <v>1342</v>
      </c>
      <c r="D107" t="s">
        <v>1255</v>
      </c>
      <c r="E107" t="s">
        <v>1343</v>
      </c>
      <c r="F107"/>
      <c r="H107" s="1">
        <v>13200</v>
      </c>
      <c r="I107"/>
      <c r="J107"/>
      <c r="K107" s="170">
        <v>46173</v>
      </c>
      <c r="L107" s="1">
        <v>16107.979117122351</v>
      </c>
      <c r="M107" s="1">
        <v>46167</v>
      </c>
      <c r="N107" s="1">
        <v>29788.146666666664</v>
      </c>
      <c r="O107"/>
      <c r="S107"/>
      <c r="U107"/>
      <c r="Y107"/>
      <c r="Z107"/>
      <c r="AB107"/>
    </row>
    <row r="108" spans="1:28" ht="14.4" hidden="1">
      <c r="A108" t="s">
        <v>502</v>
      </c>
      <c r="B108" s="1">
        <v>106</v>
      </c>
      <c r="C108" s="258" t="s">
        <v>1344</v>
      </c>
      <c r="D108" t="s">
        <v>1255</v>
      </c>
      <c r="E108" t="s">
        <v>1169</v>
      </c>
      <c r="F108">
        <v>16588.146666666667</v>
      </c>
      <c r="G108">
        <v>0.1</v>
      </c>
      <c r="H108" s="1">
        <v>1658.8146666666669</v>
      </c>
      <c r="I108"/>
      <c r="J108"/>
      <c r="K108" s="170">
        <v>46142</v>
      </c>
      <c r="L108" s="1">
        <v>2024.253940139617</v>
      </c>
      <c r="M108" s="1">
        <v>46134</v>
      </c>
      <c r="O108"/>
      <c r="S108"/>
      <c r="U108"/>
      <c r="Y108"/>
      <c r="Z108"/>
      <c r="AB108"/>
    </row>
    <row r="109" spans="1:28" ht="14.4" hidden="1">
      <c r="A109" t="s">
        <v>502</v>
      </c>
      <c r="B109" s="1">
        <v>107</v>
      </c>
      <c r="C109" s="258" t="s">
        <v>1345</v>
      </c>
      <c r="D109" t="s">
        <v>1255</v>
      </c>
      <c r="E109" t="s">
        <v>558</v>
      </c>
      <c r="F109"/>
      <c r="G109">
        <v>0.15</v>
      </c>
      <c r="H109" s="1">
        <v>2488.2220000000002</v>
      </c>
      <c r="I109"/>
      <c r="J109"/>
      <c r="K109" s="170">
        <v>46142</v>
      </c>
      <c r="L109" s="1">
        <v>3036.380910209426</v>
      </c>
      <c r="M109" s="1">
        <v>46134</v>
      </c>
      <c r="O109"/>
      <c r="S109"/>
      <c r="U109"/>
      <c r="Y109"/>
      <c r="Z109"/>
      <c r="AB109"/>
    </row>
    <row r="110" spans="1:28" ht="14.4" hidden="1">
      <c r="A110" t="s">
        <v>502</v>
      </c>
      <c r="B110" s="1">
        <v>108</v>
      </c>
      <c r="C110" s="258" t="s">
        <v>1346</v>
      </c>
      <c r="D110" t="s">
        <v>1255</v>
      </c>
      <c r="E110" t="s">
        <v>1175</v>
      </c>
      <c r="F110"/>
      <c r="G110">
        <v>0.2</v>
      </c>
      <c r="H110" s="1">
        <v>3317.6293333333338</v>
      </c>
      <c r="I110"/>
      <c r="J110"/>
      <c r="K110" s="170">
        <v>46173</v>
      </c>
      <c r="L110" s="1">
        <v>4048.5078802792345</v>
      </c>
      <c r="M110" s="1">
        <v>46167</v>
      </c>
      <c r="O110"/>
      <c r="S110"/>
      <c r="U110"/>
      <c r="Y110"/>
      <c r="Z110"/>
      <c r="AB110"/>
    </row>
    <row r="111" spans="1:28" ht="14.4" hidden="1">
      <c r="A111" t="s">
        <v>502</v>
      </c>
      <c r="B111" s="1">
        <v>109</v>
      </c>
      <c r="C111" s="258" t="s">
        <v>1347</v>
      </c>
      <c r="D111" t="s">
        <v>1255</v>
      </c>
      <c r="E111" t="s">
        <v>1178</v>
      </c>
      <c r="F111"/>
      <c r="G111">
        <v>0.25</v>
      </c>
      <c r="H111" s="1">
        <v>4147.0366666666669</v>
      </c>
      <c r="I111"/>
      <c r="J111"/>
      <c r="K111" s="170">
        <v>46173</v>
      </c>
      <c r="L111" s="1">
        <v>5060.6348503490426</v>
      </c>
      <c r="M111" s="1">
        <v>46163</v>
      </c>
      <c r="O111"/>
      <c r="S111"/>
      <c r="U111"/>
      <c r="Y111"/>
      <c r="Z111"/>
      <c r="AB111"/>
    </row>
    <row r="112" spans="1:28" ht="14.4" hidden="1">
      <c r="A112" t="s">
        <v>502</v>
      </c>
      <c r="B112" s="1">
        <v>110</v>
      </c>
      <c r="C112" s="258" t="s">
        <v>1348</v>
      </c>
      <c r="D112" t="s">
        <v>1255</v>
      </c>
      <c r="E112" t="s">
        <v>1181</v>
      </c>
      <c r="F112"/>
      <c r="G112">
        <v>0.1</v>
      </c>
      <c r="H112" s="1">
        <v>1658.8146666666669</v>
      </c>
      <c r="I112"/>
      <c r="J112"/>
      <c r="K112" s="170">
        <v>46203</v>
      </c>
      <c r="L112" s="1">
        <v>2024.253940139617</v>
      </c>
      <c r="M112" s="1">
        <v>46176</v>
      </c>
      <c r="O112"/>
      <c r="S112"/>
      <c r="U112"/>
      <c r="Y112"/>
      <c r="Z112"/>
      <c r="AB112"/>
    </row>
    <row r="113" spans="1:28" ht="14.4" hidden="1">
      <c r="A113" t="s">
        <v>502</v>
      </c>
      <c r="B113" s="1">
        <v>111</v>
      </c>
      <c r="C113" s="258" t="s">
        <v>1349</v>
      </c>
      <c r="D113" t="s">
        <v>1255</v>
      </c>
      <c r="E113" t="s">
        <v>1184</v>
      </c>
      <c r="F113"/>
      <c r="G113">
        <v>0.1</v>
      </c>
      <c r="H113" s="1">
        <v>1658.8146666666669</v>
      </c>
      <c r="I113"/>
      <c r="J113"/>
      <c r="K113" s="170">
        <v>46203</v>
      </c>
      <c r="L113" s="1">
        <v>2024.253940139617</v>
      </c>
      <c r="M113" s="1">
        <v>46177</v>
      </c>
      <c r="O113"/>
      <c r="S113"/>
      <c r="U113"/>
      <c r="Y113"/>
      <c r="Z113"/>
      <c r="AB113"/>
    </row>
    <row r="114" spans="1:28" ht="14.4" hidden="1">
      <c r="A114" t="s">
        <v>502</v>
      </c>
      <c r="B114" s="1">
        <v>112</v>
      </c>
      <c r="C114" s="258" t="s">
        <v>1350</v>
      </c>
      <c r="D114" t="s">
        <v>1255</v>
      </c>
      <c r="E114" t="s">
        <v>1187</v>
      </c>
      <c r="F114"/>
      <c r="G114">
        <v>0.05</v>
      </c>
      <c r="H114" s="1">
        <v>829.40733333333344</v>
      </c>
      <c r="I114"/>
      <c r="J114"/>
      <c r="K114" s="170">
        <v>46203</v>
      </c>
      <c r="L114" s="1">
        <v>1012.1269700698084</v>
      </c>
      <c r="M114" s="1">
        <v>46177</v>
      </c>
      <c r="O114"/>
      <c r="S114"/>
      <c r="U114"/>
      <c r="Y114"/>
      <c r="Z114"/>
      <c r="AB114"/>
    </row>
    <row r="115" spans="1:28" ht="14.4" hidden="1">
      <c r="A115" t="s">
        <v>502</v>
      </c>
      <c r="B115" s="1">
        <v>113</v>
      </c>
      <c r="C115" s="258" t="s">
        <v>1351</v>
      </c>
      <c r="D115" t="s">
        <v>1255</v>
      </c>
      <c r="E115" t="s">
        <v>1190</v>
      </c>
      <c r="F115"/>
      <c r="G115">
        <v>0.05</v>
      </c>
      <c r="H115" s="1">
        <v>829.40733333333344</v>
      </c>
      <c r="I115"/>
      <c r="J115"/>
      <c r="K115" s="170">
        <v>46203</v>
      </c>
      <c r="L115" s="1">
        <v>1012.1269700698084</v>
      </c>
      <c r="M115" s="1">
        <v>46200</v>
      </c>
      <c r="O115"/>
      <c r="S115"/>
      <c r="U115"/>
      <c r="Y115"/>
      <c r="Z115"/>
      <c r="AB115"/>
    </row>
    <row r="116" spans="1:28" ht="14.4" hidden="1">
      <c r="A116" t="s">
        <v>502</v>
      </c>
      <c r="B116" s="1">
        <v>118</v>
      </c>
      <c r="C116" s="258" t="s">
        <v>1352</v>
      </c>
      <c r="D116" t="s">
        <v>1264</v>
      </c>
      <c r="E116" t="s">
        <v>1265</v>
      </c>
      <c r="F116"/>
      <c r="H116" s="1">
        <v>11000</v>
      </c>
      <c r="I116"/>
      <c r="J116"/>
      <c r="K116" s="170">
        <v>46203</v>
      </c>
      <c r="L116" s="1">
        <v>10126.984126984127</v>
      </c>
      <c r="M116" s="1">
        <v>46183</v>
      </c>
      <c r="N116" s="1">
        <v>35000</v>
      </c>
      <c r="O116"/>
      <c r="S116"/>
      <c r="U116"/>
      <c r="Y116"/>
      <c r="Z116"/>
      <c r="AB116"/>
    </row>
    <row r="117" spans="1:28" ht="14.4" hidden="1">
      <c r="A117" t="s">
        <v>502</v>
      </c>
      <c r="B117" s="1">
        <v>119</v>
      </c>
      <c r="C117" s="258" t="s">
        <v>1353</v>
      </c>
      <c r="D117" t="s">
        <v>1264</v>
      </c>
      <c r="E117" t="s">
        <v>1268</v>
      </c>
      <c r="F117"/>
      <c r="H117" s="1">
        <v>18000</v>
      </c>
      <c r="I117"/>
      <c r="J117"/>
      <c r="K117" s="170">
        <v>46203</v>
      </c>
      <c r="L117" s="1">
        <v>16571.428571428569</v>
      </c>
      <c r="M117" s="1">
        <v>46175</v>
      </c>
      <c r="O117"/>
      <c r="S117"/>
      <c r="U117"/>
      <c r="Y117"/>
      <c r="Z117"/>
      <c r="AB117"/>
    </row>
    <row r="118" spans="1:28" ht="14.4" hidden="1">
      <c r="A118" t="s">
        <v>502</v>
      </c>
      <c r="B118" s="1">
        <v>120</v>
      </c>
      <c r="C118" s="258" t="s">
        <v>1354</v>
      </c>
      <c r="D118" t="s">
        <v>1264</v>
      </c>
      <c r="E118" t="s">
        <v>1271</v>
      </c>
      <c r="F118"/>
      <c r="H118" s="1">
        <v>0</v>
      </c>
      <c r="I118"/>
      <c r="J118"/>
      <c r="K118" s="170" t="s">
        <v>51</v>
      </c>
      <c r="L118" s="1">
        <v>0</v>
      </c>
      <c r="O118"/>
      <c r="S118"/>
      <c r="U118"/>
      <c r="Y118"/>
      <c r="Z118"/>
      <c r="AB118"/>
    </row>
    <row r="119" spans="1:28" ht="14.4" hidden="1">
      <c r="A119" t="s">
        <v>502</v>
      </c>
      <c r="B119" s="1">
        <v>121</v>
      </c>
      <c r="C119" s="258" t="s">
        <v>1355</v>
      </c>
      <c r="D119" t="s">
        <v>1264</v>
      </c>
      <c r="E119" t="s">
        <v>808</v>
      </c>
      <c r="F119"/>
      <c r="H119" s="1">
        <v>6000</v>
      </c>
      <c r="I119"/>
      <c r="J119"/>
      <c r="K119" s="170">
        <v>46173</v>
      </c>
      <c r="L119" s="1">
        <v>5523.8095238095239</v>
      </c>
      <c r="M119" s="1">
        <v>46169</v>
      </c>
      <c r="O119"/>
      <c r="S119"/>
      <c r="U119"/>
      <c r="Y119"/>
      <c r="Z119"/>
      <c r="AB119"/>
    </row>
    <row r="120" spans="1:28" ht="14.4" hidden="1">
      <c r="A120" t="s">
        <v>502</v>
      </c>
      <c r="B120" s="1">
        <v>124</v>
      </c>
      <c r="C120" s="258" t="s">
        <v>1356</v>
      </c>
      <c r="D120" t="s">
        <v>1274</v>
      </c>
      <c r="E120" t="s">
        <v>1275</v>
      </c>
      <c r="F120"/>
      <c r="H120" s="1">
        <v>0</v>
      </c>
      <c r="I120"/>
      <c r="J120"/>
      <c r="K120" s="170" t="s">
        <v>51</v>
      </c>
      <c r="N120" s="1">
        <v>0</v>
      </c>
      <c r="O120"/>
      <c r="S120"/>
      <c r="U120"/>
      <c r="Y120"/>
      <c r="Z120"/>
      <c r="AB120"/>
    </row>
    <row r="121" spans="1:28" ht="14.4" hidden="1">
      <c r="A121" t="s">
        <v>502</v>
      </c>
      <c r="B121" s="1">
        <v>127</v>
      </c>
      <c r="C121" s="258" t="s">
        <v>1357</v>
      </c>
      <c r="D121" t="s">
        <v>1277</v>
      </c>
      <c r="E121" t="s">
        <v>1278</v>
      </c>
      <c r="F121"/>
      <c r="H121" s="1">
        <v>36247.183175023725</v>
      </c>
      <c r="I121"/>
      <c r="J121"/>
      <c r="K121" s="170">
        <v>46173</v>
      </c>
      <c r="L121" s="1">
        <v>25727.261084692029</v>
      </c>
      <c r="M121" s="1">
        <v>46169</v>
      </c>
      <c r="N121" s="1">
        <v>36247.183175023725</v>
      </c>
      <c r="O121"/>
      <c r="S121"/>
      <c r="U121"/>
      <c r="Y121"/>
      <c r="Z121"/>
      <c r="AB121"/>
    </row>
    <row r="122" spans="1:28" ht="14.4" hidden="1">
      <c r="A122" t="s">
        <v>502</v>
      </c>
      <c r="B122" s="1">
        <v>134</v>
      </c>
      <c r="C122" s="258" t="s">
        <v>1358</v>
      </c>
      <c r="D122" t="s">
        <v>1280</v>
      </c>
      <c r="E122" t="s">
        <v>1281</v>
      </c>
      <c r="F122"/>
      <c r="H122" s="1">
        <v>481.25</v>
      </c>
      <c r="I122"/>
      <c r="J122"/>
      <c r="K122" s="170">
        <v>46112</v>
      </c>
      <c r="L122" s="1">
        <v>534.72222222222217</v>
      </c>
      <c r="M122" s="1">
        <v>46119</v>
      </c>
      <c r="N122" s="1">
        <v>1925</v>
      </c>
      <c r="O122"/>
      <c r="S122"/>
      <c r="U122"/>
      <c r="Y122"/>
      <c r="Z122"/>
      <c r="AB122"/>
    </row>
    <row r="123" spans="1:28" ht="14.4" hidden="1">
      <c r="A123" t="s">
        <v>502</v>
      </c>
      <c r="B123" s="1">
        <v>135</v>
      </c>
      <c r="C123" s="258" t="s">
        <v>1359</v>
      </c>
      <c r="D123" t="s">
        <v>1280</v>
      </c>
      <c r="E123" t="s">
        <v>1281</v>
      </c>
      <c r="F123"/>
      <c r="H123" s="1">
        <v>481.25</v>
      </c>
      <c r="I123"/>
      <c r="J123"/>
      <c r="K123" s="170">
        <v>46142</v>
      </c>
      <c r="L123" s="1">
        <v>534.72222222222217</v>
      </c>
      <c r="M123" s="1">
        <v>46149</v>
      </c>
      <c r="O123"/>
      <c r="S123"/>
      <c r="U123"/>
      <c r="Y123"/>
      <c r="Z123"/>
      <c r="AB123"/>
    </row>
    <row r="124" spans="1:28" ht="14.4" hidden="1">
      <c r="A124" t="s">
        <v>502</v>
      </c>
      <c r="B124" s="1">
        <v>136</v>
      </c>
      <c r="C124" s="258" t="s">
        <v>1360</v>
      </c>
      <c r="D124" t="s">
        <v>1280</v>
      </c>
      <c r="E124" t="s">
        <v>1281</v>
      </c>
      <c r="F124"/>
      <c r="H124" s="1">
        <v>481.25</v>
      </c>
      <c r="I124"/>
      <c r="J124"/>
      <c r="K124" s="170">
        <v>46173</v>
      </c>
      <c r="L124" s="1">
        <v>534.72222222222217</v>
      </c>
      <c r="M124" s="1">
        <v>46180</v>
      </c>
      <c r="O124"/>
      <c r="S124"/>
      <c r="U124"/>
      <c r="Y124"/>
      <c r="Z124"/>
      <c r="AB124"/>
    </row>
    <row r="125" spans="1:28" ht="14.4" hidden="1">
      <c r="A125" t="s">
        <v>502</v>
      </c>
      <c r="B125" s="1">
        <v>137</v>
      </c>
      <c r="C125" s="258" t="s">
        <v>1361</v>
      </c>
      <c r="D125" t="s">
        <v>1280</v>
      </c>
      <c r="E125" t="s">
        <v>1281</v>
      </c>
      <c r="F125"/>
      <c r="H125" s="1">
        <v>481.25</v>
      </c>
      <c r="I125"/>
      <c r="J125"/>
      <c r="K125" s="170">
        <v>46203</v>
      </c>
      <c r="L125" s="1">
        <v>534.72222222222217</v>
      </c>
      <c r="M125" s="1">
        <v>46210</v>
      </c>
      <c r="O125"/>
      <c r="S125"/>
      <c r="U125"/>
      <c r="Y125"/>
      <c r="Z125"/>
      <c r="AB125"/>
    </row>
    <row r="126" spans="1:28" ht="14.4" hidden="1">
      <c r="A126" t="s">
        <v>504</v>
      </c>
      <c r="B126" s="1">
        <v>6</v>
      </c>
      <c r="C126" s="258" t="s">
        <v>1364</v>
      </c>
      <c r="D126" t="s">
        <v>1146</v>
      </c>
      <c r="E126" t="s">
        <v>1365</v>
      </c>
      <c r="F126">
        <v>293</v>
      </c>
      <c r="G126">
        <v>1220</v>
      </c>
      <c r="H126" s="1">
        <v>357460</v>
      </c>
      <c r="I126"/>
      <c r="J126" t="s">
        <v>1366</v>
      </c>
      <c r="K126" s="170">
        <v>46081</v>
      </c>
      <c r="L126" s="1">
        <v>577060.67500000005</v>
      </c>
      <c r="M126" s="1">
        <v>46111</v>
      </c>
      <c r="N126" s="1">
        <v>357460</v>
      </c>
      <c r="O126"/>
      <c r="S126"/>
      <c r="U126"/>
      <c r="Y126"/>
      <c r="Z126"/>
      <c r="AB126"/>
    </row>
    <row r="127" spans="1:28" ht="14.4" hidden="1">
      <c r="A127" t="s">
        <v>504</v>
      </c>
      <c r="B127" s="1">
        <v>7</v>
      </c>
      <c r="C127" s="258" t="s">
        <v>1367</v>
      </c>
      <c r="D127" t="s">
        <v>1146</v>
      </c>
      <c r="F127"/>
      <c r="H127" s="1">
        <v>0</v>
      </c>
      <c r="I127"/>
      <c r="J127"/>
      <c r="K127" s="170"/>
      <c r="L127" s="1">
        <v>0</v>
      </c>
      <c r="O127"/>
      <c r="S127"/>
      <c r="U127"/>
      <c r="Y127"/>
      <c r="Z127"/>
      <c r="AB127"/>
    </row>
    <row r="128" spans="1:28" ht="14.4" hidden="1">
      <c r="A128" t="s">
        <v>504</v>
      </c>
      <c r="B128" s="1">
        <v>14</v>
      </c>
      <c r="C128" s="258" t="s">
        <v>1368</v>
      </c>
      <c r="D128" t="s">
        <v>1157</v>
      </c>
      <c r="E128" t="s">
        <v>1369</v>
      </c>
      <c r="F128">
        <v>2</v>
      </c>
      <c r="G128">
        <v>68870</v>
      </c>
      <c r="H128" s="1">
        <v>137740</v>
      </c>
      <c r="I128"/>
      <c r="J128" t="s">
        <v>1366</v>
      </c>
      <c r="K128" s="170">
        <v>46081</v>
      </c>
      <c r="L128" s="1">
        <v>175000</v>
      </c>
      <c r="M128" s="1">
        <v>46111</v>
      </c>
      <c r="O128"/>
      <c r="S128"/>
      <c r="U128"/>
      <c r="Y128"/>
      <c r="Z128"/>
      <c r="AB128"/>
    </row>
    <row r="129" spans="1:28" ht="14.4" hidden="1">
      <c r="A129" t="s">
        <v>504</v>
      </c>
      <c r="B129" s="1">
        <v>22</v>
      </c>
      <c r="C129" s="258" t="s">
        <v>1370</v>
      </c>
      <c r="D129" t="s">
        <v>1160</v>
      </c>
      <c r="E129" t="s">
        <v>1371</v>
      </c>
      <c r="F129">
        <v>65</v>
      </c>
      <c r="G129">
        <v>31.54</v>
      </c>
      <c r="H129" s="1">
        <v>2050.1</v>
      </c>
      <c r="I129" t="s">
        <v>1372</v>
      </c>
      <c r="J129" t="s">
        <v>1372</v>
      </c>
      <c r="K129" s="170">
        <v>46053</v>
      </c>
      <c r="L129" s="1">
        <v>2690.7175386759445</v>
      </c>
      <c r="M129" s="1">
        <v>46053</v>
      </c>
      <c r="O129"/>
      <c r="S129"/>
      <c r="U129"/>
      <c r="Y129"/>
      <c r="Z129"/>
      <c r="AB129"/>
    </row>
    <row r="130" spans="1:28" ht="14.4" hidden="1">
      <c r="A130" t="s">
        <v>504</v>
      </c>
      <c r="B130" s="1">
        <v>23</v>
      </c>
      <c r="C130" s="258" t="s">
        <v>1373</v>
      </c>
      <c r="D130" t="s">
        <v>1160</v>
      </c>
      <c r="E130" t="s">
        <v>1374</v>
      </c>
      <c r="F130"/>
      <c r="H130" s="1">
        <v>35669.699999999997</v>
      </c>
      <c r="I130" t="s">
        <v>1375</v>
      </c>
      <c r="J130" t="s">
        <v>1376</v>
      </c>
      <c r="K130" s="170">
        <v>46081</v>
      </c>
      <c r="L130" s="1">
        <v>43649.490466903597</v>
      </c>
      <c r="M130" s="1">
        <v>46111</v>
      </c>
      <c r="O130"/>
      <c r="S130"/>
      <c r="U130"/>
      <c r="Y130"/>
      <c r="Z130"/>
      <c r="AB130"/>
    </row>
    <row r="131" spans="1:28" ht="14.4" hidden="1">
      <c r="A131" t="s">
        <v>504</v>
      </c>
      <c r="B131" s="1">
        <v>24</v>
      </c>
      <c r="C131" s="258" t="s">
        <v>1377</v>
      </c>
      <c r="D131" t="s">
        <v>1160</v>
      </c>
      <c r="E131" t="s">
        <v>1374</v>
      </c>
      <c r="F131"/>
      <c r="H131" s="1">
        <v>87650.85</v>
      </c>
      <c r="I131" t="s">
        <v>1375</v>
      </c>
      <c r="J131" t="s">
        <v>1376</v>
      </c>
      <c r="K131" s="170">
        <v>46081</v>
      </c>
      <c r="L131" s="1">
        <v>104507.84114794905</v>
      </c>
      <c r="M131" s="1">
        <v>46111</v>
      </c>
      <c r="O131"/>
      <c r="S131"/>
      <c r="U131"/>
      <c r="Y131"/>
      <c r="Z131"/>
      <c r="AB131"/>
    </row>
    <row r="132" spans="1:28" ht="14.4" hidden="1">
      <c r="A132" t="s">
        <v>504</v>
      </c>
      <c r="B132" s="1">
        <v>26</v>
      </c>
      <c r="C132" s="258" t="s">
        <v>1378</v>
      </c>
      <c r="D132" t="s">
        <v>1160</v>
      </c>
      <c r="E132" t="s">
        <v>1379</v>
      </c>
      <c r="F132"/>
      <c r="H132" s="1">
        <v>28948.57</v>
      </c>
      <c r="I132" t="s">
        <v>1380</v>
      </c>
      <c r="J132" t="s">
        <v>1381</v>
      </c>
      <c r="K132" s="170">
        <v>46053</v>
      </c>
      <c r="L132" s="1">
        <v>37994.451499238232</v>
      </c>
      <c r="M132" s="1">
        <v>46058</v>
      </c>
      <c r="O132"/>
      <c r="S132"/>
      <c r="U132"/>
      <c r="Y132"/>
      <c r="Z132"/>
      <c r="AB132"/>
    </row>
    <row r="133" spans="1:28" ht="14.4" hidden="1">
      <c r="A133" t="s">
        <v>504</v>
      </c>
      <c r="B133" s="1">
        <v>28</v>
      </c>
      <c r="C133" s="258" t="s">
        <v>1382</v>
      </c>
      <c r="D133" t="s">
        <v>1165</v>
      </c>
      <c r="E133" t="s">
        <v>836</v>
      </c>
      <c r="F133">
        <v>4000</v>
      </c>
      <c r="G133">
        <v>14</v>
      </c>
      <c r="H133" s="1">
        <v>56000</v>
      </c>
      <c r="I133"/>
      <c r="J133" t="s">
        <v>1366</v>
      </c>
      <c r="K133" s="170">
        <v>46081</v>
      </c>
      <c r="L133" s="1">
        <v>66529.10394265232</v>
      </c>
      <c r="M133" s="1">
        <v>46111</v>
      </c>
      <c r="N133" s="1">
        <v>125550</v>
      </c>
      <c r="O133"/>
      <c r="S133"/>
      <c r="U133"/>
      <c r="Y133"/>
      <c r="Z133"/>
      <c r="AB133"/>
    </row>
    <row r="134" spans="1:28" ht="14.4" hidden="1">
      <c r="A134" t="s">
        <v>504</v>
      </c>
      <c r="B134" s="1">
        <v>32</v>
      </c>
      <c r="C134" s="258" t="s">
        <v>1383</v>
      </c>
      <c r="D134" t="s">
        <v>1165</v>
      </c>
      <c r="E134" t="s">
        <v>1169</v>
      </c>
      <c r="F134">
        <v>69550</v>
      </c>
      <c r="G134">
        <v>0.1</v>
      </c>
      <c r="H134" s="1">
        <v>6955</v>
      </c>
      <c r="I134"/>
      <c r="J134" t="s">
        <v>1384</v>
      </c>
      <c r="K134" s="170">
        <v>46053</v>
      </c>
      <c r="L134" s="1">
        <v>8262.6771057347669</v>
      </c>
      <c r="M134" s="1">
        <v>46058</v>
      </c>
      <c r="O134"/>
      <c r="S134"/>
      <c r="U134"/>
      <c r="Y134"/>
      <c r="Z134"/>
      <c r="AB134"/>
    </row>
    <row r="135" spans="1:28" ht="14.4" hidden="1">
      <c r="A135" t="s">
        <v>504</v>
      </c>
      <c r="B135" s="1">
        <v>33</v>
      </c>
      <c r="C135" s="258" t="s">
        <v>1385</v>
      </c>
      <c r="D135" t="s">
        <v>1165</v>
      </c>
      <c r="E135" t="s">
        <v>558</v>
      </c>
      <c r="F135"/>
      <c r="G135">
        <v>0.15</v>
      </c>
      <c r="H135" s="1">
        <v>10432.5</v>
      </c>
      <c r="I135"/>
      <c r="J135" t="s">
        <v>1386</v>
      </c>
      <c r="K135" s="170">
        <v>46081</v>
      </c>
      <c r="L135" s="1">
        <v>12394.015658602148</v>
      </c>
      <c r="M135" s="1">
        <v>46062</v>
      </c>
      <c r="O135"/>
      <c r="S135"/>
      <c r="U135"/>
      <c r="Y135"/>
      <c r="Z135"/>
      <c r="AB135"/>
    </row>
    <row r="136" spans="1:28" ht="14.4" hidden="1">
      <c r="A136" t="s">
        <v>504</v>
      </c>
      <c r="B136" s="1">
        <v>34</v>
      </c>
      <c r="C136" s="258" t="s">
        <v>1387</v>
      </c>
      <c r="D136" t="s">
        <v>1165</v>
      </c>
      <c r="E136" t="s">
        <v>1175</v>
      </c>
      <c r="F136"/>
      <c r="G136">
        <v>0.2</v>
      </c>
      <c r="H136" s="1">
        <v>13910</v>
      </c>
      <c r="I136"/>
      <c r="J136"/>
      <c r="K136" s="170">
        <v>46112</v>
      </c>
      <c r="L136" s="1">
        <v>16525.354211469534</v>
      </c>
      <c r="M136" s="1">
        <v>46093</v>
      </c>
      <c r="O136"/>
      <c r="S136"/>
      <c r="U136"/>
      <c r="Y136"/>
      <c r="Z136"/>
      <c r="AB136"/>
    </row>
    <row r="137" spans="1:28" ht="14.4" hidden="1">
      <c r="A137" t="s">
        <v>504</v>
      </c>
      <c r="B137" s="1">
        <v>35</v>
      </c>
      <c r="C137" s="258" t="s">
        <v>1388</v>
      </c>
      <c r="D137" t="s">
        <v>1165</v>
      </c>
      <c r="E137" t="s">
        <v>1178</v>
      </c>
      <c r="F137"/>
      <c r="G137">
        <v>0.25</v>
      </c>
      <c r="H137" s="1">
        <v>17387.5</v>
      </c>
      <c r="I137"/>
      <c r="J137"/>
      <c r="K137" s="170">
        <v>46112</v>
      </c>
      <c r="L137" s="1">
        <v>20656.692764336916</v>
      </c>
      <c r="M137" s="1">
        <v>46093</v>
      </c>
      <c r="O137"/>
      <c r="S137"/>
      <c r="U137"/>
      <c r="Y137"/>
      <c r="Z137"/>
      <c r="AB137"/>
    </row>
    <row r="138" spans="1:28" ht="14.4" hidden="1">
      <c r="A138" t="s">
        <v>504</v>
      </c>
      <c r="B138" s="1">
        <v>36</v>
      </c>
      <c r="C138" s="258" t="s">
        <v>1389</v>
      </c>
      <c r="D138" t="s">
        <v>1165</v>
      </c>
      <c r="E138" t="s">
        <v>1181</v>
      </c>
      <c r="F138"/>
      <c r="G138">
        <v>0.1</v>
      </c>
      <c r="H138" s="1">
        <v>6955</v>
      </c>
      <c r="I138"/>
      <c r="J138"/>
      <c r="K138" s="170">
        <v>46112</v>
      </c>
      <c r="L138" s="1">
        <v>8262.6771057347669</v>
      </c>
      <c r="M138" s="1">
        <v>46104</v>
      </c>
      <c r="O138"/>
      <c r="S138"/>
      <c r="U138"/>
      <c r="Y138"/>
      <c r="Z138"/>
      <c r="AB138"/>
    </row>
    <row r="139" spans="1:28" ht="14.4" hidden="1">
      <c r="A139" t="s">
        <v>504</v>
      </c>
      <c r="B139" s="1">
        <v>37</v>
      </c>
      <c r="C139" s="258" t="s">
        <v>1390</v>
      </c>
      <c r="D139" t="s">
        <v>1165</v>
      </c>
      <c r="E139" t="s">
        <v>1184</v>
      </c>
      <c r="F139"/>
      <c r="G139">
        <v>0.1</v>
      </c>
      <c r="H139" s="1">
        <v>6955</v>
      </c>
      <c r="I139"/>
      <c r="J139"/>
      <c r="K139" s="170">
        <v>46112</v>
      </c>
      <c r="L139" s="1">
        <v>8262.6771057347669</v>
      </c>
      <c r="M139" s="1">
        <v>46105</v>
      </c>
      <c r="O139"/>
      <c r="S139"/>
      <c r="U139"/>
      <c r="Y139"/>
      <c r="Z139"/>
      <c r="AB139"/>
    </row>
    <row r="140" spans="1:28" ht="14.4" hidden="1">
      <c r="A140" t="s">
        <v>504</v>
      </c>
      <c r="B140" s="1">
        <v>38</v>
      </c>
      <c r="C140" s="258" t="s">
        <v>1391</v>
      </c>
      <c r="D140" t="s">
        <v>1165</v>
      </c>
      <c r="E140" t="s">
        <v>1187</v>
      </c>
      <c r="F140"/>
      <c r="G140">
        <v>0.05</v>
      </c>
      <c r="H140" s="1">
        <v>3477.5</v>
      </c>
      <c r="I140"/>
      <c r="J140"/>
      <c r="K140" s="170">
        <v>46112</v>
      </c>
      <c r="L140" s="1">
        <v>4131.3385528673834</v>
      </c>
      <c r="M140" s="1">
        <v>46105</v>
      </c>
      <c r="O140"/>
      <c r="S140"/>
      <c r="U140"/>
      <c r="Y140"/>
      <c r="Z140"/>
      <c r="AB140"/>
    </row>
    <row r="141" spans="1:28" ht="14.4" hidden="1">
      <c r="A141" t="s">
        <v>504</v>
      </c>
      <c r="B141" s="1">
        <v>39</v>
      </c>
      <c r="C141" s="258" t="s">
        <v>1392</v>
      </c>
      <c r="D141" t="s">
        <v>1165</v>
      </c>
      <c r="E141" t="s">
        <v>1190</v>
      </c>
      <c r="F141"/>
      <c r="G141">
        <v>0.05</v>
      </c>
      <c r="H141" s="1">
        <v>3477.5</v>
      </c>
      <c r="I141"/>
      <c r="J141"/>
      <c r="K141" s="170">
        <v>46112</v>
      </c>
      <c r="L141" s="1">
        <v>4131.3385528673834</v>
      </c>
      <c r="M141" s="1">
        <v>46128</v>
      </c>
      <c r="O141"/>
      <c r="S141"/>
      <c r="U141"/>
      <c r="Y141"/>
      <c r="Z141"/>
      <c r="AB141"/>
    </row>
    <row r="142" spans="1:28" ht="14.4" hidden="1">
      <c r="A142" t="s">
        <v>504</v>
      </c>
      <c r="B142" s="1">
        <v>44</v>
      </c>
      <c r="C142" s="258" t="s">
        <v>1393</v>
      </c>
      <c r="D142" t="s">
        <v>1193</v>
      </c>
      <c r="E142" t="s">
        <v>1302</v>
      </c>
      <c r="F142"/>
      <c r="H142" s="1">
        <v>8598.34</v>
      </c>
      <c r="I142"/>
      <c r="J142" t="s">
        <v>1366</v>
      </c>
      <c r="K142" s="170">
        <v>46081</v>
      </c>
      <c r="L142" s="1">
        <v>14012.999682833975</v>
      </c>
      <c r="M142" s="1">
        <v>46111</v>
      </c>
      <c r="N142" s="1">
        <v>37582.839999999997</v>
      </c>
      <c r="O142"/>
      <c r="S142"/>
      <c r="U142"/>
      <c r="Y142"/>
      <c r="Z142"/>
      <c r="AB142"/>
    </row>
    <row r="143" spans="1:28" ht="14.4" hidden="1">
      <c r="A143" t="s">
        <v>504</v>
      </c>
      <c r="B143" s="1">
        <v>45</v>
      </c>
      <c r="C143" s="258" t="s">
        <v>1394</v>
      </c>
      <c r="D143" t="s">
        <v>1193</v>
      </c>
      <c r="E143" t="s">
        <v>1196</v>
      </c>
      <c r="F143"/>
      <c r="H143" s="1">
        <v>13984.5</v>
      </c>
      <c r="I143" t="s">
        <v>1395</v>
      </c>
      <c r="J143" t="s">
        <v>1396</v>
      </c>
      <c r="K143" s="170">
        <v>46053</v>
      </c>
      <c r="L143" s="1">
        <v>22791.003154631213</v>
      </c>
      <c r="M143" s="1">
        <v>46080</v>
      </c>
      <c r="O143"/>
      <c r="S143"/>
      <c r="U143"/>
      <c r="Y143"/>
      <c r="Z143"/>
      <c r="AB143"/>
    </row>
    <row r="144" spans="1:28" ht="14.4" hidden="1">
      <c r="A144" t="s">
        <v>504</v>
      </c>
      <c r="B144" s="1">
        <v>46</v>
      </c>
      <c r="C144" s="258" t="s">
        <v>1397</v>
      </c>
      <c r="D144" t="s">
        <v>1193</v>
      </c>
      <c r="E144" t="s">
        <v>1306</v>
      </c>
      <c r="F144"/>
      <c r="H144" s="1">
        <v>15000</v>
      </c>
      <c r="I144"/>
      <c r="J144"/>
      <c r="K144" s="170">
        <v>46081</v>
      </c>
      <c r="L144" s="1">
        <v>24445.997162534819</v>
      </c>
      <c r="M144" s="1">
        <v>46080</v>
      </c>
      <c r="O144"/>
      <c r="S144"/>
      <c r="U144"/>
      <c r="Y144"/>
      <c r="Z144"/>
      <c r="AB144"/>
    </row>
    <row r="145" spans="1:28" ht="14.4" hidden="1">
      <c r="A145" t="s">
        <v>504</v>
      </c>
      <c r="B145" s="1">
        <v>53</v>
      </c>
      <c r="C145" s="258" t="s">
        <v>1398</v>
      </c>
      <c r="D145" t="s">
        <v>1211</v>
      </c>
      <c r="E145" t="s">
        <v>1212</v>
      </c>
      <c r="F145"/>
      <c r="H145" s="1">
        <v>89859.36</v>
      </c>
      <c r="I145" t="s">
        <v>1399</v>
      </c>
      <c r="J145"/>
      <c r="K145" s="170">
        <v>46081</v>
      </c>
      <c r="L145" s="1">
        <v>217088.32433222423</v>
      </c>
      <c r="M145" s="1">
        <v>46111</v>
      </c>
      <c r="O145"/>
      <c r="S145"/>
      <c r="U145"/>
      <c r="Y145"/>
      <c r="Z145"/>
      <c r="AB145"/>
    </row>
    <row r="146" spans="1:28" ht="14.4" hidden="1">
      <c r="A146" t="s">
        <v>504</v>
      </c>
      <c r="B146" s="1">
        <v>58</v>
      </c>
      <c r="C146" s="258" t="s">
        <v>1400</v>
      </c>
      <c r="D146" t="s">
        <v>1211</v>
      </c>
      <c r="E146" t="s">
        <v>1169</v>
      </c>
      <c r="F146">
        <v>19452</v>
      </c>
      <c r="G146">
        <v>0.1</v>
      </c>
      <c r="H146" s="1">
        <v>1945.2</v>
      </c>
      <c r="I146"/>
      <c r="J146" t="s">
        <v>1384</v>
      </c>
      <c r="K146" s="170">
        <v>46053</v>
      </c>
      <c r="L146" s="1">
        <v>4699.3458276471429</v>
      </c>
      <c r="M146" s="1">
        <v>46058</v>
      </c>
      <c r="O146"/>
      <c r="S146"/>
      <c r="U146"/>
      <c r="Y146"/>
      <c r="Z146"/>
      <c r="AB146"/>
    </row>
    <row r="147" spans="1:28" ht="14.4" hidden="1">
      <c r="A147" t="s">
        <v>504</v>
      </c>
      <c r="B147" s="1">
        <v>59</v>
      </c>
      <c r="C147" s="258" t="s">
        <v>1401</v>
      </c>
      <c r="D147" t="s">
        <v>1211</v>
      </c>
      <c r="E147" t="s">
        <v>558</v>
      </c>
      <c r="F147"/>
      <c r="G147">
        <v>0.15</v>
      </c>
      <c r="H147" s="1">
        <v>2917.7999999999997</v>
      </c>
      <c r="I147"/>
      <c r="J147" t="s">
        <v>1386</v>
      </c>
      <c r="K147" s="170">
        <v>46081</v>
      </c>
      <c r="L147" s="1">
        <v>7049.0187414707143</v>
      </c>
      <c r="M147" s="1">
        <v>46062</v>
      </c>
      <c r="O147"/>
      <c r="S147"/>
      <c r="U147"/>
      <c r="Y147"/>
      <c r="Z147"/>
      <c r="AB147"/>
    </row>
    <row r="148" spans="1:28" ht="14.4" hidden="1">
      <c r="A148" t="s">
        <v>504</v>
      </c>
      <c r="B148" s="1">
        <v>60</v>
      </c>
      <c r="C148" s="258" t="s">
        <v>1402</v>
      </c>
      <c r="D148" t="s">
        <v>1211</v>
      </c>
      <c r="E148" t="s">
        <v>1175</v>
      </c>
      <c r="F148"/>
      <c r="G148">
        <v>0.2</v>
      </c>
      <c r="H148" s="1">
        <v>3890.4</v>
      </c>
      <c r="I148"/>
      <c r="J148"/>
      <c r="K148" s="170">
        <v>46112</v>
      </c>
      <c r="L148" s="1">
        <v>9398.6916552942857</v>
      </c>
      <c r="M148" s="1">
        <v>46093</v>
      </c>
      <c r="O148"/>
      <c r="S148"/>
      <c r="U148"/>
      <c r="Y148"/>
      <c r="Z148"/>
      <c r="AB148"/>
    </row>
    <row r="149" spans="1:28" ht="14.4" hidden="1">
      <c r="A149" t="s">
        <v>504</v>
      </c>
      <c r="B149" s="1">
        <v>61</v>
      </c>
      <c r="C149" s="258" t="s">
        <v>1403</v>
      </c>
      <c r="D149" t="s">
        <v>1211</v>
      </c>
      <c r="E149" t="s">
        <v>1178</v>
      </c>
      <c r="F149"/>
      <c r="G149">
        <v>0.25</v>
      </c>
      <c r="H149" s="1">
        <v>4863</v>
      </c>
      <c r="I149"/>
      <c r="J149"/>
      <c r="K149" s="170">
        <v>46112</v>
      </c>
      <c r="L149" s="1">
        <v>11748.364569117861</v>
      </c>
      <c r="M149" s="1">
        <v>46093</v>
      </c>
      <c r="O149"/>
      <c r="S149"/>
      <c r="U149"/>
      <c r="Y149"/>
      <c r="Z149"/>
      <c r="AB149"/>
    </row>
    <row r="150" spans="1:28" ht="14.4" hidden="1">
      <c r="A150" t="s">
        <v>504</v>
      </c>
      <c r="B150" s="1">
        <v>62</v>
      </c>
      <c r="C150" s="258" t="s">
        <v>1404</v>
      </c>
      <c r="D150" t="s">
        <v>1211</v>
      </c>
      <c r="E150" t="s">
        <v>1181</v>
      </c>
      <c r="F150"/>
      <c r="G150">
        <v>0.1</v>
      </c>
      <c r="H150" s="1">
        <v>1945.2</v>
      </c>
      <c r="I150"/>
      <c r="J150"/>
      <c r="K150" s="170">
        <v>46112</v>
      </c>
      <c r="L150" s="1">
        <v>4699.3458276471429</v>
      </c>
      <c r="M150" s="1">
        <v>46104</v>
      </c>
      <c r="O150"/>
      <c r="S150"/>
      <c r="U150"/>
      <c r="Y150"/>
      <c r="Z150"/>
      <c r="AB150"/>
    </row>
    <row r="151" spans="1:28" ht="14.4" hidden="1">
      <c r="A151" t="s">
        <v>504</v>
      </c>
      <c r="B151" s="1">
        <v>63</v>
      </c>
      <c r="C151" s="258" t="s">
        <v>1405</v>
      </c>
      <c r="D151" t="s">
        <v>1211</v>
      </c>
      <c r="E151" t="s">
        <v>1184</v>
      </c>
      <c r="F151"/>
      <c r="G151">
        <v>0.1</v>
      </c>
      <c r="H151" s="1">
        <v>1945.2</v>
      </c>
      <c r="I151"/>
      <c r="J151"/>
      <c r="K151" s="170">
        <v>46112</v>
      </c>
      <c r="L151" s="1">
        <v>4699.3458276471429</v>
      </c>
      <c r="M151" s="1">
        <v>46105</v>
      </c>
      <c r="O151"/>
      <c r="S151"/>
      <c r="U151"/>
      <c r="Y151"/>
      <c r="Z151"/>
      <c r="AB151"/>
    </row>
    <row r="152" spans="1:28" ht="14.4" hidden="1">
      <c r="A152" t="s">
        <v>504</v>
      </c>
      <c r="B152" s="1">
        <v>64</v>
      </c>
      <c r="C152" s="258" t="s">
        <v>1406</v>
      </c>
      <c r="D152" t="s">
        <v>1211</v>
      </c>
      <c r="E152" t="s">
        <v>1187</v>
      </c>
      <c r="F152"/>
      <c r="G152">
        <v>0.05</v>
      </c>
      <c r="H152" s="1">
        <v>972.6</v>
      </c>
      <c r="I152"/>
      <c r="J152"/>
      <c r="K152" s="170">
        <v>46112</v>
      </c>
      <c r="L152" s="1">
        <v>2349.672913823571</v>
      </c>
      <c r="M152" s="1">
        <v>46105</v>
      </c>
      <c r="O152"/>
      <c r="S152"/>
      <c r="U152"/>
      <c r="Y152"/>
      <c r="Z152"/>
      <c r="AB152"/>
    </row>
    <row r="153" spans="1:28" ht="14.4" hidden="1">
      <c r="A153" t="s">
        <v>504</v>
      </c>
      <c r="B153" s="1">
        <v>65</v>
      </c>
      <c r="C153" s="258" t="s">
        <v>1407</v>
      </c>
      <c r="D153" t="s">
        <v>1211</v>
      </c>
      <c r="E153" t="s">
        <v>1190</v>
      </c>
      <c r="F153"/>
      <c r="G153">
        <v>0.05</v>
      </c>
      <c r="H153" s="1">
        <v>972.6</v>
      </c>
      <c r="I153"/>
      <c r="J153"/>
      <c r="K153" s="170">
        <v>46142</v>
      </c>
      <c r="L153" s="1">
        <v>2349.672913823571</v>
      </c>
      <c r="M153" s="1">
        <v>46128</v>
      </c>
      <c r="O153"/>
      <c r="S153"/>
      <c r="U153"/>
      <c r="Y153"/>
      <c r="Z153"/>
      <c r="AB153"/>
    </row>
    <row r="154" spans="1:28" ht="14.4" hidden="1">
      <c r="A154" t="s">
        <v>504</v>
      </c>
      <c r="B154" s="1">
        <v>79</v>
      </c>
      <c r="C154" s="258" t="s">
        <v>1408</v>
      </c>
      <c r="D154" t="s">
        <v>1224</v>
      </c>
      <c r="E154" t="s">
        <v>1409</v>
      </c>
      <c r="F154"/>
      <c r="H154" s="1">
        <v>0</v>
      </c>
      <c r="I154"/>
      <c r="J154"/>
      <c r="K154" s="170"/>
      <c r="L154" s="1">
        <v>0</v>
      </c>
      <c r="N154" s="1">
        <v>77264.760000000009</v>
      </c>
      <c r="O154"/>
      <c r="S154"/>
      <c r="U154"/>
      <c r="Y154"/>
      <c r="Z154"/>
      <c r="AB154"/>
    </row>
    <row r="155" spans="1:28" ht="14.4" hidden="1">
      <c r="A155" t="s">
        <v>504</v>
      </c>
      <c r="B155" s="1">
        <v>80</v>
      </c>
      <c r="C155" s="258" t="s">
        <v>1410</v>
      </c>
      <c r="D155" t="s">
        <v>1224</v>
      </c>
      <c r="E155" t="s">
        <v>1411</v>
      </c>
      <c r="F155">
        <v>62264.76</v>
      </c>
      <c r="G155">
        <v>0.5</v>
      </c>
      <c r="H155" s="1">
        <v>31132.38</v>
      </c>
      <c r="I155" t="s">
        <v>1412</v>
      </c>
      <c r="J155" t="s">
        <v>1413</v>
      </c>
      <c r="K155" s="170">
        <v>46053</v>
      </c>
      <c r="L155" s="1">
        <v>65745.99888605965</v>
      </c>
      <c r="M155" s="1">
        <v>46051</v>
      </c>
      <c r="O155"/>
      <c r="S155"/>
      <c r="U155"/>
      <c r="Y155"/>
      <c r="Z155"/>
      <c r="AB155"/>
    </row>
    <row r="156" spans="1:28" ht="14.4" hidden="1">
      <c r="A156" t="s">
        <v>504</v>
      </c>
      <c r="B156" s="1">
        <v>81</v>
      </c>
      <c r="C156" s="258" t="s">
        <v>1414</v>
      </c>
      <c r="D156" t="s">
        <v>1224</v>
      </c>
      <c r="E156" t="s">
        <v>1415</v>
      </c>
      <c r="F156"/>
      <c r="G156">
        <v>0.5</v>
      </c>
      <c r="H156" s="1">
        <v>33737.279999999999</v>
      </c>
      <c r="I156"/>
      <c r="J156" t="s">
        <v>1413</v>
      </c>
      <c r="K156" s="170">
        <v>46053</v>
      </c>
      <c r="L156" s="1">
        <v>65745.99888605965</v>
      </c>
      <c r="M156" s="1">
        <v>46065</v>
      </c>
      <c r="O156"/>
      <c r="S156"/>
      <c r="U156"/>
      <c r="Y156"/>
      <c r="Z156"/>
      <c r="AB156"/>
    </row>
    <row r="157" spans="1:28" ht="14.4" hidden="1">
      <c r="A157" t="s">
        <v>504</v>
      </c>
      <c r="B157" s="1">
        <v>82</v>
      </c>
      <c r="C157" s="258" t="s">
        <v>1416</v>
      </c>
      <c r="D157" t="s">
        <v>1224</v>
      </c>
      <c r="E157" t="s">
        <v>1417</v>
      </c>
      <c r="F157"/>
      <c r="H157" s="1">
        <v>-2604.9000000000015</v>
      </c>
      <c r="I157"/>
      <c r="J157"/>
      <c r="K157" s="170">
        <v>46081</v>
      </c>
      <c r="M157" s="1">
        <v>46081</v>
      </c>
      <c r="O157"/>
      <c r="S157"/>
      <c r="U157"/>
      <c r="Y157"/>
      <c r="Z157"/>
      <c r="AB157"/>
    </row>
    <row r="158" spans="1:28" ht="14.4" hidden="1">
      <c r="A158" t="s">
        <v>504</v>
      </c>
      <c r="B158" s="1">
        <v>83</v>
      </c>
      <c r="C158" s="258" t="s">
        <v>1418</v>
      </c>
      <c r="D158" t="s">
        <v>1224</v>
      </c>
      <c r="E158" t="s">
        <v>1419</v>
      </c>
      <c r="F158"/>
      <c r="H158" s="1">
        <v>5000</v>
      </c>
      <c r="I158"/>
      <c r="J158"/>
      <c r="K158" s="170">
        <v>46111</v>
      </c>
      <c r="L158" s="1">
        <v>10559.102594478749</v>
      </c>
      <c r="M158" s="1">
        <v>46125</v>
      </c>
      <c r="O158"/>
      <c r="S158"/>
      <c r="U158"/>
      <c r="Y158"/>
      <c r="Z158"/>
      <c r="AB158"/>
    </row>
    <row r="159" spans="1:28" ht="14.4" hidden="1">
      <c r="A159" t="s">
        <v>504</v>
      </c>
      <c r="B159" s="1">
        <v>84</v>
      </c>
      <c r="C159" s="258" t="s">
        <v>1420</v>
      </c>
      <c r="D159" t="s">
        <v>1224</v>
      </c>
      <c r="E159" t="s">
        <v>1421</v>
      </c>
      <c r="F159"/>
      <c r="H159" s="1">
        <v>10000</v>
      </c>
      <c r="I159"/>
      <c r="J159"/>
      <c r="K159" s="170">
        <v>46111</v>
      </c>
      <c r="L159" s="1">
        <v>21118.205188957498</v>
      </c>
      <c r="M159" s="1">
        <v>46125</v>
      </c>
      <c r="O159"/>
      <c r="S159"/>
      <c r="U159"/>
      <c r="Y159"/>
      <c r="Z159"/>
      <c r="AB159"/>
    </row>
    <row r="160" spans="1:28" ht="14.4" hidden="1">
      <c r="A160" t="s">
        <v>504</v>
      </c>
      <c r="B160" s="1">
        <v>91</v>
      </c>
      <c r="C160" s="258" t="s">
        <v>1422</v>
      </c>
      <c r="D160" t="s">
        <v>1246</v>
      </c>
      <c r="E160" t="s">
        <v>1169</v>
      </c>
      <c r="F160">
        <v>152000</v>
      </c>
      <c r="G160">
        <v>0.1</v>
      </c>
      <c r="H160" s="1">
        <v>15200</v>
      </c>
      <c r="I160"/>
      <c r="J160" t="s">
        <v>1384</v>
      </c>
      <c r="K160" s="170">
        <v>46053</v>
      </c>
      <c r="L160" s="1">
        <v>15167.777777777779</v>
      </c>
      <c r="M160" s="1">
        <v>46058</v>
      </c>
      <c r="O160"/>
      <c r="S160"/>
      <c r="U160"/>
      <c r="Y160"/>
      <c r="Z160"/>
      <c r="AB160"/>
    </row>
    <row r="161" spans="1:28" ht="14.4" hidden="1">
      <c r="A161" t="s">
        <v>504</v>
      </c>
      <c r="B161" s="1">
        <v>92</v>
      </c>
      <c r="C161" s="258" t="s">
        <v>1423</v>
      </c>
      <c r="D161" t="s">
        <v>1246</v>
      </c>
      <c r="E161" t="s">
        <v>558</v>
      </c>
      <c r="F161"/>
      <c r="G161">
        <v>0.15</v>
      </c>
      <c r="H161" s="1">
        <v>22800</v>
      </c>
      <c r="I161"/>
      <c r="J161" t="s">
        <v>1386</v>
      </c>
      <c r="K161" s="170">
        <v>46081</v>
      </c>
      <c r="L161" s="1">
        <v>22751.666666666668</v>
      </c>
      <c r="M161" s="1">
        <v>46062</v>
      </c>
      <c r="O161"/>
      <c r="S161"/>
      <c r="U161"/>
      <c r="Y161"/>
      <c r="Z161"/>
      <c r="AB161"/>
    </row>
    <row r="162" spans="1:28" ht="14.4" hidden="1">
      <c r="A162" t="s">
        <v>504</v>
      </c>
      <c r="B162" s="1">
        <v>93</v>
      </c>
      <c r="C162" s="258" t="s">
        <v>1424</v>
      </c>
      <c r="D162" t="s">
        <v>1246</v>
      </c>
      <c r="E162" t="s">
        <v>1175</v>
      </c>
      <c r="F162"/>
      <c r="G162">
        <v>0.2</v>
      </c>
      <c r="H162" s="1">
        <v>30400</v>
      </c>
      <c r="I162"/>
      <c r="J162"/>
      <c r="K162" s="170">
        <v>46112</v>
      </c>
      <c r="L162" s="1">
        <v>30335.555555555558</v>
      </c>
      <c r="M162" s="1">
        <v>46093</v>
      </c>
      <c r="O162"/>
      <c r="S162"/>
      <c r="U162"/>
      <c r="Y162"/>
      <c r="Z162"/>
      <c r="AB162"/>
    </row>
    <row r="163" spans="1:28" ht="14.4" hidden="1">
      <c r="A163" t="s">
        <v>504</v>
      </c>
      <c r="B163" s="1">
        <v>94</v>
      </c>
      <c r="C163" s="258" t="s">
        <v>1425</v>
      </c>
      <c r="D163" t="s">
        <v>1246</v>
      </c>
      <c r="E163" t="s">
        <v>1178</v>
      </c>
      <c r="F163"/>
      <c r="G163">
        <v>0.25</v>
      </c>
      <c r="H163" s="1">
        <v>38000</v>
      </c>
      <c r="I163"/>
      <c r="J163"/>
      <c r="K163" s="170">
        <v>46112</v>
      </c>
      <c r="L163" s="1">
        <v>37919.444444444445</v>
      </c>
      <c r="M163" s="1">
        <v>46093</v>
      </c>
      <c r="O163"/>
      <c r="S163"/>
      <c r="U163"/>
      <c r="Y163"/>
      <c r="Z163"/>
      <c r="AB163"/>
    </row>
    <row r="164" spans="1:28" ht="14.4" hidden="1">
      <c r="A164" t="s">
        <v>504</v>
      </c>
      <c r="B164" s="1">
        <v>95</v>
      </c>
      <c r="C164" s="258" t="s">
        <v>1426</v>
      </c>
      <c r="D164" t="s">
        <v>1246</v>
      </c>
      <c r="E164" t="s">
        <v>1181</v>
      </c>
      <c r="F164"/>
      <c r="G164">
        <v>0.1</v>
      </c>
      <c r="H164" s="1">
        <v>15200</v>
      </c>
      <c r="I164"/>
      <c r="J164"/>
      <c r="K164" s="170">
        <v>46112</v>
      </c>
      <c r="L164" s="1">
        <v>15167.777777777779</v>
      </c>
      <c r="M164" s="1">
        <v>46104</v>
      </c>
      <c r="O164"/>
      <c r="S164"/>
      <c r="U164"/>
      <c r="Y164"/>
      <c r="Z164"/>
      <c r="AB164"/>
    </row>
    <row r="165" spans="1:28" ht="14.4" hidden="1">
      <c r="A165" t="s">
        <v>504</v>
      </c>
      <c r="B165" s="1">
        <v>96</v>
      </c>
      <c r="C165" s="258" t="s">
        <v>1427</v>
      </c>
      <c r="D165" t="s">
        <v>1246</v>
      </c>
      <c r="E165" t="s">
        <v>1184</v>
      </c>
      <c r="F165"/>
      <c r="G165">
        <v>0.1</v>
      </c>
      <c r="H165" s="1">
        <v>15200</v>
      </c>
      <c r="I165"/>
      <c r="J165"/>
      <c r="K165" s="170">
        <v>46112</v>
      </c>
      <c r="L165" s="1">
        <v>15167.777777777779</v>
      </c>
      <c r="M165" s="1">
        <v>46105</v>
      </c>
      <c r="O165"/>
      <c r="S165"/>
      <c r="U165"/>
      <c r="Y165"/>
      <c r="Z165"/>
      <c r="AB165"/>
    </row>
    <row r="166" spans="1:28" ht="14.4" hidden="1">
      <c r="A166" t="s">
        <v>504</v>
      </c>
      <c r="B166" s="1">
        <v>97</v>
      </c>
      <c r="C166" s="258" t="s">
        <v>1428</v>
      </c>
      <c r="D166" t="s">
        <v>1246</v>
      </c>
      <c r="E166" t="s">
        <v>1187</v>
      </c>
      <c r="F166"/>
      <c r="G166">
        <v>0.05</v>
      </c>
      <c r="H166" s="1">
        <v>7600</v>
      </c>
      <c r="I166"/>
      <c r="J166"/>
      <c r="K166" s="170">
        <v>46112</v>
      </c>
      <c r="L166" s="1">
        <v>7583.8888888888896</v>
      </c>
      <c r="M166" s="1">
        <v>46105</v>
      </c>
      <c r="O166"/>
      <c r="S166"/>
      <c r="U166"/>
      <c r="Y166"/>
      <c r="Z166"/>
      <c r="AB166"/>
    </row>
    <row r="167" spans="1:28" ht="14.4" hidden="1">
      <c r="A167" t="s">
        <v>504</v>
      </c>
      <c r="B167" s="1">
        <v>98</v>
      </c>
      <c r="C167" s="258" t="s">
        <v>1429</v>
      </c>
      <c r="D167" t="s">
        <v>1246</v>
      </c>
      <c r="E167" t="s">
        <v>1190</v>
      </c>
      <c r="F167"/>
      <c r="G167">
        <v>0.05</v>
      </c>
      <c r="H167" s="1">
        <v>7600</v>
      </c>
      <c r="I167"/>
      <c r="J167"/>
      <c r="K167" s="170">
        <v>46112</v>
      </c>
      <c r="L167" s="1">
        <v>7583.8888888888896</v>
      </c>
      <c r="M167" s="1">
        <v>46128</v>
      </c>
      <c r="O167"/>
      <c r="S167"/>
      <c r="U167"/>
      <c r="Y167"/>
      <c r="Z167"/>
      <c r="AB167"/>
    </row>
    <row r="168" spans="1:28" ht="14.4" hidden="1">
      <c r="A168" t="s">
        <v>504</v>
      </c>
      <c r="B168" s="1">
        <v>107</v>
      </c>
      <c r="C168" s="258" t="s">
        <v>1430</v>
      </c>
      <c r="D168" t="s">
        <v>1255</v>
      </c>
      <c r="E168" t="s">
        <v>1169</v>
      </c>
      <c r="F168">
        <v>27550</v>
      </c>
      <c r="G168">
        <v>0.1</v>
      </c>
      <c r="H168" s="1">
        <v>2755</v>
      </c>
      <c r="I168"/>
      <c r="J168" t="s">
        <v>1384</v>
      </c>
      <c r="K168" s="170">
        <v>46053</v>
      </c>
      <c r="L168" s="1">
        <v>2835.989225589226</v>
      </c>
      <c r="M168" s="1">
        <v>46058</v>
      </c>
      <c r="O168"/>
      <c r="S168"/>
      <c r="U168"/>
      <c r="Y168"/>
      <c r="Z168"/>
      <c r="AB168"/>
    </row>
    <row r="169" spans="1:28" ht="14.4" hidden="1">
      <c r="A169" t="s">
        <v>504</v>
      </c>
      <c r="B169" s="1">
        <v>108</v>
      </c>
      <c r="C169" s="258" t="s">
        <v>1431</v>
      </c>
      <c r="D169" t="s">
        <v>1255</v>
      </c>
      <c r="E169" t="s">
        <v>558</v>
      </c>
      <c r="F169"/>
      <c r="G169">
        <v>0.15</v>
      </c>
      <c r="H169" s="1">
        <v>4132.5</v>
      </c>
      <c r="I169"/>
      <c r="J169" t="s">
        <v>1386</v>
      </c>
      <c r="K169" s="170">
        <v>46081</v>
      </c>
      <c r="L169" s="1">
        <v>4253.9838383838387</v>
      </c>
      <c r="M169" s="1">
        <v>46062</v>
      </c>
      <c r="O169"/>
      <c r="S169"/>
      <c r="U169"/>
      <c r="Y169"/>
      <c r="Z169"/>
      <c r="AB169"/>
    </row>
    <row r="170" spans="1:28" ht="14.4" hidden="1">
      <c r="A170" t="s">
        <v>504</v>
      </c>
      <c r="B170" s="1">
        <v>109</v>
      </c>
      <c r="C170" s="258" t="s">
        <v>1432</v>
      </c>
      <c r="D170" t="s">
        <v>1255</v>
      </c>
      <c r="E170" t="s">
        <v>1175</v>
      </c>
      <c r="F170"/>
      <c r="G170">
        <v>0.2</v>
      </c>
      <c r="H170" s="1">
        <v>5510</v>
      </c>
      <c r="I170"/>
      <c r="J170"/>
      <c r="K170" s="170">
        <v>46112</v>
      </c>
      <c r="L170" s="1">
        <v>5671.9784511784519</v>
      </c>
      <c r="M170" s="1">
        <v>46093</v>
      </c>
      <c r="O170"/>
      <c r="S170"/>
      <c r="U170"/>
      <c r="Y170"/>
      <c r="Z170"/>
      <c r="AB170"/>
    </row>
    <row r="171" spans="1:28" ht="14.4" hidden="1">
      <c r="A171" t="s">
        <v>504</v>
      </c>
      <c r="B171" s="1">
        <v>110</v>
      </c>
      <c r="C171" s="258" t="s">
        <v>1433</v>
      </c>
      <c r="D171" t="s">
        <v>1255</v>
      </c>
      <c r="E171" t="s">
        <v>1178</v>
      </c>
      <c r="F171"/>
      <c r="G171">
        <v>0.25</v>
      </c>
      <c r="H171" s="1">
        <v>6887.5</v>
      </c>
      <c r="I171"/>
      <c r="J171"/>
      <c r="K171" s="170">
        <v>46112</v>
      </c>
      <c r="L171" s="1">
        <v>7089.9730639730642</v>
      </c>
      <c r="M171" s="1">
        <v>46093</v>
      </c>
      <c r="O171"/>
      <c r="S171"/>
      <c r="U171"/>
      <c r="Y171"/>
      <c r="Z171"/>
      <c r="AB171"/>
    </row>
    <row r="172" spans="1:28" ht="14.4" hidden="1">
      <c r="A172" t="s">
        <v>504</v>
      </c>
      <c r="B172" s="1">
        <v>111</v>
      </c>
      <c r="C172" s="258" t="s">
        <v>1434</v>
      </c>
      <c r="D172" t="s">
        <v>1255</v>
      </c>
      <c r="E172" t="s">
        <v>1181</v>
      </c>
      <c r="F172"/>
      <c r="G172">
        <v>0.1</v>
      </c>
      <c r="H172" s="1">
        <v>2755</v>
      </c>
      <c r="I172"/>
      <c r="J172"/>
      <c r="K172" s="170">
        <v>46112</v>
      </c>
      <c r="L172" s="1">
        <v>2835.989225589226</v>
      </c>
      <c r="M172" s="1">
        <v>46104</v>
      </c>
      <c r="O172"/>
      <c r="S172"/>
      <c r="U172"/>
      <c r="Y172"/>
      <c r="Z172"/>
      <c r="AB172"/>
    </row>
    <row r="173" spans="1:28" ht="14.4" hidden="1">
      <c r="A173" t="s">
        <v>504</v>
      </c>
      <c r="B173" s="1">
        <v>112</v>
      </c>
      <c r="C173" s="258" t="s">
        <v>1435</v>
      </c>
      <c r="D173" t="s">
        <v>1255</v>
      </c>
      <c r="E173" t="s">
        <v>1184</v>
      </c>
      <c r="F173"/>
      <c r="G173">
        <v>0.1</v>
      </c>
      <c r="H173" s="1">
        <v>2755</v>
      </c>
      <c r="I173"/>
      <c r="J173"/>
      <c r="K173" s="170">
        <v>46112</v>
      </c>
      <c r="L173" s="1">
        <v>2835.989225589226</v>
      </c>
      <c r="M173" s="1">
        <v>46105</v>
      </c>
      <c r="O173"/>
      <c r="S173"/>
      <c r="U173"/>
      <c r="Y173"/>
      <c r="Z173"/>
      <c r="AB173"/>
    </row>
    <row r="174" spans="1:28" ht="14.4" hidden="1">
      <c r="A174" t="s">
        <v>504</v>
      </c>
      <c r="B174" s="1">
        <v>113</v>
      </c>
      <c r="C174" s="258" t="s">
        <v>1436</v>
      </c>
      <c r="D174" t="s">
        <v>1255</v>
      </c>
      <c r="E174" t="s">
        <v>1187</v>
      </c>
      <c r="F174"/>
      <c r="G174">
        <v>0.05</v>
      </c>
      <c r="H174" s="1">
        <v>1377.5</v>
      </c>
      <c r="I174"/>
      <c r="J174"/>
      <c r="K174" s="170">
        <v>46112</v>
      </c>
      <c r="L174" s="1">
        <v>1417.994612794613</v>
      </c>
      <c r="M174" s="1">
        <v>46105</v>
      </c>
      <c r="O174"/>
      <c r="S174"/>
      <c r="U174"/>
      <c r="Y174"/>
      <c r="Z174"/>
      <c r="AB174"/>
    </row>
    <row r="175" spans="1:28" ht="14.4" hidden="1">
      <c r="A175" t="s">
        <v>504</v>
      </c>
      <c r="B175" s="1">
        <v>114</v>
      </c>
      <c r="C175" s="258" t="s">
        <v>1437</v>
      </c>
      <c r="D175" t="s">
        <v>1255</v>
      </c>
      <c r="E175" t="s">
        <v>1190</v>
      </c>
      <c r="F175"/>
      <c r="G175">
        <v>0.05</v>
      </c>
      <c r="H175" s="1">
        <v>1377.5</v>
      </c>
      <c r="I175"/>
      <c r="J175"/>
      <c r="K175" s="170">
        <v>46112</v>
      </c>
      <c r="L175" s="1">
        <v>1417.994612794613</v>
      </c>
      <c r="M175" s="1">
        <v>46128</v>
      </c>
      <c r="O175"/>
      <c r="S175"/>
      <c r="U175"/>
      <c r="Y175"/>
      <c r="Z175"/>
      <c r="AB175"/>
    </row>
    <row r="176" spans="1:28" ht="14.4" hidden="1">
      <c r="A176" t="s">
        <v>504</v>
      </c>
      <c r="B176" s="1">
        <v>119</v>
      </c>
      <c r="C176" s="258" t="s">
        <v>1438</v>
      </c>
      <c r="D176" t="s">
        <v>1264</v>
      </c>
      <c r="E176" t="s">
        <v>1265</v>
      </c>
      <c r="F176"/>
      <c r="H176" s="1">
        <v>12577.5</v>
      </c>
      <c r="I176"/>
      <c r="J176"/>
      <c r="K176" s="170">
        <v>46112</v>
      </c>
      <c r="L176" s="1">
        <v>14271.658060814689</v>
      </c>
      <c r="M176" s="1">
        <v>46111</v>
      </c>
      <c r="N176" s="1">
        <v>87150</v>
      </c>
      <c r="O176"/>
      <c r="S176"/>
      <c r="U176"/>
      <c r="Y176"/>
      <c r="Z176"/>
      <c r="AB176"/>
    </row>
    <row r="177" spans="1:28" ht="14.4" hidden="1">
      <c r="A177" t="s">
        <v>504</v>
      </c>
      <c r="B177" s="1">
        <v>120</v>
      </c>
      <c r="C177" s="258" t="s">
        <v>1439</v>
      </c>
      <c r="D177" t="s">
        <v>1264</v>
      </c>
      <c r="E177" t="s">
        <v>1268</v>
      </c>
      <c r="F177"/>
      <c r="H177" s="1">
        <v>8572.5</v>
      </c>
      <c r="I177"/>
      <c r="J177" t="s">
        <v>1440</v>
      </c>
      <c r="K177" s="170">
        <v>46022</v>
      </c>
      <c r="L177" s="1">
        <v>9727.1944922547336</v>
      </c>
      <c r="M177" s="1">
        <v>45974</v>
      </c>
      <c r="O177"/>
      <c r="S177"/>
      <c r="U177"/>
      <c r="Y177"/>
      <c r="Z177"/>
      <c r="AB177"/>
    </row>
    <row r="178" spans="1:28" ht="14.4" hidden="1">
      <c r="A178" t="s">
        <v>504</v>
      </c>
      <c r="B178" s="1">
        <v>121</v>
      </c>
      <c r="C178" s="258" t="s">
        <v>1441</v>
      </c>
      <c r="D178" t="s">
        <v>1264</v>
      </c>
      <c r="E178" t="s">
        <v>1363</v>
      </c>
      <c r="F178"/>
      <c r="H178" s="1">
        <v>60000</v>
      </c>
      <c r="I178"/>
      <c r="J178"/>
      <c r="K178" s="170">
        <v>46112</v>
      </c>
      <c r="L178" s="1">
        <v>68081.851214381328</v>
      </c>
      <c r="M178" s="1">
        <v>46111</v>
      </c>
      <c r="O178"/>
      <c r="S178"/>
      <c r="U178"/>
      <c r="Y178"/>
      <c r="Z178"/>
      <c r="AB178"/>
    </row>
    <row r="179" spans="1:28" ht="14.4" hidden="1">
      <c r="A179" t="s">
        <v>504</v>
      </c>
      <c r="B179" s="1">
        <v>122</v>
      </c>
      <c r="C179" s="258" t="s">
        <v>1442</v>
      </c>
      <c r="D179" t="s">
        <v>1264</v>
      </c>
      <c r="E179" t="s">
        <v>808</v>
      </c>
      <c r="F179"/>
      <c r="H179" s="1">
        <v>6000</v>
      </c>
      <c r="I179"/>
      <c r="J179"/>
      <c r="K179" s="170">
        <v>46112</v>
      </c>
      <c r="L179" s="1">
        <v>6808.1851214381331</v>
      </c>
      <c r="M179" s="1">
        <v>46111</v>
      </c>
      <c r="O179"/>
      <c r="S179"/>
      <c r="U179"/>
      <c r="Y179"/>
      <c r="Z179"/>
      <c r="AB179"/>
    </row>
    <row r="180" spans="1:28" ht="14.4" hidden="1">
      <c r="A180" t="s">
        <v>504</v>
      </c>
      <c r="B180" s="1">
        <v>125</v>
      </c>
      <c r="C180" s="258" t="s">
        <v>1443</v>
      </c>
      <c r="D180" t="s">
        <v>1274</v>
      </c>
      <c r="E180" t="s">
        <v>1275</v>
      </c>
      <c r="F180"/>
      <c r="H180" s="1">
        <v>0</v>
      </c>
      <c r="I180"/>
      <c r="J180"/>
      <c r="K180" s="170" t="s">
        <v>51</v>
      </c>
      <c r="N180" s="1">
        <v>0</v>
      </c>
      <c r="O180"/>
      <c r="S180"/>
      <c r="U180"/>
      <c r="Y180"/>
      <c r="Z180"/>
      <c r="AB180"/>
    </row>
    <row r="181" spans="1:28" ht="14.4" hidden="1">
      <c r="A181" t="s">
        <v>504</v>
      </c>
      <c r="B181" s="1">
        <v>128</v>
      </c>
      <c r="C181" s="258" t="s">
        <v>1444</v>
      </c>
      <c r="D181" t="s">
        <v>1277</v>
      </c>
      <c r="E181" t="s">
        <v>1278</v>
      </c>
      <c r="F181"/>
      <c r="H181" s="1">
        <v>23490.942439951436</v>
      </c>
      <c r="I181"/>
      <c r="J181"/>
      <c r="K181" s="170">
        <v>46112</v>
      </c>
      <c r="L181" s="1">
        <v>19649.80922041562</v>
      </c>
      <c r="M181" s="1">
        <v>46112</v>
      </c>
      <c r="N181" s="1">
        <v>23490.942439951436</v>
      </c>
      <c r="O181"/>
      <c r="S181"/>
      <c r="U181"/>
      <c r="Y181"/>
      <c r="Z181"/>
      <c r="AB181"/>
    </row>
    <row r="182" spans="1:28" ht="14.4" hidden="1">
      <c r="A182" t="s">
        <v>504</v>
      </c>
      <c r="B182" s="1">
        <v>135</v>
      </c>
      <c r="C182" s="258" t="s">
        <v>1445</v>
      </c>
      <c r="D182" t="s">
        <v>1280</v>
      </c>
      <c r="E182" t="s">
        <v>1281</v>
      </c>
      <c r="F182"/>
      <c r="H182" s="1">
        <v>314.16000000000003</v>
      </c>
      <c r="I182"/>
      <c r="J182" t="s">
        <v>1446</v>
      </c>
      <c r="K182" s="170">
        <v>46053</v>
      </c>
      <c r="L182" s="1">
        <v>382.24558329683163</v>
      </c>
      <c r="M182" s="1">
        <v>46058</v>
      </c>
      <c r="N182" s="1">
        <v>1757.91</v>
      </c>
      <c r="O182"/>
      <c r="S182"/>
      <c r="U182"/>
      <c r="Y182"/>
      <c r="Z182"/>
      <c r="AB182"/>
    </row>
    <row r="183" spans="1:28" ht="14.4" hidden="1">
      <c r="A183" t="s">
        <v>504</v>
      </c>
      <c r="B183" s="1">
        <v>136</v>
      </c>
      <c r="C183" s="258" t="s">
        <v>1447</v>
      </c>
      <c r="D183" t="s">
        <v>1280</v>
      </c>
      <c r="E183" t="s">
        <v>1281</v>
      </c>
      <c r="F183"/>
      <c r="H183" s="1">
        <v>481.25</v>
      </c>
      <c r="I183"/>
      <c r="J183"/>
      <c r="K183" s="170">
        <v>46081</v>
      </c>
      <c r="L183" s="1">
        <v>585.54776853068563</v>
      </c>
      <c r="M183" s="1">
        <v>46088</v>
      </c>
      <c r="O183"/>
      <c r="S183"/>
      <c r="U183"/>
      <c r="Y183"/>
      <c r="Z183"/>
      <c r="AB183"/>
    </row>
    <row r="184" spans="1:28" ht="14.4" hidden="1">
      <c r="A184" t="s">
        <v>504</v>
      </c>
      <c r="B184" s="1">
        <v>137</v>
      </c>
      <c r="C184" s="258" t="s">
        <v>1448</v>
      </c>
      <c r="D184" t="s">
        <v>1280</v>
      </c>
      <c r="E184" t="s">
        <v>1281</v>
      </c>
      <c r="F184"/>
      <c r="H184" s="1">
        <v>481.25</v>
      </c>
      <c r="I184"/>
      <c r="J184"/>
      <c r="K184" s="170">
        <v>46112</v>
      </c>
      <c r="L184" s="1">
        <v>585.54776853068563</v>
      </c>
      <c r="M184" s="1">
        <v>46119</v>
      </c>
      <c r="O184"/>
      <c r="S184"/>
      <c r="U184"/>
      <c r="Y184"/>
      <c r="Z184"/>
      <c r="AB184"/>
    </row>
    <row r="185" spans="1:28" ht="14.4" hidden="1">
      <c r="A185" t="s">
        <v>504</v>
      </c>
      <c r="B185" s="1">
        <v>138</v>
      </c>
      <c r="C185" s="258" t="s">
        <v>1449</v>
      </c>
      <c r="D185" t="s">
        <v>1280</v>
      </c>
      <c r="E185" t="s">
        <v>1281</v>
      </c>
      <c r="F185"/>
      <c r="H185" s="1">
        <v>481.25</v>
      </c>
      <c r="I185"/>
      <c r="J185"/>
      <c r="K185" s="170">
        <v>46142</v>
      </c>
      <c r="L185" s="1">
        <v>585.54776853068563</v>
      </c>
      <c r="M185" s="1">
        <v>46149</v>
      </c>
      <c r="O185"/>
      <c r="S185"/>
      <c r="U185"/>
      <c r="Y185"/>
      <c r="Z185"/>
      <c r="AB185"/>
    </row>
    <row r="186" spans="1:28" ht="14.4" hidden="1">
      <c r="A186" t="s">
        <v>504</v>
      </c>
      <c r="B186" s="1">
        <v>148</v>
      </c>
      <c r="C186" s="258" t="s">
        <v>1450</v>
      </c>
      <c r="D186" t="s">
        <v>1451</v>
      </c>
      <c r="E186" t="s">
        <v>1452</v>
      </c>
      <c r="F186"/>
      <c r="H186" s="1">
        <v>150000</v>
      </c>
      <c r="I186"/>
      <c r="J186"/>
      <c r="K186" s="170">
        <v>46173</v>
      </c>
      <c r="M186" s="1">
        <v>46173</v>
      </c>
      <c r="N186" s="1">
        <v>150000</v>
      </c>
      <c r="O186"/>
      <c r="S186"/>
      <c r="U186"/>
      <c r="Y186"/>
      <c r="Z186"/>
      <c r="AB186"/>
    </row>
    <row r="187" spans="1:28" ht="14.4" hidden="1">
      <c r="A187" t="s">
        <v>163</v>
      </c>
      <c r="B187" s="1">
        <v>6</v>
      </c>
      <c r="C187" s="258" t="s">
        <v>1453</v>
      </c>
      <c r="D187" t="s">
        <v>1146</v>
      </c>
      <c r="E187" t="s">
        <v>1454</v>
      </c>
      <c r="F187">
        <v>1356</v>
      </c>
      <c r="G187">
        <v>1168.2</v>
      </c>
      <c r="H187" s="1">
        <v>1584079.2</v>
      </c>
      <c r="I187" t="s">
        <v>1455</v>
      </c>
      <c r="J187" t="s">
        <v>1456</v>
      </c>
      <c r="K187" s="170">
        <v>45838</v>
      </c>
      <c r="L187" s="1">
        <v>1979163.4418604651</v>
      </c>
      <c r="M187" s="1">
        <v>45900</v>
      </c>
      <c r="N187" s="1">
        <v>1591788.4</v>
      </c>
      <c r="O187"/>
      <c r="S187"/>
      <c r="U187"/>
      <c r="Y187"/>
      <c r="Z187"/>
      <c r="AB187"/>
    </row>
    <row r="188" spans="1:28" ht="14.4" hidden="1">
      <c r="A188" t="s">
        <v>163</v>
      </c>
      <c r="B188" s="1">
        <v>7</v>
      </c>
      <c r="C188" s="258" t="s">
        <v>1457</v>
      </c>
      <c r="D188" t="s">
        <v>1146</v>
      </c>
      <c r="E188" t="s">
        <v>1458</v>
      </c>
      <c r="F188">
        <v>6</v>
      </c>
      <c r="G188">
        <v>1168.2</v>
      </c>
      <c r="H188" s="1">
        <v>7009.2000000000007</v>
      </c>
      <c r="I188"/>
      <c r="J188" t="s">
        <v>1459</v>
      </c>
      <c r="K188" s="170">
        <v>45991</v>
      </c>
      <c r="L188" s="1">
        <v>0</v>
      </c>
      <c r="M188" s="1">
        <v>46037</v>
      </c>
      <c r="O188"/>
      <c r="S188"/>
      <c r="U188"/>
      <c r="Y188"/>
      <c r="Z188"/>
      <c r="AB188"/>
    </row>
    <row r="189" spans="1:28" ht="14.4" hidden="1">
      <c r="A189" t="s">
        <v>163</v>
      </c>
      <c r="B189" s="1">
        <v>8</v>
      </c>
      <c r="C189" s="258" t="s">
        <v>1460</v>
      </c>
      <c r="D189" t="s">
        <v>1146</v>
      </c>
      <c r="E189" t="s">
        <v>1461</v>
      </c>
      <c r="F189"/>
      <c r="H189" s="1">
        <v>700</v>
      </c>
      <c r="I189"/>
      <c r="J189" t="s">
        <v>1459</v>
      </c>
      <c r="K189" s="170">
        <v>45991</v>
      </c>
      <c r="L189" s="1">
        <v>0</v>
      </c>
      <c r="M189" s="1">
        <v>46037</v>
      </c>
      <c r="O189"/>
      <c r="S189"/>
      <c r="U189"/>
      <c r="Y189"/>
      <c r="Z189"/>
      <c r="AB189"/>
    </row>
    <row r="190" spans="1:28" ht="14.4" hidden="1">
      <c r="A190" t="s">
        <v>163</v>
      </c>
      <c r="B190" s="1">
        <v>13</v>
      </c>
      <c r="C190" s="258" t="s">
        <v>1462</v>
      </c>
      <c r="D190" t="s">
        <v>1157</v>
      </c>
      <c r="E190" t="s">
        <v>1369</v>
      </c>
      <c r="F190">
        <v>6</v>
      </c>
      <c r="G190">
        <v>68870.357999999993</v>
      </c>
      <c r="H190" s="1">
        <v>413222.15</v>
      </c>
      <c r="I190" t="s">
        <v>1455</v>
      </c>
      <c r="J190" t="s">
        <v>1456</v>
      </c>
      <c r="K190" s="170">
        <v>45838</v>
      </c>
      <c r="L190" s="1">
        <v>488372.09302325582</v>
      </c>
      <c r="M190" s="1">
        <v>45900</v>
      </c>
      <c r="N190" s="1">
        <v>413222.15</v>
      </c>
      <c r="O190"/>
      <c r="S190"/>
      <c r="U190"/>
      <c r="Y190"/>
      <c r="Z190"/>
      <c r="AB190"/>
    </row>
    <row r="191" spans="1:28" ht="14.4" hidden="1">
      <c r="A191" t="s">
        <v>163</v>
      </c>
      <c r="B191" s="1">
        <v>21</v>
      </c>
      <c r="C191" s="258" t="s">
        <v>1463</v>
      </c>
      <c r="D191" t="s">
        <v>1160</v>
      </c>
      <c r="E191" t="s">
        <v>1161</v>
      </c>
      <c r="F191"/>
      <c r="H191" s="1">
        <v>161835</v>
      </c>
      <c r="I191" t="s">
        <v>1464</v>
      </c>
      <c r="J191" t="s">
        <v>1465</v>
      </c>
      <c r="K191" s="170">
        <v>45869</v>
      </c>
      <c r="L191" s="1">
        <v>372241.86046511633</v>
      </c>
      <c r="M191" s="1">
        <v>45899</v>
      </c>
      <c r="N191" s="1">
        <v>161835</v>
      </c>
      <c r="O191"/>
      <c r="S191"/>
      <c r="U191"/>
      <c r="Y191"/>
      <c r="Z191"/>
      <c r="AB191"/>
    </row>
    <row r="192" spans="1:28" ht="14.4" hidden="1">
      <c r="A192" t="s">
        <v>163</v>
      </c>
      <c r="B192" s="1">
        <v>28</v>
      </c>
      <c r="C192" s="258" t="s">
        <v>1466</v>
      </c>
      <c r="D192" t="s">
        <v>1165</v>
      </c>
      <c r="E192" t="s">
        <v>1467</v>
      </c>
      <c r="F192">
        <v>20000</v>
      </c>
      <c r="G192">
        <v>13.5</v>
      </c>
      <c r="H192" s="1">
        <v>270000</v>
      </c>
      <c r="I192" t="s">
        <v>1455</v>
      </c>
      <c r="J192" t="s">
        <v>1456</v>
      </c>
      <c r="K192" s="170">
        <v>45838</v>
      </c>
      <c r="L192" s="1">
        <v>371547.09388589539</v>
      </c>
      <c r="M192" s="1">
        <v>45900</v>
      </c>
      <c r="N192" s="1">
        <v>941384.25000000012</v>
      </c>
      <c r="O192"/>
      <c r="S192"/>
      <c r="U192"/>
      <c r="Y192"/>
      <c r="Z192"/>
      <c r="AB192"/>
    </row>
    <row r="193" spans="1:28" ht="14.4" hidden="1">
      <c r="A193" t="s">
        <v>163</v>
      </c>
      <c r="B193" s="1">
        <v>29</v>
      </c>
      <c r="C193" s="258" t="s">
        <v>1468</v>
      </c>
      <c r="D193" t="s">
        <v>1165</v>
      </c>
      <c r="E193" t="s">
        <v>1469</v>
      </c>
      <c r="F193">
        <v>-6000</v>
      </c>
      <c r="G193">
        <v>13.5</v>
      </c>
      <c r="H193" s="1">
        <v>-81000</v>
      </c>
      <c r="I193"/>
      <c r="J193" t="s">
        <v>1470</v>
      </c>
      <c r="K193" s="170">
        <v>45930</v>
      </c>
      <c r="L193" s="1">
        <v>0</v>
      </c>
      <c r="M193" s="1">
        <v>45930</v>
      </c>
      <c r="O193"/>
      <c r="S193"/>
      <c r="U193"/>
      <c r="Y193"/>
      <c r="Z193"/>
      <c r="AB193"/>
    </row>
    <row r="194" spans="1:28" ht="14.4" hidden="1">
      <c r="A194" t="s">
        <v>163</v>
      </c>
      <c r="B194" s="1">
        <v>30</v>
      </c>
      <c r="C194" s="258" t="s">
        <v>1471</v>
      </c>
      <c r="D194" t="s">
        <v>1165</v>
      </c>
      <c r="E194" t="s">
        <v>836</v>
      </c>
      <c r="F194">
        <v>6000</v>
      </c>
      <c r="G194">
        <v>13.65</v>
      </c>
      <c r="H194" s="1">
        <v>81900</v>
      </c>
      <c r="I194"/>
      <c r="J194" t="s">
        <v>1472</v>
      </c>
      <c r="K194" s="170">
        <v>45961</v>
      </c>
      <c r="L194" s="1">
        <v>0</v>
      </c>
      <c r="M194" s="1">
        <v>46003</v>
      </c>
      <c r="O194"/>
      <c r="S194"/>
      <c r="U194"/>
      <c r="Y194"/>
      <c r="Z194"/>
      <c r="AB194"/>
    </row>
    <row r="195" spans="1:28" ht="14.4" hidden="1">
      <c r="A195" t="s">
        <v>163</v>
      </c>
      <c r="B195" s="1">
        <v>31</v>
      </c>
      <c r="C195" s="258" t="s">
        <v>1473</v>
      </c>
      <c r="D195" t="s">
        <v>1165</v>
      </c>
      <c r="E195" t="s">
        <v>836</v>
      </c>
      <c r="F195"/>
      <c r="H195" s="1">
        <v>246400</v>
      </c>
      <c r="I195"/>
      <c r="J195" t="s">
        <v>1474</v>
      </c>
      <c r="K195" s="170">
        <v>45991</v>
      </c>
      <c r="L195" s="1">
        <v>0</v>
      </c>
      <c r="M195" s="1">
        <v>46031</v>
      </c>
      <c r="O195"/>
      <c r="S195"/>
      <c r="U195"/>
      <c r="Y195"/>
      <c r="Z195"/>
      <c r="AB195"/>
    </row>
    <row r="196" spans="1:28" ht="14.4" hidden="1">
      <c r="A196" t="s">
        <v>163</v>
      </c>
      <c r="B196" s="1">
        <v>32</v>
      </c>
      <c r="C196" s="258" t="s">
        <v>1475</v>
      </c>
      <c r="D196" t="s">
        <v>1165</v>
      </c>
      <c r="E196" t="s">
        <v>1476</v>
      </c>
      <c r="F196">
        <v>2000</v>
      </c>
      <c r="G196">
        <v>13.5</v>
      </c>
      <c r="H196" s="1">
        <v>27000</v>
      </c>
      <c r="I196"/>
      <c r="J196" t="s">
        <v>1155</v>
      </c>
      <c r="K196" s="170">
        <v>45991</v>
      </c>
      <c r="L196" s="1">
        <v>0</v>
      </c>
      <c r="M196" s="1">
        <v>45991</v>
      </c>
      <c r="O196"/>
      <c r="S196"/>
      <c r="U196"/>
      <c r="Y196"/>
      <c r="Z196"/>
      <c r="AB196"/>
    </row>
    <row r="197" spans="1:28" ht="14.4" hidden="1">
      <c r="A197" t="s">
        <v>163</v>
      </c>
      <c r="B197" s="1">
        <v>33</v>
      </c>
      <c r="C197" s="258" t="s">
        <v>1477</v>
      </c>
      <c r="D197" t="s">
        <v>1165</v>
      </c>
      <c r="E197" t="s">
        <v>1478</v>
      </c>
      <c r="F197">
        <v>3000</v>
      </c>
      <c r="G197">
        <v>13.5</v>
      </c>
      <c r="H197" s="1">
        <v>40500</v>
      </c>
      <c r="I197"/>
      <c r="J197" t="s">
        <v>1155</v>
      </c>
      <c r="K197" s="170">
        <v>45991</v>
      </c>
      <c r="L197" s="1">
        <v>0</v>
      </c>
      <c r="M197" s="1">
        <v>45991</v>
      </c>
      <c r="O197"/>
      <c r="S197"/>
      <c r="U197"/>
      <c r="Y197"/>
      <c r="Z197"/>
      <c r="AB197"/>
    </row>
    <row r="198" spans="1:28" ht="14.4" hidden="1">
      <c r="A198" t="s">
        <v>163</v>
      </c>
      <c r="B198" s="1">
        <v>34</v>
      </c>
      <c r="C198" s="258" t="s">
        <v>1479</v>
      </c>
      <c r="D198" t="s">
        <v>1165</v>
      </c>
      <c r="E198" t="s">
        <v>1169</v>
      </c>
      <c r="F198">
        <v>356584.25</v>
      </c>
      <c r="G198">
        <v>0.1</v>
      </c>
      <c r="H198" s="1">
        <v>35658.43</v>
      </c>
      <c r="I198"/>
      <c r="J198" t="s">
        <v>1480</v>
      </c>
      <c r="K198" s="170">
        <v>45869</v>
      </c>
      <c r="L198" s="1">
        <v>42048.26138055211</v>
      </c>
      <c r="M198" s="1">
        <v>45899</v>
      </c>
      <c r="O198"/>
      <c r="S198"/>
      <c r="U198"/>
      <c r="Y198"/>
      <c r="Z198"/>
      <c r="AB198"/>
    </row>
    <row r="199" spans="1:28" ht="14.4" hidden="1">
      <c r="A199" t="s">
        <v>163</v>
      </c>
      <c r="B199" s="1">
        <v>35</v>
      </c>
      <c r="C199" s="258" t="s">
        <v>1481</v>
      </c>
      <c r="D199" t="s">
        <v>1165</v>
      </c>
      <c r="E199" t="s">
        <v>558</v>
      </c>
      <c r="F199"/>
      <c r="G199">
        <v>0.15</v>
      </c>
      <c r="H199" s="1">
        <v>53487.64</v>
      </c>
      <c r="I199"/>
      <c r="J199" t="s">
        <v>1480</v>
      </c>
      <c r="K199" s="170">
        <v>45869</v>
      </c>
      <c r="L199" s="1">
        <v>63072.386174850493</v>
      </c>
      <c r="M199" s="1">
        <v>45939</v>
      </c>
      <c r="O199"/>
      <c r="S199"/>
      <c r="U199"/>
      <c r="Y199"/>
      <c r="Z199"/>
      <c r="AB199"/>
    </row>
    <row r="200" spans="1:28" ht="14.4" hidden="1">
      <c r="A200" t="s">
        <v>163</v>
      </c>
      <c r="B200" s="1">
        <v>36</v>
      </c>
      <c r="C200" s="258" t="s">
        <v>1482</v>
      </c>
      <c r="D200" t="s">
        <v>1165</v>
      </c>
      <c r="E200" t="s">
        <v>1175</v>
      </c>
      <c r="F200"/>
      <c r="G200">
        <v>0.2</v>
      </c>
      <c r="H200" s="1">
        <v>71316.850000000006</v>
      </c>
      <c r="I200"/>
      <c r="J200" t="s">
        <v>1480</v>
      </c>
      <c r="K200" s="170">
        <v>45869</v>
      </c>
      <c r="L200" s="1">
        <v>84096.510969148891</v>
      </c>
      <c r="M200" s="1">
        <v>45974</v>
      </c>
      <c r="O200"/>
      <c r="S200"/>
      <c r="U200"/>
      <c r="Y200"/>
      <c r="Z200"/>
      <c r="AB200"/>
    </row>
    <row r="201" spans="1:28" ht="14.4" hidden="1">
      <c r="A201" t="s">
        <v>163</v>
      </c>
      <c r="B201" s="1">
        <v>37</v>
      </c>
      <c r="C201" s="258" t="s">
        <v>1483</v>
      </c>
      <c r="D201" t="s">
        <v>1165</v>
      </c>
      <c r="E201" t="s">
        <v>1178</v>
      </c>
      <c r="F201"/>
      <c r="G201">
        <v>0.25</v>
      </c>
      <c r="H201" s="1">
        <v>89146.05</v>
      </c>
      <c r="I201"/>
      <c r="J201" t="s">
        <v>1480</v>
      </c>
      <c r="K201" s="170">
        <v>45869</v>
      </c>
      <c r="L201" s="1">
        <v>51956.323971491947</v>
      </c>
      <c r="M201" s="1">
        <v>45980</v>
      </c>
      <c r="O201"/>
      <c r="S201"/>
      <c r="U201"/>
      <c r="Y201"/>
      <c r="Z201"/>
      <c r="AB201"/>
    </row>
    <row r="202" spans="1:28" ht="14.4" hidden="1">
      <c r="A202" t="s">
        <v>163</v>
      </c>
      <c r="B202" s="1">
        <v>38</v>
      </c>
      <c r="C202" s="258" t="s">
        <v>1484</v>
      </c>
      <c r="D202" t="s">
        <v>1165</v>
      </c>
      <c r="E202" t="s">
        <v>1181</v>
      </c>
      <c r="F202"/>
      <c r="G202">
        <v>0.1</v>
      </c>
      <c r="H202" s="1">
        <v>35658.43</v>
      </c>
      <c r="I202"/>
      <c r="J202" t="s">
        <v>1480</v>
      </c>
      <c r="K202" s="170">
        <v>45869</v>
      </c>
      <c r="L202" s="1">
        <v>42048.26138055211</v>
      </c>
      <c r="M202" s="1">
        <v>45989</v>
      </c>
      <c r="O202"/>
      <c r="S202"/>
      <c r="U202"/>
      <c r="Y202"/>
      <c r="Z202"/>
      <c r="AB202"/>
    </row>
    <row r="203" spans="1:28" ht="14.4" hidden="1">
      <c r="A203" t="s">
        <v>163</v>
      </c>
      <c r="B203" s="1">
        <v>39</v>
      </c>
      <c r="C203" s="258" t="s">
        <v>1485</v>
      </c>
      <c r="D203" t="s">
        <v>1165</v>
      </c>
      <c r="E203" t="s">
        <v>1184</v>
      </c>
      <c r="F203"/>
      <c r="G203">
        <v>0.1</v>
      </c>
      <c r="H203" s="1">
        <v>35658.43</v>
      </c>
      <c r="I203"/>
      <c r="J203" t="s">
        <v>1480</v>
      </c>
      <c r="K203" s="170">
        <v>45869</v>
      </c>
      <c r="L203" s="1">
        <v>42048.26138055211</v>
      </c>
      <c r="M203" s="1">
        <v>45989</v>
      </c>
      <c r="O203"/>
      <c r="S203"/>
      <c r="U203"/>
      <c r="Y203"/>
      <c r="Z203"/>
      <c r="AB203"/>
    </row>
    <row r="204" spans="1:28" ht="14.4" hidden="1">
      <c r="A204" t="s">
        <v>163</v>
      </c>
      <c r="B204" s="1">
        <v>40</v>
      </c>
      <c r="C204" s="258" t="s">
        <v>1486</v>
      </c>
      <c r="D204" t="s">
        <v>1165</v>
      </c>
      <c r="E204" t="s">
        <v>1187</v>
      </c>
      <c r="F204"/>
      <c r="G204">
        <v>0.05</v>
      </c>
      <c r="H204" s="1">
        <v>17829.21</v>
      </c>
      <c r="I204"/>
      <c r="J204" t="s">
        <v>1480</v>
      </c>
      <c r="K204" s="170">
        <v>45869</v>
      </c>
      <c r="L204" s="1">
        <v>21024.12479429839</v>
      </c>
      <c r="M204" s="1">
        <v>46003</v>
      </c>
      <c r="O204"/>
      <c r="S204"/>
      <c r="U204"/>
      <c r="Y204"/>
      <c r="Z204"/>
      <c r="AB204"/>
    </row>
    <row r="205" spans="1:28" ht="14.4" hidden="1">
      <c r="A205" t="s">
        <v>163</v>
      </c>
      <c r="B205" s="1">
        <v>41</v>
      </c>
      <c r="C205" s="258" t="s">
        <v>1487</v>
      </c>
      <c r="D205" t="s">
        <v>1165</v>
      </c>
      <c r="E205" t="s">
        <v>1190</v>
      </c>
      <c r="F205">
        <v>29121.71</v>
      </c>
      <c r="G205">
        <v>0.05</v>
      </c>
      <c r="H205" s="1">
        <v>17829.21</v>
      </c>
      <c r="I205"/>
      <c r="J205" t="s">
        <v>1480</v>
      </c>
      <c r="K205" s="170">
        <v>45869</v>
      </c>
      <c r="L205" s="1">
        <v>21024.12479429839</v>
      </c>
      <c r="M205" s="1">
        <v>46085</v>
      </c>
      <c r="O205"/>
      <c r="S205"/>
      <c r="U205"/>
      <c r="Y205"/>
      <c r="Z205"/>
      <c r="AB205"/>
    </row>
    <row r="206" spans="1:28" ht="14.4" hidden="1">
      <c r="A206" t="s">
        <v>163</v>
      </c>
      <c r="B206" s="1">
        <v>46</v>
      </c>
      <c r="C206" s="258" t="s">
        <v>1488</v>
      </c>
      <c r="D206" t="s">
        <v>1193</v>
      </c>
      <c r="E206" t="s">
        <v>1489</v>
      </c>
      <c r="F206"/>
      <c r="H206" s="1">
        <v>8598.34</v>
      </c>
      <c r="I206" t="s">
        <v>1455</v>
      </c>
      <c r="J206" t="s">
        <v>1456</v>
      </c>
      <c r="K206" s="170">
        <v>45838</v>
      </c>
      <c r="L206" s="1">
        <v>3373.3923102699632</v>
      </c>
      <c r="M206" s="1">
        <v>45900</v>
      </c>
      <c r="N206" s="1">
        <v>45787.32</v>
      </c>
      <c r="O206"/>
      <c r="S206"/>
      <c r="U206"/>
      <c r="Y206"/>
      <c r="Z206"/>
      <c r="AB206"/>
    </row>
    <row r="207" spans="1:28" ht="14.4" hidden="1">
      <c r="A207" t="s">
        <v>163</v>
      </c>
      <c r="B207" s="1">
        <v>47</v>
      </c>
      <c r="C207" s="258" t="s">
        <v>1490</v>
      </c>
      <c r="D207" t="s">
        <v>1193</v>
      </c>
      <c r="E207" t="s">
        <v>1196</v>
      </c>
      <c r="F207"/>
      <c r="H207" s="1">
        <v>21628</v>
      </c>
      <c r="I207" t="s">
        <v>1491</v>
      </c>
      <c r="J207" t="s">
        <v>1492</v>
      </c>
      <c r="K207" s="170">
        <v>45838</v>
      </c>
      <c r="L207" s="1">
        <v>8485.3272709056364</v>
      </c>
      <c r="M207" s="1">
        <v>45867</v>
      </c>
      <c r="O207"/>
      <c r="S207"/>
      <c r="U207"/>
      <c r="Y207"/>
      <c r="Z207"/>
      <c r="AB207"/>
    </row>
    <row r="208" spans="1:28" ht="14.4" hidden="1">
      <c r="A208" t="s">
        <v>163</v>
      </c>
      <c r="B208" s="1">
        <v>48</v>
      </c>
      <c r="C208" s="258" t="s">
        <v>1493</v>
      </c>
      <c r="D208" t="s">
        <v>1193</v>
      </c>
      <c r="E208" t="s">
        <v>1200</v>
      </c>
      <c r="F208"/>
      <c r="H208" s="1">
        <v>11169</v>
      </c>
      <c r="I208"/>
      <c r="J208" t="s">
        <v>1494</v>
      </c>
      <c r="K208" s="170">
        <v>45869</v>
      </c>
      <c r="L208" s="1">
        <v>44834.550955435981</v>
      </c>
      <c r="M208" s="1">
        <v>45869</v>
      </c>
      <c r="O208"/>
      <c r="S208"/>
      <c r="U208"/>
      <c r="Y208"/>
      <c r="Z208"/>
      <c r="AB208"/>
    </row>
    <row r="209" spans="1:28" ht="14.4" hidden="1">
      <c r="A209" t="s">
        <v>163</v>
      </c>
      <c r="B209" s="1">
        <v>49</v>
      </c>
      <c r="C209" s="258" t="s">
        <v>1495</v>
      </c>
      <c r="D209" t="s">
        <v>1193</v>
      </c>
      <c r="E209" t="s">
        <v>1496</v>
      </c>
      <c r="F209"/>
      <c r="H209" s="1">
        <v>206.98</v>
      </c>
      <c r="I209"/>
      <c r="J209" t="s">
        <v>1497</v>
      </c>
      <c r="K209" s="170">
        <v>45869</v>
      </c>
      <c r="L209" s="1">
        <v>283.47088603779565</v>
      </c>
      <c r="M209" s="1">
        <v>45898</v>
      </c>
      <c r="O209"/>
      <c r="S209"/>
      <c r="U209"/>
      <c r="Y209"/>
      <c r="Z209"/>
      <c r="AB209"/>
    </row>
    <row r="210" spans="1:28" ht="14.4" hidden="1">
      <c r="A210" t="s">
        <v>163</v>
      </c>
      <c r="B210" s="1">
        <v>50</v>
      </c>
      <c r="C210" s="258" t="s">
        <v>1498</v>
      </c>
      <c r="D210" t="s">
        <v>1193</v>
      </c>
      <c r="E210" t="s">
        <v>1499</v>
      </c>
      <c r="F210"/>
      <c r="H210" s="1">
        <v>2360</v>
      </c>
      <c r="I210" t="s">
        <v>1500</v>
      </c>
      <c r="J210" t="s">
        <v>1501</v>
      </c>
      <c r="K210" s="170">
        <v>45900</v>
      </c>
      <c r="L210" s="1">
        <v>0</v>
      </c>
      <c r="M210" s="1">
        <v>45930</v>
      </c>
      <c r="O210"/>
      <c r="S210"/>
      <c r="U210"/>
      <c r="Y210"/>
      <c r="Z210"/>
      <c r="AB210"/>
    </row>
    <row r="211" spans="1:28" ht="14.4" hidden="1">
      <c r="A211" t="s">
        <v>163</v>
      </c>
      <c r="B211" s="1">
        <v>51</v>
      </c>
      <c r="C211" s="258" t="s">
        <v>1502</v>
      </c>
      <c r="D211" t="s">
        <v>1193</v>
      </c>
      <c r="E211" t="s">
        <v>1503</v>
      </c>
      <c r="F211"/>
      <c r="H211" s="1">
        <v>975</v>
      </c>
      <c r="I211"/>
      <c r="J211" t="s">
        <v>1207</v>
      </c>
      <c r="K211" s="170">
        <v>45930</v>
      </c>
      <c r="L211" s="1">
        <v>0</v>
      </c>
      <c r="M211" s="1">
        <v>45925</v>
      </c>
      <c r="O211"/>
      <c r="S211"/>
      <c r="U211"/>
      <c r="Y211"/>
      <c r="Z211"/>
      <c r="AB211"/>
    </row>
    <row r="212" spans="1:28" ht="14.4" hidden="1">
      <c r="A212" t="s">
        <v>163</v>
      </c>
      <c r="B212" s="1">
        <v>52</v>
      </c>
      <c r="C212" s="258" t="s">
        <v>1504</v>
      </c>
      <c r="D212" t="s">
        <v>1193</v>
      </c>
      <c r="E212" t="s">
        <v>1209</v>
      </c>
      <c r="F212"/>
      <c r="H212" s="1">
        <v>850</v>
      </c>
      <c r="I212"/>
      <c r="J212" t="s">
        <v>1505</v>
      </c>
      <c r="K212" s="170">
        <v>46022</v>
      </c>
      <c r="M212" s="1">
        <v>46022</v>
      </c>
      <c r="O212"/>
      <c r="S212"/>
      <c r="U212"/>
      <c r="Y212"/>
      <c r="Z212"/>
      <c r="AB212"/>
    </row>
    <row r="213" spans="1:28" ht="14.4" hidden="1">
      <c r="A213" t="s">
        <v>163</v>
      </c>
      <c r="B213" s="1">
        <v>56</v>
      </c>
      <c r="C213" s="258" t="s">
        <v>1506</v>
      </c>
      <c r="D213" t="s">
        <v>1211</v>
      </c>
      <c r="E213" t="s">
        <v>1212</v>
      </c>
      <c r="F213"/>
      <c r="H213" s="1">
        <v>177868.46</v>
      </c>
      <c r="I213" t="s">
        <v>1507</v>
      </c>
      <c r="J213" t="s">
        <v>1508</v>
      </c>
      <c r="K213" s="170">
        <v>45900</v>
      </c>
      <c r="L213" s="1">
        <v>399377.33147836546</v>
      </c>
      <c r="M213" s="1">
        <v>45930</v>
      </c>
      <c r="O213"/>
      <c r="S213"/>
      <c r="U213"/>
      <c r="Y213"/>
      <c r="Z213"/>
      <c r="AB213"/>
    </row>
    <row r="214" spans="1:28" ht="14.4" hidden="1">
      <c r="A214" t="s">
        <v>163</v>
      </c>
      <c r="B214" s="1">
        <v>58</v>
      </c>
      <c r="C214" s="258" t="s">
        <v>1509</v>
      </c>
      <c r="D214" t="s">
        <v>1211</v>
      </c>
      <c r="E214" t="s">
        <v>1510</v>
      </c>
      <c r="F214">
        <v>148321.32</v>
      </c>
      <c r="G214">
        <v>0.5</v>
      </c>
      <c r="H214" s="1">
        <v>70885.66</v>
      </c>
      <c r="I214" t="s">
        <v>1511</v>
      </c>
      <c r="J214" t="s">
        <v>1512</v>
      </c>
      <c r="K214" s="170">
        <v>45961</v>
      </c>
      <c r="L214" s="1">
        <v>162840.03057415099</v>
      </c>
      <c r="M214" s="1">
        <v>45841</v>
      </c>
      <c r="O214"/>
      <c r="S214"/>
      <c r="U214"/>
      <c r="Y214"/>
      <c r="Z214"/>
      <c r="AB214"/>
    </row>
    <row r="215" spans="1:28" ht="14.4" hidden="1">
      <c r="A215" t="s">
        <v>163</v>
      </c>
      <c r="B215" s="1">
        <v>59</v>
      </c>
      <c r="C215" s="258" t="s">
        <v>1513</v>
      </c>
      <c r="D215" t="s">
        <v>1211</v>
      </c>
      <c r="F215"/>
      <c r="G215">
        <v>0.5</v>
      </c>
      <c r="H215" s="1">
        <v>70885.66</v>
      </c>
      <c r="I215"/>
      <c r="J215" t="s">
        <v>1514</v>
      </c>
      <c r="K215" s="170">
        <v>45961</v>
      </c>
      <c r="L215" s="1">
        <v>162840.040574151</v>
      </c>
      <c r="M215" s="1">
        <v>45989</v>
      </c>
      <c r="O215"/>
      <c r="S215"/>
      <c r="U215"/>
      <c r="Y215"/>
      <c r="Z215"/>
      <c r="AB215"/>
    </row>
    <row r="216" spans="1:28" ht="14.4" hidden="1">
      <c r="A216" t="s">
        <v>163</v>
      </c>
      <c r="B216" s="1">
        <v>61</v>
      </c>
      <c r="C216" s="258" t="s">
        <v>1515</v>
      </c>
      <c r="D216" t="s">
        <v>1211</v>
      </c>
      <c r="E216" t="s">
        <v>1169</v>
      </c>
      <c r="F216">
        <v>182300</v>
      </c>
      <c r="G216">
        <v>0.1</v>
      </c>
      <c r="H216" s="1">
        <v>18230</v>
      </c>
      <c r="I216"/>
      <c r="J216" t="s">
        <v>1480</v>
      </c>
      <c r="K216" s="170">
        <v>45869</v>
      </c>
      <c r="L216" s="1">
        <v>40932.769940497616</v>
      </c>
      <c r="M216" s="1">
        <v>45899</v>
      </c>
      <c r="O216"/>
      <c r="S216"/>
      <c r="U216"/>
      <c r="Y216"/>
      <c r="Z216"/>
      <c r="AB216"/>
    </row>
    <row r="217" spans="1:28" ht="14.4" hidden="1">
      <c r="A217" t="s">
        <v>163</v>
      </c>
      <c r="B217" s="1">
        <v>62</v>
      </c>
      <c r="C217" s="258" t="s">
        <v>1516</v>
      </c>
      <c r="D217" t="s">
        <v>1211</v>
      </c>
      <c r="E217" t="s">
        <v>558</v>
      </c>
      <c r="F217"/>
      <c r="G217">
        <v>0.15</v>
      </c>
      <c r="H217" s="1">
        <v>27345</v>
      </c>
      <c r="I217"/>
      <c r="J217" t="s">
        <v>1480</v>
      </c>
      <c r="K217" s="170">
        <v>45869</v>
      </c>
      <c r="L217" s="1">
        <v>61399.154910746416</v>
      </c>
      <c r="M217" s="1">
        <v>45939</v>
      </c>
      <c r="O217"/>
      <c r="S217"/>
      <c r="U217"/>
      <c r="Y217"/>
      <c r="Z217"/>
      <c r="AB217"/>
    </row>
    <row r="218" spans="1:28" ht="14.4" hidden="1">
      <c r="A218" t="s">
        <v>163</v>
      </c>
      <c r="B218" s="1">
        <v>63</v>
      </c>
      <c r="C218" s="258" t="s">
        <v>1517</v>
      </c>
      <c r="D218" t="s">
        <v>1211</v>
      </c>
      <c r="E218" t="s">
        <v>1175</v>
      </c>
      <c r="F218"/>
      <c r="G218">
        <v>0.2</v>
      </c>
      <c r="H218" s="1">
        <v>36460</v>
      </c>
      <c r="I218"/>
      <c r="J218" t="s">
        <v>1480</v>
      </c>
      <c r="K218" s="170">
        <v>45869</v>
      </c>
      <c r="L218" s="1">
        <v>81865.539880995231</v>
      </c>
      <c r="M218" s="1">
        <v>45974</v>
      </c>
      <c r="O218"/>
      <c r="S218"/>
      <c r="U218"/>
      <c r="Y218"/>
      <c r="Z218"/>
      <c r="AB218"/>
    </row>
    <row r="219" spans="1:28" ht="14.4" hidden="1">
      <c r="A219" t="s">
        <v>163</v>
      </c>
      <c r="B219" s="1">
        <v>64</v>
      </c>
      <c r="C219" s="258" t="s">
        <v>1518</v>
      </c>
      <c r="D219" t="s">
        <v>1211</v>
      </c>
      <c r="E219" t="s">
        <v>1178</v>
      </c>
      <c r="F219"/>
      <c r="G219">
        <v>0.25</v>
      </c>
      <c r="H219" s="1">
        <v>45575</v>
      </c>
      <c r="I219"/>
      <c r="J219" t="s">
        <v>1480</v>
      </c>
      <c r="K219" s="170">
        <v>45869</v>
      </c>
      <c r="L219" s="1">
        <v>102331.92485124404</v>
      </c>
      <c r="M219" s="1">
        <v>45980</v>
      </c>
      <c r="O219"/>
      <c r="S219"/>
      <c r="U219"/>
      <c r="Y219"/>
      <c r="Z219"/>
      <c r="AB219"/>
    </row>
    <row r="220" spans="1:28" ht="14.4" hidden="1">
      <c r="A220" t="s">
        <v>163</v>
      </c>
      <c r="B220" s="1">
        <v>65</v>
      </c>
      <c r="C220" s="258" t="s">
        <v>1519</v>
      </c>
      <c r="D220" t="s">
        <v>1211</v>
      </c>
      <c r="E220" t="s">
        <v>1181</v>
      </c>
      <c r="F220"/>
      <c r="G220">
        <v>0.1</v>
      </c>
      <c r="H220" s="1">
        <v>18230</v>
      </c>
      <c r="I220"/>
      <c r="J220" t="s">
        <v>1480</v>
      </c>
      <c r="K220" s="170">
        <v>45869</v>
      </c>
      <c r="L220" s="1">
        <v>40932.769940497616</v>
      </c>
      <c r="M220" s="1">
        <v>45989</v>
      </c>
      <c r="O220"/>
      <c r="S220"/>
      <c r="U220"/>
      <c r="Y220"/>
      <c r="Z220"/>
      <c r="AB220"/>
    </row>
    <row r="221" spans="1:28" ht="14.4" hidden="1">
      <c r="A221" t="s">
        <v>163</v>
      </c>
      <c r="B221" s="1">
        <v>66</v>
      </c>
      <c r="C221" s="258" t="s">
        <v>1520</v>
      </c>
      <c r="D221" t="s">
        <v>1211</v>
      </c>
      <c r="E221" t="s">
        <v>1184</v>
      </c>
      <c r="F221"/>
      <c r="G221">
        <v>0.1</v>
      </c>
      <c r="H221" s="1">
        <v>18230</v>
      </c>
      <c r="I221"/>
      <c r="J221" t="s">
        <v>1480</v>
      </c>
      <c r="K221" s="170">
        <v>45869</v>
      </c>
      <c r="L221" s="1">
        <v>40932.769940497616</v>
      </c>
      <c r="M221" s="1">
        <v>45989</v>
      </c>
      <c r="O221"/>
      <c r="S221"/>
      <c r="U221"/>
      <c r="Y221"/>
      <c r="Z221"/>
      <c r="AB221"/>
    </row>
    <row r="222" spans="1:28" ht="14.4" hidden="1">
      <c r="A222" t="s">
        <v>163</v>
      </c>
      <c r="B222" s="1">
        <v>67</v>
      </c>
      <c r="C222" s="258" t="s">
        <v>1521</v>
      </c>
      <c r="D222" t="s">
        <v>1211</v>
      </c>
      <c r="E222" t="s">
        <v>1187</v>
      </c>
      <c r="F222"/>
      <c r="G222">
        <v>0.05</v>
      </c>
      <c r="H222" s="1">
        <v>9115</v>
      </c>
      <c r="I222"/>
      <c r="J222" t="s">
        <v>1480</v>
      </c>
      <c r="K222" s="170">
        <v>45869</v>
      </c>
      <c r="L222" s="1">
        <v>20466.384970248808</v>
      </c>
      <c r="M222" s="1">
        <v>46003</v>
      </c>
      <c r="O222"/>
      <c r="S222"/>
      <c r="U222"/>
      <c r="Y222"/>
      <c r="Z222"/>
      <c r="AB222"/>
    </row>
    <row r="223" spans="1:28" ht="14.4" hidden="1">
      <c r="A223" t="s">
        <v>163</v>
      </c>
      <c r="B223" s="1">
        <v>68</v>
      </c>
      <c r="C223" s="258" t="s">
        <v>1522</v>
      </c>
      <c r="D223" t="s">
        <v>1211</v>
      </c>
      <c r="E223" t="s">
        <v>1190</v>
      </c>
      <c r="F223"/>
      <c r="G223">
        <v>0.05</v>
      </c>
      <c r="H223" s="1">
        <v>9115</v>
      </c>
      <c r="I223"/>
      <c r="J223" t="s">
        <v>1480</v>
      </c>
      <c r="K223" s="170">
        <v>45869</v>
      </c>
      <c r="L223" s="1">
        <v>20466.384970248808</v>
      </c>
      <c r="M223" s="1">
        <v>46085</v>
      </c>
      <c r="O223"/>
      <c r="S223"/>
      <c r="U223"/>
      <c r="Y223"/>
      <c r="Z223"/>
      <c r="AB223"/>
    </row>
    <row r="224" spans="1:28" ht="14.4" hidden="1">
      <c r="A224" t="s">
        <v>163</v>
      </c>
      <c r="B224" s="1">
        <v>84</v>
      </c>
      <c r="C224" s="258" t="s">
        <v>1523</v>
      </c>
      <c r="D224" t="s">
        <v>1224</v>
      </c>
      <c r="E224" t="s">
        <v>1524</v>
      </c>
      <c r="F224"/>
      <c r="H224" s="1">
        <v>82302</v>
      </c>
      <c r="I224" t="s">
        <v>1525</v>
      </c>
      <c r="J224" t="s">
        <v>1526</v>
      </c>
      <c r="K224" s="170">
        <v>45900</v>
      </c>
      <c r="L224" s="1">
        <v>293798.44961240311</v>
      </c>
      <c r="M224" s="1">
        <v>45899</v>
      </c>
      <c r="O224"/>
      <c r="S224"/>
      <c r="U224"/>
      <c r="Y224"/>
      <c r="Z224"/>
      <c r="AB224"/>
    </row>
    <row r="225" spans="1:28" ht="14.4" hidden="1">
      <c r="A225" t="s">
        <v>163</v>
      </c>
      <c r="B225" s="1">
        <v>86</v>
      </c>
      <c r="C225" s="258" t="s">
        <v>1527</v>
      </c>
      <c r="D225" t="s">
        <v>1224</v>
      </c>
      <c r="E225" t="s">
        <v>1528</v>
      </c>
      <c r="F225"/>
      <c r="H225" s="1">
        <v>10830</v>
      </c>
      <c r="I225" t="s">
        <v>1529</v>
      </c>
      <c r="J225" t="s">
        <v>1530</v>
      </c>
      <c r="K225" s="170">
        <v>45991</v>
      </c>
      <c r="L225" s="1">
        <v>0</v>
      </c>
      <c r="M225" s="1">
        <v>45980</v>
      </c>
      <c r="O225"/>
      <c r="S225"/>
      <c r="U225"/>
      <c r="Y225"/>
      <c r="Z225"/>
      <c r="AB225"/>
    </row>
    <row r="226" spans="1:28" ht="14.4" hidden="1">
      <c r="A226" t="s">
        <v>163</v>
      </c>
      <c r="B226" s="1">
        <v>93</v>
      </c>
      <c r="C226" s="258" t="s">
        <v>1531</v>
      </c>
      <c r="D226" t="s">
        <v>1246</v>
      </c>
      <c r="E226" t="s">
        <v>1169</v>
      </c>
      <c r="F226">
        <v>840000</v>
      </c>
      <c r="G226">
        <v>0.1</v>
      </c>
      <c r="H226" s="1">
        <v>84000</v>
      </c>
      <c r="I226"/>
      <c r="J226" t="s">
        <v>1480</v>
      </c>
      <c r="K226" s="170">
        <v>45869</v>
      </c>
      <c r="L226" s="1">
        <v>70702.222222222234</v>
      </c>
      <c r="M226" s="1">
        <v>45899</v>
      </c>
      <c r="O226"/>
      <c r="S226"/>
      <c r="U226"/>
      <c r="Y226"/>
      <c r="Z226"/>
      <c r="AB226"/>
    </row>
    <row r="227" spans="1:28" ht="14.4" hidden="1">
      <c r="A227" t="s">
        <v>163</v>
      </c>
      <c r="B227" s="1">
        <v>94</v>
      </c>
      <c r="C227" s="258" t="s">
        <v>1532</v>
      </c>
      <c r="D227" t="s">
        <v>1246</v>
      </c>
      <c r="E227" t="s">
        <v>558</v>
      </c>
      <c r="F227"/>
      <c r="G227">
        <v>0.15</v>
      </c>
      <c r="H227" s="1">
        <v>126000</v>
      </c>
      <c r="I227"/>
      <c r="J227" t="s">
        <v>1480</v>
      </c>
      <c r="K227" s="170">
        <v>45869</v>
      </c>
      <c r="L227" s="1">
        <v>106053.33333333331</v>
      </c>
      <c r="M227" s="1">
        <v>45939</v>
      </c>
      <c r="O227"/>
      <c r="S227"/>
      <c r="U227"/>
      <c r="Y227"/>
      <c r="Z227"/>
      <c r="AB227"/>
    </row>
    <row r="228" spans="1:28" ht="14.4" hidden="1">
      <c r="A228" t="s">
        <v>163</v>
      </c>
      <c r="B228" s="1">
        <v>95</v>
      </c>
      <c r="C228" s="258" t="s">
        <v>1533</v>
      </c>
      <c r="D228" t="s">
        <v>1246</v>
      </c>
      <c r="E228" t="s">
        <v>1175</v>
      </c>
      <c r="F228"/>
      <c r="G228">
        <v>0.2</v>
      </c>
      <c r="H228" s="1">
        <v>168000</v>
      </c>
      <c r="I228"/>
      <c r="J228" t="s">
        <v>1534</v>
      </c>
      <c r="K228" s="170">
        <v>45991</v>
      </c>
      <c r="L228" s="1">
        <v>141404.44444444447</v>
      </c>
      <c r="M228" s="1">
        <v>45980</v>
      </c>
      <c r="O228"/>
      <c r="S228"/>
      <c r="U228"/>
      <c r="Y228"/>
      <c r="Z228"/>
      <c r="AB228"/>
    </row>
    <row r="229" spans="1:28" ht="14.4" hidden="1">
      <c r="A229" t="s">
        <v>163</v>
      </c>
      <c r="B229" s="1">
        <v>96</v>
      </c>
      <c r="C229" s="258" t="s">
        <v>1535</v>
      </c>
      <c r="D229" t="s">
        <v>1246</v>
      </c>
      <c r="E229" t="s">
        <v>1178</v>
      </c>
      <c r="F229"/>
      <c r="G229">
        <v>0.25</v>
      </c>
      <c r="H229" s="1">
        <v>193200</v>
      </c>
      <c r="I229"/>
      <c r="J229" t="s">
        <v>1536</v>
      </c>
      <c r="K229" s="170">
        <v>45991</v>
      </c>
      <c r="L229" s="1">
        <v>162615.11111111112</v>
      </c>
      <c r="M229" s="1">
        <v>45980</v>
      </c>
      <c r="O229"/>
      <c r="S229"/>
      <c r="U229"/>
      <c r="Y229"/>
      <c r="Z229"/>
      <c r="AB229"/>
    </row>
    <row r="230" spans="1:28" ht="14.4" hidden="1">
      <c r="A230" t="s">
        <v>163</v>
      </c>
      <c r="B230" s="1">
        <v>97</v>
      </c>
      <c r="C230" s="258" t="s">
        <v>1537</v>
      </c>
      <c r="D230" t="s">
        <v>1246</v>
      </c>
      <c r="E230" t="s">
        <v>1178</v>
      </c>
      <c r="F230"/>
      <c r="H230" s="1">
        <v>16800</v>
      </c>
      <c r="I230"/>
      <c r="J230" t="s">
        <v>1536</v>
      </c>
      <c r="K230" s="170">
        <v>45991</v>
      </c>
      <c r="L230" s="1">
        <v>14140.444444444443</v>
      </c>
      <c r="M230" s="1">
        <v>45980</v>
      </c>
      <c r="O230"/>
      <c r="S230"/>
      <c r="U230"/>
      <c r="Y230"/>
      <c r="Z230"/>
      <c r="AB230"/>
    </row>
    <row r="231" spans="1:28" ht="14.4" hidden="1">
      <c r="A231" t="s">
        <v>163</v>
      </c>
      <c r="B231" s="1">
        <v>98</v>
      </c>
      <c r="C231" s="258" t="s">
        <v>1538</v>
      </c>
      <c r="D231" t="s">
        <v>1246</v>
      </c>
      <c r="E231" t="s">
        <v>1181</v>
      </c>
      <c r="F231"/>
      <c r="G231">
        <v>0.1</v>
      </c>
      <c r="H231" s="1">
        <v>84000</v>
      </c>
      <c r="I231"/>
      <c r="J231" t="s">
        <v>1539</v>
      </c>
      <c r="K231" s="170">
        <v>45991</v>
      </c>
      <c r="L231" s="1">
        <v>70702.222222222234</v>
      </c>
      <c r="M231" s="1">
        <v>45989</v>
      </c>
      <c r="O231"/>
      <c r="S231"/>
      <c r="U231"/>
      <c r="Y231"/>
      <c r="Z231"/>
      <c r="AB231"/>
    </row>
    <row r="232" spans="1:28" ht="14.4" hidden="1">
      <c r="A232" t="s">
        <v>163</v>
      </c>
      <c r="B232" s="1">
        <v>99</v>
      </c>
      <c r="C232" s="258" t="s">
        <v>1540</v>
      </c>
      <c r="D232" t="s">
        <v>1246</v>
      </c>
      <c r="E232" t="s">
        <v>1184</v>
      </c>
      <c r="F232"/>
      <c r="G232">
        <v>0.1</v>
      </c>
      <c r="H232" s="1">
        <v>84000</v>
      </c>
      <c r="I232"/>
      <c r="J232" t="s">
        <v>1541</v>
      </c>
      <c r="K232" s="170">
        <v>45991</v>
      </c>
      <c r="L232" s="1">
        <v>70702.222222222234</v>
      </c>
      <c r="M232" s="1">
        <v>45989</v>
      </c>
      <c r="O232"/>
      <c r="S232"/>
      <c r="U232"/>
      <c r="Y232"/>
      <c r="Z232"/>
      <c r="AB232"/>
    </row>
    <row r="233" spans="1:28" ht="14.4" hidden="1">
      <c r="A233" t="s">
        <v>163</v>
      </c>
      <c r="B233" s="1">
        <v>100</v>
      </c>
      <c r="C233" s="258" t="s">
        <v>1542</v>
      </c>
      <c r="D233" t="s">
        <v>1246</v>
      </c>
      <c r="E233" t="s">
        <v>1187</v>
      </c>
      <c r="F233"/>
      <c r="G233">
        <v>0.05</v>
      </c>
      <c r="H233" s="1">
        <v>42000</v>
      </c>
      <c r="I233"/>
      <c r="J233" t="s">
        <v>1543</v>
      </c>
      <c r="K233" s="170">
        <v>46022</v>
      </c>
      <c r="L233" s="1">
        <v>35351.111111111117</v>
      </c>
      <c r="M233" s="1">
        <v>46003</v>
      </c>
      <c r="O233"/>
      <c r="S233"/>
      <c r="U233"/>
      <c r="Y233"/>
      <c r="Z233"/>
      <c r="AB233"/>
    </row>
    <row r="234" spans="1:28" ht="14.4" hidden="1">
      <c r="A234" t="s">
        <v>163</v>
      </c>
      <c r="B234" s="1">
        <v>101</v>
      </c>
      <c r="C234" s="258" t="s">
        <v>1544</v>
      </c>
      <c r="D234" t="s">
        <v>1246</v>
      </c>
      <c r="E234" t="s">
        <v>1190</v>
      </c>
      <c r="F234"/>
      <c r="G234">
        <v>0.05</v>
      </c>
      <c r="H234" s="1">
        <v>42000</v>
      </c>
      <c r="I234"/>
      <c r="J234" t="s">
        <v>1545</v>
      </c>
      <c r="K234" s="170">
        <v>46053</v>
      </c>
      <c r="L234" s="1">
        <v>35351.111111111117</v>
      </c>
      <c r="M234" s="1">
        <v>46085</v>
      </c>
      <c r="O234"/>
      <c r="S234"/>
      <c r="U234"/>
      <c r="Y234"/>
      <c r="Z234"/>
      <c r="AB234"/>
    </row>
    <row r="235" spans="1:28" ht="14.4" hidden="1">
      <c r="A235" t="s">
        <v>163</v>
      </c>
      <c r="B235" s="1">
        <v>106</v>
      </c>
      <c r="C235" s="258" t="s">
        <v>1546</v>
      </c>
      <c r="D235" t="s">
        <v>1255</v>
      </c>
      <c r="E235" t="s">
        <v>1547</v>
      </c>
      <c r="F235"/>
      <c r="H235" s="1">
        <v>12508.5</v>
      </c>
      <c r="I235"/>
      <c r="J235" t="s">
        <v>1548</v>
      </c>
      <c r="K235" s="170">
        <v>45900</v>
      </c>
      <c r="L235" s="1">
        <v>29556.176989436244</v>
      </c>
      <c r="M235" s="1">
        <v>45918</v>
      </c>
      <c r="N235" s="1">
        <v>66798.5</v>
      </c>
      <c r="O235"/>
      <c r="S235"/>
      <c r="U235"/>
      <c r="Y235"/>
      <c r="Z235"/>
      <c r="AB235"/>
    </row>
    <row r="236" spans="1:28" ht="14.4" hidden="1">
      <c r="A236" t="s">
        <v>163</v>
      </c>
      <c r="B236" s="1">
        <v>107</v>
      </c>
      <c r="C236" s="258" t="s">
        <v>1549</v>
      </c>
      <c r="D236" t="s">
        <v>1255</v>
      </c>
      <c r="E236" t="s">
        <v>1550</v>
      </c>
      <c r="F236"/>
      <c r="H236" s="1">
        <v>6400</v>
      </c>
      <c r="I236"/>
      <c r="J236" t="s">
        <v>1551</v>
      </c>
      <c r="K236" s="170">
        <v>45838</v>
      </c>
      <c r="L236" s="1">
        <v>9662.1722094874967</v>
      </c>
      <c r="M236" s="1">
        <v>45835</v>
      </c>
      <c r="O236"/>
      <c r="S236"/>
      <c r="U236"/>
      <c r="Y236"/>
      <c r="Z236"/>
      <c r="AB236"/>
    </row>
    <row r="237" spans="1:28" ht="14.4" hidden="1">
      <c r="A237" t="s">
        <v>163</v>
      </c>
      <c r="B237" s="1">
        <v>108</v>
      </c>
      <c r="C237" s="258" t="s">
        <v>1552</v>
      </c>
      <c r="D237" t="s">
        <v>1255</v>
      </c>
      <c r="F237"/>
      <c r="H237" s="1">
        <v>100</v>
      </c>
      <c r="I237"/>
      <c r="J237" t="s">
        <v>1553</v>
      </c>
      <c r="K237" s="170">
        <v>45838</v>
      </c>
      <c r="L237" s="1">
        <v>150.97144077324214</v>
      </c>
      <c r="M237" s="1">
        <v>45876</v>
      </c>
      <c r="O237"/>
      <c r="S237"/>
      <c r="U237"/>
      <c r="Y237"/>
      <c r="Z237"/>
      <c r="AB237"/>
    </row>
    <row r="238" spans="1:28" ht="14.4" hidden="1">
      <c r="A238" t="s">
        <v>163</v>
      </c>
      <c r="B238" s="1">
        <v>109</v>
      </c>
      <c r="C238" s="258" t="s">
        <v>1554</v>
      </c>
      <c r="D238" t="s">
        <v>1255</v>
      </c>
      <c r="F238"/>
      <c r="H238" s="1">
        <v>5200</v>
      </c>
      <c r="I238"/>
      <c r="J238" t="s">
        <v>1555</v>
      </c>
      <c r="K238" s="170">
        <v>45869</v>
      </c>
      <c r="L238" s="1">
        <v>12243.047217833948</v>
      </c>
      <c r="M238" s="1">
        <v>45890</v>
      </c>
      <c r="O238"/>
      <c r="S238"/>
      <c r="U238"/>
      <c r="Y238"/>
      <c r="Z238"/>
      <c r="AB238"/>
    </row>
    <row r="239" spans="1:28" ht="14.4" hidden="1">
      <c r="A239" t="s">
        <v>163</v>
      </c>
      <c r="B239" s="1">
        <v>111</v>
      </c>
      <c r="C239" s="258" t="s">
        <v>1556</v>
      </c>
      <c r="D239" t="s">
        <v>1255</v>
      </c>
      <c r="E239" t="s">
        <v>1557</v>
      </c>
      <c r="F239"/>
      <c r="H239" s="1">
        <v>620</v>
      </c>
      <c r="I239"/>
      <c r="J239" t="s">
        <v>1558</v>
      </c>
      <c r="K239" s="170">
        <v>45869</v>
      </c>
      <c r="L239" s="1">
        <v>1459.7479375109704</v>
      </c>
      <c r="M239" s="1">
        <v>45901</v>
      </c>
      <c r="O239"/>
      <c r="S239"/>
      <c r="U239"/>
      <c r="Y239"/>
      <c r="Z239"/>
      <c r="AB239"/>
    </row>
    <row r="240" spans="1:28" ht="14.4" hidden="1">
      <c r="A240" t="s">
        <v>163</v>
      </c>
      <c r="B240" s="1">
        <v>112</v>
      </c>
      <c r="C240" s="258" t="s">
        <v>1559</v>
      </c>
      <c r="D240" t="s">
        <v>1255</v>
      </c>
      <c r="E240" t="s">
        <v>1560</v>
      </c>
      <c r="F240"/>
      <c r="H240" s="1">
        <v>600</v>
      </c>
      <c r="I240"/>
      <c r="J240" t="s">
        <v>1561</v>
      </c>
      <c r="K240" s="170">
        <v>45900</v>
      </c>
      <c r="L240" s="1">
        <v>11750.695154371066</v>
      </c>
      <c r="M240" s="1">
        <v>45930</v>
      </c>
      <c r="O240"/>
      <c r="S240"/>
      <c r="U240"/>
      <c r="Y240"/>
      <c r="Z240"/>
      <c r="AB240"/>
    </row>
    <row r="241" spans="1:28" ht="14.4" hidden="1">
      <c r="A241" t="s">
        <v>163</v>
      </c>
      <c r="B241" s="1">
        <v>113</v>
      </c>
      <c r="C241" s="258" t="s">
        <v>1562</v>
      </c>
      <c r="D241" t="s">
        <v>1255</v>
      </c>
      <c r="F241"/>
      <c r="H241" s="1">
        <v>-5400</v>
      </c>
      <c r="I241"/>
      <c r="J241" t="s">
        <v>1563</v>
      </c>
      <c r="K241" s="170">
        <v>45900</v>
      </c>
      <c r="L241" s="1">
        <v>0</v>
      </c>
      <c r="M241" s="1">
        <v>45930</v>
      </c>
      <c r="O241"/>
      <c r="S241"/>
      <c r="U241"/>
      <c r="Y241"/>
      <c r="Z241"/>
      <c r="AB241"/>
    </row>
    <row r="242" spans="1:28" ht="14.4" hidden="1">
      <c r="A242" t="s">
        <v>163</v>
      </c>
      <c r="B242" s="1">
        <v>114</v>
      </c>
      <c r="C242" s="258" t="s">
        <v>1564</v>
      </c>
      <c r="D242" t="s">
        <v>1255</v>
      </c>
      <c r="F242"/>
      <c r="H242" s="1">
        <v>-6400</v>
      </c>
      <c r="I242"/>
      <c r="J242" t="s">
        <v>1565</v>
      </c>
      <c r="K242" s="170">
        <v>45900</v>
      </c>
      <c r="L242" s="1">
        <v>0</v>
      </c>
      <c r="M242" s="1">
        <v>45930</v>
      </c>
      <c r="O242"/>
      <c r="S242"/>
      <c r="U242"/>
      <c r="Y242"/>
      <c r="Z242"/>
      <c r="AB242"/>
    </row>
    <row r="243" spans="1:28" ht="14.4" hidden="1">
      <c r="A243" t="s">
        <v>163</v>
      </c>
      <c r="B243" s="1">
        <v>115</v>
      </c>
      <c r="C243" s="258" t="s">
        <v>1566</v>
      </c>
      <c r="D243" t="s">
        <v>1255</v>
      </c>
      <c r="F243"/>
      <c r="H243" s="1">
        <v>6600</v>
      </c>
      <c r="I243"/>
      <c r="J243" t="s">
        <v>1567</v>
      </c>
      <c r="K243" s="170">
        <v>45900</v>
      </c>
      <c r="L243" s="1">
        <v>1642.3651543710653</v>
      </c>
      <c r="M243" s="1">
        <v>45930</v>
      </c>
      <c r="O243"/>
      <c r="S243"/>
      <c r="U243"/>
      <c r="Y243"/>
      <c r="Z243"/>
      <c r="AB243"/>
    </row>
    <row r="244" spans="1:28" ht="14.4" hidden="1">
      <c r="A244" t="s">
        <v>163</v>
      </c>
      <c r="B244" s="1">
        <v>116</v>
      </c>
      <c r="C244" s="258" t="s">
        <v>1568</v>
      </c>
      <c r="D244" t="s">
        <v>1255</v>
      </c>
      <c r="E244" t="s">
        <v>1569</v>
      </c>
      <c r="F244"/>
      <c r="H244" s="1">
        <v>620</v>
      </c>
      <c r="I244"/>
      <c r="J244" t="s">
        <v>1570</v>
      </c>
      <c r="K244" s="170">
        <v>45930</v>
      </c>
      <c r="L244" s="1">
        <v>1589.3856332623211</v>
      </c>
      <c r="M244" s="1">
        <v>45930</v>
      </c>
      <c r="O244"/>
      <c r="S244"/>
      <c r="U244"/>
      <c r="Y244"/>
      <c r="Z244"/>
      <c r="AB244"/>
    </row>
    <row r="245" spans="1:28" ht="14.4" hidden="1">
      <c r="A245" t="s">
        <v>163</v>
      </c>
      <c r="B245" s="1">
        <v>117</v>
      </c>
      <c r="C245" s="258" t="s">
        <v>1571</v>
      </c>
      <c r="D245" t="s">
        <v>1255</v>
      </c>
      <c r="E245" t="s">
        <v>1572</v>
      </c>
      <c r="F245"/>
      <c r="H245" s="1">
        <v>600</v>
      </c>
      <c r="I245"/>
      <c r="J245" t="s">
        <v>1573</v>
      </c>
      <c r="K245" s="170">
        <v>45961</v>
      </c>
      <c r="L245" s="1">
        <v>1694.8657342850747</v>
      </c>
      <c r="M245" s="1">
        <v>45974</v>
      </c>
      <c r="O245"/>
      <c r="S245"/>
      <c r="U245"/>
      <c r="Y245"/>
      <c r="Z245"/>
      <c r="AB245"/>
    </row>
    <row r="246" spans="1:28" ht="14.4" hidden="1">
      <c r="A246" t="s">
        <v>163</v>
      </c>
      <c r="B246" s="1">
        <v>118</v>
      </c>
      <c r="C246" s="258" t="s">
        <v>1574</v>
      </c>
      <c r="D246" t="s">
        <v>1255</v>
      </c>
      <c r="E246" t="s">
        <v>1575</v>
      </c>
      <c r="F246"/>
      <c r="H246" s="1">
        <v>620</v>
      </c>
      <c r="I246"/>
      <c r="J246" t="s">
        <v>1576</v>
      </c>
      <c r="K246" s="170">
        <v>45991</v>
      </c>
      <c r="L246" s="1">
        <v>1589.8700654371692</v>
      </c>
      <c r="M246" s="1">
        <v>45995</v>
      </c>
      <c r="O246"/>
      <c r="S246"/>
      <c r="U246"/>
      <c r="Y246"/>
      <c r="Z246"/>
      <c r="AB246"/>
    </row>
    <row r="247" spans="1:28" ht="14.4" hidden="1">
      <c r="A247" t="s">
        <v>163</v>
      </c>
      <c r="B247" s="1">
        <v>119</v>
      </c>
      <c r="C247" s="258" t="s">
        <v>1577</v>
      </c>
      <c r="D247" t="s">
        <v>1255</v>
      </c>
      <c r="E247" t="s">
        <v>1578</v>
      </c>
      <c r="F247"/>
      <c r="H247" s="1">
        <v>620</v>
      </c>
      <c r="I247"/>
      <c r="J247" t="s">
        <v>1579</v>
      </c>
      <c r="K247" s="170">
        <v>46022</v>
      </c>
      <c r="L247" s="1">
        <v>0</v>
      </c>
      <c r="M247" s="1">
        <v>46031</v>
      </c>
      <c r="O247"/>
      <c r="S247"/>
      <c r="U247"/>
      <c r="Y247"/>
      <c r="Z247"/>
      <c r="AB247"/>
    </row>
    <row r="248" spans="1:28" ht="14.4" hidden="1">
      <c r="A248" t="s">
        <v>163</v>
      </c>
      <c r="B248" s="1">
        <v>120</v>
      </c>
      <c r="C248" s="258" t="s">
        <v>1580</v>
      </c>
      <c r="D248" t="s">
        <v>1255</v>
      </c>
      <c r="E248" t="s">
        <v>1581</v>
      </c>
      <c r="F248"/>
      <c r="H248" s="1">
        <v>560</v>
      </c>
      <c r="I248"/>
      <c r="J248" t="s">
        <v>1582</v>
      </c>
      <c r="K248" s="170">
        <v>46053</v>
      </c>
      <c r="L248" s="1">
        <v>0</v>
      </c>
      <c r="M248" s="1">
        <v>46058</v>
      </c>
      <c r="O248"/>
      <c r="S248"/>
      <c r="U248"/>
      <c r="Y248"/>
      <c r="Z248"/>
      <c r="AB248"/>
    </row>
    <row r="249" spans="1:28" ht="14.4" hidden="1">
      <c r="A249" t="s">
        <v>163</v>
      </c>
      <c r="B249" s="1">
        <v>121</v>
      </c>
      <c r="C249" s="258" t="s">
        <v>1583</v>
      </c>
      <c r="D249" t="s">
        <v>1255</v>
      </c>
      <c r="E249" t="s">
        <v>1169</v>
      </c>
      <c r="F249">
        <v>43550</v>
      </c>
      <c r="G249">
        <v>0.1</v>
      </c>
      <c r="H249" s="1">
        <v>4355</v>
      </c>
      <c r="I249"/>
      <c r="J249" t="s">
        <v>1480</v>
      </c>
      <c r="K249" s="170">
        <v>45869</v>
      </c>
      <c r="L249" s="1">
        <v>10253.55204493593</v>
      </c>
      <c r="M249" s="1">
        <v>45899</v>
      </c>
      <c r="O249"/>
      <c r="S249"/>
      <c r="U249"/>
      <c r="Y249"/>
      <c r="Z249"/>
      <c r="AB249"/>
    </row>
    <row r="250" spans="1:28" ht="14.4" hidden="1">
      <c r="A250" t="s">
        <v>163</v>
      </c>
      <c r="B250" s="1">
        <v>122</v>
      </c>
      <c r="C250" s="258" t="s">
        <v>1584</v>
      </c>
      <c r="D250" t="s">
        <v>1255</v>
      </c>
      <c r="E250" t="s">
        <v>558</v>
      </c>
      <c r="F250"/>
      <c r="G250">
        <v>0.15</v>
      </c>
      <c r="H250" s="1">
        <v>6532.5</v>
      </c>
      <c r="I250"/>
      <c r="J250" t="s">
        <v>1480</v>
      </c>
      <c r="K250" s="170">
        <v>45869</v>
      </c>
      <c r="L250" s="1">
        <v>15380.328067403894</v>
      </c>
      <c r="M250" s="1">
        <v>45939</v>
      </c>
      <c r="O250"/>
      <c r="S250"/>
      <c r="U250"/>
      <c r="Y250"/>
      <c r="Z250"/>
      <c r="AB250"/>
    </row>
    <row r="251" spans="1:28" ht="14.4" hidden="1">
      <c r="A251" t="s">
        <v>163</v>
      </c>
      <c r="B251" s="1">
        <v>123</v>
      </c>
      <c r="C251" s="258" t="s">
        <v>1585</v>
      </c>
      <c r="D251" t="s">
        <v>1255</v>
      </c>
      <c r="E251" t="s">
        <v>1175</v>
      </c>
      <c r="F251"/>
      <c r="G251">
        <v>0.2</v>
      </c>
      <c r="H251" s="1">
        <v>8710</v>
      </c>
      <c r="I251"/>
      <c r="J251" t="s">
        <v>1480</v>
      </c>
      <c r="K251" s="170">
        <v>45869</v>
      </c>
      <c r="L251" s="1">
        <v>20507.10408987186</v>
      </c>
      <c r="M251" s="1">
        <v>45974</v>
      </c>
      <c r="O251"/>
      <c r="S251"/>
      <c r="U251"/>
      <c r="Y251"/>
      <c r="Z251"/>
      <c r="AB251"/>
    </row>
    <row r="252" spans="1:28" ht="14.4" hidden="1">
      <c r="A252" t="s">
        <v>163</v>
      </c>
      <c r="B252" s="1">
        <v>124</v>
      </c>
      <c r="C252" s="258" t="s">
        <v>1586</v>
      </c>
      <c r="D252" t="s">
        <v>1255</v>
      </c>
      <c r="E252" t="s">
        <v>1178</v>
      </c>
      <c r="F252"/>
      <c r="G252">
        <v>0.25</v>
      </c>
      <c r="H252" s="1">
        <v>10887.5</v>
      </c>
      <c r="I252"/>
      <c r="J252" t="s">
        <v>1480</v>
      </c>
      <c r="K252" s="170">
        <v>45869</v>
      </c>
      <c r="L252" s="1">
        <v>25633.880112339823</v>
      </c>
      <c r="M252" s="1">
        <v>45980</v>
      </c>
      <c r="O252"/>
      <c r="S252"/>
      <c r="U252"/>
      <c r="Y252"/>
      <c r="Z252"/>
      <c r="AB252"/>
    </row>
    <row r="253" spans="1:28" ht="14.4" hidden="1">
      <c r="A253" t="s">
        <v>163</v>
      </c>
      <c r="B253" s="1">
        <v>125</v>
      </c>
      <c r="C253" s="258" t="s">
        <v>1587</v>
      </c>
      <c r="D253" t="s">
        <v>1255</v>
      </c>
      <c r="E253" t="s">
        <v>1181</v>
      </c>
      <c r="F253"/>
      <c r="G253">
        <v>0.1</v>
      </c>
      <c r="H253" s="1">
        <v>4355</v>
      </c>
      <c r="I253"/>
      <c r="J253" t="s">
        <v>1480</v>
      </c>
      <c r="K253" s="170">
        <v>45869</v>
      </c>
      <c r="L253" s="1">
        <v>10253.55204493593</v>
      </c>
      <c r="M253" s="1">
        <v>45989</v>
      </c>
      <c r="O253"/>
      <c r="S253"/>
      <c r="U253"/>
      <c r="Y253"/>
      <c r="Z253"/>
      <c r="AB253"/>
    </row>
    <row r="254" spans="1:28" ht="14.4" hidden="1">
      <c r="A254" t="s">
        <v>163</v>
      </c>
      <c r="B254" s="1">
        <v>126</v>
      </c>
      <c r="C254" s="258" t="s">
        <v>1588</v>
      </c>
      <c r="D254" t="s">
        <v>1255</v>
      </c>
      <c r="E254" t="s">
        <v>1184</v>
      </c>
      <c r="F254"/>
      <c r="G254">
        <v>0.1</v>
      </c>
      <c r="H254" s="1">
        <v>4355</v>
      </c>
      <c r="I254"/>
      <c r="J254" t="s">
        <v>1480</v>
      </c>
      <c r="K254" s="170">
        <v>45869</v>
      </c>
      <c r="L254" s="1">
        <v>10253.55204493593</v>
      </c>
      <c r="M254" s="1">
        <v>45989</v>
      </c>
      <c r="O254"/>
      <c r="S254"/>
      <c r="U254"/>
      <c r="Y254"/>
      <c r="Z254"/>
      <c r="AB254"/>
    </row>
    <row r="255" spans="1:28" ht="14.4" hidden="1">
      <c r="A255" t="s">
        <v>163</v>
      </c>
      <c r="B255" s="1">
        <v>127</v>
      </c>
      <c r="C255" s="258" t="s">
        <v>1589</v>
      </c>
      <c r="D255" t="s">
        <v>1255</v>
      </c>
      <c r="E255" t="s">
        <v>1187</v>
      </c>
      <c r="F255"/>
      <c r="G255">
        <v>0.05</v>
      </c>
      <c r="H255" s="1">
        <v>2177.5</v>
      </c>
      <c r="I255"/>
      <c r="J255" t="s">
        <v>1480</v>
      </c>
      <c r="K255" s="170">
        <v>45869</v>
      </c>
      <c r="L255" s="1">
        <v>5126.776022467965</v>
      </c>
      <c r="M255" s="1">
        <v>46003</v>
      </c>
      <c r="O255"/>
      <c r="S255"/>
      <c r="U255"/>
      <c r="Y255"/>
      <c r="Z255"/>
      <c r="AB255"/>
    </row>
    <row r="256" spans="1:28" ht="14.4" hidden="1">
      <c r="A256" t="s">
        <v>163</v>
      </c>
      <c r="B256" s="1">
        <v>128</v>
      </c>
      <c r="C256" s="258" t="s">
        <v>1590</v>
      </c>
      <c r="D256" t="s">
        <v>1255</v>
      </c>
      <c r="E256" t="s">
        <v>1190</v>
      </c>
      <c r="F256"/>
      <c r="G256">
        <v>0.05</v>
      </c>
      <c r="H256" s="1">
        <v>2177.5</v>
      </c>
      <c r="I256"/>
      <c r="J256" t="s">
        <v>1480</v>
      </c>
      <c r="K256" s="170">
        <v>45869</v>
      </c>
      <c r="L256" s="1">
        <v>5126.776022467965</v>
      </c>
      <c r="M256" s="1">
        <v>46085</v>
      </c>
      <c r="O256"/>
      <c r="S256"/>
      <c r="U256"/>
      <c r="Y256"/>
      <c r="Z256"/>
      <c r="AB256"/>
    </row>
    <row r="257" spans="1:28" ht="14.4" hidden="1">
      <c r="A257" t="s">
        <v>163</v>
      </c>
      <c r="B257" s="1">
        <v>133</v>
      </c>
      <c r="C257" s="258" t="s">
        <v>1591</v>
      </c>
      <c r="D257" t="s">
        <v>1264</v>
      </c>
      <c r="E257" t="s">
        <v>1265</v>
      </c>
      <c r="F257"/>
      <c r="H257" s="1">
        <v>12250</v>
      </c>
      <c r="I257"/>
      <c r="J257" t="s">
        <v>1592</v>
      </c>
      <c r="K257" s="170">
        <v>46022</v>
      </c>
      <c r="L257" s="1">
        <v>282226.89760821866</v>
      </c>
      <c r="M257" s="1">
        <v>46045</v>
      </c>
      <c r="N257" s="1">
        <v>27850</v>
      </c>
      <c r="O257"/>
      <c r="S257"/>
      <c r="U257"/>
      <c r="Y257"/>
      <c r="Z257"/>
      <c r="AB257"/>
    </row>
    <row r="258" spans="1:28" ht="14.4" hidden="1">
      <c r="A258" t="s">
        <v>163</v>
      </c>
      <c r="B258" s="1">
        <v>134</v>
      </c>
      <c r="C258" s="258" t="s">
        <v>1593</v>
      </c>
      <c r="D258" t="s">
        <v>1264</v>
      </c>
      <c r="E258" t="s">
        <v>1594</v>
      </c>
      <c r="F258"/>
      <c r="H258" s="1">
        <v>7500</v>
      </c>
      <c r="I258"/>
      <c r="J258" t="s">
        <v>1595</v>
      </c>
      <c r="K258" s="170">
        <v>45869</v>
      </c>
      <c r="L258" s="1">
        <v>13028.368947251152</v>
      </c>
      <c r="M258" s="1">
        <v>45899</v>
      </c>
      <c r="O258"/>
      <c r="S258"/>
      <c r="U258"/>
      <c r="Y258"/>
      <c r="Z258"/>
      <c r="AB258"/>
    </row>
    <row r="259" spans="1:28" ht="14.4" hidden="1">
      <c r="A259" t="s">
        <v>163</v>
      </c>
      <c r="B259" s="1">
        <v>135</v>
      </c>
      <c r="C259" s="258" t="s">
        <v>1596</v>
      </c>
      <c r="D259" t="s">
        <v>1264</v>
      </c>
      <c r="E259" t="s">
        <v>1597</v>
      </c>
      <c r="F259"/>
      <c r="H259" s="1">
        <v>0</v>
      </c>
      <c r="I259"/>
      <c r="J259"/>
      <c r="K259" s="170"/>
      <c r="L259" s="1">
        <v>0</v>
      </c>
      <c r="O259"/>
      <c r="S259"/>
      <c r="U259"/>
      <c r="Y259"/>
      <c r="Z259"/>
      <c r="AB259"/>
    </row>
    <row r="260" spans="1:28" ht="14.4" hidden="1">
      <c r="A260" t="s">
        <v>163</v>
      </c>
      <c r="B260" s="1">
        <v>136</v>
      </c>
      <c r="C260" s="258" t="s">
        <v>1598</v>
      </c>
      <c r="D260" t="s">
        <v>1264</v>
      </c>
      <c r="E260" t="s">
        <v>1599</v>
      </c>
      <c r="F260"/>
      <c r="H260" s="1">
        <v>8100</v>
      </c>
      <c r="I260" t="s">
        <v>1600</v>
      </c>
      <c r="J260" t="s">
        <v>1601</v>
      </c>
      <c r="K260" s="170">
        <v>45991</v>
      </c>
      <c r="L260" s="1">
        <v>26993.620913954528</v>
      </c>
      <c r="M260" s="1">
        <v>46009</v>
      </c>
      <c r="O260"/>
      <c r="S260"/>
      <c r="U260"/>
      <c r="Y260"/>
      <c r="Z260"/>
      <c r="AB260"/>
    </row>
    <row r="261" spans="1:28" ht="14.4" hidden="1">
      <c r="A261" t="s">
        <v>163</v>
      </c>
      <c r="B261" s="1">
        <v>142</v>
      </c>
      <c r="C261" s="258" t="s">
        <v>1602</v>
      </c>
      <c r="D261" t="s">
        <v>1277</v>
      </c>
      <c r="E261" t="s">
        <v>1278</v>
      </c>
      <c r="F261"/>
      <c r="H261" s="1">
        <v>79441.873960413388</v>
      </c>
      <c r="I261"/>
      <c r="J261"/>
      <c r="K261" s="170">
        <v>46081</v>
      </c>
      <c r="L261" s="1">
        <v>72845.39806488801</v>
      </c>
      <c r="M261" s="1">
        <v>46112</v>
      </c>
      <c r="N261" s="1">
        <v>79441.873960413388</v>
      </c>
      <c r="O261"/>
      <c r="S261"/>
      <c r="U261"/>
      <c r="Y261"/>
      <c r="Z261"/>
      <c r="AB261"/>
    </row>
    <row r="262" spans="1:28" ht="14.4" hidden="1">
      <c r="A262" t="s">
        <v>163</v>
      </c>
      <c r="B262" s="1">
        <v>149</v>
      </c>
      <c r="C262" s="258" t="s">
        <v>1603</v>
      </c>
      <c r="D262" t="s">
        <v>1280</v>
      </c>
      <c r="E262" t="s">
        <v>1281</v>
      </c>
      <c r="F262"/>
      <c r="H262" s="1">
        <v>864.48</v>
      </c>
      <c r="I262"/>
      <c r="J262" t="s">
        <v>1604</v>
      </c>
      <c r="K262" s="170">
        <v>45838</v>
      </c>
      <c r="L262" s="1">
        <v>1709.8990227792133</v>
      </c>
      <c r="M262" s="1">
        <v>45842</v>
      </c>
      <c r="N262" s="1">
        <v>3068.7200000000003</v>
      </c>
      <c r="O262"/>
      <c r="S262"/>
      <c r="U262"/>
      <c r="Y262"/>
      <c r="Z262"/>
      <c r="AB262"/>
    </row>
    <row r="263" spans="1:28" ht="14.4" hidden="1">
      <c r="A263" t="s">
        <v>163</v>
      </c>
      <c r="B263" s="1">
        <v>150</v>
      </c>
      <c r="C263" s="258" t="s">
        <v>1605</v>
      </c>
      <c r="D263" t="s">
        <v>1280</v>
      </c>
      <c r="E263" t="s">
        <v>1281</v>
      </c>
      <c r="F263"/>
      <c r="H263" s="1">
        <v>309.36</v>
      </c>
      <c r="I263"/>
      <c r="J263" t="s">
        <v>1604</v>
      </c>
      <c r="K263" s="170">
        <v>45869</v>
      </c>
      <c r="L263" s="1">
        <v>4043.2985013317202</v>
      </c>
      <c r="M263" s="1">
        <v>45876</v>
      </c>
      <c r="O263"/>
      <c r="S263"/>
      <c r="U263"/>
      <c r="Y263"/>
      <c r="Z263"/>
      <c r="AB263"/>
    </row>
    <row r="264" spans="1:28" ht="14.4" hidden="1">
      <c r="A264" t="s">
        <v>163</v>
      </c>
      <c r="B264" s="1">
        <v>151</v>
      </c>
      <c r="C264" s="258" t="s">
        <v>1606</v>
      </c>
      <c r="D264" t="s">
        <v>1280</v>
      </c>
      <c r="E264" t="s">
        <v>1281</v>
      </c>
      <c r="F264"/>
      <c r="H264" s="1">
        <v>171.36</v>
      </c>
      <c r="I264"/>
      <c r="J264" t="s">
        <v>1604</v>
      </c>
      <c r="K264" s="170">
        <v>45900</v>
      </c>
      <c r="L264" s="1">
        <v>936.88</v>
      </c>
      <c r="M264" s="1">
        <v>45905</v>
      </c>
      <c r="O264"/>
      <c r="S264"/>
      <c r="U264"/>
      <c r="Y264"/>
      <c r="Z264"/>
      <c r="AB264"/>
    </row>
    <row r="265" spans="1:28" ht="14.4" hidden="1">
      <c r="A265" t="s">
        <v>163</v>
      </c>
      <c r="B265" s="1">
        <v>152</v>
      </c>
      <c r="C265" s="258" t="s">
        <v>1607</v>
      </c>
      <c r="D265" t="s">
        <v>1280</v>
      </c>
      <c r="E265" t="s">
        <v>1281</v>
      </c>
      <c r="F265"/>
      <c r="H265" s="1">
        <v>0</v>
      </c>
      <c r="I265"/>
      <c r="J265" t="s">
        <v>1604</v>
      </c>
      <c r="K265" s="170">
        <v>45930</v>
      </c>
      <c r="L265" s="1">
        <v>0</v>
      </c>
      <c r="M265" s="1">
        <v>45930</v>
      </c>
      <c r="O265"/>
      <c r="S265"/>
      <c r="U265"/>
      <c r="Y265"/>
      <c r="Z265"/>
      <c r="AB265"/>
    </row>
    <row r="266" spans="1:28" ht="14.4" hidden="1">
      <c r="A266" t="s">
        <v>163</v>
      </c>
      <c r="B266" s="1">
        <v>153</v>
      </c>
      <c r="C266" s="258" t="s">
        <v>1608</v>
      </c>
      <c r="D266" t="s">
        <v>1280</v>
      </c>
      <c r="E266" t="s">
        <v>1281</v>
      </c>
      <c r="F266"/>
      <c r="H266" s="1">
        <v>0</v>
      </c>
      <c r="I266"/>
      <c r="J266" t="s">
        <v>1604</v>
      </c>
      <c r="K266" s="170">
        <v>45961</v>
      </c>
      <c r="L266" s="1">
        <v>0</v>
      </c>
      <c r="M266" s="1">
        <v>45961</v>
      </c>
      <c r="O266"/>
      <c r="S266"/>
      <c r="U266"/>
      <c r="Y266"/>
      <c r="Z266"/>
      <c r="AB266"/>
    </row>
    <row r="267" spans="1:28" ht="14.4" hidden="1">
      <c r="A267" t="s">
        <v>163</v>
      </c>
      <c r="B267" s="1">
        <v>154</v>
      </c>
      <c r="C267" s="258" t="s">
        <v>1609</v>
      </c>
      <c r="D267" t="s">
        <v>1280</v>
      </c>
      <c r="E267" t="s">
        <v>1281</v>
      </c>
      <c r="F267"/>
      <c r="H267" s="1">
        <v>723.52</v>
      </c>
      <c r="I267"/>
      <c r="J267" t="s">
        <v>1604</v>
      </c>
      <c r="K267" s="170">
        <v>45991</v>
      </c>
      <c r="L267" s="1">
        <v>3667.5733059893223</v>
      </c>
      <c r="M267" s="1">
        <v>45996</v>
      </c>
      <c r="O267"/>
      <c r="S267"/>
      <c r="U267"/>
      <c r="Y267"/>
      <c r="Z267"/>
      <c r="AB267"/>
    </row>
    <row r="268" spans="1:28" ht="14.4" hidden="1">
      <c r="A268" t="s">
        <v>163</v>
      </c>
      <c r="B268" s="1">
        <v>155</v>
      </c>
      <c r="C268" s="258" t="s">
        <v>1610</v>
      </c>
      <c r="D268" t="s">
        <v>1280</v>
      </c>
      <c r="E268" t="s">
        <v>1281</v>
      </c>
      <c r="F268"/>
      <c r="H268" s="1">
        <v>0</v>
      </c>
      <c r="I268"/>
      <c r="J268" t="s">
        <v>1604</v>
      </c>
      <c r="K268" s="170">
        <v>46022</v>
      </c>
      <c r="L268" s="1">
        <v>0</v>
      </c>
      <c r="M268" s="1">
        <v>46031</v>
      </c>
      <c r="O268"/>
      <c r="S268"/>
      <c r="U268"/>
      <c r="Y268"/>
      <c r="Z268"/>
      <c r="AB268"/>
    </row>
    <row r="269" spans="1:28" ht="14.4" hidden="1">
      <c r="A269" t="s">
        <v>163</v>
      </c>
      <c r="B269" s="1">
        <v>156</v>
      </c>
      <c r="C269" s="258" t="s">
        <v>1611</v>
      </c>
      <c r="D269" t="s">
        <v>1280</v>
      </c>
      <c r="E269" t="s">
        <v>1281</v>
      </c>
      <c r="F269"/>
      <c r="H269" s="1">
        <v>0</v>
      </c>
      <c r="I269"/>
      <c r="J269" t="s">
        <v>1604</v>
      </c>
      <c r="K269" s="170">
        <v>46053</v>
      </c>
      <c r="L269" s="1">
        <v>0</v>
      </c>
      <c r="M269" s="1">
        <v>46060</v>
      </c>
      <c r="O269"/>
      <c r="S269"/>
      <c r="U269"/>
      <c r="Y269"/>
      <c r="Z269"/>
      <c r="AB269"/>
    </row>
    <row r="270" spans="1:28" ht="14.4" hidden="1">
      <c r="A270" t="s">
        <v>163</v>
      </c>
      <c r="B270" s="1">
        <v>157</v>
      </c>
      <c r="C270" s="258" t="s">
        <v>1612</v>
      </c>
      <c r="D270" t="s">
        <v>1280</v>
      </c>
      <c r="E270" t="s">
        <v>1281</v>
      </c>
      <c r="F270"/>
      <c r="H270" s="1">
        <v>500</v>
      </c>
      <c r="I270"/>
      <c r="J270"/>
      <c r="K270" s="170">
        <v>46081</v>
      </c>
      <c r="L270" s="1">
        <v>2598.9548476816972</v>
      </c>
      <c r="M270" s="1">
        <v>46088</v>
      </c>
      <c r="O270"/>
      <c r="S270"/>
      <c r="U270"/>
      <c r="Y270"/>
      <c r="Z270"/>
      <c r="AB270"/>
    </row>
    <row r="271" spans="1:28" ht="14.4" hidden="1">
      <c r="A271" t="s">
        <v>163</v>
      </c>
      <c r="B271" s="1">
        <v>158</v>
      </c>
      <c r="C271" s="258" t="s">
        <v>1613</v>
      </c>
      <c r="D271" t="s">
        <v>1280</v>
      </c>
      <c r="E271" t="s">
        <v>1281</v>
      </c>
      <c r="F271"/>
      <c r="H271" s="1">
        <v>500</v>
      </c>
      <c r="I271"/>
      <c r="J271"/>
      <c r="K271" s="170">
        <v>46112</v>
      </c>
      <c r="L271" s="1">
        <v>2598.9548476816972</v>
      </c>
      <c r="M271" s="1">
        <v>46119</v>
      </c>
      <c r="O271"/>
      <c r="S271"/>
      <c r="U271"/>
      <c r="Y271"/>
      <c r="Z271"/>
      <c r="AB271"/>
    </row>
    <row r="272" spans="1:28" ht="14.4" hidden="1">
      <c r="A272" t="s">
        <v>163</v>
      </c>
      <c r="B272" s="1">
        <v>162</v>
      </c>
      <c r="C272" s="258" t="s">
        <v>1614</v>
      </c>
      <c r="D272" t="s">
        <v>1451</v>
      </c>
      <c r="E272" t="s">
        <v>1615</v>
      </c>
      <c r="F272">
        <v>0.5</v>
      </c>
      <c r="G272">
        <v>30584.07</v>
      </c>
      <c r="H272" s="1">
        <v>15292.07</v>
      </c>
      <c r="I272" t="s">
        <v>1616</v>
      </c>
      <c r="J272" t="s">
        <v>1617</v>
      </c>
      <c r="K272" s="170">
        <v>46022</v>
      </c>
      <c r="M272" s="1">
        <v>46015</v>
      </c>
      <c r="N272" s="1">
        <v>37134.080000000002</v>
      </c>
      <c r="O272"/>
      <c r="S272"/>
      <c r="U272"/>
      <c r="Y272"/>
      <c r="Z272"/>
      <c r="AB272"/>
    </row>
    <row r="273" spans="1:28" ht="14.4" hidden="1">
      <c r="A273" t="s">
        <v>163</v>
      </c>
      <c r="B273" s="1">
        <v>163</v>
      </c>
      <c r="C273" s="258" t="s">
        <v>1618</v>
      </c>
      <c r="D273" t="s">
        <v>1451</v>
      </c>
      <c r="F273"/>
      <c r="H273" s="1">
        <v>-15292.07</v>
      </c>
      <c r="I273"/>
      <c r="J273" t="s">
        <v>1617</v>
      </c>
      <c r="K273" s="170">
        <v>46053</v>
      </c>
      <c r="M273" s="1">
        <v>46053</v>
      </c>
      <c r="O273"/>
      <c r="S273"/>
      <c r="U273"/>
      <c r="Y273"/>
      <c r="Z273"/>
      <c r="AB273"/>
    </row>
    <row r="274" spans="1:28" ht="14.4" hidden="1">
      <c r="A274" t="s">
        <v>163</v>
      </c>
      <c r="B274" s="1">
        <v>164</v>
      </c>
      <c r="C274" s="258" t="s">
        <v>1619</v>
      </c>
      <c r="D274" t="s">
        <v>1451</v>
      </c>
      <c r="F274"/>
      <c r="H274" s="1">
        <v>15292.04</v>
      </c>
      <c r="I274"/>
      <c r="J274" t="s">
        <v>1617</v>
      </c>
      <c r="K274" s="170">
        <v>46053</v>
      </c>
      <c r="M274" s="1">
        <v>46053</v>
      </c>
      <c r="O274"/>
      <c r="S274"/>
      <c r="U274"/>
      <c r="Y274"/>
      <c r="Z274"/>
      <c r="AB274"/>
    </row>
    <row r="275" spans="1:28" ht="14.4" hidden="1">
      <c r="A275" t="s">
        <v>163</v>
      </c>
      <c r="B275" s="1">
        <v>165</v>
      </c>
      <c r="C275" s="258" t="s">
        <v>1620</v>
      </c>
      <c r="D275" t="s">
        <v>1451</v>
      </c>
      <c r="E275" t="s">
        <v>1621</v>
      </c>
      <c r="F275"/>
      <c r="H275" s="1">
        <v>15292.04</v>
      </c>
      <c r="I275"/>
      <c r="J275" t="s">
        <v>1622</v>
      </c>
      <c r="K275" s="170">
        <v>46053</v>
      </c>
      <c r="M275" s="1">
        <v>46051</v>
      </c>
      <c r="O275"/>
      <c r="S275"/>
      <c r="U275"/>
      <c r="Y275"/>
      <c r="Z275"/>
      <c r="AB275"/>
    </row>
    <row r="276" spans="1:28" ht="14.4" hidden="1">
      <c r="A276" t="s">
        <v>163</v>
      </c>
      <c r="B276" s="1">
        <v>166</v>
      </c>
      <c r="C276" s="258" t="s">
        <v>1623</v>
      </c>
      <c r="D276" t="s">
        <v>1451</v>
      </c>
      <c r="E276" t="s">
        <v>1624</v>
      </c>
      <c r="F276"/>
      <c r="H276" s="1">
        <v>6550</v>
      </c>
      <c r="I276"/>
      <c r="J276" t="s">
        <v>1625</v>
      </c>
      <c r="K276" s="170">
        <v>46053</v>
      </c>
      <c r="M276" s="1">
        <v>46052</v>
      </c>
      <c r="O276"/>
      <c r="S276"/>
      <c r="U276"/>
      <c r="Y276"/>
      <c r="Z276"/>
      <c r="AB276"/>
    </row>
    <row r="277" spans="1:28" ht="14.4" hidden="1">
      <c r="A277" t="s">
        <v>167</v>
      </c>
      <c r="B277" s="1">
        <v>6</v>
      </c>
      <c r="C277" s="258" t="s">
        <v>1626</v>
      </c>
      <c r="D277" t="s">
        <v>1146</v>
      </c>
      <c r="E277" t="s">
        <v>1627</v>
      </c>
      <c r="F277">
        <v>235</v>
      </c>
      <c r="G277">
        <v>1156.4000000000001</v>
      </c>
      <c r="H277" s="1">
        <v>271754</v>
      </c>
      <c r="I277"/>
      <c r="J277" t="s">
        <v>1628</v>
      </c>
      <c r="K277" s="170">
        <v>45900</v>
      </c>
      <c r="L277" s="1">
        <v>507353.11639463902</v>
      </c>
      <c r="M277" s="1">
        <v>45954</v>
      </c>
      <c r="N277" s="1">
        <v>280023.2</v>
      </c>
      <c r="O277"/>
      <c r="S277"/>
      <c r="U277"/>
      <c r="Y277"/>
      <c r="Z277"/>
      <c r="AB277"/>
    </row>
    <row r="278" spans="1:28" ht="14.4" hidden="1">
      <c r="A278" t="s">
        <v>167</v>
      </c>
      <c r="B278" s="1">
        <v>7</v>
      </c>
      <c r="C278" s="258" t="s">
        <v>1629</v>
      </c>
      <c r="D278" t="s">
        <v>1146</v>
      </c>
      <c r="E278" t="s">
        <v>1630</v>
      </c>
      <c r="F278"/>
      <c r="H278" s="1">
        <v>3800</v>
      </c>
      <c r="I278"/>
      <c r="J278" t="s">
        <v>1628</v>
      </c>
      <c r="K278" s="170">
        <v>45900</v>
      </c>
      <c r="L278" s="1">
        <v>7094.4377720277471</v>
      </c>
      <c r="M278" s="1">
        <v>45954</v>
      </c>
      <c r="O278"/>
      <c r="S278"/>
      <c r="U278"/>
      <c r="Y278"/>
      <c r="Z278"/>
      <c r="AB278"/>
    </row>
    <row r="279" spans="1:28" ht="14.4" hidden="1">
      <c r="A279" t="s">
        <v>167</v>
      </c>
      <c r="B279" s="1">
        <v>8</v>
      </c>
      <c r="C279" s="258" t="s">
        <v>1631</v>
      </c>
      <c r="D279" t="s">
        <v>1146</v>
      </c>
      <c r="E279" t="s">
        <v>1627</v>
      </c>
      <c r="F279"/>
      <c r="H279" s="1">
        <v>3469.2</v>
      </c>
      <c r="I279"/>
      <c r="J279" t="s">
        <v>1632</v>
      </c>
      <c r="K279" s="170">
        <v>46022</v>
      </c>
      <c r="L279" s="1" t="s">
        <v>170</v>
      </c>
      <c r="M279" s="1">
        <v>46058</v>
      </c>
      <c r="O279"/>
      <c r="S279"/>
      <c r="U279"/>
      <c r="Y279"/>
      <c r="Z279"/>
      <c r="AB279"/>
    </row>
    <row r="280" spans="1:28" ht="14.4" hidden="1">
      <c r="A280" t="s">
        <v>167</v>
      </c>
      <c r="B280" s="1">
        <v>9</v>
      </c>
      <c r="C280" s="258" t="s">
        <v>1633</v>
      </c>
      <c r="D280" t="s">
        <v>1146</v>
      </c>
      <c r="E280" t="s">
        <v>1461</v>
      </c>
      <c r="F280"/>
      <c r="H280" s="1">
        <v>1000</v>
      </c>
      <c r="I280"/>
      <c r="J280" t="s">
        <v>1632</v>
      </c>
      <c r="K280" s="170">
        <v>46022</v>
      </c>
      <c r="L280" s="1" t="s">
        <v>170</v>
      </c>
      <c r="M280" s="1">
        <v>46058</v>
      </c>
      <c r="O280"/>
      <c r="S280"/>
      <c r="U280"/>
      <c r="Y280"/>
      <c r="Z280"/>
      <c r="AB280"/>
    </row>
    <row r="281" spans="1:28" ht="14.4" hidden="1">
      <c r="A281" t="s">
        <v>167</v>
      </c>
      <c r="B281" s="1">
        <v>13</v>
      </c>
      <c r="C281" s="258" t="s">
        <v>1634</v>
      </c>
      <c r="D281" t="s">
        <v>1157</v>
      </c>
      <c r="E281" t="s">
        <v>1369</v>
      </c>
      <c r="F281">
        <v>2</v>
      </c>
      <c r="G281">
        <v>68870</v>
      </c>
      <c r="H281" s="1">
        <v>137740.70000000001</v>
      </c>
      <c r="I281"/>
      <c r="J281" t="s">
        <v>1635</v>
      </c>
      <c r="K281" s="170">
        <v>45869</v>
      </c>
      <c r="L281" s="1">
        <v>194444.444444444</v>
      </c>
      <c r="M281" s="1">
        <v>45876</v>
      </c>
      <c r="N281" s="1">
        <v>137740.70000000001</v>
      </c>
      <c r="O281"/>
      <c r="S281"/>
      <c r="U281"/>
      <c r="Y281"/>
      <c r="Z281"/>
      <c r="AB281"/>
    </row>
    <row r="282" spans="1:28" ht="14.4" hidden="1">
      <c r="A282" t="s">
        <v>167</v>
      </c>
      <c r="B282" s="1">
        <v>21</v>
      </c>
      <c r="C282" s="258" t="s">
        <v>1636</v>
      </c>
      <c r="D282" t="s">
        <v>1160</v>
      </c>
      <c r="E282" t="s">
        <v>1637</v>
      </c>
      <c r="F282"/>
      <c r="G282">
        <v>689400</v>
      </c>
      <c r="H282" s="1">
        <v>344700</v>
      </c>
      <c r="I282" t="s">
        <v>1638</v>
      </c>
      <c r="J282" t="s">
        <v>1639</v>
      </c>
      <c r="K282" s="170">
        <v>45869</v>
      </c>
      <c r="L282" s="1">
        <v>192541.23160660919</v>
      </c>
      <c r="M282" s="1">
        <v>45855</v>
      </c>
      <c r="N282" s="1">
        <v>1247029.42</v>
      </c>
      <c r="O282"/>
      <c r="S282"/>
      <c r="U282"/>
      <c r="Y282"/>
      <c r="Z282"/>
      <c r="AB282"/>
    </row>
    <row r="283" spans="1:28" ht="14.4" hidden="1">
      <c r="A283" t="s">
        <v>167</v>
      </c>
      <c r="B283" s="1">
        <v>22</v>
      </c>
      <c r="C283" s="258" t="s">
        <v>1640</v>
      </c>
      <c r="D283" t="s">
        <v>1160</v>
      </c>
      <c r="E283" t="s">
        <v>1641</v>
      </c>
      <c r="F283"/>
      <c r="H283" s="1">
        <v>344700</v>
      </c>
      <c r="I283"/>
      <c r="J283" t="s">
        <v>1642</v>
      </c>
      <c r="K283" s="170">
        <v>45900</v>
      </c>
      <c r="L283" s="1">
        <v>192541.23160660919</v>
      </c>
      <c r="M283" s="1">
        <v>45930</v>
      </c>
      <c r="O283"/>
      <c r="S283"/>
      <c r="U283"/>
      <c r="Y283"/>
      <c r="Z283"/>
      <c r="AB283"/>
    </row>
    <row r="284" spans="1:28" ht="14.4" hidden="1">
      <c r="A284" t="s">
        <v>167</v>
      </c>
      <c r="B284" s="1">
        <v>23</v>
      </c>
      <c r="C284" s="258" t="s">
        <v>1643</v>
      </c>
      <c r="D284" t="s">
        <v>1160</v>
      </c>
      <c r="F284"/>
      <c r="H284" s="1">
        <v>-344700</v>
      </c>
      <c r="I284"/>
      <c r="J284" t="s">
        <v>1642</v>
      </c>
      <c r="K284" s="170">
        <v>45930</v>
      </c>
      <c r="L284" s="1">
        <v>0</v>
      </c>
      <c r="M284" s="1">
        <v>45930</v>
      </c>
      <c r="O284"/>
      <c r="S284"/>
      <c r="U284"/>
      <c r="Y284"/>
      <c r="Z284"/>
      <c r="AB284"/>
    </row>
    <row r="285" spans="1:28" ht="14.4" hidden="1">
      <c r="A285" t="s">
        <v>167</v>
      </c>
      <c r="B285" s="1">
        <v>24</v>
      </c>
      <c r="C285" s="258" t="s">
        <v>1644</v>
      </c>
      <c r="D285" t="s">
        <v>1160</v>
      </c>
      <c r="F285"/>
      <c r="H285" s="1">
        <v>-344700</v>
      </c>
      <c r="I285"/>
      <c r="J285" t="s">
        <v>1645</v>
      </c>
      <c r="K285" s="170">
        <v>45930</v>
      </c>
      <c r="L285" s="1">
        <v>0</v>
      </c>
      <c r="M285" s="1">
        <v>45930</v>
      </c>
      <c r="O285"/>
      <c r="S285"/>
      <c r="U285"/>
      <c r="Y285"/>
      <c r="Z285"/>
      <c r="AB285"/>
    </row>
    <row r="286" spans="1:28" ht="14.4" hidden="1">
      <c r="A286" t="s">
        <v>167</v>
      </c>
      <c r="B286" s="1">
        <v>25</v>
      </c>
      <c r="C286" s="258" t="s">
        <v>1646</v>
      </c>
      <c r="D286" t="s">
        <v>1160</v>
      </c>
      <c r="F286"/>
      <c r="H286" s="1">
        <v>694199.98</v>
      </c>
      <c r="I286"/>
      <c r="J286" t="s">
        <v>1647</v>
      </c>
      <c r="K286" s="170">
        <v>45930</v>
      </c>
      <c r="M286" s="1">
        <v>45930</v>
      </c>
      <c r="O286"/>
      <c r="S286"/>
      <c r="U286"/>
      <c r="Y286"/>
      <c r="Z286"/>
      <c r="AB286"/>
    </row>
    <row r="287" spans="1:28" ht="14.4" hidden="1">
      <c r="A287" t="s">
        <v>167</v>
      </c>
      <c r="B287" s="1">
        <v>26</v>
      </c>
      <c r="C287" s="258" t="s">
        <v>1648</v>
      </c>
      <c r="D287" t="s">
        <v>1160</v>
      </c>
      <c r="E287" t="s">
        <v>1649</v>
      </c>
      <c r="F287"/>
      <c r="H287" s="1">
        <v>4800</v>
      </c>
      <c r="I287"/>
      <c r="J287" t="s">
        <v>1650</v>
      </c>
      <c r="K287" s="170">
        <v>45991</v>
      </c>
      <c r="L287" s="1">
        <v>0</v>
      </c>
      <c r="M287" s="1">
        <v>46021</v>
      </c>
      <c r="O287"/>
      <c r="S287"/>
      <c r="U287"/>
      <c r="Y287"/>
      <c r="Z287"/>
      <c r="AB287"/>
    </row>
    <row r="288" spans="1:28" ht="14.4" hidden="1">
      <c r="A288" t="s">
        <v>167</v>
      </c>
      <c r="B288" s="1">
        <v>27</v>
      </c>
      <c r="C288" s="258" t="s">
        <v>1651</v>
      </c>
      <c r="D288" t="s">
        <v>1160</v>
      </c>
      <c r="E288" t="s">
        <v>1652</v>
      </c>
      <c r="F288"/>
      <c r="H288" s="1">
        <v>12832.45</v>
      </c>
      <c r="I288"/>
      <c r="J288" t="s">
        <v>1653</v>
      </c>
      <c r="K288" s="170">
        <v>46022</v>
      </c>
      <c r="L288" s="1">
        <v>0</v>
      </c>
      <c r="M288" s="1">
        <v>46051</v>
      </c>
      <c r="O288"/>
      <c r="S288"/>
      <c r="U288"/>
      <c r="Y288"/>
      <c r="Z288"/>
      <c r="AB288"/>
    </row>
    <row r="289" spans="1:28" ht="14.4" hidden="1">
      <c r="A289" t="s">
        <v>167</v>
      </c>
      <c r="B289" s="1">
        <v>29</v>
      </c>
      <c r="C289" s="258" t="s">
        <v>1654</v>
      </c>
      <c r="D289" t="s">
        <v>1160</v>
      </c>
      <c r="E289" t="s">
        <v>1655</v>
      </c>
      <c r="F289"/>
      <c r="H289" s="1">
        <v>25790.99</v>
      </c>
      <c r="I289" t="s">
        <v>1656</v>
      </c>
      <c r="J289" t="s">
        <v>1657</v>
      </c>
      <c r="K289" s="170">
        <v>45900</v>
      </c>
      <c r="L289" s="1">
        <v>14406.234345673753</v>
      </c>
      <c r="M289" s="1">
        <v>45930</v>
      </c>
      <c r="O289"/>
      <c r="S289"/>
      <c r="U289"/>
      <c r="Y289"/>
      <c r="Z289"/>
      <c r="AB289"/>
    </row>
    <row r="290" spans="1:28" ht="14.4" hidden="1">
      <c r="A290" t="s">
        <v>167</v>
      </c>
      <c r="B290" s="1">
        <v>30</v>
      </c>
      <c r="C290" s="258" t="s">
        <v>1658</v>
      </c>
      <c r="D290" t="s">
        <v>1160</v>
      </c>
      <c r="F290"/>
      <c r="H290" s="1">
        <v>-25790.99</v>
      </c>
      <c r="I290"/>
      <c r="J290" t="s">
        <v>1657</v>
      </c>
      <c r="K290" s="170">
        <v>45930</v>
      </c>
      <c r="L290" s="1">
        <v>0</v>
      </c>
      <c r="M290" s="1">
        <v>45960</v>
      </c>
      <c r="O290"/>
      <c r="S290"/>
      <c r="U290"/>
      <c r="Y290"/>
      <c r="Z290"/>
      <c r="AB290"/>
    </row>
    <row r="291" spans="1:28" ht="14.4" hidden="1">
      <c r="A291" t="s">
        <v>167</v>
      </c>
      <c r="B291" s="1">
        <v>31</v>
      </c>
      <c r="C291" s="258" t="s">
        <v>1659</v>
      </c>
      <c r="D291" t="s">
        <v>1160</v>
      </c>
      <c r="F291"/>
      <c r="H291" s="1">
        <v>25790.99</v>
      </c>
      <c r="I291"/>
      <c r="J291" t="s">
        <v>1660</v>
      </c>
      <c r="K291" s="170">
        <v>46022</v>
      </c>
      <c r="L291" s="1">
        <v>0</v>
      </c>
      <c r="M291" s="1">
        <v>46051</v>
      </c>
      <c r="O291"/>
      <c r="S291"/>
      <c r="U291"/>
      <c r="Y291"/>
      <c r="Z291"/>
      <c r="AB291"/>
    </row>
    <row r="292" spans="1:28" ht="14.4" hidden="1">
      <c r="A292" t="s">
        <v>167</v>
      </c>
      <c r="B292" s="1">
        <v>33</v>
      </c>
      <c r="C292" s="258" t="s">
        <v>1661</v>
      </c>
      <c r="D292" t="s">
        <v>1160</v>
      </c>
      <c r="E292" t="s">
        <v>1662</v>
      </c>
      <c r="F292">
        <v>509406</v>
      </c>
      <c r="G292">
        <v>0.6</v>
      </c>
      <c r="H292" s="1">
        <v>305643.59999999998</v>
      </c>
      <c r="I292" t="s">
        <v>1663</v>
      </c>
      <c r="J292" t="s">
        <v>1664</v>
      </c>
      <c r="K292" s="170">
        <v>45900</v>
      </c>
      <c r="L292" s="1">
        <v>170725.25435647758</v>
      </c>
      <c r="M292" s="1">
        <v>45883</v>
      </c>
      <c r="O292"/>
      <c r="S292"/>
      <c r="U292"/>
      <c r="Y292"/>
      <c r="Z292"/>
      <c r="AB292"/>
    </row>
    <row r="293" spans="1:28" ht="14.4" hidden="1">
      <c r="A293" t="s">
        <v>167</v>
      </c>
      <c r="B293" s="1">
        <v>34</v>
      </c>
      <c r="C293" s="258" t="s">
        <v>1665</v>
      </c>
      <c r="D293" t="s">
        <v>1160</v>
      </c>
      <c r="F293"/>
      <c r="G293">
        <v>0.2</v>
      </c>
      <c r="H293" s="1">
        <v>101881.2</v>
      </c>
      <c r="I293"/>
      <c r="J293" t="s">
        <v>1666</v>
      </c>
      <c r="K293" s="170">
        <v>45900</v>
      </c>
      <c r="L293" s="1">
        <v>56908.418118825866</v>
      </c>
      <c r="M293" s="1">
        <v>45961</v>
      </c>
      <c r="O293"/>
      <c r="S293"/>
      <c r="U293"/>
      <c r="Y293"/>
      <c r="Z293"/>
      <c r="AB293"/>
    </row>
    <row r="294" spans="1:28" ht="14.4" hidden="1">
      <c r="A294" t="s">
        <v>167</v>
      </c>
      <c r="B294" s="1">
        <v>35</v>
      </c>
      <c r="C294" s="258" t="s">
        <v>1667</v>
      </c>
      <c r="D294" t="s">
        <v>1160</v>
      </c>
      <c r="F294"/>
      <c r="G294">
        <v>0.15</v>
      </c>
      <c r="H294" s="1">
        <v>76410.899999999994</v>
      </c>
      <c r="I294"/>
      <c r="J294" t="s">
        <v>1666</v>
      </c>
      <c r="K294" s="170">
        <v>45900</v>
      </c>
      <c r="L294" s="1">
        <v>42681.313589119389</v>
      </c>
      <c r="M294" s="1">
        <v>45974</v>
      </c>
      <c r="O294"/>
      <c r="S294"/>
      <c r="U294"/>
      <c r="Y294"/>
      <c r="Z294"/>
      <c r="AB294"/>
    </row>
    <row r="295" spans="1:28" ht="14.4" hidden="1">
      <c r="A295" t="s">
        <v>167</v>
      </c>
      <c r="B295" s="1">
        <v>36</v>
      </c>
      <c r="C295" s="258" t="s">
        <v>1668</v>
      </c>
      <c r="D295" t="s">
        <v>1160</v>
      </c>
      <c r="F295"/>
      <c r="G295">
        <v>0.05</v>
      </c>
      <c r="H295" s="1">
        <v>25470.300000000003</v>
      </c>
      <c r="I295"/>
      <c r="J295" t="s">
        <v>1666</v>
      </c>
      <c r="K295" s="170">
        <v>45900</v>
      </c>
      <c r="L295" s="1">
        <v>14227.104529706468</v>
      </c>
      <c r="M295" s="1">
        <v>46072</v>
      </c>
      <c r="O295"/>
      <c r="S295"/>
      <c r="U295"/>
      <c r="Y295"/>
      <c r="Z295"/>
      <c r="AB295"/>
    </row>
    <row r="296" spans="1:28" ht="14.4" hidden="1">
      <c r="A296" t="s">
        <v>167</v>
      </c>
      <c r="B296" s="1">
        <v>38</v>
      </c>
      <c r="C296" s="258" t="s">
        <v>1669</v>
      </c>
      <c r="D296" t="s">
        <v>1160</v>
      </c>
      <c r="E296" t="s">
        <v>1670</v>
      </c>
      <c r="F296"/>
      <c r="H296" s="1">
        <v>0</v>
      </c>
      <c r="I296"/>
      <c r="J296"/>
      <c r="K296" s="170"/>
      <c r="L296" s="1">
        <v>0</v>
      </c>
      <c r="O296"/>
      <c r="S296"/>
      <c r="U296"/>
      <c r="Y296"/>
      <c r="Z296"/>
      <c r="AB296"/>
    </row>
    <row r="297" spans="1:28" ht="14.4" hidden="1">
      <c r="A297" t="s">
        <v>167</v>
      </c>
      <c r="B297" s="1">
        <v>42</v>
      </c>
      <c r="C297" s="258" t="s">
        <v>1671</v>
      </c>
      <c r="D297" t="s">
        <v>1165</v>
      </c>
      <c r="E297" t="s">
        <v>836</v>
      </c>
      <c r="F297">
        <v>12000</v>
      </c>
      <c r="G297">
        <v>13.5</v>
      </c>
      <c r="H297" s="1">
        <v>134446.46</v>
      </c>
      <c r="I297" t="s">
        <v>1672</v>
      </c>
      <c r="J297" t="s">
        <v>1673</v>
      </c>
      <c r="K297" s="170">
        <v>45869</v>
      </c>
      <c r="L297" s="1">
        <v>121813.07969687037</v>
      </c>
      <c r="M297" s="1">
        <v>45900</v>
      </c>
      <c r="N297" s="1">
        <v>259295</v>
      </c>
      <c r="O297"/>
      <c r="S297"/>
      <c r="U297"/>
      <c r="Y297"/>
      <c r="Z297"/>
      <c r="AB297"/>
    </row>
    <row r="298" spans="1:28" ht="14.4" hidden="1">
      <c r="A298" t="s">
        <v>167</v>
      </c>
      <c r="B298" s="1">
        <v>43</v>
      </c>
      <c r="C298" s="258" t="s">
        <v>1674</v>
      </c>
      <c r="D298" t="s">
        <v>1165</v>
      </c>
      <c r="F298"/>
      <c r="H298" s="1">
        <v>27553.540000000008</v>
      </c>
      <c r="I298" t="s">
        <v>1672</v>
      </c>
      <c r="J298" t="s">
        <v>1673</v>
      </c>
      <c r="K298" s="170">
        <v>45869</v>
      </c>
      <c r="L298" s="1">
        <v>0</v>
      </c>
      <c r="M298" s="1">
        <v>45901</v>
      </c>
      <c r="O298"/>
      <c r="S298"/>
      <c r="U298"/>
      <c r="Y298"/>
      <c r="Z298"/>
      <c r="AB298"/>
    </row>
    <row r="299" spans="1:28" ht="14.4" hidden="1">
      <c r="A299" t="s">
        <v>167</v>
      </c>
      <c r="B299" s="1">
        <v>46</v>
      </c>
      <c r="C299" s="258" t="s">
        <v>1675</v>
      </c>
      <c r="D299" t="s">
        <v>1165</v>
      </c>
      <c r="E299" t="s">
        <v>1169</v>
      </c>
      <c r="F299">
        <v>97295</v>
      </c>
      <c r="G299">
        <v>0.1</v>
      </c>
      <c r="H299" s="1">
        <v>9729.5</v>
      </c>
      <c r="I299" t="s">
        <v>1676</v>
      </c>
      <c r="J299" t="s">
        <v>1677</v>
      </c>
      <c r="K299" s="170">
        <v>45869</v>
      </c>
      <c r="L299" s="1">
        <v>7315.928141424075</v>
      </c>
      <c r="M299" s="1">
        <v>45869</v>
      </c>
      <c r="O299"/>
      <c r="S299"/>
      <c r="U299"/>
      <c r="Y299"/>
      <c r="Z299"/>
      <c r="AB299"/>
    </row>
    <row r="300" spans="1:28" ht="14.4" hidden="1">
      <c r="A300" t="s">
        <v>167</v>
      </c>
      <c r="B300" s="1">
        <v>47</v>
      </c>
      <c r="C300" s="258" t="s">
        <v>1678</v>
      </c>
      <c r="D300" t="s">
        <v>1165</v>
      </c>
      <c r="E300" t="s">
        <v>558</v>
      </c>
      <c r="F300"/>
      <c r="G300">
        <v>0.15</v>
      </c>
      <c r="H300" s="1">
        <v>14594.25</v>
      </c>
      <c r="I300"/>
      <c r="J300" t="s">
        <v>1679</v>
      </c>
      <c r="K300" s="170">
        <v>45869</v>
      </c>
      <c r="L300" s="1">
        <v>10973.892212136114</v>
      </c>
      <c r="M300" s="1">
        <v>45932</v>
      </c>
      <c r="O300"/>
      <c r="S300"/>
      <c r="U300"/>
      <c r="Y300"/>
      <c r="Z300"/>
      <c r="AB300"/>
    </row>
    <row r="301" spans="1:28" ht="14.4" hidden="1">
      <c r="A301" t="s">
        <v>167</v>
      </c>
      <c r="B301" s="1">
        <v>48</v>
      </c>
      <c r="C301" s="258" t="s">
        <v>1680</v>
      </c>
      <c r="D301" t="s">
        <v>1165</v>
      </c>
      <c r="E301" t="s">
        <v>1175</v>
      </c>
      <c r="F301"/>
      <c r="G301">
        <v>0.2</v>
      </c>
      <c r="H301" s="1">
        <v>19459</v>
      </c>
      <c r="I301"/>
      <c r="J301" t="s">
        <v>1679</v>
      </c>
      <c r="K301" s="170">
        <v>45869</v>
      </c>
      <c r="L301" s="1">
        <v>14631.85628284815</v>
      </c>
      <c r="M301" s="1">
        <v>46003</v>
      </c>
      <c r="O301"/>
      <c r="S301"/>
      <c r="U301"/>
      <c r="Y301"/>
      <c r="Z301"/>
      <c r="AB301"/>
    </row>
    <row r="302" spans="1:28" ht="14.4" hidden="1">
      <c r="A302" t="s">
        <v>167</v>
      </c>
      <c r="B302" s="1">
        <v>49</v>
      </c>
      <c r="C302" s="258" t="s">
        <v>1681</v>
      </c>
      <c r="D302" t="s">
        <v>1165</v>
      </c>
      <c r="E302" t="s">
        <v>1178</v>
      </c>
      <c r="F302"/>
      <c r="G302">
        <v>0.25</v>
      </c>
      <c r="H302" s="1">
        <v>24323.75</v>
      </c>
      <c r="I302"/>
      <c r="J302" t="s">
        <v>1679</v>
      </c>
      <c r="K302" s="170">
        <v>45869</v>
      </c>
      <c r="L302" s="1">
        <v>18289.82035356019</v>
      </c>
      <c r="M302" s="1">
        <v>46009</v>
      </c>
      <c r="O302"/>
      <c r="S302"/>
      <c r="U302"/>
      <c r="Y302"/>
      <c r="Z302"/>
      <c r="AB302"/>
    </row>
    <row r="303" spans="1:28" ht="14.4" hidden="1">
      <c r="A303" t="s">
        <v>167</v>
      </c>
      <c r="B303" s="1">
        <v>50</v>
      </c>
      <c r="C303" s="258" t="s">
        <v>1682</v>
      </c>
      <c r="D303" t="s">
        <v>1165</v>
      </c>
      <c r="E303" t="s">
        <v>1181</v>
      </c>
      <c r="F303"/>
      <c r="G303">
        <v>0.1</v>
      </c>
      <c r="H303" s="1">
        <v>9729.5</v>
      </c>
      <c r="I303"/>
      <c r="J303" t="s">
        <v>1679</v>
      </c>
      <c r="K303" s="170">
        <v>45869</v>
      </c>
      <c r="L303" s="1">
        <v>7315.928141424075</v>
      </c>
      <c r="M303" s="1">
        <v>46051</v>
      </c>
      <c r="O303"/>
      <c r="S303"/>
      <c r="U303"/>
      <c r="Y303"/>
      <c r="Z303"/>
      <c r="AB303"/>
    </row>
    <row r="304" spans="1:28" ht="14.4" hidden="1">
      <c r="A304" t="s">
        <v>167</v>
      </c>
      <c r="B304" s="1">
        <v>51</v>
      </c>
      <c r="C304" s="258" t="s">
        <v>1683</v>
      </c>
      <c r="D304" t="s">
        <v>1165</v>
      </c>
      <c r="E304" t="s">
        <v>1184</v>
      </c>
      <c r="F304"/>
      <c r="G304">
        <v>0.1</v>
      </c>
      <c r="H304" s="1">
        <v>9729.5</v>
      </c>
      <c r="I304"/>
      <c r="J304" t="s">
        <v>1679</v>
      </c>
      <c r="K304" s="170">
        <v>45869</v>
      </c>
      <c r="L304" s="1">
        <v>7315.928141424075</v>
      </c>
      <c r="M304" s="1">
        <v>46051</v>
      </c>
      <c r="O304"/>
      <c r="S304"/>
      <c r="U304"/>
      <c r="Y304"/>
      <c r="Z304"/>
      <c r="AB304"/>
    </row>
    <row r="305" spans="1:28" ht="14.4" hidden="1">
      <c r="A305" t="s">
        <v>167</v>
      </c>
      <c r="B305" s="1">
        <v>52</v>
      </c>
      <c r="C305" s="258" t="s">
        <v>1684</v>
      </c>
      <c r="D305" t="s">
        <v>1165</v>
      </c>
      <c r="E305" t="s">
        <v>1187</v>
      </c>
      <c r="F305"/>
      <c r="G305">
        <v>0.05</v>
      </c>
      <c r="H305" s="1">
        <v>4864.75</v>
      </c>
      <c r="I305"/>
      <c r="J305" t="s">
        <v>1679</v>
      </c>
      <c r="K305" s="170">
        <v>45869</v>
      </c>
      <c r="L305" s="1">
        <v>3657.9640707120375</v>
      </c>
      <c r="M305" s="1">
        <v>46051</v>
      </c>
      <c r="O305"/>
      <c r="S305"/>
      <c r="U305"/>
      <c r="Y305"/>
      <c r="Z305"/>
      <c r="AB305"/>
    </row>
    <row r="306" spans="1:28" ht="14.4" hidden="1">
      <c r="A306" t="s">
        <v>167</v>
      </c>
      <c r="B306" s="1">
        <v>53</v>
      </c>
      <c r="C306" s="258" t="s">
        <v>1685</v>
      </c>
      <c r="D306" t="s">
        <v>1165</v>
      </c>
      <c r="E306" t="s">
        <v>1190</v>
      </c>
      <c r="F306"/>
      <c r="G306">
        <v>0.05</v>
      </c>
      <c r="H306" s="1">
        <v>4864.75</v>
      </c>
      <c r="I306"/>
      <c r="J306" t="s">
        <v>1679</v>
      </c>
      <c r="K306" s="170">
        <v>45869</v>
      </c>
      <c r="L306" s="1">
        <v>3657.9640707120375</v>
      </c>
      <c r="M306" s="1">
        <v>46081</v>
      </c>
      <c r="O306"/>
      <c r="S306"/>
      <c r="U306"/>
      <c r="Y306"/>
      <c r="Z306"/>
      <c r="AB306"/>
    </row>
    <row r="307" spans="1:28" ht="14.4" hidden="1">
      <c r="A307" t="s">
        <v>167</v>
      </c>
      <c r="B307" s="1">
        <v>59</v>
      </c>
      <c r="C307" s="258" t="s">
        <v>1686</v>
      </c>
      <c r="D307" t="s">
        <v>1193</v>
      </c>
      <c r="E307" t="s">
        <v>1687</v>
      </c>
      <c r="F307"/>
      <c r="H307" s="1">
        <v>7642</v>
      </c>
      <c r="I307" t="s">
        <v>1688</v>
      </c>
      <c r="J307" t="s">
        <v>1689</v>
      </c>
      <c r="K307" s="170">
        <v>45900</v>
      </c>
      <c r="L307" s="1">
        <v>98177.484804990003</v>
      </c>
      <c r="M307" s="1">
        <v>45930</v>
      </c>
      <c r="O307"/>
      <c r="S307"/>
      <c r="U307"/>
      <c r="Y307"/>
      <c r="Z307"/>
      <c r="AB307"/>
    </row>
    <row r="308" spans="1:28" ht="14.4" hidden="1">
      <c r="A308" t="s">
        <v>167</v>
      </c>
      <c r="B308" s="1">
        <v>60</v>
      </c>
      <c r="C308" s="258" t="s">
        <v>1690</v>
      </c>
      <c r="D308" t="s">
        <v>1193</v>
      </c>
      <c r="E308" t="s">
        <v>1200</v>
      </c>
      <c r="F308"/>
      <c r="H308" s="1">
        <v>11169</v>
      </c>
      <c r="I308"/>
      <c r="J308" t="s">
        <v>1691</v>
      </c>
      <c r="K308" s="170">
        <v>45900</v>
      </c>
      <c r="L308" s="1">
        <v>143489.18186167671</v>
      </c>
      <c r="M308" s="1">
        <v>45900</v>
      </c>
      <c r="O308"/>
      <c r="S308"/>
      <c r="U308"/>
      <c r="Y308"/>
      <c r="Z308"/>
      <c r="AB308"/>
    </row>
    <row r="309" spans="1:28" ht="14.4" hidden="1">
      <c r="A309" t="s">
        <v>167</v>
      </c>
      <c r="B309" s="1">
        <v>61</v>
      </c>
      <c r="C309" s="258" t="s">
        <v>1692</v>
      </c>
      <c r="D309" t="s">
        <v>1193</v>
      </c>
      <c r="E309" t="s">
        <v>1693</v>
      </c>
      <c r="F309"/>
      <c r="H309" s="1">
        <v>8598.35</v>
      </c>
      <c r="I309"/>
      <c r="J309" t="s">
        <v>1694</v>
      </c>
      <c r="K309" s="170">
        <v>45991</v>
      </c>
      <c r="L309" s="1">
        <v>0</v>
      </c>
      <c r="M309" s="1">
        <v>45991</v>
      </c>
      <c r="O309"/>
      <c r="S309"/>
      <c r="U309"/>
      <c r="Y309"/>
      <c r="Z309"/>
      <c r="AB309"/>
    </row>
    <row r="310" spans="1:28" ht="14.4" hidden="1">
      <c r="A310" t="s">
        <v>167</v>
      </c>
      <c r="B310" s="1">
        <v>62</v>
      </c>
      <c r="C310" s="258" t="s">
        <v>1695</v>
      </c>
      <c r="D310" t="s">
        <v>1193</v>
      </c>
      <c r="E310" t="s">
        <v>1696</v>
      </c>
      <c r="F310"/>
      <c r="H310" s="1">
        <v>6900</v>
      </c>
      <c r="I310" t="s">
        <v>1697</v>
      </c>
      <c r="J310" t="s">
        <v>1698</v>
      </c>
      <c r="K310" s="170">
        <v>46022</v>
      </c>
      <c r="L310" s="1">
        <v>0</v>
      </c>
      <c r="M310" s="1">
        <v>46029</v>
      </c>
      <c r="O310"/>
      <c r="S310"/>
      <c r="U310"/>
      <c r="Y310"/>
      <c r="Z310"/>
      <c r="AB310"/>
    </row>
    <row r="311" spans="1:28" ht="14.4" hidden="1">
      <c r="A311" t="s">
        <v>167</v>
      </c>
      <c r="B311" s="1">
        <v>63</v>
      </c>
      <c r="C311" s="258" t="s">
        <v>1699</v>
      </c>
      <c r="D311" t="s">
        <v>1193</v>
      </c>
      <c r="E311" t="s">
        <v>1700</v>
      </c>
      <c r="F311"/>
      <c r="H311" s="1">
        <v>4110</v>
      </c>
      <c r="I311"/>
      <c r="J311" t="s">
        <v>1701</v>
      </c>
      <c r="K311" s="170">
        <v>45991</v>
      </c>
      <c r="L311" s="1">
        <v>0</v>
      </c>
      <c r="M311" s="1">
        <v>46029</v>
      </c>
      <c r="O311"/>
      <c r="S311"/>
      <c r="U311"/>
      <c r="Y311"/>
      <c r="Z311"/>
      <c r="AB311"/>
    </row>
    <row r="312" spans="1:28" ht="14.4" hidden="1">
      <c r="A312" t="s">
        <v>167</v>
      </c>
      <c r="B312" s="1">
        <v>64</v>
      </c>
      <c r="C312" s="258" t="s">
        <v>1702</v>
      </c>
      <c r="D312" t="s">
        <v>1193</v>
      </c>
      <c r="E312" t="s">
        <v>1703</v>
      </c>
      <c r="F312"/>
      <c r="H312" s="1">
        <v>2970</v>
      </c>
      <c r="I312"/>
      <c r="J312" t="s">
        <v>1701</v>
      </c>
      <c r="K312" s="170">
        <v>45991</v>
      </c>
      <c r="L312" s="1">
        <v>0</v>
      </c>
      <c r="M312" s="1">
        <v>46029</v>
      </c>
      <c r="O312"/>
      <c r="S312"/>
      <c r="U312"/>
      <c r="Y312"/>
      <c r="Z312"/>
      <c r="AB312"/>
    </row>
    <row r="313" spans="1:28" ht="14.4" hidden="1">
      <c r="A313" t="s">
        <v>167</v>
      </c>
      <c r="B313" s="1">
        <v>73</v>
      </c>
      <c r="C313" s="258" t="s">
        <v>1704</v>
      </c>
      <c r="D313" t="s">
        <v>1211</v>
      </c>
      <c r="E313" t="s">
        <v>1169</v>
      </c>
      <c r="F313">
        <v>350590.6</v>
      </c>
      <c r="G313">
        <v>0.1</v>
      </c>
      <c r="H313" s="1">
        <v>35059.06</v>
      </c>
      <c r="I313" t="s">
        <v>1676</v>
      </c>
      <c r="J313" t="s">
        <v>1677</v>
      </c>
      <c r="K313" s="170">
        <v>45869</v>
      </c>
      <c r="L313" s="1">
        <v>32863.169082125612</v>
      </c>
      <c r="M313" s="1">
        <v>45869</v>
      </c>
      <c r="O313"/>
      <c r="S313"/>
      <c r="U313"/>
      <c r="Y313"/>
      <c r="Z313"/>
      <c r="AB313"/>
    </row>
    <row r="314" spans="1:28" ht="14.4" hidden="1">
      <c r="A314" t="s">
        <v>167</v>
      </c>
      <c r="B314" s="1">
        <v>74</v>
      </c>
      <c r="C314" s="258" t="s">
        <v>1705</v>
      </c>
      <c r="D314" t="s">
        <v>1211</v>
      </c>
      <c r="E314" t="s">
        <v>558</v>
      </c>
      <c r="F314"/>
      <c r="G314">
        <v>0.15</v>
      </c>
      <c r="H314" s="1">
        <v>52588.59</v>
      </c>
      <c r="I314"/>
      <c r="J314" t="s">
        <v>1679</v>
      </c>
      <c r="K314" s="170">
        <v>45869</v>
      </c>
      <c r="L314" s="1">
        <v>49294.753623188408</v>
      </c>
      <c r="M314" s="1">
        <v>45932</v>
      </c>
      <c r="O314"/>
      <c r="S314"/>
      <c r="U314"/>
      <c r="Y314"/>
      <c r="Z314"/>
      <c r="AB314"/>
    </row>
    <row r="315" spans="1:28" ht="14.4" hidden="1">
      <c r="A315" t="s">
        <v>167</v>
      </c>
      <c r="B315" s="1">
        <v>75</v>
      </c>
      <c r="C315" s="258" t="s">
        <v>1706</v>
      </c>
      <c r="D315" t="s">
        <v>1211</v>
      </c>
      <c r="E315" t="s">
        <v>1175</v>
      </c>
      <c r="F315"/>
      <c r="G315">
        <v>0.2</v>
      </c>
      <c r="H315" s="1">
        <v>70118.12</v>
      </c>
      <c r="I315"/>
      <c r="J315" t="s">
        <v>1679</v>
      </c>
      <c r="K315" s="170">
        <v>45869</v>
      </c>
      <c r="L315" s="1">
        <v>65726.338164251225</v>
      </c>
      <c r="M315" s="1">
        <v>46003</v>
      </c>
      <c r="O315"/>
      <c r="S315"/>
      <c r="U315"/>
      <c r="Y315"/>
      <c r="Z315"/>
      <c r="AB315"/>
    </row>
    <row r="316" spans="1:28" ht="14.4" hidden="1">
      <c r="A316" t="s">
        <v>167</v>
      </c>
      <c r="B316" s="1">
        <v>76</v>
      </c>
      <c r="C316" s="258" t="s">
        <v>1707</v>
      </c>
      <c r="D316" t="s">
        <v>1211</v>
      </c>
      <c r="E316" t="s">
        <v>1178</v>
      </c>
      <c r="F316"/>
      <c r="G316">
        <v>0.25</v>
      </c>
      <c r="H316" s="1">
        <v>87647.65</v>
      </c>
      <c r="I316"/>
      <c r="J316" t="s">
        <v>1679</v>
      </c>
      <c r="K316" s="170">
        <v>45869</v>
      </c>
      <c r="L316" s="1">
        <v>82157.92270531402</v>
      </c>
      <c r="M316" s="1">
        <v>46009</v>
      </c>
      <c r="O316"/>
      <c r="S316"/>
      <c r="U316"/>
      <c r="Y316"/>
      <c r="Z316"/>
      <c r="AB316"/>
    </row>
    <row r="317" spans="1:28" ht="14.4" hidden="1">
      <c r="A317" t="s">
        <v>167</v>
      </c>
      <c r="B317" s="1">
        <v>77</v>
      </c>
      <c r="C317" s="258" t="s">
        <v>1708</v>
      </c>
      <c r="D317" t="s">
        <v>1211</v>
      </c>
      <c r="E317" t="s">
        <v>1181</v>
      </c>
      <c r="F317"/>
      <c r="G317">
        <v>0.1</v>
      </c>
      <c r="H317" s="1">
        <v>35059.06</v>
      </c>
      <c r="I317"/>
      <c r="J317" t="s">
        <v>1679</v>
      </c>
      <c r="K317" s="170">
        <v>45869</v>
      </c>
      <c r="L317" s="1">
        <v>32863.169082125612</v>
      </c>
      <c r="M317" s="1">
        <v>46051</v>
      </c>
      <c r="O317"/>
      <c r="S317"/>
      <c r="U317"/>
      <c r="Y317"/>
      <c r="Z317"/>
      <c r="AB317"/>
    </row>
    <row r="318" spans="1:28" ht="14.4" hidden="1">
      <c r="A318" t="s">
        <v>167</v>
      </c>
      <c r="B318" s="1">
        <v>78</v>
      </c>
      <c r="C318" s="258" t="s">
        <v>1709</v>
      </c>
      <c r="D318" t="s">
        <v>1211</v>
      </c>
      <c r="E318" t="s">
        <v>1184</v>
      </c>
      <c r="F318"/>
      <c r="G318">
        <v>0.1</v>
      </c>
      <c r="H318" s="1">
        <v>35059.06</v>
      </c>
      <c r="I318"/>
      <c r="J318" t="s">
        <v>1679</v>
      </c>
      <c r="K318" s="170">
        <v>45869</v>
      </c>
      <c r="L318" s="1">
        <v>32863.169082125612</v>
      </c>
      <c r="M318" s="1">
        <v>46051</v>
      </c>
      <c r="O318"/>
      <c r="S318"/>
      <c r="U318"/>
      <c r="Y318"/>
      <c r="Z318"/>
      <c r="AB318"/>
    </row>
    <row r="319" spans="1:28" ht="14.4" hidden="1">
      <c r="A319" t="s">
        <v>167</v>
      </c>
      <c r="B319" s="1">
        <v>79</v>
      </c>
      <c r="C319" s="258" t="s">
        <v>1710</v>
      </c>
      <c r="D319" t="s">
        <v>1211</v>
      </c>
      <c r="E319" t="s">
        <v>1187</v>
      </c>
      <c r="F319"/>
      <c r="G319">
        <v>0.05</v>
      </c>
      <c r="H319" s="1">
        <v>17529.53</v>
      </c>
      <c r="I319"/>
      <c r="J319" t="s">
        <v>1679</v>
      </c>
      <c r="K319" s="170">
        <v>45869</v>
      </c>
      <c r="L319" s="1">
        <v>16431.584541062806</v>
      </c>
      <c r="M319" s="1">
        <v>46051</v>
      </c>
      <c r="O319"/>
      <c r="S319"/>
      <c r="U319"/>
      <c r="Y319"/>
      <c r="Z319"/>
      <c r="AB319"/>
    </row>
    <row r="320" spans="1:28" ht="14.4" hidden="1">
      <c r="A320" t="s">
        <v>167</v>
      </c>
      <c r="B320" s="1">
        <v>80</v>
      </c>
      <c r="C320" s="258" t="s">
        <v>1711</v>
      </c>
      <c r="D320" t="s">
        <v>1211</v>
      </c>
      <c r="E320" t="s">
        <v>1190</v>
      </c>
      <c r="F320"/>
      <c r="G320">
        <v>0.05</v>
      </c>
      <c r="H320" s="1">
        <v>17529.53</v>
      </c>
      <c r="I320"/>
      <c r="J320" t="s">
        <v>1679</v>
      </c>
      <c r="K320" s="170">
        <v>45869</v>
      </c>
      <c r="L320" s="1">
        <v>16431.584541062806</v>
      </c>
      <c r="M320" s="1">
        <v>46081</v>
      </c>
      <c r="O320"/>
      <c r="S320"/>
      <c r="U320"/>
      <c r="Y320"/>
      <c r="Z320"/>
      <c r="AB320"/>
    </row>
    <row r="321" spans="1:28" ht="14.4" hidden="1">
      <c r="A321" t="s">
        <v>167</v>
      </c>
      <c r="B321" s="1">
        <v>82</v>
      </c>
      <c r="C321" s="258" t="s">
        <v>1712</v>
      </c>
      <c r="D321" t="s">
        <v>1211</v>
      </c>
      <c r="E321" t="s">
        <v>1713</v>
      </c>
      <c r="F321"/>
      <c r="H321" s="1">
        <v>17891.32</v>
      </c>
      <c r="I321" t="s">
        <v>1714</v>
      </c>
      <c r="J321" t="s">
        <v>1715</v>
      </c>
      <c r="K321" s="170">
        <v>45961</v>
      </c>
      <c r="L321" s="1">
        <v>0</v>
      </c>
      <c r="M321" s="1">
        <v>45967</v>
      </c>
      <c r="O321"/>
      <c r="S321"/>
      <c r="U321"/>
      <c r="Y321"/>
      <c r="Z321"/>
      <c r="AB321"/>
    </row>
    <row r="322" spans="1:28" ht="14.4" hidden="1">
      <c r="A322" t="s">
        <v>167</v>
      </c>
      <c r="B322" s="1">
        <v>83</v>
      </c>
      <c r="C322" s="258" t="s">
        <v>1716</v>
      </c>
      <c r="D322" t="s">
        <v>1211</v>
      </c>
      <c r="E322" t="s">
        <v>1717</v>
      </c>
      <c r="F322"/>
      <c r="H322" s="1">
        <v>32171.96</v>
      </c>
      <c r="I322"/>
      <c r="J322" t="s">
        <v>1715</v>
      </c>
      <c r="K322" s="170">
        <v>45961</v>
      </c>
      <c r="M322" s="1">
        <v>45967</v>
      </c>
      <c r="O322"/>
      <c r="S322"/>
      <c r="U322"/>
      <c r="Y322"/>
      <c r="Z322"/>
      <c r="AB322"/>
    </row>
    <row r="323" spans="1:28" ht="14.4" hidden="1">
      <c r="A323" t="s">
        <v>167</v>
      </c>
      <c r="B323" s="1">
        <v>84</v>
      </c>
      <c r="C323" s="258" t="s">
        <v>1718</v>
      </c>
      <c r="D323" t="s">
        <v>1211</v>
      </c>
      <c r="E323" t="s">
        <v>1719</v>
      </c>
      <c r="F323"/>
      <c r="H323" s="1">
        <v>16085.98</v>
      </c>
      <c r="I323"/>
      <c r="J323" t="s">
        <v>1720</v>
      </c>
      <c r="K323" s="170">
        <v>45991</v>
      </c>
      <c r="L323" s="1">
        <v>0</v>
      </c>
      <c r="M323" s="1">
        <v>45995</v>
      </c>
      <c r="O323"/>
      <c r="S323"/>
      <c r="U323"/>
      <c r="Y323"/>
      <c r="Z323"/>
      <c r="AB323"/>
    </row>
    <row r="324" spans="1:28" ht="14.4" hidden="1">
      <c r="A324" t="s">
        <v>167</v>
      </c>
      <c r="B324" s="1">
        <v>100</v>
      </c>
      <c r="C324" s="258" t="s">
        <v>1721</v>
      </c>
      <c r="D324" t="s">
        <v>1224</v>
      </c>
      <c r="E324" t="s">
        <v>1722</v>
      </c>
      <c r="F324">
        <v>400000</v>
      </c>
      <c r="G324">
        <v>0.5</v>
      </c>
      <c r="H324" s="1">
        <v>200000</v>
      </c>
      <c r="I324"/>
      <c r="J324" t="s">
        <v>1723</v>
      </c>
      <c r="K324" s="170">
        <v>45869</v>
      </c>
      <c r="L324" s="1">
        <v>332484.57961309527</v>
      </c>
      <c r="M324" s="1">
        <v>45862</v>
      </c>
      <c r="O324"/>
      <c r="S324"/>
      <c r="U324"/>
      <c r="Y324"/>
      <c r="Z324"/>
      <c r="AB324"/>
    </row>
    <row r="325" spans="1:28" ht="14.4" hidden="1">
      <c r="A325" t="s">
        <v>167</v>
      </c>
      <c r="B325" s="1">
        <v>101</v>
      </c>
      <c r="C325" s="258" t="s">
        <v>1724</v>
      </c>
      <c r="D325" t="s">
        <v>1224</v>
      </c>
      <c r="F325"/>
      <c r="G325">
        <v>0.5</v>
      </c>
      <c r="H325" s="1">
        <v>200000</v>
      </c>
      <c r="I325"/>
      <c r="J325" t="s">
        <v>1723</v>
      </c>
      <c r="K325" s="170">
        <v>45869</v>
      </c>
      <c r="L325" s="1">
        <v>332484.57961309527</v>
      </c>
      <c r="M325" s="1">
        <v>45867</v>
      </c>
      <c r="O325"/>
      <c r="S325"/>
      <c r="U325"/>
      <c r="Y325"/>
      <c r="Z325"/>
      <c r="AB325"/>
    </row>
    <row r="326" spans="1:28" ht="14.4" hidden="1">
      <c r="A326" t="s">
        <v>167</v>
      </c>
      <c r="B326" s="1">
        <v>103</v>
      </c>
      <c r="C326" s="258" t="s">
        <v>1725</v>
      </c>
      <c r="D326" t="s">
        <v>1224</v>
      </c>
      <c r="E326" t="s">
        <v>1726</v>
      </c>
      <c r="F326"/>
      <c r="H326" s="1">
        <v>63955.72</v>
      </c>
      <c r="I326" t="s">
        <v>1727</v>
      </c>
      <c r="J326" t="s">
        <v>1728</v>
      </c>
      <c r="K326" s="170">
        <v>45900</v>
      </c>
      <c r="L326" s="1">
        <v>38322.387083997099</v>
      </c>
      <c r="M326" s="1">
        <v>45890</v>
      </c>
      <c r="O326"/>
      <c r="S326"/>
      <c r="U326"/>
      <c r="Y326"/>
      <c r="Z326"/>
      <c r="AB326"/>
    </row>
    <row r="327" spans="1:28" ht="14.4" hidden="1">
      <c r="A327" t="s">
        <v>167</v>
      </c>
      <c r="B327" s="1">
        <v>106</v>
      </c>
      <c r="C327" s="258" t="s">
        <v>1729</v>
      </c>
      <c r="D327" t="s">
        <v>1224</v>
      </c>
      <c r="E327" t="s">
        <v>1730</v>
      </c>
      <c r="F327"/>
      <c r="H327" s="1">
        <v>27360</v>
      </c>
      <c r="I327" t="s">
        <v>1731</v>
      </c>
      <c r="J327" t="s">
        <v>1732</v>
      </c>
      <c r="K327" s="170">
        <v>45930</v>
      </c>
      <c r="L327" s="1">
        <v>41473.907938463686</v>
      </c>
      <c r="M327" s="1">
        <v>45918</v>
      </c>
      <c r="O327"/>
      <c r="S327"/>
      <c r="U327"/>
      <c r="Y327"/>
      <c r="Z327"/>
      <c r="AB327"/>
    </row>
    <row r="328" spans="1:28" ht="14.4" hidden="1">
      <c r="A328" t="s">
        <v>167</v>
      </c>
      <c r="B328" s="1">
        <v>108</v>
      </c>
      <c r="C328" s="258" t="s">
        <v>1733</v>
      </c>
      <c r="D328" t="s">
        <v>1224</v>
      </c>
      <c r="E328" t="s">
        <v>1734</v>
      </c>
      <c r="F328"/>
      <c r="H328" s="1">
        <v>18931</v>
      </c>
      <c r="I328" t="s">
        <v>1735</v>
      </c>
      <c r="J328" t="s">
        <v>1736</v>
      </c>
      <c r="K328" s="170">
        <v>45991</v>
      </c>
      <c r="L328" s="1">
        <v>0</v>
      </c>
      <c r="M328" s="1">
        <v>45989</v>
      </c>
      <c r="O328"/>
      <c r="S328"/>
      <c r="U328"/>
      <c r="Y328"/>
      <c r="Z328"/>
      <c r="AB328"/>
    </row>
    <row r="329" spans="1:28" ht="14.4" hidden="1">
      <c r="A329" t="s">
        <v>167</v>
      </c>
      <c r="B329" s="1">
        <v>109</v>
      </c>
      <c r="C329" s="258" t="s">
        <v>1737</v>
      </c>
      <c r="D329" t="s">
        <v>1224</v>
      </c>
      <c r="E329" t="s">
        <v>1738</v>
      </c>
      <c r="F329"/>
      <c r="H329" s="1">
        <v>6610</v>
      </c>
      <c r="I329"/>
      <c r="J329" t="s">
        <v>1739</v>
      </c>
      <c r="K329" s="170">
        <v>46022</v>
      </c>
      <c r="M329" s="1">
        <v>46009</v>
      </c>
      <c r="O329"/>
      <c r="S329"/>
      <c r="U329"/>
      <c r="Y329"/>
      <c r="Z329"/>
      <c r="AB329"/>
    </row>
    <row r="330" spans="1:28" ht="14.4" hidden="1">
      <c r="A330" t="s">
        <v>167</v>
      </c>
      <c r="B330" s="1">
        <v>118</v>
      </c>
      <c r="C330" s="258" t="s">
        <v>1740</v>
      </c>
      <c r="D330" t="s">
        <v>1246</v>
      </c>
      <c r="E330" t="s">
        <v>1169</v>
      </c>
      <c r="F330">
        <v>220320</v>
      </c>
      <c r="G330">
        <v>0.1</v>
      </c>
      <c r="H330" s="1">
        <v>22032</v>
      </c>
      <c r="I330" t="s">
        <v>1676</v>
      </c>
      <c r="J330" t="s">
        <v>1677</v>
      </c>
      <c r="K330" s="170">
        <v>45869</v>
      </c>
      <c r="L330" s="1">
        <v>15700.555555555557</v>
      </c>
      <c r="M330" s="1">
        <v>45869</v>
      </c>
      <c r="O330"/>
      <c r="S330"/>
      <c r="U330"/>
      <c r="Y330"/>
      <c r="Z330"/>
      <c r="AB330"/>
    </row>
    <row r="331" spans="1:28" ht="14.4" hidden="1">
      <c r="A331" t="s">
        <v>167</v>
      </c>
      <c r="B331" s="1">
        <v>119</v>
      </c>
      <c r="C331" s="258" t="s">
        <v>1741</v>
      </c>
      <c r="D331" t="s">
        <v>1246</v>
      </c>
      <c r="E331" t="s">
        <v>558</v>
      </c>
      <c r="F331"/>
      <c r="G331">
        <v>0.15</v>
      </c>
      <c r="H331" s="1">
        <v>33048</v>
      </c>
      <c r="I331"/>
      <c r="J331" t="s">
        <v>1679</v>
      </c>
      <c r="K331" s="170">
        <v>45869</v>
      </c>
      <c r="L331" s="1">
        <v>23550.833333333332</v>
      </c>
      <c r="M331" s="1">
        <v>45932</v>
      </c>
      <c r="O331"/>
      <c r="S331"/>
      <c r="U331"/>
      <c r="Y331"/>
      <c r="Z331"/>
      <c r="AB331"/>
    </row>
    <row r="332" spans="1:28" ht="14.4" hidden="1">
      <c r="A332" t="s">
        <v>167</v>
      </c>
      <c r="B332" s="1">
        <v>120</v>
      </c>
      <c r="C332" s="258" t="s">
        <v>1742</v>
      </c>
      <c r="D332" t="s">
        <v>1246</v>
      </c>
      <c r="E332" t="s">
        <v>1175</v>
      </c>
      <c r="F332"/>
      <c r="G332">
        <v>0.2</v>
      </c>
      <c r="H332" s="1">
        <v>44064</v>
      </c>
      <c r="I332"/>
      <c r="J332" t="s">
        <v>1743</v>
      </c>
      <c r="K332" s="170">
        <v>45991</v>
      </c>
      <c r="L332" s="1">
        <v>31401.111111111113</v>
      </c>
      <c r="M332" s="1">
        <v>46003</v>
      </c>
      <c r="O332"/>
      <c r="S332"/>
      <c r="U332"/>
      <c r="Y332"/>
      <c r="Z332"/>
      <c r="AB332"/>
    </row>
    <row r="333" spans="1:28" ht="14.4" hidden="1">
      <c r="A333" t="s">
        <v>167</v>
      </c>
      <c r="B333" s="1">
        <v>121</v>
      </c>
      <c r="C333" s="258" t="s">
        <v>1744</v>
      </c>
      <c r="D333" t="s">
        <v>1246</v>
      </c>
      <c r="E333" t="s">
        <v>1178</v>
      </c>
      <c r="F333"/>
      <c r="G333">
        <v>0.25</v>
      </c>
      <c r="H333" s="1">
        <v>55080</v>
      </c>
      <c r="I333"/>
      <c r="J333" t="s">
        <v>1745</v>
      </c>
      <c r="K333" s="170">
        <v>46022</v>
      </c>
      <c r="L333" s="1">
        <v>39251.388888888891</v>
      </c>
      <c r="M333" s="1">
        <v>46009</v>
      </c>
      <c r="Y333"/>
      <c r="Z333"/>
      <c r="AB333"/>
    </row>
    <row r="334" spans="1:28" ht="14.4" hidden="1">
      <c r="A334" t="s">
        <v>167</v>
      </c>
      <c r="B334" s="1">
        <v>122</v>
      </c>
      <c r="C334" s="258" t="s">
        <v>1746</v>
      </c>
      <c r="D334" t="s">
        <v>1246</v>
      </c>
      <c r="E334" t="s">
        <v>1181</v>
      </c>
      <c r="F334"/>
      <c r="G334">
        <v>0.1</v>
      </c>
      <c r="H334" s="1">
        <v>22032</v>
      </c>
      <c r="I334"/>
      <c r="J334" t="s">
        <v>1747</v>
      </c>
      <c r="K334" s="170">
        <v>46022</v>
      </c>
      <c r="L334" s="1">
        <v>15700.555555555557</v>
      </c>
      <c r="M334" s="1">
        <v>46037</v>
      </c>
      <c r="Y334"/>
      <c r="Z334"/>
      <c r="AB334"/>
    </row>
    <row r="335" spans="1:28" ht="14.4" hidden="1">
      <c r="A335" t="s">
        <v>167</v>
      </c>
      <c r="B335" s="1">
        <v>123</v>
      </c>
      <c r="C335" s="258" t="s">
        <v>1748</v>
      </c>
      <c r="D335" t="s">
        <v>1246</v>
      </c>
      <c r="E335" t="s">
        <v>1184</v>
      </c>
      <c r="F335"/>
      <c r="G335">
        <v>0.1</v>
      </c>
      <c r="H335" s="1">
        <v>22032</v>
      </c>
      <c r="I335"/>
      <c r="J335" t="s">
        <v>1749</v>
      </c>
      <c r="K335" s="170">
        <v>46053</v>
      </c>
      <c r="L335" s="1">
        <v>15700.555555555557</v>
      </c>
      <c r="M335" s="1">
        <v>46051</v>
      </c>
      <c r="Y335"/>
      <c r="Z335"/>
      <c r="AB335"/>
    </row>
    <row r="336" spans="1:28" ht="14.4" hidden="1">
      <c r="A336" t="s">
        <v>167</v>
      </c>
      <c r="B336" s="1">
        <v>124</v>
      </c>
      <c r="C336" s="258" t="s">
        <v>1750</v>
      </c>
      <c r="D336" t="s">
        <v>1246</v>
      </c>
      <c r="E336" t="s">
        <v>1187</v>
      </c>
      <c r="F336"/>
      <c r="G336">
        <v>0.05</v>
      </c>
      <c r="H336" s="1">
        <v>11016</v>
      </c>
      <c r="I336"/>
      <c r="J336" t="s">
        <v>1751</v>
      </c>
      <c r="K336" s="170">
        <v>46053</v>
      </c>
      <c r="L336" s="1">
        <v>7850.2777777777774</v>
      </c>
      <c r="M336" s="1">
        <v>46051</v>
      </c>
      <c r="Y336"/>
      <c r="Z336"/>
      <c r="AB336"/>
    </row>
    <row r="337" spans="1:28" ht="14.4" hidden="1">
      <c r="A337" t="s">
        <v>167</v>
      </c>
      <c r="B337" s="1">
        <v>125</v>
      </c>
      <c r="C337" s="258" t="s">
        <v>1752</v>
      </c>
      <c r="D337" t="s">
        <v>1246</v>
      </c>
      <c r="E337" t="s">
        <v>1190</v>
      </c>
      <c r="F337"/>
      <c r="G337">
        <v>0.05</v>
      </c>
      <c r="H337" s="1">
        <v>11016</v>
      </c>
      <c r="I337"/>
      <c r="J337"/>
      <c r="K337" s="170">
        <v>46081</v>
      </c>
      <c r="L337" s="1">
        <v>7850.2777777777774</v>
      </c>
      <c r="M337" s="1">
        <v>46081</v>
      </c>
      <c r="Y337"/>
      <c r="Z337"/>
      <c r="AB337"/>
    </row>
    <row r="338" spans="1:28" ht="14.4" hidden="1">
      <c r="A338" t="s">
        <v>167</v>
      </c>
      <c r="B338" s="1">
        <v>134</v>
      </c>
      <c r="C338" s="258" t="s">
        <v>1753</v>
      </c>
      <c r="D338" t="s">
        <v>1255</v>
      </c>
      <c r="E338" t="s">
        <v>1169</v>
      </c>
      <c r="F338">
        <v>80250</v>
      </c>
      <c r="G338">
        <v>0.1</v>
      </c>
      <c r="H338" s="1">
        <v>8025</v>
      </c>
      <c r="I338" t="s">
        <v>1676</v>
      </c>
      <c r="J338" t="s">
        <v>1677</v>
      </c>
      <c r="K338" s="170">
        <v>45869</v>
      </c>
      <c r="L338" s="1">
        <v>2811.1111111111113</v>
      </c>
      <c r="M338" s="1">
        <v>45869</v>
      </c>
      <c r="Y338"/>
      <c r="Z338"/>
      <c r="AB338"/>
    </row>
    <row r="339" spans="1:28" ht="14.4" hidden="1">
      <c r="A339" t="s">
        <v>167</v>
      </c>
      <c r="B339" s="1">
        <v>135</v>
      </c>
      <c r="C339" s="258" t="s">
        <v>1754</v>
      </c>
      <c r="D339" t="s">
        <v>1255</v>
      </c>
      <c r="E339" t="s">
        <v>558</v>
      </c>
      <c r="F339"/>
      <c r="G339">
        <v>0.15</v>
      </c>
      <c r="H339" s="1">
        <v>12037.5</v>
      </c>
      <c r="I339"/>
      <c r="J339" t="s">
        <v>1679</v>
      </c>
      <c r="K339" s="170">
        <v>45869</v>
      </c>
      <c r="L339" s="1">
        <v>4216.666666666667</v>
      </c>
      <c r="M339" s="1">
        <v>45932</v>
      </c>
      <c r="Y339"/>
      <c r="Z339"/>
      <c r="AB339"/>
    </row>
    <row r="340" spans="1:28" ht="14.4" hidden="1">
      <c r="A340" t="s">
        <v>167</v>
      </c>
      <c r="B340" s="1">
        <v>136</v>
      </c>
      <c r="C340" s="258" t="s">
        <v>1755</v>
      </c>
      <c r="D340" t="s">
        <v>1255</v>
      </c>
      <c r="E340" t="s">
        <v>1175</v>
      </c>
      <c r="F340"/>
      <c r="G340">
        <v>0.2</v>
      </c>
      <c r="H340" s="1">
        <v>16050</v>
      </c>
      <c r="I340"/>
      <c r="J340" t="s">
        <v>1679</v>
      </c>
      <c r="K340" s="170">
        <v>45869</v>
      </c>
      <c r="L340" s="1">
        <v>5622.2222222222226</v>
      </c>
      <c r="M340" s="1">
        <v>46003</v>
      </c>
      <c r="Y340"/>
      <c r="Z340"/>
      <c r="AB340"/>
    </row>
    <row r="341" spans="1:28" ht="14.4" hidden="1">
      <c r="A341" t="s">
        <v>167</v>
      </c>
      <c r="B341" s="1">
        <v>137</v>
      </c>
      <c r="C341" s="258" t="s">
        <v>1756</v>
      </c>
      <c r="D341" t="s">
        <v>1255</v>
      </c>
      <c r="E341" t="s">
        <v>1178</v>
      </c>
      <c r="F341"/>
      <c r="G341">
        <v>0.25</v>
      </c>
      <c r="H341" s="1">
        <v>20062.5</v>
      </c>
      <c r="I341"/>
      <c r="J341" t="s">
        <v>1679</v>
      </c>
      <c r="K341" s="170">
        <v>45869</v>
      </c>
      <c r="L341" s="1">
        <v>7027.7777777777783</v>
      </c>
      <c r="M341" s="1">
        <v>46009</v>
      </c>
      <c r="Y341"/>
      <c r="Z341"/>
      <c r="AB341"/>
    </row>
    <row r="342" spans="1:28" ht="14.4" hidden="1">
      <c r="A342" t="s">
        <v>167</v>
      </c>
      <c r="B342" s="1">
        <v>138</v>
      </c>
      <c r="C342" s="258" t="s">
        <v>1757</v>
      </c>
      <c r="D342" t="s">
        <v>1255</v>
      </c>
      <c r="E342" t="s">
        <v>1181</v>
      </c>
      <c r="F342"/>
      <c r="G342">
        <v>0.1</v>
      </c>
      <c r="H342" s="1">
        <v>8025</v>
      </c>
      <c r="I342"/>
      <c r="J342" t="s">
        <v>1679</v>
      </c>
      <c r="K342" s="170">
        <v>45869</v>
      </c>
      <c r="L342" s="1">
        <v>2811.1111111111113</v>
      </c>
      <c r="M342" s="1">
        <v>46051</v>
      </c>
      <c r="Y342"/>
      <c r="Z342"/>
      <c r="AB342"/>
    </row>
    <row r="343" spans="1:28" ht="14.4" hidden="1">
      <c r="A343" t="s">
        <v>167</v>
      </c>
      <c r="B343" s="1">
        <v>139</v>
      </c>
      <c r="C343" s="258" t="s">
        <v>1758</v>
      </c>
      <c r="D343" t="s">
        <v>1255</v>
      </c>
      <c r="E343" t="s">
        <v>1184</v>
      </c>
      <c r="F343"/>
      <c r="G343">
        <v>0.1</v>
      </c>
      <c r="H343" s="1">
        <v>8025</v>
      </c>
      <c r="I343"/>
      <c r="J343" t="s">
        <v>1679</v>
      </c>
      <c r="K343" s="170">
        <v>45869</v>
      </c>
      <c r="L343" s="1">
        <v>2811.1111111111113</v>
      </c>
      <c r="M343" s="1">
        <v>46051</v>
      </c>
      <c r="Y343"/>
      <c r="Z343"/>
      <c r="AB343"/>
    </row>
    <row r="344" spans="1:28" ht="14.4" hidden="1">
      <c r="A344" t="s">
        <v>167</v>
      </c>
      <c r="B344" s="1">
        <v>140</v>
      </c>
      <c r="C344" s="258" t="s">
        <v>1759</v>
      </c>
      <c r="D344" t="s">
        <v>1255</v>
      </c>
      <c r="E344" t="s">
        <v>1187</v>
      </c>
      <c r="F344"/>
      <c r="G344">
        <v>0.05</v>
      </c>
      <c r="H344" s="1">
        <v>4012.5</v>
      </c>
      <c r="I344"/>
      <c r="J344" t="s">
        <v>1679</v>
      </c>
      <c r="K344" s="170">
        <v>45869</v>
      </c>
      <c r="L344" s="1">
        <v>1405.5555555555557</v>
      </c>
      <c r="M344" s="1">
        <v>46051</v>
      </c>
      <c r="Y344"/>
      <c r="Z344"/>
      <c r="AB344"/>
    </row>
    <row r="345" spans="1:28" ht="14.4" hidden="1">
      <c r="A345" t="s">
        <v>167</v>
      </c>
      <c r="B345" s="1">
        <v>141</v>
      </c>
      <c r="C345" s="258" t="s">
        <v>1760</v>
      </c>
      <c r="D345" t="s">
        <v>1255</v>
      </c>
      <c r="E345" t="s">
        <v>1190</v>
      </c>
      <c r="F345"/>
      <c r="G345">
        <v>0.05</v>
      </c>
      <c r="H345" s="1">
        <v>4012.5</v>
      </c>
      <c r="I345"/>
      <c r="J345" t="s">
        <v>1679</v>
      </c>
      <c r="K345" s="170">
        <v>45869</v>
      </c>
      <c r="L345" s="1">
        <v>1405.5555555555557</v>
      </c>
      <c r="M345" s="1">
        <v>46081</v>
      </c>
      <c r="Y345"/>
      <c r="Z345"/>
      <c r="AB345"/>
    </row>
    <row r="346" spans="1:28" ht="14.4" hidden="1">
      <c r="A346" t="s">
        <v>167</v>
      </c>
      <c r="B346" s="1">
        <v>146</v>
      </c>
      <c r="C346" s="258" t="s">
        <v>1761</v>
      </c>
      <c r="D346" t="s">
        <v>1264</v>
      </c>
      <c r="E346" t="s">
        <v>1265</v>
      </c>
      <c r="F346"/>
      <c r="H346" s="1">
        <v>13950</v>
      </c>
      <c r="I346"/>
      <c r="J346" t="s">
        <v>1762</v>
      </c>
      <c r="K346" s="170">
        <v>46022</v>
      </c>
      <c r="L346" s="1">
        <v>22531.328320802008</v>
      </c>
      <c r="M346" s="1">
        <v>46045</v>
      </c>
      <c r="N346" s="1">
        <v>19950</v>
      </c>
      <c r="Y346"/>
      <c r="Z346"/>
      <c r="AB346"/>
    </row>
    <row r="347" spans="1:28" ht="14.4" hidden="1">
      <c r="A347" t="s">
        <v>167</v>
      </c>
      <c r="B347" s="1">
        <v>149</v>
      </c>
      <c r="C347" s="258" t="s">
        <v>1763</v>
      </c>
      <c r="D347" t="s">
        <v>1264</v>
      </c>
      <c r="E347" t="s">
        <v>808</v>
      </c>
      <c r="F347"/>
      <c r="H347" s="1">
        <v>6000</v>
      </c>
      <c r="I347"/>
      <c r="J347" t="s">
        <v>1764</v>
      </c>
      <c r="K347" s="170">
        <v>46053</v>
      </c>
      <c r="L347" s="1">
        <v>9690.8939014202169</v>
      </c>
      <c r="M347" s="1">
        <v>46079</v>
      </c>
      <c r="Y347"/>
      <c r="Z347"/>
      <c r="AB347"/>
    </row>
    <row r="348" spans="1:28" ht="14.4" hidden="1">
      <c r="A348" t="s">
        <v>167</v>
      </c>
      <c r="B348" s="1">
        <v>152</v>
      </c>
      <c r="C348" s="258" t="s">
        <v>1765</v>
      </c>
      <c r="D348" t="s">
        <v>1274</v>
      </c>
      <c r="E348" t="s">
        <v>1766</v>
      </c>
      <c r="F348"/>
      <c r="H348" s="1">
        <v>0</v>
      </c>
      <c r="I348"/>
      <c r="J348"/>
      <c r="K348" s="170" t="s">
        <v>51</v>
      </c>
      <c r="N348" s="1">
        <v>0</v>
      </c>
      <c r="Y348"/>
      <c r="Z348"/>
      <c r="AB348"/>
    </row>
    <row r="349" spans="1:28" ht="14.4" hidden="1">
      <c r="A349" t="s">
        <v>167</v>
      </c>
      <c r="B349" s="1">
        <v>153</v>
      </c>
      <c r="C349" s="258" t="s">
        <v>1767</v>
      </c>
      <c r="D349" t="s">
        <v>1274</v>
      </c>
      <c r="E349" t="s">
        <v>1275</v>
      </c>
      <c r="F349"/>
      <c r="H349" s="1">
        <v>0</v>
      </c>
      <c r="I349"/>
      <c r="J349"/>
      <c r="K349" s="170" t="s">
        <v>51</v>
      </c>
      <c r="Y349"/>
      <c r="Z349"/>
      <c r="AB349"/>
    </row>
    <row r="350" spans="1:28" ht="14.4" hidden="1">
      <c r="A350" t="s">
        <v>167</v>
      </c>
      <c r="B350" s="1">
        <v>155</v>
      </c>
      <c r="C350" s="258" t="s">
        <v>1768</v>
      </c>
      <c r="D350" t="s">
        <v>1277</v>
      </c>
      <c r="E350" t="s">
        <v>1278</v>
      </c>
      <c r="F350"/>
      <c r="H350" s="1">
        <v>49800.865598008757</v>
      </c>
      <c r="I350"/>
      <c r="J350"/>
      <c r="K350" s="170">
        <v>46081</v>
      </c>
      <c r="L350" s="1">
        <v>35315.709978384402</v>
      </c>
      <c r="M350" s="1">
        <v>46079</v>
      </c>
      <c r="N350" s="1">
        <v>49800.865598008757</v>
      </c>
      <c r="Y350"/>
      <c r="Z350"/>
      <c r="AB350"/>
    </row>
    <row r="351" spans="1:28" ht="14.4" hidden="1">
      <c r="A351" t="s">
        <v>167</v>
      </c>
      <c r="B351" s="1">
        <v>163</v>
      </c>
      <c r="C351" s="258" t="s">
        <v>1769</v>
      </c>
      <c r="D351" t="s">
        <v>1280</v>
      </c>
      <c r="E351" t="s">
        <v>1281</v>
      </c>
      <c r="F351"/>
      <c r="H351" s="1">
        <v>0</v>
      </c>
      <c r="I351"/>
      <c r="J351"/>
      <c r="K351" s="170">
        <v>45777</v>
      </c>
      <c r="L351" s="1">
        <v>0</v>
      </c>
      <c r="M351" s="1">
        <v>45777</v>
      </c>
      <c r="Y351"/>
      <c r="Z351"/>
      <c r="AB351"/>
    </row>
    <row r="352" spans="1:28" ht="14.4" hidden="1">
      <c r="A352" t="s">
        <v>167</v>
      </c>
      <c r="B352" s="1">
        <v>164</v>
      </c>
      <c r="C352" s="258" t="s">
        <v>1770</v>
      </c>
      <c r="D352" t="s">
        <v>1280</v>
      </c>
      <c r="E352" t="s">
        <v>1281</v>
      </c>
      <c r="F352"/>
      <c r="H352" s="1">
        <v>0</v>
      </c>
      <c r="I352"/>
      <c r="J352" t="s">
        <v>1604</v>
      </c>
      <c r="K352" s="170">
        <v>45808</v>
      </c>
      <c r="L352" s="1">
        <v>0</v>
      </c>
      <c r="M352" s="1">
        <v>45808</v>
      </c>
      <c r="Y352"/>
      <c r="Z352"/>
      <c r="AB352"/>
    </row>
    <row r="353" spans="1:28" ht="14.4" hidden="1">
      <c r="A353" t="s">
        <v>167</v>
      </c>
      <c r="B353" s="1">
        <v>165</v>
      </c>
      <c r="C353" s="258" t="s">
        <v>1771</v>
      </c>
      <c r="D353" t="s">
        <v>1280</v>
      </c>
      <c r="E353" t="s">
        <v>1281</v>
      </c>
      <c r="F353"/>
      <c r="H353" s="1">
        <v>458.39</v>
      </c>
      <c r="I353"/>
      <c r="J353" t="s">
        <v>1604</v>
      </c>
      <c r="K353" s="170">
        <v>45838</v>
      </c>
      <c r="L353" s="1">
        <v>647.08873435583291</v>
      </c>
      <c r="M353" s="1">
        <v>45842</v>
      </c>
      <c r="Y353"/>
      <c r="Z353"/>
      <c r="AB353"/>
    </row>
    <row r="354" spans="1:28" ht="14.4" hidden="1">
      <c r="A354" t="s">
        <v>167</v>
      </c>
      <c r="B354" s="1">
        <v>166</v>
      </c>
      <c r="C354" s="258" t="s">
        <v>1772</v>
      </c>
      <c r="D354" t="s">
        <v>1280</v>
      </c>
      <c r="E354" t="s">
        <v>1281</v>
      </c>
      <c r="F354"/>
      <c r="H354" s="1">
        <v>459.51</v>
      </c>
      <c r="I354"/>
      <c r="J354" t="s">
        <v>1604</v>
      </c>
      <c r="K354" s="170">
        <v>45869</v>
      </c>
      <c r="L354" s="1">
        <v>583.73621416460549</v>
      </c>
      <c r="M354" s="1">
        <v>45876</v>
      </c>
      <c r="Y354"/>
      <c r="Z354"/>
      <c r="AB354"/>
    </row>
    <row r="355" spans="1:28" ht="14.4" hidden="1">
      <c r="A355" t="s">
        <v>167</v>
      </c>
      <c r="B355" s="1">
        <v>167</v>
      </c>
      <c r="C355" s="258" t="s">
        <v>1773</v>
      </c>
      <c r="D355" t="s">
        <v>1280</v>
      </c>
      <c r="E355" t="s">
        <v>1281</v>
      </c>
      <c r="F355"/>
      <c r="H355" s="1">
        <v>308.45</v>
      </c>
      <c r="I355"/>
      <c r="J355" t="s">
        <v>1604</v>
      </c>
      <c r="K355" s="170">
        <v>45900</v>
      </c>
      <c r="L355" s="1">
        <v>380.56946742105487</v>
      </c>
      <c r="M355" s="1">
        <v>45905</v>
      </c>
      <c r="Y355"/>
      <c r="Z355"/>
      <c r="AB355"/>
    </row>
    <row r="356" spans="1:28" ht="14.4" hidden="1">
      <c r="A356" t="s">
        <v>167</v>
      </c>
      <c r="B356" s="1">
        <v>168</v>
      </c>
      <c r="C356" s="258" t="s">
        <v>1774</v>
      </c>
      <c r="D356" t="s">
        <v>1280</v>
      </c>
      <c r="E356" t="s">
        <v>1281</v>
      </c>
      <c r="F356"/>
      <c r="H356" s="1">
        <v>845.78</v>
      </c>
      <c r="I356"/>
      <c r="J356" t="s">
        <v>1604</v>
      </c>
      <c r="K356" s="170">
        <v>45930</v>
      </c>
      <c r="L356" s="1">
        <v>820.19753666952045</v>
      </c>
      <c r="M356" s="1">
        <v>45940</v>
      </c>
      <c r="Y356"/>
      <c r="Z356"/>
      <c r="AB356"/>
    </row>
    <row r="357" spans="1:28" ht="14.4" hidden="1">
      <c r="A357" t="s">
        <v>167</v>
      </c>
      <c r="B357" s="1">
        <v>169</v>
      </c>
      <c r="C357" s="258" t="s">
        <v>1775</v>
      </c>
      <c r="D357" t="s">
        <v>1280</v>
      </c>
      <c r="E357" t="s">
        <v>1281</v>
      </c>
      <c r="F357"/>
      <c r="H357" s="1">
        <v>3844.23</v>
      </c>
      <c r="I357"/>
      <c r="J357" t="s">
        <v>1604</v>
      </c>
      <c r="K357" s="170">
        <v>45961</v>
      </c>
      <c r="L357" s="1">
        <v>1633.5092522638961</v>
      </c>
      <c r="M357" s="1">
        <v>45967</v>
      </c>
      <c r="Y357"/>
      <c r="Z357"/>
      <c r="AB357"/>
    </row>
    <row r="358" spans="1:28" ht="14.4" hidden="1">
      <c r="A358" t="s">
        <v>167</v>
      </c>
      <c r="B358" s="1">
        <v>170</v>
      </c>
      <c r="C358" s="258" t="s">
        <v>1776</v>
      </c>
      <c r="D358" t="s">
        <v>1280</v>
      </c>
      <c r="E358" t="s">
        <v>1281</v>
      </c>
      <c r="F358"/>
      <c r="H358" s="1">
        <v>410.79</v>
      </c>
      <c r="I358"/>
      <c r="J358" t="s">
        <v>1604</v>
      </c>
      <c r="K358" s="170">
        <v>45991</v>
      </c>
      <c r="L358" s="1">
        <v>170.15157393952765</v>
      </c>
      <c r="M358" s="1">
        <v>45996</v>
      </c>
      <c r="Y358"/>
      <c r="Z358"/>
      <c r="AB358"/>
    </row>
    <row r="359" spans="1:28" ht="14.4" hidden="1">
      <c r="A359" t="s">
        <v>167</v>
      </c>
      <c r="B359" s="1">
        <v>171</v>
      </c>
      <c r="C359" s="258" t="s">
        <v>1777</v>
      </c>
      <c r="D359" t="s">
        <v>1280</v>
      </c>
      <c r="E359" t="s">
        <v>1281</v>
      </c>
      <c r="F359"/>
      <c r="H359" s="1">
        <v>0</v>
      </c>
      <c r="I359"/>
      <c r="J359" t="s">
        <v>1604</v>
      </c>
      <c r="K359" s="170">
        <v>46022</v>
      </c>
      <c r="L359" s="1">
        <v>0</v>
      </c>
      <c r="M359" s="1">
        <v>46022</v>
      </c>
      <c r="Y359"/>
      <c r="Z359"/>
      <c r="AB359"/>
    </row>
    <row r="360" spans="1:28" ht="14.4" hidden="1">
      <c r="A360" t="s">
        <v>167</v>
      </c>
      <c r="B360" s="1">
        <v>172</v>
      </c>
      <c r="C360" s="258" t="s">
        <v>1778</v>
      </c>
      <c r="D360" t="s">
        <v>1280</v>
      </c>
      <c r="E360" t="s">
        <v>1281</v>
      </c>
      <c r="F360"/>
      <c r="H360" s="1">
        <v>659.76</v>
      </c>
      <c r="I360"/>
      <c r="J360" t="s">
        <v>1604</v>
      </c>
      <c r="K360" s="170">
        <v>46053</v>
      </c>
      <c r="L360" s="1">
        <v>239.88712744421039</v>
      </c>
      <c r="M360" s="1">
        <v>46058</v>
      </c>
      <c r="Y360"/>
      <c r="Z360"/>
      <c r="AB360"/>
    </row>
    <row r="361" spans="1:28" ht="14.4" hidden="1">
      <c r="A361" t="s">
        <v>167</v>
      </c>
      <c r="B361" s="1">
        <v>173</v>
      </c>
      <c r="C361" s="258" t="s">
        <v>1779</v>
      </c>
      <c r="D361" t="s">
        <v>1280</v>
      </c>
      <c r="E361" t="s">
        <v>1281</v>
      </c>
      <c r="F361"/>
      <c r="H361" s="1">
        <v>500</v>
      </c>
      <c r="I361"/>
      <c r="J361"/>
      <c r="K361" s="170">
        <v>46081</v>
      </c>
      <c r="L361" s="1">
        <v>181.79878095383961</v>
      </c>
      <c r="M361" s="1">
        <v>46088</v>
      </c>
      <c r="Y361"/>
      <c r="Z361"/>
      <c r="AB361"/>
    </row>
    <row r="362" spans="1:28" ht="14.4" hidden="1">
      <c r="A362" t="s">
        <v>173</v>
      </c>
      <c r="B362" s="1">
        <v>6</v>
      </c>
      <c r="C362" s="258" t="s">
        <v>1800</v>
      </c>
      <c r="D362" t="s">
        <v>1146</v>
      </c>
      <c r="E362" t="s">
        <v>1801</v>
      </c>
      <c r="F362">
        <v>282</v>
      </c>
      <c r="G362">
        <v>1150.5</v>
      </c>
      <c r="H362" s="1">
        <v>324441</v>
      </c>
      <c r="I362"/>
      <c r="J362" t="s">
        <v>1802</v>
      </c>
      <c r="K362" s="170">
        <v>45869</v>
      </c>
      <c r="L362" s="1">
        <v>533253.60227272741</v>
      </c>
      <c r="M362" s="1">
        <v>45925</v>
      </c>
      <c r="N362" s="1">
        <v>324441</v>
      </c>
      <c r="Y362"/>
      <c r="Z362"/>
      <c r="AB362"/>
    </row>
    <row r="363" spans="1:28" ht="14.4" hidden="1">
      <c r="A363" t="s">
        <v>173</v>
      </c>
      <c r="B363" s="1">
        <v>13</v>
      </c>
      <c r="C363" s="258" t="s">
        <v>1803</v>
      </c>
      <c r="D363" t="s">
        <v>1157</v>
      </c>
      <c r="E363" t="s">
        <v>1804</v>
      </c>
      <c r="F363">
        <v>1</v>
      </c>
      <c r="G363">
        <v>43606.080000000002</v>
      </c>
      <c r="H363" s="1">
        <v>43606.080000000002</v>
      </c>
      <c r="I363"/>
      <c r="J363" t="s">
        <v>1802</v>
      </c>
      <c r="K363" s="170">
        <v>45869</v>
      </c>
      <c r="L363" s="1">
        <v>78238.497607066238</v>
      </c>
      <c r="M363" s="1">
        <v>45925</v>
      </c>
      <c r="N363" s="1">
        <v>137740.70000000001</v>
      </c>
      <c r="Y363"/>
      <c r="Z363"/>
      <c r="AB363"/>
    </row>
    <row r="364" spans="1:28" ht="14.4" hidden="1">
      <c r="A364" t="s">
        <v>173</v>
      </c>
      <c r="B364" s="1">
        <v>14</v>
      </c>
      <c r="C364" s="258" t="s">
        <v>1805</v>
      </c>
      <c r="D364" t="s">
        <v>1157</v>
      </c>
      <c r="E364" t="s">
        <v>1806</v>
      </c>
      <c r="F364">
        <v>1</v>
      </c>
      <c r="G364">
        <v>45062.94</v>
      </c>
      <c r="H364" s="1">
        <v>45062.94</v>
      </c>
      <c r="I364"/>
      <c r="J364" t="s">
        <v>1807</v>
      </c>
      <c r="K364" s="170">
        <v>45869</v>
      </c>
      <c r="L364" s="1">
        <v>80852.41148384285</v>
      </c>
      <c r="M364" s="1">
        <v>45869</v>
      </c>
      <c r="Y364"/>
      <c r="Z364"/>
      <c r="AB364"/>
    </row>
    <row r="365" spans="1:28" ht="14.4" hidden="1">
      <c r="A365" t="s">
        <v>173</v>
      </c>
      <c r="B365" s="1">
        <v>15</v>
      </c>
      <c r="C365" s="258" t="s">
        <v>1808</v>
      </c>
      <c r="D365" t="s">
        <v>1157</v>
      </c>
      <c r="E365" t="s">
        <v>1809</v>
      </c>
      <c r="F365"/>
      <c r="H365" s="1">
        <v>-43606.080000000002</v>
      </c>
      <c r="I365"/>
      <c r="J365" t="s">
        <v>1810</v>
      </c>
      <c r="K365" s="170">
        <v>45930</v>
      </c>
      <c r="M365" s="1">
        <v>45926</v>
      </c>
      <c r="Y365"/>
      <c r="Z365"/>
      <c r="AB365"/>
    </row>
    <row r="366" spans="1:28" ht="14.4" hidden="1">
      <c r="A366" t="s">
        <v>173</v>
      </c>
      <c r="B366" s="1">
        <v>16</v>
      </c>
      <c r="C366" s="258" t="s">
        <v>1811</v>
      </c>
      <c r="D366" t="s">
        <v>1157</v>
      </c>
      <c r="E366" t="s">
        <v>1812</v>
      </c>
      <c r="F366"/>
      <c r="H366" s="1">
        <v>-45062.94</v>
      </c>
      <c r="I366"/>
      <c r="J366" t="s">
        <v>1813</v>
      </c>
      <c r="K366" s="170">
        <v>45900</v>
      </c>
      <c r="M366" s="1">
        <v>45900</v>
      </c>
      <c r="Y366"/>
      <c r="Z366"/>
      <c r="AB366"/>
    </row>
    <row r="367" spans="1:28" ht="14.4" hidden="1">
      <c r="A367" t="s">
        <v>173</v>
      </c>
      <c r="B367" s="1">
        <v>18</v>
      </c>
      <c r="C367" s="258" t="s">
        <v>1814</v>
      </c>
      <c r="D367" t="s">
        <v>1157</v>
      </c>
      <c r="E367" t="s">
        <v>1815</v>
      </c>
      <c r="F367">
        <v>2</v>
      </c>
      <c r="G367">
        <v>68870.350000000006</v>
      </c>
      <c r="H367" s="1">
        <v>137740.70000000001</v>
      </c>
      <c r="I367"/>
      <c r="J367" t="s">
        <v>1816</v>
      </c>
      <c r="K367" s="170">
        <v>45900</v>
      </c>
      <c r="L367" s="1">
        <v>0</v>
      </c>
      <c r="M367" s="1">
        <v>45961</v>
      </c>
      <c r="Y367"/>
      <c r="Z367"/>
      <c r="AB367"/>
    </row>
    <row r="368" spans="1:28" ht="14.4" hidden="1">
      <c r="A368" t="s">
        <v>173</v>
      </c>
      <c r="B368" s="1">
        <v>23</v>
      </c>
      <c r="C368" s="258" t="s">
        <v>1817</v>
      </c>
      <c r="D368" t="s">
        <v>1160</v>
      </c>
      <c r="E368" t="s">
        <v>1161</v>
      </c>
      <c r="F368"/>
      <c r="H368" s="1">
        <v>154429.66</v>
      </c>
      <c r="I368" t="s">
        <v>1818</v>
      </c>
      <c r="J368" t="s">
        <v>1819</v>
      </c>
      <c r="K368" s="170">
        <v>45900</v>
      </c>
      <c r="L368" s="1">
        <v>75654.545454545456</v>
      </c>
      <c r="M368" s="1">
        <v>45930</v>
      </c>
      <c r="N368" s="1">
        <v>157679.66</v>
      </c>
      <c r="Y368"/>
      <c r="Z368"/>
      <c r="AB368"/>
    </row>
    <row r="369" spans="1:28" ht="14.4" hidden="1">
      <c r="A369" t="s">
        <v>173</v>
      </c>
      <c r="B369" s="1">
        <v>24</v>
      </c>
      <c r="C369" s="258" t="s">
        <v>1820</v>
      </c>
      <c r="D369" t="s">
        <v>1160</v>
      </c>
      <c r="E369" t="s">
        <v>1821</v>
      </c>
      <c r="F369"/>
      <c r="H369" s="1">
        <v>3250</v>
      </c>
      <c r="I369" t="s">
        <v>1822</v>
      </c>
      <c r="J369" t="s">
        <v>1823</v>
      </c>
      <c r="K369" s="170">
        <v>45991</v>
      </c>
      <c r="L369" s="1">
        <v>0</v>
      </c>
      <c r="M369" s="1">
        <v>46031</v>
      </c>
      <c r="Y369"/>
      <c r="Z369"/>
      <c r="AB369"/>
    </row>
    <row r="370" spans="1:28" ht="14.4" hidden="1">
      <c r="A370" t="s">
        <v>173</v>
      </c>
      <c r="B370" s="1">
        <v>30</v>
      </c>
      <c r="C370" s="258" t="s">
        <v>1824</v>
      </c>
      <c r="D370" t="s">
        <v>1165</v>
      </c>
      <c r="E370" t="s">
        <v>836</v>
      </c>
      <c r="F370">
        <v>4000</v>
      </c>
      <c r="G370">
        <v>14</v>
      </c>
      <c r="H370" s="1">
        <v>54000</v>
      </c>
      <c r="I370"/>
      <c r="J370" t="s">
        <v>1825</v>
      </c>
      <c r="K370" s="170">
        <v>45869</v>
      </c>
      <c r="L370" s="1">
        <v>60762.394402612517</v>
      </c>
      <c r="M370" s="1">
        <v>45901</v>
      </c>
      <c r="N370" s="1">
        <v>453642.24999999994</v>
      </c>
      <c r="Y370"/>
      <c r="Z370"/>
      <c r="AB370"/>
    </row>
    <row r="371" spans="1:28" ht="14.4" hidden="1">
      <c r="A371" t="s">
        <v>173</v>
      </c>
      <c r="B371" s="1">
        <v>31</v>
      </c>
      <c r="C371" s="258" t="s">
        <v>1826</v>
      </c>
      <c r="D371" t="s">
        <v>1165</v>
      </c>
      <c r="E371" t="s">
        <v>1827</v>
      </c>
      <c r="F371">
        <v>4000</v>
      </c>
      <c r="H371" s="1">
        <v>54000</v>
      </c>
      <c r="I371" t="s">
        <v>1828</v>
      </c>
      <c r="J371" t="s">
        <v>1829</v>
      </c>
      <c r="K371" s="170">
        <v>45900</v>
      </c>
      <c r="L371" s="1">
        <v>0</v>
      </c>
      <c r="M371" s="1">
        <v>45930</v>
      </c>
      <c r="Y371"/>
      <c r="Z371"/>
      <c r="AB371"/>
    </row>
    <row r="372" spans="1:28" ht="14.4" hidden="1">
      <c r="A372" t="s">
        <v>173</v>
      </c>
      <c r="B372" s="1">
        <v>34</v>
      </c>
      <c r="C372" s="258" t="s">
        <v>1830</v>
      </c>
      <c r="D372" t="s">
        <v>1165</v>
      </c>
      <c r="E372" t="s">
        <v>1169</v>
      </c>
      <c r="F372">
        <v>345642.25</v>
      </c>
      <c r="G372">
        <v>0.1</v>
      </c>
      <c r="H372" s="1">
        <v>34564.224999999999</v>
      </c>
      <c r="I372" t="s">
        <v>1831</v>
      </c>
      <c r="J372" t="s">
        <v>1832</v>
      </c>
      <c r="K372" s="170">
        <v>45900</v>
      </c>
      <c r="L372" s="1">
        <v>13125.247796246033</v>
      </c>
      <c r="M372" s="1">
        <v>45867</v>
      </c>
      <c r="Y372"/>
      <c r="Z372"/>
      <c r="AB372"/>
    </row>
    <row r="373" spans="1:28" ht="14.4" hidden="1">
      <c r="A373" t="s">
        <v>173</v>
      </c>
      <c r="B373" s="1">
        <v>35</v>
      </c>
      <c r="C373" s="258" t="s">
        <v>1833</v>
      </c>
      <c r="D373" t="s">
        <v>1165</v>
      </c>
      <c r="E373" t="s">
        <v>558</v>
      </c>
      <c r="F373"/>
      <c r="G373">
        <v>0.15</v>
      </c>
      <c r="H373" s="1">
        <v>51846.337500000001</v>
      </c>
      <c r="I373"/>
      <c r="J373" t="s">
        <v>1832</v>
      </c>
      <c r="K373" s="170">
        <v>45900</v>
      </c>
      <c r="L373" s="1">
        <v>19687.871694369052</v>
      </c>
      <c r="M373" s="1">
        <v>45905</v>
      </c>
      <c r="Y373"/>
      <c r="Z373"/>
      <c r="AB373"/>
    </row>
    <row r="374" spans="1:28" ht="14.4" hidden="1">
      <c r="A374" t="s">
        <v>173</v>
      </c>
      <c r="B374" s="1">
        <v>36</v>
      </c>
      <c r="C374" s="258" t="s">
        <v>1834</v>
      </c>
      <c r="D374" t="s">
        <v>1165</v>
      </c>
      <c r="E374" t="s">
        <v>1175</v>
      </c>
      <c r="F374"/>
      <c r="G374">
        <v>0.2</v>
      </c>
      <c r="H374" s="1">
        <v>69128.45</v>
      </c>
      <c r="I374"/>
      <c r="J374" t="s">
        <v>1832</v>
      </c>
      <c r="K374" s="170">
        <v>45900</v>
      </c>
      <c r="L374" s="1">
        <v>6499.4855924920666</v>
      </c>
      <c r="M374" s="1">
        <v>45967</v>
      </c>
      <c r="Y374"/>
      <c r="Z374"/>
      <c r="AB374"/>
    </row>
    <row r="375" spans="1:28" ht="14.4" hidden="1">
      <c r="A375" t="s">
        <v>173</v>
      </c>
      <c r="B375" s="1">
        <v>37</v>
      </c>
      <c r="C375" s="258" t="s">
        <v>1835</v>
      </c>
      <c r="D375" t="s">
        <v>1165</v>
      </c>
      <c r="E375" t="s">
        <v>1178</v>
      </c>
      <c r="F375"/>
      <c r="G375">
        <v>0.25</v>
      </c>
      <c r="H375" s="1">
        <v>86410.5625</v>
      </c>
      <c r="I375"/>
      <c r="J375" t="s">
        <v>1832</v>
      </c>
      <c r="K375" s="170">
        <v>45900</v>
      </c>
      <c r="L375" s="1">
        <v>32813.119490615085</v>
      </c>
      <c r="M375" s="1">
        <v>45995</v>
      </c>
      <c r="Y375"/>
      <c r="Z375"/>
      <c r="AB375"/>
    </row>
    <row r="376" spans="1:28" ht="14.4" hidden="1">
      <c r="A376" t="s">
        <v>173</v>
      </c>
      <c r="B376" s="1">
        <v>38</v>
      </c>
      <c r="C376" s="258" t="s">
        <v>1836</v>
      </c>
      <c r="D376" t="s">
        <v>1165</v>
      </c>
      <c r="E376" t="s">
        <v>1181</v>
      </c>
      <c r="F376">
        <v>94535.464999999997</v>
      </c>
      <c r="G376">
        <v>0.1</v>
      </c>
      <c r="H376" s="1">
        <v>34564.224999999999</v>
      </c>
      <c r="I376"/>
      <c r="J376" t="s">
        <v>1832</v>
      </c>
      <c r="K376" s="170">
        <v>45900</v>
      </c>
      <c r="L376" s="1">
        <v>13125.247796246033</v>
      </c>
      <c r="M376" s="1">
        <v>46015</v>
      </c>
      <c r="Y376"/>
      <c r="Z376"/>
      <c r="AB376"/>
    </row>
    <row r="377" spans="1:28" ht="14.4" hidden="1">
      <c r="A377" t="s">
        <v>173</v>
      </c>
      <c r="B377" s="1">
        <v>39</v>
      </c>
      <c r="C377" s="258" t="s">
        <v>1837</v>
      </c>
      <c r="D377" t="s">
        <v>1165</v>
      </c>
      <c r="E377" t="s">
        <v>1184</v>
      </c>
      <c r="F377"/>
      <c r="G377">
        <v>0.1</v>
      </c>
      <c r="H377" s="1">
        <v>34564.224999999999</v>
      </c>
      <c r="I377"/>
      <c r="J377" t="s">
        <v>1832</v>
      </c>
      <c r="K377" s="170">
        <v>45900</v>
      </c>
      <c r="L377" s="1">
        <v>13125.247796246033</v>
      </c>
      <c r="M377" s="1">
        <v>46015</v>
      </c>
      <c r="Y377"/>
      <c r="Z377"/>
      <c r="AB377"/>
    </row>
    <row r="378" spans="1:28" ht="14.4" hidden="1">
      <c r="A378" t="s">
        <v>173</v>
      </c>
      <c r="B378" s="1">
        <v>40</v>
      </c>
      <c r="C378" s="258" t="s">
        <v>1838</v>
      </c>
      <c r="D378" t="s">
        <v>1165</v>
      </c>
      <c r="E378" t="s">
        <v>1187</v>
      </c>
      <c r="F378"/>
      <c r="G378">
        <v>0.05</v>
      </c>
      <c r="H378" s="1">
        <v>17282.112499999999</v>
      </c>
      <c r="I378"/>
      <c r="J378" t="s">
        <v>1832</v>
      </c>
      <c r="K378" s="170">
        <v>45900</v>
      </c>
      <c r="L378" s="1">
        <v>6562.6238981230163</v>
      </c>
      <c r="M378" s="1">
        <v>46051</v>
      </c>
      <c r="Y378"/>
      <c r="Z378"/>
      <c r="AB378"/>
    </row>
    <row r="379" spans="1:28" ht="14.4" hidden="1">
      <c r="A379" t="s">
        <v>173</v>
      </c>
      <c r="B379" s="1">
        <v>41</v>
      </c>
      <c r="C379" s="258" t="s">
        <v>1839</v>
      </c>
      <c r="D379" t="s">
        <v>1165</v>
      </c>
      <c r="E379" t="s">
        <v>1190</v>
      </c>
      <c r="F379"/>
      <c r="G379">
        <v>0.05</v>
      </c>
      <c r="H379" s="1">
        <v>17282.112499999999</v>
      </c>
      <c r="I379"/>
      <c r="J379" t="s">
        <v>1832</v>
      </c>
      <c r="K379" s="170">
        <v>45900</v>
      </c>
      <c r="L379" s="1">
        <v>6562.6238981230163</v>
      </c>
      <c r="M379" s="1">
        <v>46081</v>
      </c>
      <c r="Y379"/>
      <c r="Z379"/>
      <c r="AB379"/>
    </row>
    <row r="380" spans="1:28" ht="14.4" hidden="1">
      <c r="A380" t="s">
        <v>173</v>
      </c>
      <c r="B380" s="1">
        <v>46</v>
      </c>
      <c r="C380" s="258" t="s">
        <v>1840</v>
      </c>
      <c r="D380" t="s">
        <v>1193</v>
      </c>
      <c r="E380" t="s">
        <v>1489</v>
      </c>
      <c r="F380"/>
      <c r="H380" s="1">
        <v>8598.34</v>
      </c>
      <c r="I380"/>
      <c r="J380" t="s">
        <v>1802</v>
      </c>
      <c r="K380" s="170">
        <v>45869</v>
      </c>
      <c r="L380" s="1">
        <v>12837.981380735931</v>
      </c>
      <c r="M380" s="1">
        <v>45925</v>
      </c>
      <c r="N380" s="1">
        <v>36933.709999999992</v>
      </c>
      <c r="Y380"/>
      <c r="Z380"/>
      <c r="AB380"/>
    </row>
    <row r="381" spans="1:28" ht="14.4" hidden="1">
      <c r="A381" t="s">
        <v>173</v>
      </c>
      <c r="B381" s="1">
        <v>47</v>
      </c>
      <c r="C381" s="258" t="s">
        <v>1841</v>
      </c>
      <c r="D381" t="s">
        <v>1193</v>
      </c>
      <c r="E381" t="s">
        <v>1196</v>
      </c>
      <c r="F381"/>
      <c r="H381" s="1">
        <v>14768</v>
      </c>
      <c r="I381" t="s">
        <v>1842</v>
      </c>
      <c r="J381" t="s">
        <v>1843</v>
      </c>
      <c r="K381" s="170">
        <v>45900</v>
      </c>
      <c r="L381" s="1">
        <v>22468.38009961653</v>
      </c>
      <c r="M381" s="1">
        <v>45930</v>
      </c>
      <c r="Y381"/>
      <c r="Z381"/>
      <c r="AB381"/>
    </row>
    <row r="382" spans="1:28" ht="14.4" hidden="1">
      <c r="A382" t="s">
        <v>173</v>
      </c>
      <c r="B382" s="1">
        <v>48</v>
      </c>
      <c r="C382" s="258" t="s">
        <v>1844</v>
      </c>
      <c r="D382" t="s">
        <v>1193</v>
      </c>
      <c r="E382" t="s">
        <v>1200</v>
      </c>
      <c r="F382"/>
      <c r="H382" s="1">
        <v>11169</v>
      </c>
      <c r="I382"/>
      <c r="J382" t="s">
        <v>1691</v>
      </c>
      <c r="K382" s="170">
        <v>45900</v>
      </c>
      <c r="L382" s="1">
        <v>17104.08173500928</v>
      </c>
      <c r="M382" s="1">
        <v>45900</v>
      </c>
      <c r="Y382"/>
      <c r="Z382"/>
      <c r="AB382"/>
    </row>
    <row r="383" spans="1:28" ht="14.4" hidden="1">
      <c r="A383" t="s">
        <v>173</v>
      </c>
      <c r="B383" s="1">
        <v>49</v>
      </c>
      <c r="C383" s="258" t="s">
        <v>1845</v>
      </c>
      <c r="D383" t="s">
        <v>1193</v>
      </c>
      <c r="E383" t="s">
        <v>1496</v>
      </c>
      <c r="F383"/>
      <c r="H383" s="1">
        <v>209.27</v>
      </c>
      <c r="I383"/>
      <c r="J383" t="s">
        <v>1846</v>
      </c>
      <c r="K383" s="170">
        <v>45930</v>
      </c>
      <c r="L383" s="1">
        <v>0</v>
      </c>
      <c r="M383" s="1">
        <v>45961</v>
      </c>
      <c r="Y383"/>
      <c r="Z383"/>
      <c r="AB383"/>
    </row>
    <row r="384" spans="1:28" ht="14.4" hidden="1">
      <c r="A384" t="s">
        <v>173</v>
      </c>
      <c r="B384" s="1">
        <v>50</v>
      </c>
      <c r="C384" s="258" t="s">
        <v>1847</v>
      </c>
      <c r="D384" t="s">
        <v>1193</v>
      </c>
      <c r="E384" t="s">
        <v>1848</v>
      </c>
      <c r="F384"/>
      <c r="H384" s="1">
        <v>975</v>
      </c>
      <c r="I384"/>
      <c r="J384" t="s">
        <v>1849</v>
      </c>
      <c r="K384" s="170">
        <v>45900</v>
      </c>
      <c r="L384" s="1">
        <v>1969.6940998866548</v>
      </c>
      <c r="M384" s="1">
        <v>45899</v>
      </c>
      <c r="Y384"/>
      <c r="Z384"/>
      <c r="AB384"/>
    </row>
    <row r="385" spans="1:28" ht="14.4" hidden="1">
      <c r="A385" t="s">
        <v>173</v>
      </c>
      <c r="B385" s="1">
        <v>51</v>
      </c>
      <c r="C385" s="258" t="s">
        <v>1850</v>
      </c>
      <c r="D385" t="s">
        <v>1193</v>
      </c>
      <c r="E385" t="s">
        <v>1851</v>
      </c>
      <c r="F385"/>
      <c r="H385" s="1">
        <v>850</v>
      </c>
      <c r="I385"/>
      <c r="J385" t="s">
        <v>1852</v>
      </c>
      <c r="K385" s="170">
        <v>45900</v>
      </c>
      <c r="L385" s="1">
        <v>1301.6804973370838</v>
      </c>
      <c r="M385" s="1">
        <v>45899</v>
      </c>
      <c r="Y385"/>
      <c r="Z385"/>
      <c r="AB385"/>
    </row>
    <row r="386" spans="1:28" ht="14.4" hidden="1">
      <c r="A386" t="s">
        <v>173</v>
      </c>
      <c r="B386" s="1">
        <v>52</v>
      </c>
      <c r="C386" s="258" t="s">
        <v>1853</v>
      </c>
      <c r="D386" t="s">
        <v>1193</v>
      </c>
      <c r="F386"/>
      <c r="H386" s="1">
        <v>-850</v>
      </c>
      <c r="I386"/>
      <c r="J386" t="s">
        <v>1854</v>
      </c>
      <c r="K386" s="170">
        <v>45930</v>
      </c>
      <c r="L386" s="1">
        <v>0</v>
      </c>
      <c r="M386" s="1">
        <v>45930</v>
      </c>
      <c r="Y386"/>
      <c r="Z386"/>
      <c r="AB386"/>
    </row>
    <row r="387" spans="1:28" ht="14.4" hidden="1">
      <c r="A387" t="s">
        <v>173</v>
      </c>
      <c r="B387" s="1">
        <v>53</v>
      </c>
      <c r="C387" s="258" t="s">
        <v>1855</v>
      </c>
      <c r="D387" t="s">
        <v>1193</v>
      </c>
      <c r="F387"/>
      <c r="H387" s="1">
        <v>1214.0999999999999</v>
      </c>
      <c r="I387"/>
      <c r="J387" t="s">
        <v>1856</v>
      </c>
      <c r="K387" s="170">
        <v>45930</v>
      </c>
      <c r="L387" s="1">
        <v>0</v>
      </c>
      <c r="M387" s="1">
        <v>45909</v>
      </c>
      <c r="Y387"/>
      <c r="Z387"/>
      <c r="AB387"/>
    </row>
    <row r="388" spans="1:28" ht="14.4" hidden="1">
      <c r="A388" t="s">
        <v>173</v>
      </c>
      <c r="B388" s="1">
        <v>56</v>
      </c>
      <c r="C388" s="258" t="s">
        <v>1857</v>
      </c>
      <c r="D388" t="s">
        <v>1211</v>
      </c>
      <c r="E388" t="s">
        <v>1212</v>
      </c>
      <c r="F388"/>
      <c r="H388" s="1">
        <v>61859.08</v>
      </c>
      <c r="I388"/>
      <c r="J388" t="s">
        <v>1858</v>
      </c>
      <c r="K388" s="170">
        <v>45900</v>
      </c>
      <c r="L388" s="1">
        <v>99991.651166755226</v>
      </c>
      <c r="M388" s="1">
        <v>45930</v>
      </c>
      <c r="Y388"/>
      <c r="Z388"/>
      <c r="AB388"/>
    </row>
    <row r="389" spans="1:28" ht="14.4" hidden="1">
      <c r="A389" t="s">
        <v>173</v>
      </c>
      <c r="B389" s="1">
        <v>57</v>
      </c>
      <c r="C389" s="258" t="s">
        <v>1859</v>
      </c>
      <c r="D389" t="s">
        <v>1211</v>
      </c>
      <c r="E389" t="s">
        <v>1860</v>
      </c>
      <c r="F389"/>
      <c r="H389" s="1">
        <v>10499.85</v>
      </c>
      <c r="I389" t="s">
        <v>1861</v>
      </c>
      <c r="J389" t="s">
        <v>1862</v>
      </c>
      <c r="K389" s="170">
        <v>45991</v>
      </c>
      <c r="L389" s="1">
        <v>0</v>
      </c>
      <c r="M389" s="1">
        <v>46021</v>
      </c>
      <c r="Y389"/>
      <c r="Z389"/>
      <c r="AB389"/>
    </row>
    <row r="390" spans="1:28" ht="14.4" hidden="1">
      <c r="A390" t="s">
        <v>173</v>
      </c>
      <c r="B390" s="1">
        <v>58</v>
      </c>
      <c r="C390" s="258" t="s">
        <v>1863</v>
      </c>
      <c r="D390" t="s">
        <v>1211</v>
      </c>
      <c r="E390" t="s">
        <v>1864</v>
      </c>
      <c r="F390"/>
      <c r="H390" s="1">
        <v>-10499.85</v>
      </c>
      <c r="I390"/>
      <c r="J390"/>
      <c r="K390" s="170">
        <v>46081</v>
      </c>
      <c r="L390" s="1">
        <v>0</v>
      </c>
      <c r="M390" s="1">
        <v>46111</v>
      </c>
      <c r="Y390"/>
      <c r="Z390"/>
      <c r="AB390"/>
    </row>
    <row r="391" spans="1:28" ht="14.4" hidden="1">
      <c r="A391" t="s">
        <v>173</v>
      </c>
      <c r="B391" s="1">
        <v>61</v>
      </c>
      <c r="C391" s="258" t="s">
        <v>1865</v>
      </c>
      <c r="D391" t="s">
        <v>1211</v>
      </c>
      <c r="E391" t="s">
        <v>1169</v>
      </c>
      <c r="F391">
        <v>123026</v>
      </c>
      <c r="G391">
        <v>0.1</v>
      </c>
      <c r="H391" s="1">
        <v>7292.92</v>
      </c>
      <c r="I391" t="s">
        <v>1831</v>
      </c>
      <c r="J391" t="s">
        <v>1832</v>
      </c>
      <c r="K391" s="170">
        <v>45900</v>
      </c>
      <c r="L391" s="1">
        <v>19886.446543403537</v>
      </c>
      <c r="M391" s="1">
        <v>45867</v>
      </c>
      <c r="Y391"/>
      <c r="Z391"/>
      <c r="AB391"/>
    </row>
    <row r="392" spans="1:28" ht="14.4" hidden="1">
      <c r="A392" t="s">
        <v>173</v>
      </c>
      <c r="B392" s="1">
        <v>62</v>
      </c>
      <c r="C392" s="258" t="s">
        <v>1866</v>
      </c>
      <c r="D392" t="s">
        <v>1211</v>
      </c>
      <c r="F392"/>
      <c r="H392" s="1">
        <v>5009.68</v>
      </c>
      <c r="I392"/>
      <c r="J392" t="s">
        <v>1832</v>
      </c>
      <c r="K392" s="170">
        <v>45900</v>
      </c>
      <c r="L392" s="1">
        <v>0</v>
      </c>
      <c r="M392" s="1">
        <v>45890</v>
      </c>
      <c r="Y392"/>
      <c r="Z392"/>
      <c r="AB392"/>
    </row>
    <row r="393" spans="1:28" ht="14.4" hidden="1">
      <c r="A393" t="s">
        <v>173</v>
      </c>
      <c r="B393" s="1">
        <v>63</v>
      </c>
      <c r="C393" s="258" t="s">
        <v>1867</v>
      </c>
      <c r="D393" t="s">
        <v>1211</v>
      </c>
      <c r="E393" t="s">
        <v>558</v>
      </c>
      <c r="F393"/>
      <c r="G393">
        <v>0.15</v>
      </c>
      <c r="H393" s="1">
        <v>18453.900000000001</v>
      </c>
      <c r="I393"/>
      <c r="J393" t="s">
        <v>1832</v>
      </c>
      <c r="K393" s="170">
        <v>45900</v>
      </c>
      <c r="L393" s="1">
        <v>29829.669815105299</v>
      </c>
      <c r="M393" s="1">
        <v>45905</v>
      </c>
      <c r="Y393"/>
      <c r="Z393"/>
      <c r="AB393"/>
    </row>
    <row r="394" spans="1:28" ht="14.4" hidden="1">
      <c r="A394" t="s">
        <v>173</v>
      </c>
      <c r="B394" s="1">
        <v>64</v>
      </c>
      <c r="C394" s="258" t="s">
        <v>1868</v>
      </c>
      <c r="D394" t="s">
        <v>1211</v>
      </c>
      <c r="E394" t="s">
        <v>1175</v>
      </c>
      <c r="F394"/>
      <c r="G394">
        <v>0.2</v>
      </c>
      <c r="H394" s="1">
        <v>24605.200000000001</v>
      </c>
      <c r="I394"/>
      <c r="J394" t="s">
        <v>1832</v>
      </c>
      <c r="K394" s="170">
        <v>45900</v>
      </c>
      <c r="L394" s="1">
        <v>39772.893086807067</v>
      </c>
      <c r="M394" s="1">
        <v>45967</v>
      </c>
      <c r="Y394"/>
      <c r="Z394"/>
      <c r="AB394"/>
    </row>
    <row r="395" spans="1:28" ht="14.4" hidden="1">
      <c r="A395" t="s">
        <v>173</v>
      </c>
      <c r="B395" s="1">
        <v>65</v>
      </c>
      <c r="C395" s="258" t="s">
        <v>1869</v>
      </c>
      <c r="D395" t="s">
        <v>1211</v>
      </c>
      <c r="E395" t="s">
        <v>1178</v>
      </c>
      <c r="F395"/>
      <c r="G395">
        <v>0.25</v>
      </c>
      <c r="H395" s="1">
        <v>30756.5</v>
      </c>
      <c r="I395"/>
      <c r="J395" t="s">
        <v>1832</v>
      </c>
      <c r="K395" s="170">
        <v>45900</v>
      </c>
      <c r="L395" s="1">
        <v>49716.116358508829</v>
      </c>
      <c r="M395" s="1">
        <v>45995</v>
      </c>
      <c r="Y395"/>
      <c r="Z395"/>
      <c r="AB395"/>
    </row>
    <row r="396" spans="1:28" ht="14.4" hidden="1">
      <c r="A396" t="s">
        <v>173</v>
      </c>
      <c r="B396" s="1">
        <v>66</v>
      </c>
      <c r="C396" s="258" t="s">
        <v>1870</v>
      </c>
      <c r="D396" t="s">
        <v>1211</v>
      </c>
      <c r="E396" t="s">
        <v>1181</v>
      </c>
      <c r="F396"/>
      <c r="G396">
        <v>0.1</v>
      </c>
      <c r="H396" s="1">
        <v>12302.6</v>
      </c>
      <c r="I396"/>
      <c r="J396" t="s">
        <v>1832</v>
      </c>
      <c r="K396" s="170">
        <v>45900</v>
      </c>
      <c r="L396" s="1">
        <v>19886.446543403537</v>
      </c>
      <c r="M396" s="1">
        <v>46015</v>
      </c>
      <c r="Y396"/>
      <c r="Z396"/>
      <c r="AB396"/>
    </row>
    <row r="397" spans="1:28" ht="14.4" hidden="1">
      <c r="A397" t="s">
        <v>173</v>
      </c>
      <c r="B397" s="1">
        <v>67</v>
      </c>
      <c r="C397" s="258" t="s">
        <v>1871</v>
      </c>
      <c r="D397" t="s">
        <v>1211</v>
      </c>
      <c r="E397" t="s">
        <v>1184</v>
      </c>
      <c r="F397"/>
      <c r="G397">
        <v>0.1</v>
      </c>
      <c r="H397" s="1">
        <v>12302.6</v>
      </c>
      <c r="I397"/>
      <c r="J397" t="s">
        <v>1832</v>
      </c>
      <c r="K397" s="170">
        <v>45900</v>
      </c>
      <c r="L397" s="1">
        <v>19886.446543403537</v>
      </c>
      <c r="M397" s="1">
        <v>46015</v>
      </c>
      <c r="Y397"/>
      <c r="Z397"/>
      <c r="AB397"/>
    </row>
    <row r="398" spans="1:28" ht="14.4" hidden="1">
      <c r="A398" t="s">
        <v>173</v>
      </c>
      <c r="B398" s="1">
        <v>68</v>
      </c>
      <c r="C398" s="258" t="s">
        <v>1872</v>
      </c>
      <c r="D398" t="s">
        <v>1211</v>
      </c>
      <c r="E398" t="s">
        <v>1187</v>
      </c>
      <c r="F398"/>
      <c r="G398">
        <v>0.05</v>
      </c>
      <c r="H398" s="1">
        <v>6151.3</v>
      </c>
      <c r="I398"/>
      <c r="J398" t="s">
        <v>1832</v>
      </c>
      <c r="K398" s="170">
        <v>45900</v>
      </c>
      <c r="L398" s="1">
        <v>9943.2232717017669</v>
      </c>
      <c r="M398" s="1">
        <v>46051</v>
      </c>
      <c r="Y398"/>
      <c r="Z398"/>
      <c r="AB398"/>
    </row>
    <row r="399" spans="1:28" ht="14.4" hidden="1">
      <c r="A399" t="s">
        <v>173</v>
      </c>
      <c r="B399" s="1">
        <v>69</v>
      </c>
      <c r="C399" s="258" t="s">
        <v>1873</v>
      </c>
      <c r="D399" t="s">
        <v>1211</v>
      </c>
      <c r="E399" t="s">
        <v>1190</v>
      </c>
      <c r="F399"/>
      <c r="G399">
        <v>0.05</v>
      </c>
      <c r="H399" s="1">
        <v>6151.3</v>
      </c>
      <c r="I399"/>
      <c r="J399" t="s">
        <v>1832</v>
      </c>
      <c r="K399" s="170">
        <v>45900</v>
      </c>
      <c r="L399" s="1">
        <v>9943.2232717017669</v>
      </c>
      <c r="M399" s="1">
        <v>46081</v>
      </c>
      <c r="Y399"/>
      <c r="Z399"/>
      <c r="AB399"/>
    </row>
    <row r="400" spans="1:28" ht="14.4" hidden="1">
      <c r="A400" t="s">
        <v>173</v>
      </c>
      <c r="B400" s="1">
        <v>85</v>
      </c>
      <c r="C400" s="258" t="s">
        <v>1874</v>
      </c>
      <c r="D400" t="s">
        <v>1224</v>
      </c>
      <c r="E400" t="s">
        <v>1875</v>
      </c>
      <c r="F400"/>
      <c r="H400" s="1">
        <v>3600</v>
      </c>
      <c r="I400" t="s">
        <v>1876</v>
      </c>
      <c r="J400" t="s">
        <v>1877</v>
      </c>
      <c r="K400" s="170">
        <v>45900</v>
      </c>
      <c r="L400" s="1">
        <v>4494.3820224719102</v>
      </c>
      <c r="M400" s="1">
        <v>45911</v>
      </c>
      <c r="Y400"/>
      <c r="Z400"/>
      <c r="AB400"/>
    </row>
    <row r="401" spans="1:28" ht="14.4" hidden="1">
      <c r="A401" t="s">
        <v>173</v>
      </c>
      <c r="B401" s="1">
        <v>94</v>
      </c>
      <c r="C401" s="258" t="s">
        <v>1878</v>
      </c>
      <c r="D401" t="s">
        <v>1246</v>
      </c>
      <c r="E401" t="s">
        <v>1169</v>
      </c>
      <c r="F401">
        <v>315566.40000000002</v>
      </c>
      <c r="G401">
        <v>0.1</v>
      </c>
      <c r="H401" s="1">
        <v>31556.640000000003</v>
      </c>
      <c r="I401" t="s">
        <v>1831</v>
      </c>
      <c r="J401" t="s">
        <v>1832</v>
      </c>
      <c r="K401" s="170">
        <v>45900</v>
      </c>
      <c r="L401" s="1">
        <v>16317.647058823532</v>
      </c>
      <c r="M401" s="1">
        <v>45890</v>
      </c>
      <c r="Y401"/>
      <c r="Z401"/>
      <c r="AB401"/>
    </row>
    <row r="402" spans="1:28" ht="14.4" hidden="1">
      <c r="A402" t="s">
        <v>173</v>
      </c>
      <c r="B402" s="1">
        <v>95</v>
      </c>
      <c r="C402" s="258" t="s">
        <v>1879</v>
      </c>
      <c r="D402" t="s">
        <v>1246</v>
      </c>
      <c r="E402" t="s">
        <v>558</v>
      </c>
      <c r="F402"/>
      <c r="G402">
        <v>0.15</v>
      </c>
      <c r="H402" s="1">
        <v>47334.96</v>
      </c>
      <c r="I402"/>
      <c r="J402" t="s">
        <v>1832</v>
      </c>
      <c r="K402" s="170">
        <v>45900</v>
      </c>
      <c r="L402" s="1">
        <v>24476.470588235297</v>
      </c>
      <c r="M402" s="1">
        <v>45905</v>
      </c>
      <c r="Y402"/>
      <c r="Z402"/>
      <c r="AB402"/>
    </row>
    <row r="403" spans="1:28" ht="14.4" hidden="1">
      <c r="A403" t="s">
        <v>173</v>
      </c>
      <c r="B403" s="1">
        <v>96</v>
      </c>
      <c r="C403" s="258" t="s">
        <v>1880</v>
      </c>
      <c r="D403" t="s">
        <v>1246</v>
      </c>
      <c r="E403" t="s">
        <v>1175</v>
      </c>
      <c r="F403"/>
      <c r="G403">
        <v>0.2</v>
      </c>
      <c r="H403" s="1">
        <v>63113.280000000006</v>
      </c>
      <c r="I403"/>
      <c r="J403" t="s">
        <v>1832</v>
      </c>
      <c r="K403" s="170">
        <v>45900</v>
      </c>
      <c r="L403" s="1">
        <v>32635.294117647063</v>
      </c>
      <c r="M403" s="1">
        <v>45967</v>
      </c>
      <c r="Y403"/>
      <c r="Z403"/>
      <c r="AB403"/>
    </row>
    <row r="404" spans="1:28" ht="14.4" hidden="1">
      <c r="A404" t="s">
        <v>173</v>
      </c>
      <c r="B404" s="1">
        <v>97</v>
      </c>
      <c r="C404" s="258" t="s">
        <v>1881</v>
      </c>
      <c r="D404" t="s">
        <v>1246</v>
      </c>
      <c r="E404" t="s">
        <v>1178</v>
      </c>
      <c r="F404"/>
      <c r="G404">
        <v>0.25</v>
      </c>
      <c r="H404" s="1">
        <v>78891.600000000006</v>
      </c>
      <c r="I404"/>
      <c r="J404" t="s">
        <v>1832</v>
      </c>
      <c r="K404" s="170">
        <v>45900</v>
      </c>
      <c r="L404" s="1">
        <v>40794.117647058825</v>
      </c>
      <c r="M404" s="1">
        <v>45995</v>
      </c>
      <c r="Y404"/>
      <c r="Z404"/>
      <c r="AB404"/>
    </row>
    <row r="405" spans="1:28" ht="14.4" hidden="1">
      <c r="A405" t="s">
        <v>173</v>
      </c>
      <c r="B405" s="1">
        <v>98</v>
      </c>
      <c r="C405" s="258" t="s">
        <v>1882</v>
      </c>
      <c r="D405" t="s">
        <v>1246</v>
      </c>
      <c r="E405" t="s">
        <v>1181</v>
      </c>
      <c r="F405"/>
      <c r="G405">
        <v>0.1</v>
      </c>
      <c r="H405" s="1">
        <v>31556.640000000003</v>
      </c>
      <c r="I405"/>
      <c r="J405" t="s">
        <v>1832</v>
      </c>
      <c r="K405" s="170">
        <v>45900</v>
      </c>
      <c r="L405" s="1">
        <v>16317.647058823532</v>
      </c>
      <c r="M405" s="1">
        <v>46015</v>
      </c>
      <c r="Y405"/>
      <c r="Z405"/>
      <c r="AB405"/>
    </row>
    <row r="406" spans="1:28" ht="14.4" hidden="1">
      <c r="A406" t="s">
        <v>173</v>
      </c>
      <c r="B406" s="1">
        <v>99</v>
      </c>
      <c r="C406" s="258" t="s">
        <v>1883</v>
      </c>
      <c r="D406" t="s">
        <v>1246</v>
      </c>
      <c r="E406" t="s">
        <v>1184</v>
      </c>
      <c r="F406"/>
      <c r="G406">
        <v>0.1</v>
      </c>
      <c r="H406" s="1">
        <v>31556.640000000003</v>
      </c>
      <c r="I406"/>
      <c r="J406" t="s">
        <v>1832</v>
      </c>
      <c r="K406" s="170">
        <v>45900</v>
      </c>
      <c r="L406" s="1">
        <v>16317.647058823532</v>
      </c>
      <c r="M406" s="1">
        <v>46015</v>
      </c>
      <c r="Y406"/>
      <c r="Z406"/>
      <c r="AB406"/>
    </row>
    <row r="407" spans="1:28" ht="14.4" hidden="1">
      <c r="A407" t="s">
        <v>173</v>
      </c>
      <c r="B407" s="1">
        <v>100</v>
      </c>
      <c r="C407" s="258" t="s">
        <v>1884</v>
      </c>
      <c r="D407" t="s">
        <v>1246</v>
      </c>
      <c r="E407" t="s">
        <v>1187</v>
      </c>
      <c r="F407"/>
      <c r="G407">
        <v>0.05</v>
      </c>
      <c r="H407" s="1">
        <v>15778.320000000002</v>
      </c>
      <c r="I407"/>
      <c r="J407" t="s">
        <v>1832</v>
      </c>
      <c r="K407" s="170">
        <v>45900</v>
      </c>
      <c r="L407" s="1">
        <v>8158.8235294117667</v>
      </c>
      <c r="M407" s="1">
        <v>46051</v>
      </c>
      <c r="Y407"/>
      <c r="Z407"/>
      <c r="AB407"/>
    </row>
    <row r="408" spans="1:28" ht="14.4" hidden="1">
      <c r="A408" t="s">
        <v>173</v>
      </c>
      <c r="B408" s="1">
        <v>101</v>
      </c>
      <c r="C408" s="258" t="s">
        <v>1885</v>
      </c>
      <c r="D408" t="s">
        <v>1246</v>
      </c>
      <c r="E408" t="s">
        <v>1190</v>
      </c>
      <c r="F408"/>
      <c r="G408">
        <v>0.05</v>
      </c>
      <c r="H408" s="1">
        <v>15778.320000000002</v>
      </c>
      <c r="I408"/>
      <c r="J408" t="s">
        <v>1832</v>
      </c>
      <c r="K408" s="170">
        <v>45900</v>
      </c>
      <c r="L408" s="1">
        <v>8158.8235294117667</v>
      </c>
      <c r="M408" s="1">
        <v>46081</v>
      </c>
      <c r="Y408"/>
      <c r="Z408"/>
      <c r="AB408"/>
    </row>
    <row r="409" spans="1:28" ht="14.4" hidden="1">
      <c r="A409" t="s">
        <v>173</v>
      </c>
      <c r="B409" s="1">
        <v>110</v>
      </c>
      <c r="C409" s="258" t="s">
        <v>1886</v>
      </c>
      <c r="D409" t="s">
        <v>1255</v>
      </c>
      <c r="E409" t="s">
        <v>1169</v>
      </c>
      <c r="F409">
        <v>161120</v>
      </c>
      <c r="G409">
        <v>0.1</v>
      </c>
      <c r="H409" s="1">
        <v>16112</v>
      </c>
      <c r="I409" t="s">
        <v>1831</v>
      </c>
      <c r="J409" t="s">
        <v>1832</v>
      </c>
      <c r="K409" s="170">
        <v>45900</v>
      </c>
      <c r="L409" s="1">
        <v>8974.12156862745</v>
      </c>
      <c r="M409" s="1">
        <v>45890</v>
      </c>
      <c r="Y409"/>
      <c r="Z409"/>
      <c r="AB409"/>
    </row>
    <row r="410" spans="1:28" ht="14.4" hidden="1">
      <c r="A410" t="s">
        <v>173</v>
      </c>
      <c r="B410" s="1">
        <v>111</v>
      </c>
      <c r="C410" s="258" t="s">
        <v>1887</v>
      </c>
      <c r="D410" t="s">
        <v>1255</v>
      </c>
      <c r="E410" t="s">
        <v>558</v>
      </c>
      <c r="F410"/>
      <c r="G410">
        <v>0.15</v>
      </c>
      <c r="H410" s="1">
        <v>24168</v>
      </c>
      <c r="I410"/>
      <c r="J410" t="s">
        <v>1832</v>
      </c>
      <c r="K410" s="170">
        <v>45900</v>
      </c>
      <c r="L410" s="1">
        <v>13461.182352941176</v>
      </c>
      <c r="M410" s="1">
        <v>45905</v>
      </c>
      <c r="Y410"/>
      <c r="Z410"/>
      <c r="AB410"/>
    </row>
    <row r="411" spans="1:28" ht="14.4" hidden="1">
      <c r="A411" t="s">
        <v>173</v>
      </c>
      <c r="B411" s="1">
        <v>112</v>
      </c>
      <c r="C411" s="258" t="s">
        <v>1888</v>
      </c>
      <c r="D411" t="s">
        <v>1255</v>
      </c>
      <c r="E411" t="s">
        <v>1175</v>
      </c>
      <c r="F411"/>
      <c r="G411">
        <v>0.2</v>
      </c>
      <c r="H411" s="1">
        <v>32224</v>
      </c>
      <c r="I411"/>
      <c r="J411" t="s">
        <v>1832</v>
      </c>
      <c r="K411" s="170">
        <v>45900</v>
      </c>
      <c r="L411" s="1">
        <v>17948.2431372549</v>
      </c>
      <c r="M411" s="1">
        <v>45967</v>
      </c>
      <c r="Y411"/>
      <c r="Z411"/>
      <c r="AB411"/>
    </row>
    <row r="412" spans="1:28" ht="14.4" hidden="1">
      <c r="A412" t="s">
        <v>173</v>
      </c>
      <c r="B412" s="1">
        <v>113</v>
      </c>
      <c r="C412" s="258" t="s">
        <v>1889</v>
      </c>
      <c r="D412" t="s">
        <v>1255</v>
      </c>
      <c r="E412" t="s">
        <v>1178</v>
      </c>
      <c r="F412"/>
      <c r="G412">
        <v>0.25</v>
      </c>
      <c r="H412" s="1">
        <v>40280</v>
      </c>
      <c r="I412"/>
      <c r="J412" t="s">
        <v>1832</v>
      </c>
      <c r="K412" s="170">
        <v>45900</v>
      </c>
      <c r="L412" s="1">
        <v>22435.303921568626</v>
      </c>
      <c r="M412" s="1">
        <v>45995</v>
      </c>
      <c r="Y412"/>
      <c r="Z412"/>
      <c r="AB412"/>
    </row>
    <row r="413" spans="1:28" ht="14.4" hidden="1">
      <c r="A413" t="s">
        <v>173</v>
      </c>
      <c r="B413" s="1">
        <v>114</v>
      </c>
      <c r="C413" s="258" t="s">
        <v>1890</v>
      </c>
      <c r="D413" t="s">
        <v>1255</v>
      </c>
      <c r="E413" t="s">
        <v>1181</v>
      </c>
      <c r="F413"/>
      <c r="G413">
        <v>0.1</v>
      </c>
      <c r="H413" s="1">
        <v>16112</v>
      </c>
      <c r="I413"/>
      <c r="J413" t="s">
        <v>1832</v>
      </c>
      <c r="K413" s="170">
        <v>45900</v>
      </c>
      <c r="L413" s="1">
        <v>8974.12156862745</v>
      </c>
      <c r="M413" s="1">
        <v>46015</v>
      </c>
      <c r="Y413"/>
      <c r="Z413"/>
      <c r="AB413"/>
    </row>
    <row r="414" spans="1:28" ht="14.4" hidden="1">
      <c r="A414" t="s">
        <v>173</v>
      </c>
      <c r="B414" s="1">
        <v>115</v>
      </c>
      <c r="C414" s="258" t="s">
        <v>1891</v>
      </c>
      <c r="D414" t="s">
        <v>1255</v>
      </c>
      <c r="E414" t="s">
        <v>1184</v>
      </c>
      <c r="F414"/>
      <c r="G414">
        <v>0.1</v>
      </c>
      <c r="H414" s="1">
        <v>16112</v>
      </c>
      <c r="I414"/>
      <c r="J414" t="s">
        <v>1832</v>
      </c>
      <c r="K414" s="170">
        <v>45900</v>
      </c>
      <c r="L414" s="1">
        <v>8974.12156862745</v>
      </c>
      <c r="M414" s="1">
        <v>46015</v>
      </c>
      <c r="Y414"/>
      <c r="Z414"/>
      <c r="AB414"/>
    </row>
    <row r="415" spans="1:28" ht="14.4" hidden="1">
      <c r="A415" t="s">
        <v>173</v>
      </c>
      <c r="B415" s="1">
        <v>116</v>
      </c>
      <c r="C415" s="258" t="s">
        <v>1892</v>
      </c>
      <c r="D415" t="s">
        <v>1255</v>
      </c>
      <c r="E415" t="s">
        <v>1187</v>
      </c>
      <c r="F415"/>
      <c r="G415">
        <v>0.05</v>
      </c>
      <c r="H415" s="1">
        <v>8056</v>
      </c>
      <c r="I415"/>
      <c r="J415" t="s">
        <v>1832</v>
      </c>
      <c r="K415" s="170">
        <v>45900</v>
      </c>
      <c r="L415" s="1">
        <v>4487.060784313725</v>
      </c>
      <c r="M415" s="1">
        <v>46051</v>
      </c>
      <c r="Y415"/>
      <c r="Z415"/>
      <c r="AB415"/>
    </row>
    <row r="416" spans="1:28" ht="14.4" hidden="1">
      <c r="A416" t="s">
        <v>173</v>
      </c>
      <c r="B416" s="1">
        <v>117</v>
      </c>
      <c r="C416" s="258" t="s">
        <v>1893</v>
      </c>
      <c r="D416" t="s">
        <v>1255</v>
      </c>
      <c r="E416" t="s">
        <v>1190</v>
      </c>
      <c r="F416"/>
      <c r="G416">
        <v>0.05</v>
      </c>
      <c r="H416" s="1">
        <v>8056</v>
      </c>
      <c r="I416"/>
      <c r="J416" t="s">
        <v>1832</v>
      </c>
      <c r="K416" s="170">
        <v>45900</v>
      </c>
      <c r="L416" s="1">
        <v>4487.060784313725</v>
      </c>
      <c r="M416" s="1">
        <v>46081</v>
      </c>
      <c r="Y416"/>
      <c r="Z416"/>
      <c r="AB416"/>
    </row>
    <row r="417" spans="1:28" ht="14.4" hidden="1">
      <c r="A417" t="s">
        <v>173</v>
      </c>
      <c r="B417" s="1">
        <v>122</v>
      </c>
      <c r="C417" s="258" t="s">
        <v>1894</v>
      </c>
      <c r="D417" t="s">
        <v>1264</v>
      </c>
      <c r="E417" t="s">
        <v>1265</v>
      </c>
      <c r="F417"/>
      <c r="H417" s="1">
        <v>8374.7000000000007</v>
      </c>
      <c r="I417"/>
      <c r="J417" t="s">
        <v>1895</v>
      </c>
      <c r="K417" s="170">
        <v>45869</v>
      </c>
      <c r="L417" s="1">
        <v>10934.470552161069</v>
      </c>
      <c r="M417" s="1">
        <v>46052</v>
      </c>
      <c r="N417" s="1">
        <v>20194.13</v>
      </c>
      <c r="Y417"/>
      <c r="Z417"/>
      <c r="AB417"/>
    </row>
    <row r="418" spans="1:28" ht="14.4" hidden="1">
      <c r="A418" t="s">
        <v>173</v>
      </c>
      <c r="B418" s="1">
        <v>123</v>
      </c>
      <c r="C418" s="258" t="s">
        <v>1896</v>
      </c>
      <c r="D418" t="s">
        <v>1264</v>
      </c>
      <c r="E418" t="s">
        <v>1268</v>
      </c>
      <c r="F418"/>
      <c r="H418" s="1">
        <v>5819.43</v>
      </c>
      <c r="I418"/>
      <c r="J418" t="s">
        <v>1897</v>
      </c>
      <c r="K418" s="170">
        <v>45869</v>
      </c>
      <c r="L418" s="1">
        <v>7598.1690049031822</v>
      </c>
      <c r="M418" s="1">
        <v>45526</v>
      </c>
      <c r="Y418"/>
      <c r="Z418"/>
      <c r="AB418"/>
    </row>
    <row r="419" spans="1:28" ht="14.4" hidden="1">
      <c r="A419" t="s">
        <v>173</v>
      </c>
      <c r="B419" s="1">
        <v>125</v>
      </c>
      <c r="C419" s="258" t="s">
        <v>1898</v>
      </c>
      <c r="D419" t="s">
        <v>1264</v>
      </c>
      <c r="E419" t="s">
        <v>808</v>
      </c>
      <c r="F419"/>
      <c r="H419" s="1">
        <v>6000</v>
      </c>
      <c r="I419"/>
      <c r="J419" t="s">
        <v>1899</v>
      </c>
      <c r="K419" s="170">
        <v>45900</v>
      </c>
      <c r="L419" s="1">
        <v>86173.247456867262</v>
      </c>
      <c r="M419" s="1">
        <v>45900</v>
      </c>
      <c r="Y419"/>
      <c r="Z419"/>
      <c r="AB419"/>
    </row>
    <row r="420" spans="1:28" ht="14.4" hidden="1">
      <c r="A420" t="s">
        <v>173</v>
      </c>
      <c r="B420" s="1">
        <v>131</v>
      </c>
      <c r="C420" s="258" t="s">
        <v>1900</v>
      </c>
      <c r="D420" t="s">
        <v>1277</v>
      </c>
      <c r="E420" t="s">
        <v>1278</v>
      </c>
      <c r="F420"/>
      <c r="H420" s="1">
        <v>22399.259250000003</v>
      </c>
      <c r="I420"/>
      <c r="J420" t="s">
        <v>1901</v>
      </c>
      <c r="K420" s="170">
        <v>45900</v>
      </c>
      <c r="L420" s="1">
        <v>131727.81798213109</v>
      </c>
      <c r="M420" s="1">
        <v>45900</v>
      </c>
      <c r="N420" s="1">
        <v>22399.259250000003</v>
      </c>
      <c r="Y420"/>
      <c r="Z420"/>
      <c r="AB420"/>
    </row>
    <row r="421" spans="1:28" ht="14.4" hidden="1">
      <c r="A421" t="s">
        <v>173</v>
      </c>
      <c r="B421" s="1">
        <v>132</v>
      </c>
      <c r="C421" s="258" t="s">
        <v>1902</v>
      </c>
      <c r="D421" t="s">
        <v>1277</v>
      </c>
      <c r="E421" t="s">
        <v>1903</v>
      </c>
      <c r="F421"/>
      <c r="H421" s="1">
        <v>0</v>
      </c>
      <c r="I421"/>
      <c r="J421"/>
      <c r="K421" s="170"/>
      <c r="L421" s="1">
        <v>0</v>
      </c>
      <c r="Y421"/>
      <c r="Z421"/>
      <c r="AB421"/>
    </row>
    <row r="422" spans="1:28" ht="14.4" hidden="1">
      <c r="A422" t="s">
        <v>173</v>
      </c>
      <c r="B422" s="1">
        <v>133</v>
      </c>
      <c r="C422" s="258" t="s">
        <v>1904</v>
      </c>
      <c r="D422" t="s">
        <v>1277</v>
      </c>
      <c r="E422" t="s">
        <v>1905</v>
      </c>
      <c r="F422"/>
      <c r="H422" s="1">
        <v>0</v>
      </c>
      <c r="I422"/>
      <c r="J422"/>
      <c r="K422" s="170"/>
      <c r="L422" s="1">
        <v>0</v>
      </c>
      <c r="Y422"/>
      <c r="Z422"/>
      <c r="AB422"/>
    </row>
    <row r="423" spans="1:28" ht="14.4" hidden="1">
      <c r="A423" t="s">
        <v>173</v>
      </c>
      <c r="B423" s="1">
        <v>134</v>
      </c>
      <c r="C423" s="258" t="s">
        <v>1906</v>
      </c>
      <c r="D423" t="s">
        <v>1277</v>
      </c>
      <c r="E423" t="s">
        <v>1907</v>
      </c>
      <c r="F423"/>
      <c r="H423" s="1">
        <v>0</v>
      </c>
      <c r="I423"/>
      <c r="J423"/>
      <c r="K423" s="170"/>
      <c r="L423" s="1">
        <v>0</v>
      </c>
      <c r="Y423"/>
      <c r="Z423"/>
      <c r="AB423"/>
    </row>
    <row r="424" spans="1:28" ht="14.4" hidden="1">
      <c r="A424" t="s">
        <v>173</v>
      </c>
      <c r="B424" s="1">
        <v>135</v>
      </c>
      <c r="C424" s="258" t="s">
        <v>1908</v>
      </c>
      <c r="D424" t="s">
        <v>1277</v>
      </c>
      <c r="E424" t="s">
        <v>1909</v>
      </c>
      <c r="F424"/>
      <c r="H424" s="1">
        <v>0</v>
      </c>
      <c r="I424"/>
      <c r="J424"/>
      <c r="K424" s="170"/>
      <c r="L424" s="1">
        <v>0</v>
      </c>
      <c r="Y424"/>
      <c r="Z424"/>
      <c r="AB424"/>
    </row>
    <row r="425" spans="1:28" ht="14.4" hidden="1">
      <c r="A425" t="s">
        <v>173</v>
      </c>
      <c r="B425" s="1">
        <v>138</v>
      </c>
      <c r="C425" s="258" t="s">
        <v>1910</v>
      </c>
      <c r="D425" t="s">
        <v>1280</v>
      </c>
      <c r="E425" t="s">
        <v>1281</v>
      </c>
      <c r="F425"/>
      <c r="H425" s="1">
        <v>0</v>
      </c>
      <c r="I425"/>
      <c r="J425"/>
      <c r="K425" s="170">
        <v>45900</v>
      </c>
      <c r="L425" s="1">
        <v>3294.1176470588234</v>
      </c>
      <c r="M425" s="1">
        <v>45905</v>
      </c>
      <c r="N425" s="1">
        <v>0</v>
      </c>
      <c r="Y425"/>
      <c r="Z425"/>
      <c r="AB425"/>
    </row>
    <row r="426" spans="1:28" ht="14.4" hidden="1">
      <c r="A426" t="s">
        <v>510</v>
      </c>
      <c r="B426" s="1">
        <v>13</v>
      </c>
      <c r="C426" s="258" t="s">
        <v>1911</v>
      </c>
      <c r="D426" t="s">
        <v>1157</v>
      </c>
      <c r="E426" t="s">
        <v>1912</v>
      </c>
      <c r="F426">
        <v>11</v>
      </c>
      <c r="G426">
        <v>68880</v>
      </c>
      <c r="H426" s="1">
        <v>757680</v>
      </c>
      <c r="I426" t="s">
        <v>1913</v>
      </c>
      <c r="J426" t="s">
        <v>1914</v>
      </c>
      <c r="K426" s="170">
        <v>45535</v>
      </c>
      <c r="L426" s="1">
        <v>956194.33106683195</v>
      </c>
      <c r="M426" s="1">
        <v>45569</v>
      </c>
      <c r="N426" s="1">
        <v>757680</v>
      </c>
      <c r="Y426"/>
      <c r="Z426"/>
      <c r="AB426"/>
    </row>
    <row r="427" spans="1:28" ht="14.4" hidden="1">
      <c r="A427" t="s">
        <v>510</v>
      </c>
      <c r="B427" s="1">
        <v>18</v>
      </c>
      <c r="C427" s="258" t="s">
        <v>1915</v>
      </c>
      <c r="D427" t="s">
        <v>1160</v>
      </c>
      <c r="E427" t="s">
        <v>1916</v>
      </c>
      <c r="F427">
        <v>1</v>
      </c>
      <c r="G427">
        <v>364557.56</v>
      </c>
      <c r="H427" s="1">
        <v>364557.56</v>
      </c>
      <c r="I427"/>
      <c r="J427" t="s">
        <v>1917</v>
      </c>
      <c r="K427" s="170">
        <v>45535</v>
      </c>
      <c r="L427" s="1">
        <v>723092.46354609483</v>
      </c>
      <c r="M427" s="1">
        <v>45562</v>
      </c>
      <c r="N427" s="1">
        <v>619184.87</v>
      </c>
      <c r="Y427"/>
      <c r="Z427"/>
      <c r="AB427"/>
    </row>
    <row r="428" spans="1:28" ht="14.4" hidden="1">
      <c r="A428" t="s">
        <v>510</v>
      </c>
      <c r="B428" s="1">
        <v>19</v>
      </c>
      <c r="C428" s="258" t="s">
        <v>1918</v>
      </c>
      <c r="D428" t="s">
        <v>1160</v>
      </c>
      <c r="E428" t="s">
        <v>1919</v>
      </c>
      <c r="F428"/>
      <c r="H428" s="1">
        <v>14477.25</v>
      </c>
      <c r="I428" t="s">
        <v>1920</v>
      </c>
      <c r="J428" t="s">
        <v>1921</v>
      </c>
      <c r="K428" s="170">
        <v>45565</v>
      </c>
      <c r="L428" s="1">
        <v>16828.078992819082</v>
      </c>
      <c r="M428" s="1">
        <v>45595</v>
      </c>
      <c r="Y428"/>
      <c r="Z428"/>
      <c r="AB428"/>
    </row>
    <row r="429" spans="1:28" ht="14.4" hidden="1">
      <c r="A429" t="s">
        <v>510</v>
      </c>
      <c r="B429" s="1">
        <v>20</v>
      </c>
      <c r="C429" s="258" t="s">
        <v>1922</v>
      </c>
      <c r="D429" t="s">
        <v>1160</v>
      </c>
      <c r="E429" t="s">
        <v>1923</v>
      </c>
      <c r="F429"/>
      <c r="H429" s="1">
        <v>11908</v>
      </c>
      <c r="I429" t="s">
        <v>1924</v>
      </c>
      <c r="J429" t="s">
        <v>1925</v>
      </c>
      <c r="K429" s="170">
        <v>45596</v>
      </c>
      <c r="L429" s="1">
        <v>11887.248461481957</v>
      </c>
      <c r="M429" s="1">
        <v>45625</v>
      </c>
      <c r="Y429"/>
      <c r="Z429"/>
      <c r="AB429"/>
    </row>
    <row r="430" spans="1:28" ht="14.4" hidden="1">
      <c r="A430" t="s">
        <v>510</v>
      </c>
      <c r="B430" s="1">
        <v>21</v>
      </c>
      <c r="C430" s="258" t="s">
        <v>1926</v>
      </c>
      <c r="D430" t="s">
        <v>1160</v>
      </c>
      <c r="E430" t="s">
        <v>1927</v>
      </c>
      <c r="F430"/>
      <c r="H430" s="1">
        <v>2352.38</v>
      </c>
      <c r="I430" t="s">
        <v>1928</v>
      </c>
      <c r="J430" t="s">
        <v>1929</v>
      </c>
      <c r="K430" s="170">
        <v>45777</v>
      </c>
      <c r="L430" s="1">
        <v>0</v>
      </c>
      <c r="M430" s="1">
        <v>45806</v>
      </c>
      <c r="Y430"/>
      <c r="Z430"/>
      <c r="AB430"/>
    </row>
    <row r="431" spans="1:28" ht="14.4" hidden="1">
      <c r="A431" t="s">
        <v>510</v>
      </c>
      <c r="B431" s="1">
        <v>23</v>
      </c>
      <c r="C431" s="258" t="s">
        <v>1930</v>
      </c>
      <c r="D431" t="s">
        <v>1160</v>
      </c>
      <c r="F431"/>
      <c r="H431" s="1">
        <v>6831.28</v>
      </c>
      <c r="I431" t="s">
        <v>1931</v>
      </c>
      <c r="J431" t="s">
        <v>1932</v>
      </c>
      <c r="K431" s="170">
        <v>45838</v>
      </c>
      <c r="M431" s="1">
        <v>45867</v>
      </c>
      <c r="Y431"/>
      <c r="Z431"/>
      <c r="AB431"/>
    </row>
    <row r="432" spans="1:28" ht="14.4" hidden="1">
      <c r="A432" t="s">
        <v>510</v>
      </c>
      <c r="B432" s="1">
        <v>25</v>
      </c>
      <c r="C432" s="258" t="s">
        <v>1933</v>
      </c>
      <c r="D432" t="s">
        <v>1160</v>
      </c>
      <c r="E432" t="s">
        <v>1934</v>
      </c>
      <c r="F432"/>
      <c r="H432" s="1">
        <v>1823</v>
      </c>
      <c r="I432" t="s">
        <v>1935</v>
      </c>
      <c r="J432" t="s">
        <v>1936</v>
      </c>
      <c r="K432" s="170">
        <v>45838</v>
      </c>
      <c r="M432" s="1">
        <v>45867</v>
      </c>
      <c r="Y432"/>
      <c r="Z432"/>
      <c r="AB432"/>
    </row>
    <row r="433" spans="1:28" ht="14.4" hidden="1">
      <c r="A433" t="s">
        <v>510</v>
      </c>
      <c r="B433" s="1">
        <v>26</v>
      </c>
      <c r="C433" s="258" t="s">
        <v>1937</v>
      </c>
      <c r="D433" t="s">
        <v>1160</v>
      </c>
      <c r="E433" t="s">
        <v>1938</v>
      </c>
      <c r="F433"/>
      <c r="H433" s="1">
        <v>197641.60000000001</v>
      </c>
      <c r="I433" t="s">
        <v>1939</v>
      </c>
      <c r="J433" t="s">
        <v>1940</v>
      </c>
      <c r="K433" s="170">
        <v>45808</v>
      </c>
      <c r="M433" s="1">
        <v>45835</v>
      </c>
      <c r="Y433"/>
      <c r="Z433"/>
      <c r="AB433"/>
    </row>
    <row r="434" spans="1:28" ht="14.4" hidden="1">
      <c r="A434" t="s">
        <v>510</v>
      </c>
      <c r="B434" s="1">
        <v>27</v>
      </c>
      <c r="C434" s="258" t="s">
        <v>1941</v>
      </c>
      <c r="D434" t="s">
        <v>1160</v>
      </c>
      <c r="E434" t="s">
        <v>1152</v>
      </c>
      <c r="F434"/>
      <c r="H434" s="1">
        <v>2950</v>
      </c>
      <c r="I434"/>
      <c r="J434" t="s">
        <v>1942</v>
      </c>
      <c r="K434" s="170">
        <v>45808</v>
      </c>
      <c r="M434" s="1">
        <v>45835</v>
      </c>
      <c r="Y434"/>
      <c r="Z434"/>
      <c r="AB434"/>
    </row>
    <row r="435" spans="1:28" ht="14.4" hidden="1">
      <c r="A435" t="s">
        <v>510</v>
      </c>
      <c r="B435" s="1">
        <v>28</v>
      </c>
      <c r="C435" s="258" t="s">
        <v>1943</v>
      </c>
      <c r="D435" t="s">
        <v>1160</v>
      </c>
      <c r="E435" t="s">
        <v>1944</v>
      </c>
      <c r="F435"/>
      <c r="H435" s="1">
        <v>10295.19</v>
      </c>
      <c r="I435"/>
      <c r="J435" t="s">
        <v>1497</v>
      </c>
      <c r="K435" s="170">
        <v>45869</v>
      </c>
      <c r="M435" s="1">
        <v>45898</v>
      </c>
      <c r="Y435"/>
      <c r="Z435"/>
      <c r="AB435"/>
    </row>
    <row r="436" spans="1:28" ht="14.4" hidden="1">
      <c r="A436" t="s">
        <v>510</v>
      </c>
      <c r="B436" s="1">
        <v>29</v>
      </c>
      <c r="C436" s="258" t="s">
        <v>1945</v>
      </c>
      <c r="D436" t="s">
        <v>1160</v>
      </c>
      <c r="E436" t="s">
        <v>1946</v>
      </c>
      <c r="F436"/>
      <c r="H436" s="1">
        <v>-3017.39</v>
      </c>
      <c r="I436"/>
      <c r="J436" t="s">
        <v>1947</v>
      </c>
      <c r="K436" s="170">
        <v>45991</v>
      </c>
      <c r="M436" s="1">
        <v>45985</v>
      </c>
      <c r="Y436"/>
      <c r="Z436"/>
      <c r="AB436"/>
    </row>
    <row r="437" spans="1:28" ht="14.4" hidden="1">
      <c r="A437" t="s">
        <v>510</v>
      </c>
      <c r="B437" s="1">
        <v>30</v>
      </c>
      <c r="C437" s="258" t="s">
        <v>1948</v>
      </c>
      <c r="D437" t="s">
        <v>1160</v>
      </c>
      <c r="E437" t="s">
        <v>1949</v>
      </c>
      <c r="F437"/>
      <c r="H437" s="1">
        <v>9366</v>
      </c>
      <c r="I437" t="s">
        <v>1950</v>
      </c>
      <c r="J437" t="s">
        <v>1951</v>
      </c>
      <c r="K437" s="170">
        <v>45716</v>
      </c>
      <c r="L437" s="1">
        <v>0</v>
      </c>
      <c r="M437" s="1">
        <v>45744</v>
      </c>
      <c r="Y437"/>
      <c r="Z437"/>
      <c r="AB437"/>
    </row>
    <row r="438" spans="1:28" ht="14.4" hidden="1">
      <c r="A438" t="s">
        <v>510</v>
      </c>
      <c r="B438" s="1">
        <v>32</v>
      </c>
      <c r="C438" s="258" t="s">
        <v>1952</v>
      </c>
      <c r="D438" t="s">
        <v>1165</v>
      </c>
      <c r="E438" t="s">
        <v>1953</v>
      </c>
      <c r="F438">
        <v>44000</v>
      </c>
      <c r="G438">
        <v>13.52</v>
      </c>
      <c r="H438" s="1">
        <v>594880</v>
      </c>
      <c r="I438" t="s">
        <v>1954</v>
      </c>
      <c r="J438" t="s">
        <v>1955</v>
      </c>
      <c r="K438" s="170">
        <v>45535</v>
      </c>
      <c r="L438" s="1">
        <v>1160037.74764677</v>
      </c>
      <c r="M438" s="1">
        <v>45600</v>
      </c>
      <c r="N438" s="1">
        <v>810195</v>
      </c>
      <c r="Y438"/>
      <c r="Z438"/>
      <c r="AB438"/>
    </row>
    <row r="439" spans="1:28" ht="14.4" hidden="1">
      <c r="A439" t="s">
        <v>510</v>
      </c>
      <c r="B439" s="1">
        <v>33</v>
      </c>
      <c r="C439" s="258" t="s">
        <v>1956</v>
      </c>
      <c r="D439" t="s">
        <v>1165</v>
      </c>
      <c r="E439" t="s">
        <v>1953</v>
      </c>
      <c r="F439">
        <v>1000</v>
      </c>
      <c r="G439">
        <v>13.52</v>
      </c>
      <c r="H439" s="1">
        <v>13520</v>
      </c>
      <c r="I439"/>
      <c r="J439" t="s">
        <v>1957</v>
      </c>
      <c r="K439" s="170">
        <v>45535</v>
      </c>
      <c r="L439" s="1">
        <v>26361.354946517506</v>
      </c>
      <c r="M439" s="1">
        <v>45600</v>
      </c>
      <c r="Y439"/>
      <c r="Z439"/>
      <c r="AB439"/>
    </row>
    <row r="440" spans="1:28" ht="14.4" hidden="1">
      <c r="A440" t="s">
        <v>510</v>
      </c>
      <c r="B440" s="1">
        <v>34</v>
      </c>
      <c r="C440" s="258" t="s">
        <v>1958</v>
      </c>
      <c r="D440" t="s">
        <v>1165</v>
      </c>
      <c r="E440" t="s">
        <v>1152</v>
      </c>
      <c r="F440"/>
      <c r="H440" s="1">
        <v>450</v>
      </c>
      <c r="I440"/>
      <c r="J440" t="s">
        <v>1959</v>
      </c>
      <c r="K440" s="170">
        <v>45626</v>
      </c>
      <c r="L440" s="1">
        <v>0</v>
      </c>
      <c r="M440" s="1">
        <v>45663</v>
      </c>
      <c r="Y440"/>
      <c r="Z440"/>
      <c r="AB440"/>
    </row>
    <row r="441" spans="1:28" ht="14.4" hidden="1">
      <c r="A441" t="s">
        <v>510</v>
      </c>
      <c r="B441" s="1">
        <v>35</v>
      </c>
      <c r="C441" s="258" t="s">
        <v>1960</v>
      </c>
      <c r="D441" t="s">
        <v>1165</v>
      </c>
      <c r="E441" t="s">
        <v>1961</v>
      </c>
      <c r="F441">
        <v>1500</v>
      </c>
      <c r="G441">
        <v>13.09</v>
      </c>
      <c r="H441" s="1">
        <v>19635</v>
      </c>
      <c r="I441"/>
      <c r="J441" t="s">
        <v>1962</v>
      </c>
      <c r="K441" s="170">
        <v>45535</v>
      </c>
      <c r="L441" s="1">
        <v>0</v>
      </c>
      <c r="M441" s="1">
        <v>45535</v>
      </c>
      <c r="Y441"/>
      <c r="Z441"/>
      <c r="AB441"/>
    </row>
    <row r="442" spans="1:28" ht="14.4" hidden="1">
      <c r="A442" t="s">
        <v>510</v>
      </c>
      <c r="B442" s="1">
        <v>36</v>
      </c>
      <c r="C442" s="258" t="s">
        <v>1963</v>
      </c>
      <c r="D442" t="s">
        <v>1165</v>
      </c>
      <c r="E442" t="s">
        <v>1961</v>
      </c>
      <c r="F442">
        <v>1500</v>
      </c>
      <c r="G442">
        <v>13.14</v>
      </c>
      <c r="H442" s="1">
        <v>19710</v>
      </c>
      <c r="I442"/>
      <c r="J442" t="s">
        <v>1962</v>
      </c>
      <c r="K442" s="170">
        <v>45535</v>
      </c>
      <c r="L442" s="1">
        <v>0</v>
      </c>
      <c r="M442" s="1">
        <v>45535</v>
      </c>
      <c r="Y442"/>
      <c r="Z442"/>
      <c r="AB442"/>
    </row>
    <row r="443" spans="1:28" ht="14.4" hidden="1">
      <c r="A443" t="s">
        <v>510</v>
      </c>
      <c r="B443" s="1">
        <v>37</v>
      </c>
      <c r="C443" s="258" t="s">
        <v>1964</v>
      </c>
      <c r="D443" t="s">
        <v>1165</v>
      </c>
      <c r="E443" t="s">
        <v>1169</v>
      </c>
      <c r="F443">
        <v>162000</v>
      </c>
      <c r="G443">
        <v>0.1</v>
      </c>
      <c r="H443" s="1">
        <v>16200</v>
      </c>
      <c r="I443" t="s">
        <v>1965</v>
      </c>
      <c r="J443" t="s">
        <v>1966</v>
      </c>
      <c r="K443" s="170">
        <v>45504</v>
      </c>
      <c r="L443" s="1">
        <v>31531.576700048961</v>
      </c>
      <c r="M443" s="1">
        <v>45498</v>
      </c>
      <c r="Y443"/>
      <c r="Z443"/>
      <c r="AB443"/>
    </row>
    <row r="444" spans="1:28" ht="14.4" hidden="1">
      <c r="A444" t="s">
        <v>510</v>
      </c>
      <c r="B444" s="1">
        <v>38</v>
      </c>
      <c r="C444" s="258" t="s">
        <v>1967</v>
      </c>
      <c r="D444" t="s">
        <v>1165</v>
      </c>
      <c r="E444" t="s">
        <v>558</v>
      </c>
      <c r="F444"/>
      <c r="G444">
        <v>0.15</v>
      </c>
      <c r="H444" s="1">
        <v>24300</v>
      </c>
      <c r="I444"/>
      <c r="J444" t="s">
        <v>1968</v>
      </c>
      <c r="K444" s="170">
        <v>45504</v>
      </c>
      <c r="L444" s="1">
        <v>47297.365050073429</v>
      </c>
      <c r="M444" s="1">
        <v>45512</v>
      </c>
      <c r="Y444"/>
      <c r="Z444"/>
      <c r="AB444"/>
    </row>
    <row r="445" spans="1:28" ht="14.4" hidden="1">
      <c r="A445" t="s">
        <v>510</v>
      </c>
      <c r="B445" s="1">
        <v>39</v>
      </c>
      <c r="C445" s="258" t="s">
        <v>1969</v>
      </c>
      <c r="D445" t="s">
        <v>1165</v>
      </c>
      <c r="E445" t="s">
        <v>1175</v>
      </c>
      <c r="F445"/>
      <c r="G445">
        <v>0.2</v>
      </c>
      <c r="H445" s="1">
        <v>32400</v>
      </c>
      <c r="I445"/>
      <c r="J445" t="s">
        <v>1970</v>
      </c>
      <c r="K445" s="170">
        <v>45626</v>
      </c>
      <c r="L445" s="1">
        <v>60154.159689057029</v>
      </c>
      <c r="M445" s="1">
        <v>45610</v>
      </c>
      <c r="Y445"/>
      <c r="Z445"/>
      <c r="AB445"/>
    </row>
    <row r="446" spans="1:28" ht="14.4" hidden="1">
      <c r="A446" t="s">
        <v>510</v>
      </c>
      <c r="B446" s="1">
        <v>40</v>
      </c>
      <c r="C446" s="258" t="s">
        <v>1971</v>
      </c>
      <c r="D446" t="s">
        <v>1165</v>
      </c>
      <c r="E446" t="s">
        <v>1178</v>
      </c>
      <c r="F446"/>
      <c r="G446">
        <v>0.25</v>
      </c>
      <c r="H446" s="1">
        <v>40500</v>
      </c>
      <c r="I446"/>
      <c r="J446" t="s">
        <v>1972</v>
      </c>
      <c r="K446" s="170">
        <v>45596</v>
      </c>
      <c r="L446" s="1">
        <v>86641.006018816974</v>
      </c>
      <c r="M446" s="1">
        <v>45575</v>
      </c>
      <c r="Y446"/>
      <c r="Z446"/>
      <c r="AB446"/>
    </row>
    <row r="447" spans="1:28" ht="14.4" hidden="1">
      <c r="A447" t="s">
        <v>510</v>
      </c>
      <c r="B447" s="1">
        <v>41</v>
      </c>
      <c r="C447" s="258" t="s">
        <v>1973</v>
      </c>
      <c r="D447" t="s">
        <v>1165</v>
      </c>
      <c r="E447" t="s">
        <v>1181</v>
      </c>
      <c r="F447"/>
      <c r="G447">
        <v>0.1</v>
      </c>
      <c r="H447" s="1">
        <v>16200</v>
      </c>
      <c r="I447"/>
      <c r="J447" t="s">
        <v>1974</v>
      </c>
      <c r="K447" s="170">
        <v>45626</v>
      </c>
      <c r="L447" s="1">
        <v>30035.354844528516</v>
      </c>
      <c r="M447" s="1">
        <v>45617</v>
      </c>
      <c r="Y447"/>
      <c r="Z447"/>
      <c r="AB447"/>
    </row>
    <row r="448" spans="1:28" ht="14.4" hidden="1">
      <c r="A448" t="s">
        <v>510</v>
      </c>
      <c r="B448" s="1">
        <v>42</v>
      </c>
      <c r="C448" s="258" t="s">
        <v>1975</v>
      </c>
      <c r="D448" t="s">
        <v>1165</v>
      </c>
      <c r="E448" t="s">
        <v>1184</v>
      </c>
      <c r="F448"/>
      <c r="G448">
        <v>0.1</v>
      </c>
      <c r="H448" s="1">
        <v>16200</v>
      </c>
      <c r="I448"/>
      <c r="J448" t="s">
        <v>1976</v>
      </c>
      <c r="K448" s="170">
        <v>45626</v>
      </c>
      <c r="L448" s="1">
        <v>30035.354844528516</v>
      </c>
      <c r="M448" s="1">
        <v>45617</v>
      </c>
      <c r="Y448"/>
      <c r="Z448"/>
      <c r="AB448"/>
    </row>
    <row r="449" spans="1:28" ht="14.4" hidden="1">
      <c r="A449" t="s">
        <v>510</v>
      </c>
      <c r="B449" s="1">
        <v>43</v>
      </c>
      <c r="C449" s="258" t="s">
        <v>1977</v>
      </c>
      <c r="D449" t="s">
        <v>1165</v>
      </c>
      <c r="E449" t="s">
        <v>1187</v>
      </c>
      <c r="F449"/>
      <c r="G449">
        <v>0.05</v>
      </c>
      <c r="H449" s="1">
        <v>8100</v>
      </c>
      <c r="I449"/>
      <c r="J449" t="s">
        <v>1978</v>
      </c>
      <c r="K449" s="170">
        <v>45626</v>
      </c>
      <c r="L449" s="1">
        <v>15017.677422264258</v>
      </c>
      <c r="M449" s="1">
        <v>45631</v>
      </c>
      <c r="Y449"/>
      <c r="Z449"/>
      <c r="AB449"/>
    </row>
    <row r="450" spans="1:28" ht="14.4" hidden="1">
      <c r="A450" t="s">
        <v>510</v>
      </c>
      <c r="B450" s="1">
        <v>44</v>
      </c>
      <c r="C450" s="258" t="s">
        <v>1979</v>
      </c>
      <c r="D450" t="s">
        <v>1165</v>
      </c>
      <c r="E450" t="s">
        <v>1190</v>
      </c>
      <c r="F450"/>
      <c r="G450">
        <v>0.05</v>
      </c>
      <c r="H450" s="1">
        <v>8100</v>
      </c>
      <c r="I450"/>
      <c r="J450" t="s">
        <v>1980</v>
      </c>
      <c r="K450" s="170">
        <v>45626</v>
      </c>
      <c r="L450" s="1">
        <v>15017.677422264258</v>
      </c>
      <c r="M450" s="1">
        <v>45890</v>
      </c>
      <c r="Y450"/>
      <c r="Z450"/>
      <c r="AB450"/>
    </row>
    <row r="451" spans="1:28" ht="14.4" hidden="1">
      <c r="A451" t="s">
        <v>510</v>
      </c>
      <c r="B451" s="1">
        <v>47</v>
      </c>
      <c r="C451" s="258" t="s">
        <v>1981</v>
      </c>
      <c r="D451" t="s">
        <v>1193</v>
      </c>
      <c r="E451" t="s">
        <v>1982</v>
      </c>
      <c r="F451"/>
      <c r="H451" s="1">
        <v>24770</v>
      </c>
      <c r="I451" t="s">
        <v>1983</v>
      </c>
      <c r="J451" t="s">
        <v>1984</v>
      </c>
      <c r="K451" s="170">
        <v>45535</v>
      </c>
      <c r="L451" s="1">
        <v>11215.185446544016</v>
      </c>
      <c r="M451" s="1">
        <v>45562</v>
      </c>
      <c r="Y451"/>
      <c r="Z451"/>
      <c r="AB451"/>
    </row>
    <row r="452" spans="1:28" ht="14.4" hidden="1">
      <c r="A452" t="s">
        <v>510</v>
      </c>
      <c r="B452" s="1">
        <v>48</v>
      </c>
      <c r="C452" s="258" t="s">
        <v>1985</v>
      </c>
      <c r="D452" t="s">
        <v>1193</v>
      </c>
      <c r="E452" t="s">
        <v>1986</v>
      </c>
      <c r="F452"/>
      <c r="H452" s="1">
        <v>3710</v>
      </c>
      <c r="I452" t="s">
        <v>1987</v>
      </c>
      <c r="J452" t="s">
        <v>1988</v>
      </c>
      <c r="K452" s="170">
        <v>45688</v>
      </c>
      <c r="L452" s="1">
        <v>0</v>
      </c>
      <c r="M452" s="1">
        <v>45715</v>
      </c>
      <c r="Y452"/>
      <c r="Z452"/>
      <c r="AB452"/>
    </row>
    <row r="453" spans="1:28" ht="14.4" hidden="1">
      <c r="A453" t="s">
        <v>510</v>
      </c>
      <c r="B453" s="1">
        <v>51</v>
      </c>
      <c r="C453" s="258" t="s">
        <v>1989</v>
      </c>
      <c r="D453" t="s">
        <v>1193</v>
      </c>
      <c r="E453" t="s">
        <v>1990</v>
      </c>
      <c r="F453"/>
      <c r="H453" s="1">
        <v>0</v>
      </c>
      <c r="I453"/>
      <c r="J453" t="s">
        <v>1991</v>
      </c>
      <c r="K453" s="170">
        <v>45596</v>
      </c>
      <c r="L453" s="1">
        <v>43013.43</v>
      </c>
      <c r="M453" s="1">
        <v>45626</v>
      </c>
      <c r="Y453"/>
      <c r="Z453"/>
      <c r="AB453"/>
    </row>
    <row r="454" spans="1:28" ht="14.4" hidden="1">
      <c r="A454" t="s">
        <v>510</v>
      </c>
      <c r="B454" s="1">
        <v>54</v>
      </c>
      <c r="C454" s="258" t="s">
        <v>1992</v>
      </c>
      <c r="D454" t="s">
        <v>1211</v>
      </c>
      <c r="E454" t="s">
        <v>1993</v>
      </c>
      <c r="F454"/>
      <c r="G454">
        <v>185475.16</v>
      </c>
      <c r="H454" s="1">
        <v>185475.16</v>
      </c>
      <c r="I454"/>
      <c r="J454" t="s">
        <v>1994</v>
      </c>
      <c r="K454" s="170">
        <v>45535</v>
      </c>
      <c r="L454" s="1">
        <v>611631.5138385467</v>
      </c>
      <c r="M454" s="1">
        <v>45589</v>
      </c>
      <c r="Y454"/>
      <c r="Z454"/>
      <c r="AB454"/>
    </row>
    <row r="455" spans="1:28" ht="14.4" hidden="1">
      <c r="A455" t="s">
        <v>510</v>
      </c>
      <c r="B455" s="1">
        <v>55</v>
      </c>
      <c r="C455" s="258" t="s">
        <v>1995</v>
      </c>
      <c r="D455" t="s">
        <v>1211</v>
      </c>
      <c r="E455" t="s">
        <v>1996</v>
      </c>
      <c r="F455"/>
      <c r="G455">
        <v>200263.12</v>
      </c>
      <c r="H455" s="1">
        <v>200263.12</v>
      </c>
      <c r="I455"/>
      <c r="J455" t="s">
        <v>1994</v>
      </c>
      <c r="K455" s="170">
        <v>45535</v>
      </c>
      <c r="L455" s="1">
        <v>660396.978504456</v>
      </c>
      <c r="M455" s="1">
        <v>45589</v>
      </c>
      <c r="Y455"/>
      <c r="Z455"/>
      <c r="AB455"/>
    </row>
    <row r="456" spans="1:28" ht="14.4" hidden="1">
      <c r="A456" t="s">
        <v>510</v>
      </c>
      <c r="B456" s="1">
        <v>57</v>
      </c>
      <c r="C456" s="258" t="s">
        <v>1997</v>
      </c>
      <c r="D456" t="s">
        <v>1211</v>
      </c>
      <c r="E456" t="s">
        <v>1998</v>
      </c>
      <c r="F456"/>
      <c r="H456" s="1">
        <v>53375.87</v>
      </c>
      <c r="I456" t="s">
        <v>1999</v>
      </c>
      <c r="J456" t="s">
        <v>2000</v>
      </c>
      <c r="K456" s="170">
        <v>45716</v>
      </c>
      <c r="L456" s="1">
        <v>22070.737953607633</v>
      </c>
      <c r="M456" s="1">
        <v>45695</v>
      </c>
      <c r="Y456"/>
      <c r="Z456"/>
      <c r="AB456"/>
    </row>
    <row r="457" spans="1:28" ht="14.4" hidden="1">
      <c r="A457" t="s">
        <v>510</v>
      </c>
      <c r="B457" s="1">
        <v>59</v>
      </c>
      <c r="C457" s="258" t="s">
        <v>2001</v>
      </c>
      <c r="D457" t="s">
        <v>1211</v>
      </c>
      <c r="E457" t="s">
        <v>1169</v>
      </c>
      <c r="F457">
        <v>738000</v>
      </c>
      <c r="G457">
        <v>0.1</v>
      </c>
      <c r="H457" s="1">
        <v>73800</v>
      </c>
      <c r="I457" t="s">
        <v>1965</v>
      </c>
      <c r="J457" t="s">
        <v>1966</v>
      </c>
      <c r="K457" s="170">
        <v>45504</v>
      </c>
      <c r="L457" s="1">
        <v>243366.31234761977</v>
      </c>
      <c r="M457" s="1">
        <v>45498</v>
      </c>
      <c r="Y457"/>
      <c r="Z457"/>
      <c r="AB457"/>
    </row>
    <row r="458" spans="1:28" ht="14.4" hidden="1">
      <c r="A458" t="s">
        <v>510</v>
      </c>
      <c r="B458" s="1">
        <v>60</v>
      </c>
      <c r="C458" s="258" t="s">
        <v>2002</v>
      </c>
      <c r="D458" t="s">
        <v>1211</v>
      </c>
      <c r="E458" t="s">
        <v>558</v>
      </c>
      <c r="F458"/>
      <c r="G458">
        <v>0.15</v>
      </c>
      <c r="H458" s="1">
        <v>110700</v>
      </c>
      <c r="I458"/>
      <c r="J458" t="s">
        <v>1968</v>
      </c>
      <c r="K458" s="170">
        <v>45504</v>
      </c>
      <c r="L458" s="1">
        <v>365049.46852142958</v>
      </c>
      <c r="M458" s="1">
        <v>45512</v>
      </c>
      <c r="Y458"/>
      <c r="Z458"/>
      <c r="AB458"/>
    </row>
    <row r="459" spans="1:28" ht="14.4" hidden="1">
      <c r="A459" t="s">
        <v>510</v>
      </c>
      <c r="B459" s="1">
        <v>61</v>
      </c>
      <c r="C459" s="258" t="s">
        <v>2003</v>
      </c>
      <c r="D459" t="s">
        <v>1211</v>
      </c>
      <c r="E459" t="s">
        <v>1175</v>
      </c>
      <c r="F459"/>
      <c r="G459">
        <v>0.2</v>
      </c>
      <c r="H459" s="1">
        <v>147600</v>
      </c>
      <c r="I459"/>
      <c r="J459" t="s">
        <v>1970</v>
      </c>
      <c r="K459" s="170">
        <v>45626</v>
      </c>
      <c r="L459" s="1">
        <v>464661.88729012728</v>
      </c>
      <c r="M459" s="1">
        <v>45610</v>
      </c>
      <c r="Y459"/>
      <c r="Z459"/>
      <c r="AB459"/>
    </row>
    <row r="460" spans="1:28" ht="14.4" hidden="1">
      <c r="A460" t="s">
        <v>510</v>
      </c>
      <c r="B460" s="1">
        <v>62</v>
      </c>
      <c r="C460" s="258" t="s">
        <v>2004</v>
      </c>
      <c r="D460" t="s">
        <v>1211</v>
      </c>
      <c r="E460" t="s">
        <v>1178</v>
      </c>
      <c r="F460"/>
      <c r="G460">
        <v>0.25</v>
      </c>
      <c r="H460" s="1">
        <v>184500</v>
      </c>
      <c r="I460"/>
      <c r="J460" t="s">
        <v>1972</v>
      </c>
      <c r="K460" s="170">
        <v>45596</v>
      </c>
      <c r="L460" s="1">
        <v>608415.78086904925</v>
      </c>
      <c r="M460" s="1">
        <v>45575</v>
      </c>
      <c r="Y460"/>
      <c r="Z460"/>
      <c r="AB460"/>
    </row>
    <row r="461" spans="1:28" ht="14.4" hidden="1">
      <c r="A461" t="s">
        <v>510</v>
      </c>
      <c r="B461" s="1">
        <v>63</v>
      </c>
      <c r="C461" s="258" t="s">
        <v>2005</v>
      </c>
      <c r="D461" t="s">
        <v>1211</v>
      </c>
      <c r="E461" t="s">
        <v>1181</v>
      </c>
      <c r="F461"/>
      <c r="G461">
        <v>0.1</v>
      </c>
      <c r="H461" s="1">
        <v>73800</v>
      </c>
      <c r="I461"/>
      <c r="J461" t="s">
        <v>1974</v>
      </c>
      <c r="K461" s="170">
        <v>45626</v>
      </c>
      <c r="L461" s="1">
        <v>243366.31234761977</v>
      </c>
      <c r="M461" s="1">
        <v>45617</v>
      </c>
      <c r="Y461"/>
      <c r="Z461"/>
      <c r="AB461"/>
    </row>
    <row r="462" spans="1:28" ht="14.4" hidden="1">
      <c r="A462" t="s">
        <v>510</v>
      </c>
      <c r="B462" s="1">
        <v>64</v>
      </c>
      <c r="C462" s="258" t="s">
        <v>2006</v>
      </c>
      <c r="D462" t="s">
        <v>1211</v>
      </c>
      <c r="E462" t="s">
        <v>1184</v>
      </c>
      <c r="F462"/>
      <c r="G462">
        <v>0.1</v>
      </c>
      <c r="H462" s="1">
        <v>73800</v>
      </c>
      <c r="I462"/>
      <c r="J462" t="s">
        <v>1976</v>
      </c>
      <c r="K462" s="170">
        <v>45626</v>
      </c>
      <c r="L462" s="1">
        <v>243366.31234761977</v>
      </c>
      <c r="M462" s="1">
        <v>45617</v>
      </c>
      <c r="Y462"/>
      <c r="Z462"/>
      <c r="AB462"/>
    </row>
    <row r="463" spans="1:28" ht="14.4" hidden="1">
      <c r="A463" t="s">
        <v>510</v>
      </c>
      <c r="B463" s="1">
        <v>65</v>
      </c>
      <c r="C463" s="258" t="s">
        <v>2007</v>
      </c>
      <c r="D463" t="s">
        <v>1211</v>
      </c>
      <c r="E463" t="s">
        <v>1187</v>
      </c>
      <c r="F463"/>
      <c r="G463">
        <v>0.05</v>
      </c>
      <c r="H463" s="1">
        <v>36900</v>
      </c>
      <c r="I463"/>
      <c r="J463" t="s">
        <v>1978</v>
      </c>
      <c r="K463" s="170">
        <v>45626</v>
      </c>
      <c r="L463" s="1">
        <v>121683.15617380988</v>
      </c>
      <c r="M463" s="1">
        <v>45631</v>
      </c>
      <c r="Y463"/>
      <c r="Z463"/>
      <c r="AB463"/>
    </row>
    <row r="464" spans="1:28" ht="14.4" hidden="1">
      <c r="A464" t="s">
        <v>510</v>
      </c>
      <c r="B464" s="1">
        <v>66</v>
      </c>
      <c r="C464" s="258" t="s">
        <v>2008</v>
      </c>
      <c r="D464" t="s">
        <v>1211</v>
      </c>
      <c r="E464" t="s">
        <v>1190</v>
      </c>
      <c r="F464"/>
      <c r="G464">
        <v>0.05</v>
      </c>
      <c r="H464" s="1">
        <v>36900</v>
      </c>
      <c r="I464"/>
      <c r="J464" t="s">
        <v>1980</v>
      </c>
      <c r="K464" s="170">
        <v>45626</v>
      </c>
      <c r="L464" s="1">
        <v>121683.15617380988</v>
      </c>
      <c r="M464" s="1">
        <v>45890</v>
      </c>
      <c r="Y464"/>
      <c r="Z464"/>
      <c r="AB464"/>
    </row>
    <row r="465" spans="1:28" ht="14.4" hidden="1">
      <c r="A465" t="s">
        <v>510</v>
      </c>
      <c r="B465" s="1">
        <v>78</v>
      </c>
      <c r="C465" s="258" t="s">
        <v>2009</v>
      </c>
      <c r="D465" t="s">
        <v>1224</v>
      </c>
      <c r="E465" t="s">
        <v>2010</v>
      </c>
      <c r="F465"/>
      <c r="H465" s="1">
        <v>61627.5</v>
      </c>
      <c r="I465" t="s">
        <v>2011</v>
      </c>
      <c r="J465" t="s">
        <v>2012</v>
      </c>
      <c r="K465" s="170">
        <v>45626</v>
      </c>
      <c r="L465" s="1">
        <v>13306.013423302207</v>
      </c>
      <c r="M465" s="1">
        <v>45624</v>
      </c>
      <c r="Y465"/>
      <c r="Z465"/>
      <c r="AB465"/>
    </row>
    <row r="466" spans="1:28" ht="14.4" hidden="1">
      <c r="A466" t="s">
        <v>510</v>
      </c>
      <c r="B466" s="1">
        <v>79</v>
      </c>
      <c r="C466" s="258" t="s">
        <v>2013</v>
      </c>
      <c r="D466" t="s">
        <v>1224</v>
      </c>
      <c r="E466" t="s">
        <v>2014</v>
      </c>
      <c r="F466">
        <v>0.5</v>
      </c>
      <c r="G466">
        <v>260060.56</v>
      </c>
      <c r="H466" s="1">
        <v>130030.28</v>
      </c>
      <c r="I466" t="s">
        <v>2015</v>
      </c>
      <c r="J466" t="s">
        <v>2016</v>
      </c>
      <c r="K466" s="170">
        <v>45504</v>
      </c>
      <c r="L466" s="1">
        <v>53875.090099128327</v>
      </c>
      <c r="M466" s="1">
        <v>45504</v>
      </c>
      <c r="Y466"/>
      <c r="Z466"/>
      <c r="AB466"/>
    </row>
    <row r="467" spans="1:28" ht="14.4" hidden="1">
      <c r="A467" t="s">
        <v>510</v>
      </c>
      <c r="B467" s="1">
        <v>80</v>
      </c>
      <c r="C467" s="258" t="s">
        <v>2017</v>
      </c>
      <c r="D467" t="s">
        <v>1224</v>
      </c>
      <c r="E467" t="s">
        <v>2018</v>
      </c>
      <c r="F467">
        <v>0.5</v>
      </c>
      <c r="H467" s="1">
        <v>130030.28</v>
      </c>
      <c r="I467"/>
      <c r="J467" t="s">
        <v>2019</v>
      </c>
      <c r="K467" s="170">
        <v>45504</v>
      </c>
      <c r="L467" s="1">
        <v>53875.090099128327</v>
      </c>
      <c r="M467" s="1">
        <v>45624</v>
      </c>
      <c r="Y467"/>
      <c r="Z467"/>
      <c r="AB467"/>
    </row>
    <row r="468" spans="1:28" ht="14.4" hidden="1">
      <c r="A468" t="s">
        <v>510</v>
      </c>
      <c r="B468" s="1">
        <v>81</v>
      </c>
      <c r="C468" s="258" t="s">
        <v>2020</v>
      </c>
      <c r="D468" t="s">
        <v>1224</v>
      </c>
      <c r="E468" t="s">
        <v>2021</v>
      </c>
      <c r="F468">
        <v>0.5</v>
      </c>
      <c r="G468">
        <v>291115</v>
      </c>
      <c r="H468" s="1">
        <v>145557.5</v>
      </c>
      <c r="I468" t="s">
        <v>2022</v>
      </c>
      <c r="J468" t="s">
        <v>2023</v>
      </c>
      <c r="K468" s="170">
        <v>45657</v>
      </c>
      <c r="L468" s="1">
        <v>31427.366822641052</v>
      </c>
      <c r="M468" s="1">
        <v>45638</v>
      </c>
      <c r="Y468"/>
      <c r="Z468"/>
      <c r="AB468"/>
    </row>
    <row r="469" spans="1:28" ht="14.4" hidden="1">
      <c r="A469" t="s">
        <v>510</v>
      </c>
      <c r="B469" s="1">
        <v>82</v>
      </c>
      <c r="C469" s="258" t="s">
        <v>2024</v>
      </c>
      <c r="D469" t="s">
        <v>1224</v>
      </c>
      <c r="E469" t="s">
        <v>2021</v>
      </c>
      <c r="F469">
        <v>0.5</v>
      </c>
      <c r="H469" s="1">
        <v>145557.5</v>
      </c>
      <c r="I469"/>
      <c r="J469" t="s">
        <v>2025</v>
      </c>
      <c r="K469" s="170">
        <v>45747</v>
      </c>
      <c r="L469" s="1">
        <v>0</v>
      </c>
      <c r="M469" s="1">
        <v>45750</v>
      </c>
      <c r="Y469"/>
      <c r="Z469"/>
      <c r="AB469"/>
    </row>
    <row r="470" spans="1:28" ht="14.4" hidden="1">
      <c r="A470" t="s">
        <v>510</v>
      </c>
      <c r="B470" s="1">
        <v>83</v>
      </c>
      <c r="C470" s="258" t="s">
        <v>2026</v>
      </c>
      <c r="D470" t="s">
        <v>1224</v>
      </c>
      <c r="E470" t="s">
        <v>2027</v>
      </c>
      <c r="F470">
        <v>0.5</v>
      </c>
      <c r="G470">
        <v>38068</v>
      </c>
      <c r="H470" s="1">
        <v>19034</v>
      </c>
      <c r="I470" t="s">
        <v>2028</v>
      </c>
      <c r="J470" t="s">
        <v>2029</v>
      </c>
      <c r="K470" s="170">
        <v>45504</v>
      </c>
      <c r="L470" s="1">
        <v>7886.3051355946372</v>
      </c>
      <c r="M470" s="1">
        <v>45715</v>
      </c>
      <c r="Y470"/>
      <c r="Z470"/>
      <c r="AB470"/>
    </row>
    <row r="471" spans="1:28" ht="14.4" hidden="1">
      <c r="A471" t="s">
        <v>510</v>
      </c>
      <c r="B471" s="1">
        <v>84</v>
      </c>
      <c r="C471" s="258" t="s">
        <v>2030</v>
      </c>
      <c r="D471" t="s">
        <v>1224</v>
      </c>
      <c r="E471" t="s">
        <v>2031</v>
      </c>
      <c r="F471">
        <v>0.5</v>
      </c>
      <c r="H471" s="1">
        <v>19034</v>
      </c>
      <c r="I471"/>
      <c r="J471" t="s">
        <v>2029</v>
      </c>
      <c r="K471" s="170">
        <v>45504</v>
      </c>
      <c r="L471" s="1">
        <v>7886.3051355946372</v>
      </c>
      <c r="M471" s="1">
        <v>45715</v>
      </c>
      <c r="Y471"/>
      <c r="Z471"/>
      <c r="AB471"/>
    </row>
    <row r="472" spans="1:28" ht="14.4" hidden="1">
      <c r="A472" t="s">
        <v>510</v>
      </c>
      <c r="B472" s="1">
        <v>86</v>
      </c>
      <c r="C472" s="258" t="s">
        <v>2032</v>
      </c>
      <c r="D472" t="s">
        <v>1224</v>
      </c>
      <c r="E472" t="s">
        <v>2033</v>
      </c>
      <c r="F472"/>
      <c r="H472" s="1">
        <v>38800</v>
      </c>
      <c r="I472"/>
      <c r="J472" t="s">
        <v>2034</v>
      </c>
      <c r="K472" s="170">
        <v>45626</v>
      </c>
      <c r="L472" s="1">
        <v>0</v>
      </c>
      <c r="M472" s="1">
        <v>45610</v>
      </c>
      <c r="Y472"/>
      <c r="Z472"/>
      <c r="AB472"/>
    </row>
    <row r="473" spans="1:28" ht="14.4" hidden="1">
      <c r="A473" t="s">
        <v>510</v>
      </c>
      <c r="B473" s="1">
        <v>87</v>
      </c>
      <c r="C473" s="258" t="s">
        <v>2035</v>
      </c>
      <c r="D473" t="s">
        <v>1224</v>
      </c>
      <c r="E473" t="s">
        <v>2036</v>
      </c>
      <c r="F473"/>
      <c r="H473" s="1">
        <v>27281</v>
      </c>
      <c r="I473" t="s">
        <v>2037</v>
      </c>
      <c r="J473" t="s">
        <v>2038</v>
      </c>
      <c r="K473" s="170">
        <v>45626</v>
      </c>
      <c r="L473" s="1">
        <v>4508.7895184959252</v>
      </c>
      <c r="M473" s="1">
        <v>45631</v>
      </c>
      <c r="Y473"/>
      <c r="Z473"/>
      <c r="AB473"/>
    </row>
    <row r="474" spans="1:28" ht="14.4" hidden="1">
      <c r="A474" t="s">
        <v>510</v>
      </c>
      <c r="B474" s="1">
        <v>88</v>
      </c>
      <c r="C474" s="258" t="s">
        <v>2039</v>
      </c>
      <c r="D474" t="s">
        <v>1224</v>
      </c>
      <c r="E474" t="s">
        <v>2040</v>
      </c>
      <c r="F474"/>
      <c r="H474" s="1">
        <v>266859.84000000003</v>
      </c>
      <c r="I474" t="s">
        <v>2041</v>
      </c>
      <c r="J474" t="s">
        <v>2042</v>
      </c>
      <c r="K474" s="170">
        <v>45596</v>
      </c>
      <c r="L474" s="1">
        <v>38723.420498318141</v>
      </c>
      <c r="M474" s="1">
        <v>45610</v>
      </c>
      <c r="Y474"/>
      <c r="Z474"/>
      <c r="AB474"/>
    </row>
    <row r="475" spans="1:28" ht="14.4" hidden="1">
      <c r="A475" t="s">
        <v>510</v>
      </c>
      <c r="B475" s="1">
        <v>89</v>
      </c>
      <c r="C475" s="258" t="s">
        <v>2043</v>
      </c>
      <c r="D475" t="s">
        <v>1224</v>
      </c>
      <c r="E475" t="s">
        <v>2044</v>
      </c>
      <c r="F475"/>
      <c r="H475" s="1">
        <v>68259.149999999994</v>
      </c>
      <c r="I475" t="s">
        <v>2045</v>
      </c>
      <c r="J475" t="s">
        <v>2046</v>
      </c>
      <c r="K475" s="170">
        <v>45626</v>
      </c>
      <c r="L475" s="1">
        <v>15664.615116030976</v>
      </c>
      <c r="M475" s="1">
        <v>45610</v>
      </c>
      <c r="Y475"/>
      <c r="Z475"/>
      <c r="AB475"/>
    </row>
    <row r="476" spans="1:28" ht="14.4" hidden="1">
      <c r="A476" t="s">
        <v>510</v>
      </c>
      <c r="B476" s="1">
        <v>91</v>
      </c>
      <c r="C476" s="258" t="s">
        <v>2047</v>
      </c>
      <c r="D476" t="s">
        <v>1224</v>
      </c>
      <c r="E476" t="s">
        <v>2048</v>
      </c>
      <c r="F476">
        <v>434782.61</v>
      </c>
      <c r="G476">
        <v>0.3</v>
      </c>
      <c r="H476" s="1">
        <v>130434.783</v>
      </c>
      <c r="I476" t="s">
        <v>2049</v>
      </c>
      <c r="J476" t="s">
        <v>2050</v>
      </c>
      <c r="K476" s="170">
        <v>45808</v>
      </c>
      <c r="L476" s="1">
        <v>13742.769310629141</v>
      </c>
      <c r="M476" s="1">
        <v>45806</v>
      </c>
      <c r="Y476"/>
      <c r="Z476"/>
      <c r="AB476"/>
    </row>
    <row r="477" spans="1:28" ht="14.4" hidden="1">
      <c r="A477" t="s">
        <v>510</v>
      </c>
      <c r="B477" s="1">
        <v>92</v>
      </c>
      <c r="C477" s="258" t="s">
        <v>2051</v>
      </c>
      <c r="D477" t="s">
        <v>1224</v>
      </c>
      <c r="E477" t="s">
        <v>2052</v>
      </c>
      <c r="F477"/>
      <c r="G477">
        <v>0.6</v>
      </c>
      <c r="H477" s="1">
        <v>260869.56599999999</v>
      </c>
      <c r="I477"/>
      <c r="J477" t="s">
        <v>2053</v>
      </c>
      <c r="K477" s="170">
        <v>45838</v>
      </c>
      <c r="L477" s="1">
        <v>41314.370000000003</v>
      </c>
      <c r="M477" s="1">
        <v>45841</v>
      </c>
      <c r="Y477"/>
      <c r="Z477"/>
      <c r="AB477"/>
    </row>
    <row r="478" spans="1:28" ht="14.4" hidden="1">
      <c r="A478" t="s">
        <v>510</v>
      </c>
      <c r="B478" s="1">
        <v>93</v>
      </c>
      <c r="C478" s="258" t="s">
        <v>2054</v>
      </c>
      <c r="D478" t="s">
        <v>1224</v>
      </c>
      <c r="E478" t="s">
        <v>2055</v>
      </c>
      <c r="F478"/>
      <c r="G478">
        <v>0.1</v>
      </c>
      <c r="H478" s="1">
        <v>43478.260999999999</v>
      </c>
      <c r="I478"/>
      <c r="J478" t="s">
        <v>2056</v>
      </c>
      <c r="K478" s="170">
        <v>45838</v>
      </c>
      <c r="L478" s="1">
        <v>0</v>
      </c>
      <c r="M478" s="1">
        <v>46052</v>
      </c>
      <c r="Y478"/>
      <c r="Z478"/>
      <c r="AB478"/>
    </row>
    <row r="479" spans="1:28" ht="14.4" hidden="1">
      <c r="A479" t="s">
        <v>510</v>
      </c>
      <c r="B479" s="1">
        <v>95</v>
      </c>
      <c r="C479" s="258" t="s">
        <v>2057</v>
      </c>
      <c r="D479" t="s">
        <v>1224</v>
      </c>
      <c r="E479" t="s">
        <v>2058</v>
      </c>
      <c r="F479"/>
      <c r="H479" s="1">
        <v>1750</v>
      </c>
      <c r="I479" t="s">
        <v>2059</v>
      </c>
      <c r="J479" t="s">
        <v>2060</v>
      </c>
      <c r="K479" s="170">
        <v>45900</v>
      </c>
      <c r="M479" s="1">
        <v>46058</v>
      </c>
      <c r="Y479"/>
      <c r="Z479"/>
      <c r="AB479"/>
    </row>
    <row r="480" spans="1:28" ht="14.4" hidden="1">
      <c r="A480" t="s">
        <v>510</v>
      </c>
      <c r="B480" s="1">
        <v>101</v>
      </c>
      <c r="C480" s="258" t="s">
        <v>2061</v>
      </c>
      <c r="D480" t="s">
        <v>1246</v>
      </c>
      <c r="E480" t="s">
        <v>1169</v>
      </c>
      <c r="F480">
        <v>1500000</v>
      </c>
      <c r="G480">
        <v>0.1</v>
      </c>
      <c r="H480" s="1">
        <v>150000</v>
      </c>
      <c r="I480" t="s">
        <v>1965</v>
      </c>
      <c r="J480" t="s">
        <v>1966</v>
      </c>
      <c r="K480" s="170">
        <v>45504</v>
      </c>
      <c r="L480" s="1">
        <v>150800</v>
      </c>
      <c r="M480" s="1">
        <v>45498</v>
      </c>
      <c r="N480" s="1">
        <v>1500000</v>
      </c>
      <c r="Y480"/>
      <c r="Z480"/>
      <c r="AB480"/>
    </row>
    <row r="481" spans="1:28" ht="14.4" hidden="1">
      <c r="A481" t="s">
        <v>510</v>
      </c>
      <c r="B481" s="1">
        <v>102</v>
      </c>
      <c r="C481" s="258" t="s">
        <v>2062</v>
      </c>
      <c r="D481" t="s">
        <v>1246</v>
      </c>
      <c r="E481" t="s">
        <v>558</v>
      </c>
      <c r="F481"/>
      <c r="G481">
        <v>0.15</v>
      </c>
      <c r="H481" s="1">
        <v>225000</v>
      </c>
      <c r="I481"/>
      <c r="J481" t="s">
        <v>2063</v>
      </c>
      <c r="K481" s="170">
        <v>45504</v>
      </c>
      <c r="L481" s="1">
        <v>226200</v>
      </c>
      <c r="M481" s="1">
        <v>45512</v>
      </c>
      <c r="Y481"/>
      <c r="Z481"/>
      <c r="AB481"/>
    </row>
    <row r="482" spans="1:28" ht="14.4" hidden="1">
      <c r="A482" t="s">
        <v>510</v>
      </c>
      <c r="B482" s="1">
        <v>103</v>
      </c>
      <c r="C482" s="258" t="s">
        <v>2064</v>
      </c>
      <c r="D482" t="s">
        <v>1246</v>
      </c>
      <c r="E482" t="s">
        <v>1175</v>
      </c>
      <c r="F482"/>
      <c r="G482">
        <v>0.2</v>
      </c>
      <c r="H482" s="1">
        <v>300000</v>
      </c>
      <c r="I482"/>
      <c r="J482" t="s">
        <v>1970</v>
      </c>
      <c r="K482" s="170">
        <v>45626</v>
      </c>
      <c r="L482" s="1">
        <v>301600</v>
      </c>
      <c r="M482" s="1">
        <v>45610</v>
      </c>
      <c r="Y482"/>
      <c r="Z482"/>
      <c r="AB482"/>
    </row>
    <row r="483" spans="1:28" ht="14.4" hidden="1">
      <c r="A483" t="s">
        <v>510</v>
      </c>
      <c r="B483" s="1">
        <v>104</v>
      </c>
      <c r="C483" s="258" t="s">
        <v>2065</v>
      </c>
      <c r="D483" t="s">
        <v>1246</v>
      </c>
      <c r="E483" t="s">
        <v>1178</v>
      </c>
      <c r="F483"/>
      <c r="G483">
        <v>0.25</v>
      </c>
      <c r="H483" s="1">
        <v>375000</v>
      </c>
      <c r="I483"/>
      <c r="J483" t="s">
        <v>1972</v>
      </c>
      <c r="K483" s="170">
        <v>45596</v>
      </c>
      <c r="L483" s="1">
        <v>377000</v>
      </c>
      <c r="M483" s="1">
        <v>45575</v>
      </c>
      <c r="Y483"/>
      <c r="Z483"/>
      <c r="AB483"/>
    </row>
    <row r="484" spans="1:28" ht="14.4" hidden="1">
      <c r="A484" t="s">
        <v>510</v>
      </c>
      <c r="B484" s="1">
        <v>105</v>
      </c>
      <c r="C484" s="258" t="s">
        <v>2066</v>
      </c>
      <c r="D484" t="s">
        <v>1246</v>
      </c>
      <c r="E484" t="s">
        <v>1181</v>
      </c>
      <c r="F484"/>
      <c r="G484">
        <v>0.1</v>
      </c>
      <c r="H484" s="1">
        <v>150000</v>
      </c>
      <c r="I484"/>
      <c r="J484" t="s">
        <v>1974</v>
      </c>
      <c r="K484" s="170">
        <v>45626</v>
      </c>
      <c r="L484" s="1">
        <v>150800</v>
      </c>
      <c r="M484" s="1">
        <v>45617</v>
      </c>
      <c r="Y484"/>
      <c r="Z484"/>
      <c r="AB484"/>
    </row>
    <row r="485" spans="1:28" ht="14.4" hidden="1">
      <c r="A485" t="s">
        <v>510</v>
      </c>
      <c r="B485" s="1">
        <v>106</v>
      </c>
      <c r="C485" s="258" t="s">
        <v>2067</v>
      </c>
      <c r="D485" t="s">
        <v>1246</v>
      </c>
      <c r="E485" t="s">
        <v>1184</v>
      </c>
      <c r="F485"/>
      <c r="G485">
        <v>0.1</v>
      </c>
      <c r="H485" s="1">
        <v>150000</v>
      </c>
      <c r="I485"/>
      <c r="J485" t="s">
        <v>1976</v>
      </c>
      <c r="K485" s="170">
        <v>45626</v>
      </c>
      <c r="L485" s="1">
        <v>150800</v>
      </c>
      <c r="M485" s="1">
        <v>45617</v>
      </c>
      <c r="Y485"/>
      <c r="Z485"/>
      <c r="AB485"/>
    </row>
    <row r="486" spans="1:28" ht="14.4" hidden="1">
      <c r="A486" t="s">
        <v>510</v>
      </c>
      <c r="B486" s="1">
        <v>107</v>
      </c>
      <c r="C486" s="258" t="s">
        <v>2068</v>
      </c>
      <c r="D486" t="s">
        <v>1246</v>
      </c>
      <c r="E486" t="s">
        <v>1187</v>
      </c>
      <c r="F486"/>
      <c r="G486">
        <v>0.05</v>
      </c>
      <c r="H486" s="1">
        <v>75000</v>
      </c>
      <c r="I486"/>
      <c r="J486" t="s">
        <v>1978</v>
      </c>
      <c r="K486" s="170">
        <v>45626</v>
      </c>
      <c r="L486" s="1">
        <v>75400</v>
      </c>
      <c r="M486" s="1">
        <v>45631</v>
      </c>
      <c r="Y486"/>
      <c r="Z486"/>
      <c r="AB486"/>
    </row>
    <row r="487" spans="1:28" ht="14.4" hidden="1">
      <c r="A487" t="s">
        <v>510</v>
      </c>
      <c r="B487" s="1">
        <v>108</v>
      </c>
      <c r="C487" s="258" t="s">
        <v>2069</v>
      </c>
      <c r="D487" t="s">
        <v>1246</v>
      </c>
      <c r="E487" t="s">
        <v>1190</v>
      </c>
      <c r="F487"/>
      <c r="G487">
        <v>0.05</v>
      </c>
      <c r="H487" s="1">
        <v>75000</v>
      </c>
      <c r="I487"/>
      <c r="J487" t="s">
        <v>1980</v>
      </c>
      <c r="K487" s="170">
        <v>45626</v>
      </c>
      <c r="L487" s="1">
        <v>75400</v>
      </c>
      <c r="M487" s="1">
        <v>45890</v>
      </c>
      <c r="Y487"/>
      <c r="Z487"/>
      <c r="AB487"/>
    </row>
    <row r="488" spans="1:28" ht="14.4" hidden="1">
      <c r="A488" t="s">
        <v>510</v>
      </c>
      <c r="B488" s="1">
        <v>111</v>
      </c>
      <c r="C488" s="258" t="s">
        <v>2070</v>
      </c>
      <c r="D488" t="s">
        <v>1255</v>
      </c>
      <c r="E488" t="s">
        <v>2071</v>
      </c>
      <c r="F488"/>
      <c r="H488" s="1">
        <v>22200</v>
      </c>
      <c r="I488" t="s">
        <v>2072</v>
      </c>
      <c r="J488" t="s">
        <v>2073</v>
      </c>
      <c r="K488" s="170">
        <v>45535</v>
      </c>
      <c r="L488" s="1">
        <v>265082.88505747123</v>
      </c>
      <c r="M488" s="1">
        <v>45554</v>
      </c>
      <c r="Y488"/>
      <c r="Z488"/>
      <c r="AB488"/>
    </row>
    <row r="489" spans="1:28" ht="14.4" hidden="1">
      <c r="A489" t="s">
        <v>510</v>
      </c>
      <c r="B489" s="1">
        <v>112</v>
      </c>
      <c r="C489" s="258" t="s">
        <v>2074</v>
      </c>
      <c r="D489" t="s">
        <v>1255</v>
      </c>
      <c r="E489" t="s">
        <v>2075</v>
      </c>
      <c r="F489"/>
      <c r="H489" s="1">
        <v>2194.1999999999998</v>
      </c>
      <c r="I489"/>
      <c r="J489" t="s">
        <v>2076</v>
      </c>
      <c r="K489" s="170">
        <v>45596</v>
      </c>
      <c r="L489" s="1">
        <v>358220.11546597141</v>
      </c>
      <c r="M489" s="1">
        <v>45575</v>
      </c>
      <c r="Y489"/>
      <c r="Z489"/>
      <c r="AB489"/>
    </row>
    <row r="490" spans="1:28" ht="14.4" hidden="1">
      <c r="A490" t="s">
        <v>510</v>
      </c>
      <c r="B490" s="1">
        <v>116</v>
      </c>
      <c r="C490" s="258" t="s">
        <v>2077</v>
      </c>
      <c r="D490" t="s">
        <v>1264</v>
      </c>
      <c r="E490" t="s">
        <v>2078</v>
      </c>
      <c r="F490"/>
      <c r="H490" s="1">
        <v>26800</v>
      </c>
      <c r="I490" t="s">
        <v>2079</v>
      </c>
      <c r="J490" t="s">
        <v>2080</v>
      </c>
      <c r="K490" s="170">
        <v>45626</v>
      </c>
      <c r="L490" s="1">
        <v>35385.75573727255</v>
      </c>
      <c r="M490" s="1">
        <v>45771</v>
      </c>
      <c r="N490" s="1">
        <v>116600</v>
      </c>
      <c r="Y490"/>
      <c r="Z490"/>
      <c r="AB490"/>
    </row>
    <row r="491" spans="1:28" ht="14.4" hidden="1">
      <c r="A491" t="s">
        <v>510</v>
      </c>
      <c r="B491" s="1">
        <v>117</v>
      </c>
      <c r="C491" s="258" t="s">
        <v>2081</v>
      </c>
      <c r="D491" t="s">
        <v>1264</v>
      </c>
      <c r="E491" t="s">
        <v>2082</v>
      </c>
      <c r="F491"/>
      <c r="H491" s="1">
        <v>0</v>
      </c>
      <c r="I491"/>
      <c r="J491"/>
      <c r="K491" s="170"/>
      <c r="L491" s="1">
        <v>0</v>
      </c>
      <c r="Y491"/>
      <c r="Z491"/>
      <c r="AB491"/>
    </row>
    <row r="492" spans="1:28" ht="14.4" hidden="1">
      <c r="A492" t="s">
        <v>510</v>
      </c>
      <c r="B492" s="1">
        <v>118</v>
      </c>
      <c r="C492" s="258" t="s">
        <v>2083</v>
      </c>
      <c r="D492" t="s">
        <v>1264</v>
      </c>
      <c r="E492" t="s">
        <v>817</v>
      </c>
      <c r="F492"/>
      <c r="H492" s="1">
        <v>5500</v>
      </c>
      <c r="I492"/>
      <c r="J492" t="s">
        <v>2084</v>
      </c>
      <c r="K492" s="170">
        <v>45473</v>
      </c>
      <c r="L492" s="1">
        <v>4635.2099337051541</v>
      </c>
      <c r="M492" s="1">
        <v>44854</v>
      </c>
      <c r="Y492"/>
      <c r="Z492"/>
      <c r="AB492"/>
    </row>
    <row r="493" spans="1:28" ht="14.4" hidden="1">
      <c r="A493" t="s">
        <v>510</v>
      </c>
      <c r="B493" s="1">
        <v>119</v>
      </c>
      <c r="C493" s="258" t="s">
        <v>2085</v>
      </c>
      <c r="D493" t="s">
        <v>1264</v>
      </c>
      <c r="F493"/>
      <c r="H493" s="1">
        <v>11600</v>
      </c>
      <c r="I493"/>
      <c r="J493" t="s">
        <v>2086</v>
      </c>
      <c r="K493" s="170">
        <v>45473</v>
      </c>
      <c r="L493" s="1">
        <v>9776.0791329054173</v>
      </c>
      <c r="M493" s="1">
        <v>45435</v>
      </c>
      <c r="Y493"/>
      <c r="Z493"/>
      <c r="AB493"/>
    </row>
    <row r="494" spans="1:28" ht="14.4" hidden="1">
      <c r="A494" t="s">
        <v>510</v>
      </c>
      <c r="B494" s="1">
        <v>120</v>
      </c>
      <c r="C494" s="258" t="s">
        <v>2087</v>
      </c>
      <c r="D494" t="s">
        <v>1264</v>
      </c>
      <c r="E494" t="s">
        <v>2088</v>
      </c>
      <c r="F494"/>
      <c r="H494" s="1">
        <v>0</v>
      </c>
      <c r="I494"/>
      <c r="J494"/>
      <c r="K494" s="170"/>
      <c r="Y494"/>
      <c r="Z494"/>
      <c r="AB494"/>
    </row>
    <row r="495" spans="1:28" ht="14.4" hidden="1">
      <c r="A495" t="s">
        <v>510</v>
      </c>
      <c r="B495" s="1">
        <v>121</v>
      </c>
      <c r="C495" s="258" t="s">
        <v>2089</v>
      </c>
      <c r="D495" t="s">
        <v>1264</v>
      </c>
      <c r="E495" t="s">
        <v>2090</v>
      </c>
      <c r="F495"/>
      <c r="H495" s="1">
        <v>63200</v>
      </c>
      <c r="I495" t="s">
        <v>2091</v>
      </c>
      <c r="J495" t="s">
        <v>2092</v>
      </c>
      <c r="K495" s="170">
        <v>45808</v>
      </c>
      <c r="L495" s="1">
        <v>96604.811802678189</v>
      </c>
      <c r="M495" s="1">
        <v>46029</v>
      </c>
      <c r="Y495"/>
      <c r="Z495"/>
      <c r="AB495"/>
    </row>
    <row r="496" spans="1:28" ht="14.4" hidden="1">
      <c r="A496" t="s">
        <v>510</v>
      </c>
      <c r="B496" s="1">
        <v>122</v>
      </c>
      <c r="C496" s="258" t="s">
        <v>2093</v>
      </c>
      <c r="D496" t="s">
        <v>1264</v>
      </c>
      <c r="E496" t="s">
        <v>2094</v>
      </c>
      <c r="F496"/>
      <c r="H496" s="1">
        <v>9500</v>
      </c>
      <c r="I496" t="s">
        <v>2095</v>
      </c>
      <c r="J496" t="s">
        <v>2096</v>
      </c>
      <c r="K496" s="170">
        <v>45504</v>
      </c>
      <c r="L496" s="1">
        <v>8403.127830178275</v>
      </c>
      <c r="M496" s="1">
        <v>45512</v>
      </c>
      <c r="Y496"/>
      <c r="Z496"/>
      <c r="AB496"/>
    </row>
    <row r="497" spans="1:28" ht="14.4" hidden="1">
      <c r="A497" t="s">
        <v>510</v>
      </c>
      <c r="B497" s="1">
        <v>123</v>
      </c>
      <c r="C497" s="258" t="s">
        <v>2097</v>
      </c>
      <c r="D497" t="s">
        <v>1264</v>
      </c>
      <c r="E497" t="s">
        <v>2098</v>
      </c>
      <c r="F497"/>
      <c r="H497" s="1">
        <v>0</v>
      </c>
      <c r="I497" t="s">
        <v>2099</v>
      </c>
      <c r="J497"/>
      <c r="K497" s="170">
        <v>45838</v>
      </c>
      <c r="L497" s="1">
        <v>80747.960000000006</v>
      </c>
      <c r="M497" s="1">
        <v>45813</v>
      </c>
      <c r="Y497"/>
      <c r="Z497"/>
      <c r="AB497"/>
    </row>
    <row r="498" spans="1:28" ht="14.4" hidden="1">
      <c r="A498" t="s">
        <v>510</v>
      </c>
      <c r="B498" s="1">
        <v>125</v>
      </c>
      <c r="C498" s="258" t="s">
        <v>2100</v>
      </c>
      <c r="D498" t="s">
        <v>2101</v>
      </c>
      <c r="E498" t="s">
        <v>2101</v>
      </c>
      <c r="F498"/>
      <c r="H498" s="1">
        <v>132363.65</v>
      </c>
      <c r="I498"/>
      <c r="J498" t="s">
        <v>2102</v>
      </c>
      <c r="K498" s="170">
        <v>45535</v>
      </c>
      <c r="M498" s="1">
        <v>45512</v>
      </c>
      <c r="N498" s="1">
        <v>264727.3</v>
      </c>
      <c r="Y498"/>
      <c r="Z498"/>
      <c r="AB498"/>
    </row>
    <row r="499" spans="1:28" ht="14.4" hidden="1">
      <c r="A499" t="s">
        <v>510</v>
      </c>
      <c r="B499" s="1">
        <v>126</v>
      </c>
      <c r="C499" s="258" t="s">
        <v>2103</v>
      </c>
      <c r="D499" t="s">
        <v>2101</v>
      </c>
      <c r="F499"/>
      <c r="H499" s="1">
        <v>132363.65</v>
      </c>
      <c r="I499"/>
      <c r="J499" t="s">
        <v>2102</v>
      </c>
      <c r="K499" s="170">
        <v>45535</v>
      </c>
      <c r="M499" s="1">
        <v>45618</v>
      </c>
      <c r="Y499"/>
      <c r="Z499"/>
      <c r="AB499"/>
    </row>
    <row r="500" spans="1:28" ht="14.4" hidden="1">
      <c r="A500" t="s">
        <v>510</v>
      </c>
      <c r="B500" s="1">
        <v>128</v>
      </c>
      <c r="C500" s="258" t="s">
        <v>2104</v>
      </c>
      <c r="D500" t="s">
        <v>1277</v>
      </c>
      <c r="E500" t="s">
        <v>2105</v>
      </c>
      <c r="F500"/>
      <c r="G500">
        <v>103873.00994565216</v>
      </c>
      <c r="H500" s="1">
        <v>120625</v>
      </c>
      <c r="I500"/>
      <c r="J500" t="s">
        <v>2106</v>
      </c>
      <c r="K500" s="170">
        <v>45626</v>
      </c>
      <c r="M500" s="1">
        <v>45626</v>
      </c>
      <c r="N500" s="1">
        <v>120625</v>
      </c>
      <c r="Y500"/>
      <c r="Z500"/>
      <c r="AB500"/>
    </row>
    <row r="501" spans="1:28" ht="14.4" hidden="1">
      <c r="A501" t="s">
        <v>510</v>
      </c>
      <c r="B501" s="1">
        <v>129</v>
      </c>
      <c r="C501" s="258" t="s">
        <v>2107</v>
      </c>
      <c r="D501" t="s">
        <v>1277</v>
      </c>
      <c r="E501" t="s">
        <v>1903</v>
      </c>
      <c r="F501"/>
      <c r="G501">
        <v>120000</v>
      </c>
      <c r="H501" s="1">
        <v>0</v>
      </c>
      <c r="I501"/>
      <c r="J501"/>
      <c r="K501" s="170">
        <v>45626</v>
      </c>
      <c r="M501" s="1">
        <v>45900</v>
      </c>
      <c r="Y501"/>
      <c r="Z501"/>
      <c r="AB501"/>
    </row>
    <row r="502" spans="1:28" ht="14.4" hidden="1">
      <c r="A502" t="s">
        <v>510</v>
      </c>
      <c r="B502" s="1">
        <v>130</v>
      </c>
      <c r="C502" s="258" t="s">
        <v>2108</v>
      </c>
      <c r="D502" t="s">
        <v>1277</v>
      </c>
      <c r="E502" t="s">
        <v>1905</v>
      </c>
      <c r="F502"/>
      <c r="G502">
        <v>408000</v>
      </c>
      <c r="H502" s="1">
        <v>0</v>
      </c>
      <c r="I502"/>
      <c r="J502"/>
      <c r="K502" s="170">
        <v>45626</v>
      </c>
      <c r="M502" s="1">
        <v>45900</v>
      </c>
      <c r="Y502"/>
      <c r="Z502"/>
      <c r="AB502"/>
    </row>
    <row r="503" spans="1:28" ht="14.4" hidden="1">
      <c r="A503" t="s">
        <v>510</v>
      </c>
      <c r="B503" s="1">
        <v>131</v>
      </c>
      <c r="C503" s="258" t="s">
        <v>2109</v>
      </c>
      <c r="D503" t="s">
        <v>1277</v>
      </c>
      <c r="E503" t="s">
        <v>1907</v>
      </c>
      <c r="F503"/>
      <c r="G503">
        <v>156000</v>
      </c>
      <c r="H503" s="1">
        <v>0</v>
      </c>
      <c r="I503"/>
      <c r="J503"/>
      <c r="K503" s="170">
        <v>45626</v>
      </c>
      <c r="M503" s="1">
        <v>45900</v>
      </c>
      <c r="Y503"/>
      <c r="Z503"/>
      <c r="AB503"/>
    </row>
    <row r="504" spans="1:28" ht="14.4" hidden="1">
      <c r="A504" t="s">
        <v>510</v>
      </c>
      <c r="B504" s="1">
        <v>132</v>
      </c>
      <c r="C504" s="258" t="s">
        <v>2110</v>
      </c>
      <c r="D504" t="s">
        <v>1277</v>
      </c>
      <c r="E504" t="s">
        <v>1909</v>
      </c>
      <c r="F504"/>
      <c r="G504">
        <v>116252.79999999996</v>
      </c>
      <c r="H504" s="1">
        <v>0</v>
      </c>
      <c r="I504"/>
      <c r="J504"/>
      <c r="K504" s="170">
        <v>45626</v>
      </c>
      <c r="M504" s="1">
        <v>45900</v>
      </c>
      <c r="Y504"/>
      <c r="Z504"/>
      <c r="AB504"/>
    </row>
    <row r="505" spans="1:28" ht="14.4" hidden="1">
      <c r="A505" t="s">
        <v>510</v>
      </c>
      <c r="B505" s="1">
        <v>136</v>
      </c>
      <c r="C505" s="258" t="s">
        <v>2111</v>
      </c>
      <c r="D505" t="s">
        <v>1280</v>
      </c>
      <c r="E505" t="s">
        <v>2112</v>
      </c>
      <c r="F505"/>
      <c r="H505" s="1">
        <v>11927.09</v>
      </c>
      <c r="I505"/>
      <c r="J505" t="s">
        <v>1604</v>
      </c>
      <c r="K505" s="170">
        <v>45473</v>
      </c>
      <c r="L505" s="1">
        <v>2544.0380880742096</v>
      </c>
      <c r="M505" s="1">
        <v>45478</v>
      </c>
      <c r="N505" s="1">
        <v>85517.61</v>
      </c>
      <c r="Y505"/>
      <c r="Z505"/>
      <c r="AB505"/>
    </row>
    <row r="506" spans="1:28" ht="14.4" hidden="1">
      <c r="A506" t="s">
        <v>510</v>
      </c>
      <c r="B506" s="1">
        <v>137</v>
      </c>
      <c r="C506" s="258" t="s">
        <v>2113</v>
      </c>
      <c r="D506" t="s">
        <v>1280</v>
      </c>
      <c r="E506" t="s">
        <v>2112</v>
      </c>
      <c r="F506"/>
      <c r="H506" s="1">
        <v>1370.52</v>
      </c>
      <c r="I506"/>
      <c r="J506" t="s">
        <v>1604</v>
      </c>
      <c r="K506" s="170">
        <v>45504</v>
      </c>
      <c r="L506" s="1">
        <v>304.46949978966188</v>
      </c>
      <c r="M506" s="1">
        <v>45510</v>
      </c>
      <c r="Y506"/>
      <c r="Z506"/>
      <c r="AB506"/>
    </row>
    <row r="507" spans="1:28" ht="14.4" hidden="1">
      <c r="A507" t="s">
        <v>510</v>
      </c>
      <c r="B507" s="1">
        <v>138</v>
      </c>
      <c r="C507" s="258" t="s">
        <v>2114</v>
      </c>
      <c r="D507" t="s">
        <v>1280</v>
      </c>
      <c r="E507" t="s">
        <v>2112</v>
      </c>
      <c r="F507"/>
      <c r="H507" s="1">
        <v>20912.77</v>
      </c>
      <c r="I507"/>
      <c r="J507" t="s">
        <v>1604</v>
      </c>
      <c r="K507" s="170">
        <v>45535</v>
      </c>
      <c r="L507" s="1">
        <v>5665.4688621582</v>
      </c>
      <c r="M507" s="1">
        <v>45540</v>
      </c>
      <c r="Y507"/>
      <c r="Z507"/>
      <c r="AB507"/>
    </row>
    <row r="508" spans="1:28" ht="14.4" hidden="1">
      <c r="A508" t="s">
        <v>510</v>
      </c>
      <c r="B508" s="1">
        <v>139</v>
      </c>
      <c r="C508" s="258" t="s">
        <v>2115</v>
      </c>
      <c r="D508" t="s">
        <v>1280</v>
      </c>
      <c r="E508" t="s">
        <v>2112</v>
      </c>
      <c r="F508"/>
      <c r="H508" s="1">
        <v>11749.01</v>
      </c>
      <c r="I508"/>
      <c r="J508" t="s">
        <v>1604</v>
      </c>
      <c r="K508" s="170">
        <v>45565</v>
      </c>
      <c r="L508" s="1">
        <v>2937.859989315622</v>
      </c>
      <c r="M508" s="1">
        <v>45569</v>
      </c>
      <c r="Y508"/>
      <c r="Z508"/>
      <c r="AB508"/>
    </row>
    <row r="509" spans="1:28" ht="14.4" hidden="1">
      <c r="A509" t="s">
        <v>510</v>
      </c>
      <c r="B509" s="1">
        <v>140</v>
      </c>
      <c r="C509" s="258" t="s">
        <v>2116</v>
      </c>
      <c r="D509" t="s">
        <v>1280</v>
      </c>
      <c r="E509" t="s">
        <v>2112</v>
      </c>
      <c r="F509"/>
      <c r="H509" s="1">
        <v>10391.33</v>
      </c>
      <c r="I509"/>
      <c r="J509" t="s">
        <v>1604</v>
      </c>
      <c r="K509" s="170">
        <v>45596</v>
      </c>
      <c r="L509" s="1">
        <v>10206.249969088462</v>
      </c>
      <c r="M509" s="1">
        <v>45604</v>
      </c>
      <c r="Y509"/>
      <c r="Z509"/>
      <c r="AB509"/>
    </row>
    <row r="510" spans="1:28" ht="14.4" hidden="1">
      <c r="A510" t="s">
        <v>510</v>
      </c>
      <c r="B510" s="1">
        <v>141</v>
      </c>
      <c r="C510" s="258" t="s">
        <v>2117</v>
      </c>
      <c r="D510" t="s">
        <v>1280</v>
      </c>
      <c r="E510" t="s">
        <v>2112</v>
      </c>
      <c r="F510"/>
      <c r="H510" s="1">
        <v>7950.72</v>
      </c>
      <c r="I510"/>
      <c r="J510" t="s">
        <v>1604</v>
      </c>
      <c r="K510" s="170">
        <v>45626</v>
      </c>
      <c r="L510" s="1">
        <v>3217.9856785988682</v>
      </c>
      <c r="M510" s="1">
        <v>45632</v>
      </c>
      <c r="Y510"/>
      <c r="Z510"/>
      <c r="AB510"/>
    </row>
    <row r="511" spans="1:28" ht="14.4" hidden="1">
      <c r="A511" t="s">
        <v>510</v>
      </c>
      <c r="B511" s="1">
        <v>142</v>
      </c>
      <c r="C511" s="258" t="s">
        <v>2118</v>
      </c>
      <c r="D511" t="s">
        <v>1280</v>
      </c>
      <c r="E511" t="s">
        <v>2112</v>
      </c>
      <c r="F511"/>
      <c r="H511" s="1">
        <v>1766.96</v>
      </c>
      <c r="I511"/>
      <c r="J511" t="s">
        <v>1604</v>
      </c>
      <c r="K511" s="170">
        <v>45657</v>
      </c>
      <c r="L511" s="1">
        <v>801.6624799898517</v>
      </c>
      <c r="M511" s="1">
        <v>45666</v>
      </c>
      <c r="Y511"/>
      <c r="Z511"/>
      <c r="AB511"/>
    </row>
    <row r="512" spans="1:28" ht="14.4" hidden="1">
      <c r="A512" t="s">
        <v>510</v>
      </c>
      <c r="B512" s="1">
        <v>143</v>
      </c>
      <c r="C512" s="258" t="s">
        <v>2119</v>
      </c>
      <c r="D512" t="s">
        <v>1280</v>
      </c>
      <c r="E512" t="s">
        <v>2112</v>
      </c>
      <c r="F512"/>
      <c r="H512" s="1">
        <v>10295.200000000001</v>
      </c>
      <c r="I512"/>
      <c r="J512" t="s">
        <v>1604</v>
      </c>
      <c r="K512" s="170">
        <v>45688</v>
      </c>
      <c r="L512" s="1">
        <v>3956.2687584926543</v>
      </c>
      <c r="M512" s="1">
        <v>45695</v>
      </c>
      <c r="Y512"/>
      <c r="Z512"/>
      <c r="AB512"/>
    </row>
    <row r="513" spans="1:28" ht="14.4" hidden="1">
      <c r="A513" t="s">
        <v>510</v>
      </c>
      <c r="B513" s="1">
        <v>144</v>
      </c>
      <c r="C513" s="258" t="s">
        <v>2120</v>
      </c>
      <c r="D513" t="s">
        <v>1280</v>
      </c>
      <c r="E513" t="s">
        <v>2112</v>
      </c>
      <c r="F513"/>
      <c r="H513" s="1">
        <v>0</v>
      </c>
      <c r="I513"/>
      <c r="J513" t="s">
        <v>1604</v>
      </c>
      <c r="K513" s="170">
        <v>45716</v>
      </c>
      <c r="L513" s="1">
        <v>0</v>
      </c>
      <c r="M513" s="1">
        <v>45723</v>
      </c>
      <c r="Y513"/>
      <c r="Z513"/>
      <c r="AB513"/>
    </row>
    <row r="514" spans="1:28" ht="14.4" hidden="1">
      <c r="A514" t="s">
        <v>510</v>
      </c>
      <c r="B514" s="1">
        <v>145</v>
      </c>
      <c r="C514" s="258" t="s">
        <v>2121</v>
      </c>
      <c r="D514" t="s">
        <v>1280</v>
      </c>
      <c r="E514" t="s">
        <v>2112</v>
      </c>
      <c r="F514"/>
      <c r="H514" s="1">
        <v>0</v>
      </c>
      <c r="I514"/>
      <c r="J514" t="s">
        <v>1604</v>
      </c>
      <c r="K514" s="170">
        <v>45747</v>
      </c>
      <c r="L514" s="1">
        <v>0</v>
      </c>
      <c r="M514" s="1">
        <v>45754</v>
      </c>
      <c r="Y514"/>
      <c r="Z514"/>
      <c r="AB514"/>
    </row>
    <row r="515" spans="1:28" ht="14.4" hidden="1">
      <c r="A515" t="s">
        <v>510</v>
      </c>
      <c r="B515" s="1">
        <v>146</v>
      </c>
      <c r="C515" s="258" t="s">
        <v>2122</v>
      </c>
      <c r="D515" t="s">
        <v>1280</v>
      </c>
      <c r="E515" t="s">
        <v>2112</v>
      </c>
      <c r="F515"/>
      <c r="H515" s="1">
        <v>9154.01</v>
      </c>
      <c r="I515"/>
      <c r="J515" t="s">
        <v>1604</v>
      </c>
      <c r="K515" s="170">
        <v>45777</v>
      </c>
      <c r="L515" s="1">
        <v>1248.3503176612501</v>
      </c>
      <c r="M515" s="1">
        <v>45785</v>
      </c>
      <c r="Y515"/>
      <c r="Z515"/>
      <c r="AB515"/>
    </row>
    <row r="516" spans="1:28" ht="14.4" hidden="1">
      <c r="A516" t="s">
        <v>510</v>
      </c>
      <c r="B516" s="1">
        <v>147</v>
      </c>
      <c r="C516" s="258" t="s">
        <v>2123</v>
      </c>
      <c r="D516" t="s">
        <v>1280</v>
      </c>
      <c r="E516" t="s">
        <v>2112</v>
      </c>
      <c r="F516"/>
      <c r="H516" s="1">
        <v>0</v>
      </c>
      <c r="I516"/>
      <c r="J516" t="s">
        <v>1604</v>
      </c>
      <c r="K516" s="170">
        <v>45900</v>
      </c>
      <c r="L516" s="1">
        <v>0</v>
      </c>
      <c r="M516" s="1">
        <v>45907</v>
      </c>
      <c r="Y516"/>
      <c r="Z516"/>
      <c r="AB516"/>
    </row>
    <row r="517" spans="1:28" ht="14.4" hidden="1">
      <c r="A517" t="s">
        <v>510</v>
      </c>
      <c r="B517" s="1">
        <v>149</v>
      </c>
      <c r="C517" s="258" t="s">
        <v>2124</v>
      </c>
      <c r="D517" t="s">
        <v>1451</v>
      </c>
      <c r="E517" t="s">
        <v>2125</v>
      </c>
      <c r="F517"/>
      <c r="H517" s="1">
        <v>7200</v>
      </c>
      <c r="I517"/>
      <c r="J517" t="s">
        <v>2126</v>
      </c>
      <c r="K517" s="170">
        <v>45808</v>
      </c>
      <c r="M517" s="1">
        <v>45834</v>
      </c>
      <c r="N517" s="1">
        <v>0</v>
      </c>
      <c r="Y517"/>
      <c r="Z517"/>
      <c r="AB517"/>
    </row>
    <row r="518" spans="1:28" ht="14.4" hidden="1">
      <c r="A518" t="s">
        <v>175</v>
      </c>
      <c r="B518" s="1">
        <v>52</v>
      </c>
      <c r="C518" s="258" t="s">
        <v>2127</v>
      </c>
      <c r="D518" t="s">
        <v>1211</v>
      </c>
      <c r="E518" t="s">
        <v>2128</v>
      </c>
      <c r="F518">
        <v>44635.5</v>
      </c>
      <c r="G518">
        <v>0.5</v>
      </c>
      <c r="H518" s="1">
        <v>22317.75</v>
      </c>
      <c r="I518" t="s">
        <v>2129</v>
      </c>
      <c r="J518" t="s">
        <v>2130</v>
      </c>
      <c r="K518" s="170">
        <v>45777</v>
      </c>
      <c r="L518" s="1">
        <v>14678.184999999999</v>
      </c>
      <c r="M518" s="1">
        <v>45750</v>
      </c>
      <c r="N518" s="1">
        <v>44635.5</v>
      </c>
      <c r="Y518"/>
      <c r="Z518"/>
      <c r="AB518"/>
    </row>
    <row r="519" spans="1:28" ht="14.4" hidden="1">
      <c r="A519" t="s">
        <v>175</v>
      </c>
      <c r="B519" s="1">
        <v>53</v>
      </c>
      <c r="C519" s="258" t="s">
        <v>2131</v>
      </c>
      <c r="D519" t="s">
        <v>1211</v>
      </c>
      <c r="E519" t="s">
        <v>2132</v>
      </c>
      <c r="F519"/>
      <c r="G519">
        <v>0.25</v>
      </c>
      <c r="H519" s="1">
        <v>11158.875</v>
      </c>
      <c r="I519"/>
      <c r="J519" t="s">
        <v>2133</v>
      </c>
      <c r="K519" s="170">
        <v>45777</v>
      </c>
      <c r="L519" s="1">
        <v>7339.0924999999997</v>
      </c>
      <c r="M519" s="1">
        <v>45764</v>
      </c>
      <c r="Y519"/>
      <c r="Z519"/>
      <c r="AB519"/>
    </row>
    <row r="520" spans="1:28" ht="14.4" hidden="1">
      <c r="A520" t="s">
        <v>175</v>
      </c>
      <c r="B520" s="1">
        <v>54</v>
      </c>
      <c r="C520" s="258" t="s">
        <v>2134</v>
      </c>
      <c r="D520" t="s">
        <v>1211</v>
      </c>
      <c r="E520" t="s">
        <v>2135</v>
      </c>
      <c r="F520"/>
      <c r="G520">
        <v>0.2</v>
      </c>
      <c r="H520" s="1">
        <v>8927.1</v>
      </c>
      <c r="I520"/>
      <c r="J520" t="s">
        <v>2136</v>
      </c>
      <c r="K520" s="170">
        <v>45777</v>
      </c>
      <c r="L520" s="1">
        <v>5871.2740000000003</v>
      </c>
      <c r="M520" s="1">
        <v>45764</v>
      </c>
      <c r="Y520"/>
      <c r="Z520"/>
      <c r="AB520"/>
    </row>
    <row r="521" spans="1:28" ht="14.4" hidden="1">
      <c r="A521" t="s">
        <v>175</v>
      </c>
      <c r="B521" s="1">
        <v>55</v>
      </c>
      <c r="C521" s="258" t="s">
        <v>2137</v>
      </c>
      <c r="D521" t="s">
        <v>1211</v>
      </c>
      <c r="E521" t="s">
        <v>2138</v>
      </c>
      <c r="F521"/>
      <c r="G521">
        <v>0.05</v>
      </c>
      <c r="H521" s="1">
        <v>2231.7750000000001</v>
      </c>
      <c r="I521"/>
      <c r="J521" t="s">
        <v>2139</v>
      </c>
      <c r="K521" s="170">
        <v>45808</v>
      </c>
      <c r="L521" s="1">
        <v>1467.8185000000001</v>
      </c>
      <c r="M521" s="1">
        <v>45813</v>
      </c>
      <c r="Y521"/>
      <c r="Z521"/>
      <c r="AB521"/>
    </row>
    <row r="522" spans="1:28" ht="14.4" hidden="1">
      <c r="A522" t="s">
        <v>175</v>
      </c>
      <c r="B522" s="1">
        <v>75</v>
      </c>
      <c r="C522" s="258" t="s">
        <v>2140</v>
      </c>
      <c r="D522" t="s">
        <v>1224</v>
      </c>
      <c r="E522" t="s">
        <v>2128</v>
      </c>
      <c r="F522">
        <v>19440.5</v>
      </c>
      <c r="G522">
        <v>0.5</v>
      </c>
      <c r="H522" s="1">
        <v>9720.25</v>
      </c>
      <c r="I522" t="s">
        <v>2129</v>
      </c>
      <c r="J522" t="s">
        <v>2130</v>
      </c>
      <c r="K522" s="170">
        <v>45777</v>
      </c>
      <c r="L522" s="1">
        <v>28241.411915358483</v>
      </c>
      <c r="M522" s="1">
        <v>45750</v>
      </c>
      <c r="N522" s="1">
        <v>73999.62</v>
      </c>
      <c r="Y522"/>
      <c r="Z522"/>
      <c r="AB522"/>
    </row>
    <row r="523" spans="1:28" ht="14.4" hidden="1">
      <c r="A523" t="s">
        <v>175</v>
      </c>
      <c r="B523" s="1">
        <v>76</v>
      </c>
      <c r="C523" s="258" t="s">
        <v>2141</v>
      </c>
      <c r="D523" t="s">
        <v>1224</v>
      </c>
      <c r="E523" t="s">
        <v>2132</v>
      </c>
      <c r="F523"/>
      <c r="G523">
        <v>0.25</v>
      </c>
      <c r="H523" s="1">
        <v>4860.125</v>
      </c>
      <c r="I523"/>
      <c r="J523" t="s">
        <v>2133</v>
      </c>
      <c r="K523" s="170">
        <v>45777</v>
      </c>
      <c r="L523" s="1">
        <v>14120.705957679242</v>
      </c>
      <c r="M523" s="1">
        <v>45764</v>
      </c>
      <c r="Y523"/>
      <c r="Z523"/>
      <c r="AB523"/>
    </row>
    <row r="524" spans="1:28" ht="14.4" hidden="1">
      <c r="A524" t="s">
        <v>175</v>
      </c>
      <c r="B524" s="1">
        <v>77</v>
      </c>
      <c r="C524" s="258" t="s">
        <v>2142</v>
      </c>
      <c r="D524" t="s">
        <v>1224</v>
      </c>
      <c r="E524" t="s">
        <v>2135</v>
      </c>
      <c r="F524"/>
      <c r="G524">
        <v>0.2</v>
      </c>
      <c r="H524" s="1">
        <v>3888.1</v>
      </c>
      <c r="I524"/>
      <c r="J524" t="s">
        <v>2136</v>
      </c>
      <c r="K524" s="170">
        <v>45777</v>
      </c>
      <c r="L524" s="1">
        <v>11296.564766143396</v>
      </c>
      <c r="M524" s="1">
        <v>45764</v>
      </c>
      <c r="Y524"/>
      <c r="Z524"/>
      <c r="AB524"/>
    </row>
    <row r="525" spans="1:28" ht="14.4" hidden="1">
      <c r="A525" t="s">
        <v>175</v>
      </c>
      <c r="B525" s="1">
        <v>78</v>
      </c>
      <c r="C525" s="258" t="s">
        <v>2143</v>
      </c>
      <c r="D525" t="s">
        <v>1224</v>
      </c>
      <c r="E525" t="s">
        <v>2138</v>
      </c>
      <c r="F525"/>
      <c r="G525">
        <v>0.05</v>
      </c>
      <c r="H525" s="1">
        <v>972.0250000000002</v>
      </c>
      <c r="I525"/>
      <c r="J525" t="s">
        <v>2139</v>
      </c>
      <c r="K525" s="170">
        <v>45808</v>
      </c>
      <c r="L525" s="1">
        <v>2824.141191535849</v>
      </c>
      <c r="M525" s="1">
        <v>45813</v>
      </c>
      <c r="Y525"/>
      <c r="Z525"/>
      <c r="AB525"/>
    </row>
    <row r="526" spans="1:28" ht="14.4" hidden="1">
      <c r="A526" t="s">
        <v>175</v>
      </c>
      <c r="B526" s="1">
        <v>80</v>
      </c>
      <c r="C526" s="258" t="s">
        <v>2144</v>
      </c>
      <c r="D526" t="s">
        <v>1224</v>
      </c>
      <c r="E526" t="s">
        <v>1804</v>
      </c>
      <c r="F526"/>
      <c r="H526" s="1">
        <v>43190.78</v>
      </c>
      <c r="I526" t="s">
        <v>2145</v>
      </c>
      <c r="J526" t="s">
        <v>2146</v>
      </c>
      <c r="K526" s="170">
        <v>45777</v>
      </c>
      <c r="L526" s="1">
        <v>125487.37007027876</v>
      </c>
      <c r="M526" s="1">
        <v>45806</v>
      </c>
      <c r="Y526"/>
      <c r="Z526"/>
      <c r="AB526"/>
    </row>
    <row r="527" spans="1:28" ht="14.4" hidden="1">
      <c r="A527" t="s">
        <v>175</v>
      </c>
      <c r="B527" s="1">
        <v>81</v>
      </c>
      <c r="C527" s="258" t="s">
        <v>2147</v>
      </c>
      <c r="D527" t="s">
        <v>1224</v>
      </c>
      <c r="E527" t="s">
        <v>1489</v>
      </c>
      <c r="F527"/>
      <c r="H527" s="1">
        <v>8598.34</v>
      </c>
      <c r="I527" t="s">
        <v>2145</v>
      </c>
      <c r="J527" t="s">
        <v>2146</v>
      </c>
      <c r="K527" s="170">
        <v>45777</v>
      </c>
      <c r="L527" s="1">
        <v>24981.791798390321</v>
      </c>
      <c r="M527" s="1">
        <v>45806</v>
      </c>
      <c r="Y527"/>
      <c r="Z527"/>
      <c r="AB527"/>
    </row>
    <row r="528" spans="1:28" ht="14.4" hidden="1">
      <c r="A528" t="s">
        <v>175</v>
      </c>
      <c r="B528" s="1">
        <v>82</v>
      </c>
      <c r="C528" s="258" t="s">
        <v>2148</v>
      </c>
      <c r="D528" t="s">
        <v>1224</v>
      </c>
      <c r="E528" t="s">
        <v>2149</v>
      </c>
      <c r="F528"/>
      <c r="H528" s="1">
        <v>2770</v>
      </c>
      <c r="I528" t="s">
        <v>2150</v>
      </c>
      <c r="J528" t="s">
        <v>2151</v>
      </c>
      <c r="K528" s="170">
        <v>45777</v>
      </c>
      <c r="L528" s="1">
        <v>8048.014300613977</v>
      </c>
      <c r="M528" s="1">
        <v>45777</v>
      </c>
      <c r="Y528"/>
      <c r="Z528"/>
      <c r="AB528"/>
    </row>
    <row r="529" spans="1:28" ht="14.4" hidden="1">
      <c r="A529" t="s">
        <v>175</v>
      </c>
      <c r="B529" s="1">
        <v>86</v>
      </c>
      <c r="C529" s="258" t="s">
        <v>2152</v>
      </c>
      <c r="D529" t="s">
        <v>1246</v>
      </c>
      <c r="E529" t="s">
        <v>2128</v>
      </c>
      <c r="F529">
        <v>64015.5</v>
      </c>
      <c r="G529">
        <v>0.5</v>
      </c>
      <c r="H529" s="1">
        <v>32007.5</v>
      </c>
      <c r="I529" t="s">
        <v>2129</v>
      </c>
      <c r="J529" t="s">
        <v>2130</v>
      </c>
      <c r="K529" s="170">
        <v>45777</v>
      </c>
      <c r="L529" s="1">
        <v>8717.0059571742659</v>
      </c>
      <c r="M529" s="1">
        <v>45750</v>
      </c>
      <c r="Y529"/>
      <c r="Z529"/>
      <c r="AB529"/>
    </row>
    <row r="530" spans="1:28" ht="14.4" hidden="1">
      <c r="A530" t="s">
        <v>175</v>
      </c>
      <c r="B530" s="1">
        <v>87</v>
      </c>
      <c r="C530" s="258" t="s">
        <v>2153</v>
      </c>
      <c r="D530" t="s">
        <v>1246</v>
      </c>
      <c r="E530" t="s">
        <v>2132</v>
      </c>
      <c r="F530"/>
      <c r="G530">
        <v>0.25</v>
      </c>
      <c r="H530" s="1">
        <v>16003.875</v>
      </c>
      <c r="I530"/>
      <c r="J530" t="s">
        <v>2133</v>
      </c>
      <c r="K530" s="170">
        <v>45777</v>
      </c>
      <c r="L530" s="1">
        <v>4358.5370214128661</v>
      </c>
      <c r="M530" s="1">
        <v>45764</v>
      </c>
      <c r="Y530"/>
      <c r="Z530"/>
      <c r="AB530"/>
    </row>
    <row r="531" spans="1:28" ht="14.4" hidden="1">
      <c r="A531" t="s">
        <v>175</v>
      </c>
      <c r="B531" s="1">
        <v>88</v>
      </c>
      <c r="C531" s="258" t="s">
        <v>2154</v>
      </c>
      <c r="D531" t="s">
        <v>1246</v>
      </c>
      <c r="E531" t="s">
        <v>2135</v>
      </c>
      <c r="F531"/>
      <c r="G531">
        <v>0.2</v>
      </c>
      <c r="H531" s="1">
        <v>12803.1</v>
      </c>
      <c r="I531"/>
      <c r="J531" t="s">
        <v>2136</v>
      </c>
      <c r="K531" s="170">
        <v>45777</v>
      </c>
      <c r="L531" s="1">
        <v>3486.8296171302932</v>
      </c>
      <c r="M531" s="1">
        <v>45764</v>
      </c>
      <c r="Y531"/>
      <c r="Z531"/>
      <c r="AB531"/>
    </row>
    <row r="532" spans="1:28" ht="14.4" hidden="1">
      <c r="A532" t="s">
        <v>175</v>
      </c>
      <c r="B532" s="1">
        <v>89</v>
      </c>
      <c r="C532" s="258" t="s">
        <v>2155</v>
      </c>
      <c r="D532" t="s">
        <v>1246</v>
      </c>
      <c r="E532" t="s">
        <v>2138</v>
      </c>
      <c r="F532"/>
      <c r="G532">
        <v>0.05</v>
      </c>
      <c r="H532" s="1">
        <v>3200.7750000000001</v>
      </c>
      <c r="I532"/>
      <c r="J532" t="s">
        <v>2139</v>
      </c>
      <c r="K532" s="170">
        <v>45808</v>
      </c>
      <c r="L532" s="1">
        <v>871.70740428257329</v>
      </c>
      <c r="M532" s="1">
        <v>45813</v>
      </c>
      <c r="Y532"/>
      <c r="Z532"/>
      <c r="AB532"/>
    </row>
    <row r="533" spans="1:28" ht="14.4" hidden="1">
      <c r="A533" t="s">
        <v>175</v>
      </c>
      <c r="B533" s="1">
        <v>114</v>
      </c>
      <c r="C533" s="258" t="s">
        <v>2156</v>
      </c>
      <c r="D533" t="s">
        <v>1264</v>
      </c>
      <c r="E533" t="s">
        <v>1265</v>
      </c>
      <c r="F533"/>
      <c r="H533" s="1">
        <v>0</v>
      </c>
      <c r="I533" t="s">
        <v>2157</v>
      </c>
      <c r="J533"/>
      <c r="K533" s="170"/>
      <c r="N533" s="1">
        <v>0</v>
      </c>
      <c r="Y533"/>
      <c r="Z533"/>
      <c r="AB533"/>
    </row>
    <row r="534" spans="1:28" ht="14.4" hidden="1">
      <c r="A534" t="s">
        <v>175</v>
      </c>
      <c r="B534" s="1">
        <v>130</v>
      </c>
      <c r="C534" s="258" t="s">
        <v>2158</v>
      </c>
      <c r="D534" t="s">
        <v>1280</v>
      </c>
      <c r="E534" t="s">
        <v>1281</v>
      </c>
      <c r="F534"/>
      <c r="H534" s="1">
        <v>357</v>
      </c>
      <c r="I534"/>
      <c r="J534" t="s">
        <v>1604</v>
      </c>
      <c r="K534" s="170">
        <v>45777</v>
      </c>
      <c r="M534" s="1">
        <v>45785</v>
      </c>
      <c r="N534" s="1">
        <v>357</v>
      </c>
      <c r="Y534"/>
      <c r="Z534"/>
      <c r="AB534"/>
    </row>
    <row r="535" spans="1:28" ht="14.4" hidden="1">
      <c r="A535" t="s">
        <v>175</v>
      </c>
      <c r="B535" s="1">
        <v>131</v>
      </c>
      <c r="C535" s="258" t="s">
        <v>2159</v>
      </c>
      <c r="D535" t="s">
        <v>1280</v>
      </c>
      <c r="E535" t="s">
        <v>1281</v>
      </c>
      <c r="F535"/>
      <c r="H535" s="1">
        <v>0</v>
      </c>
      <c r="I535"/>
      <c r="J535" t="s">
        <v>1604</v>
      </c>
      <c r="K535" s="170">
        <v>45808</v>
      </c>
      <c r="M535" s="1">
        <v>45815</v>
      </c>
      <c r="Y535"/>
      <c r="Z535"/>
      <c r="AB535"/>
    </row>
    <row r="536" spans="1:28" ht="14.4" hidden="1">
      <c r="A536" t="s">
        <v>175</v>
      </c>
      <c r="B536" s="1">
        <v>132</v>
      </c>
      <c r="C536" s="258" t="s">
        <v>2160</v>
      </c>
      <c r="D536" t="s">
        <v>1280</v>
      </c>
      <c r="E536" t="s">
        <v>1281</v>
      </c>
      <c r="F536"/>
      <c r="H536" s="1">
        <v>0</v>
      </c>
      <c r="I536"/>
      <c r="J536" t="s">
        <v>1604</v>
      </c>
      <c r="K536" s="170">
        <v>45838</v>
      </c>
      <c r="M536" s="1">
        <v>45845</v>
      </c>
      <c r="Y536"/>
      <c r="Z536"/>
      <c r="AB536"/>
    </row>
    <row r="537" spans="1:28" ht="14.4" hidden="1">
      <c r="A537" t="s">
        <v>178</v>
      </c>
      <c r="B537" s="1">
        <v>30</v>
      </c>
      <c r="C537" s="258" t="s">
        <v>2161</v>
      </c>
      <c r="D537" t="s">
        <v>1165</v>
      </c>
      <c r="E537" t="s">
        <v>2162</v>
      </c>
      <c r="F537">
        <v>19732</v>
      </c>
      <c r="G537">
        <v>0.5</v>
      </c>
      <c r="H537" s="1">
        <v>9866</v>
      </c>
      <c r="I537" t="s">
        <v>2163</v>
      </c>
      <c r="J537" t="s">
        <v>2164</v>
      </c>
      <c r="K537" s="170">
        <v>45838</v>
      </c>
      <c r="L537" s="1">
        <v>36000</v>
      </c>
      <c r="M537" s="1">
        <v>45820</v>
      </c>
      <c r="Y537"/>
      <c r="Z537"/>
      <c r="AB537"/>
    </row>
    <row r="538" spans="1:28" ht="14.4" hidden="1">
      <c r="A538" t="s">
        <v>178</v>
      </c>
      <c r="B538" s="1">
        <v>31</v>
      </c>
      <c r="C538" s="258" t="s">
        <v>2165</v>
      </c>
      <c r="D538" t="s">
        <v>1165</v>
      </c>
      <c r="E538" t="s">
        <v>2166</v>
      </c>
      <c r="F538"/>
      <c r="G538">
        <v>0.25</v>
      </c>
      <c r="H538" s="1">
        <v>4933</v>
      </c>
      <c r="I538"/>
      <c r="J538" t="s">
        <v>2164</v>
      </c>
      <c r="K538" s="170">
        <v>45838</v>
      </c>
      <c r="L538" s="1">
        <v>18000</v>
      </c>
      <c r="M538" s="1">
        <v>45841</v>
      </c>
      <c r="Y538"/>
      <c r="Z538"/>
      <c r="AB538"/>
    </row>
    <row r="539" spans="1:28" ht="14.4" hidden="1">
      <c r="A539" t="s">
        <v>178</v>
      </c>
      <c r="B539" s="1">
        <v>32</v>
      </c>
      <c r="C539" s="258" t="s">
        <v>2167</v>
      </c>
      <c r="D539" t="s">
        <v>1165</v>
      </c>
      <c r="E539" t="s">
        <v>2168</v>
      </c>
      <c r="F539"/>
      <c r="G539">
        <v>0.25</v>
      </c>
      <c r="H539" s="1">
        <v>4933</v>
      </c>
      <c r="I539"/>
      <c r="J539" t="s">
        <v>2164</v>
      </c>
      <c r="K539" s="170">
        <v>45838</v>
      </c>
      <c r="L539" s="1">
        <v>18000</v>
      </c>
      <c r="M539" s="1">
        <v>46015</v>
      </c>
      <c r="Y539"/>
      <c r="Z539"/>
      <c r="AB539"/>
    </row>
    <row r="540" spans="1:28" ht="14.4" hidden="1">
      <c r="A540" t="s">
        <v>178</v>
      </c>
      <c r="B540" s="1">
        <v>78</v>
      </c>
      <c r="C540" s="258" t="s">
        <v>2169</v>
      </c>
      <c r="D540" t="s">
        <v>1224</v>
      </c>
      <c r="E540" t="s">
        <v>2170</v>
      </c>
      <c r="F540"/>
      <c r="H540" s="1">
        <v>0</v>
      </c>
      <c r="I540"/>
      <c r="J540"/>
      <c r="K540" s="170">
        <v>46081</v>
      </c>
      <c r="L540" s="1">
        <v>0</v>
      </c>
      <c r="M540" s="1">
        <v>46080</v>
      </c>
      <c r="Y540"/>
      <c r="Z540"/>
      <c r="AB540"/>
    </row>
    <row r="541" spans="1:28" ht="14.4" hidden="1">
      <c r="A541" t="s">
        <v>178</v>
      </c>
      <c r="B541" s="1">
        <v>79</v>
      </c>
      <c r="C541" s="258" t="s">
        <v>2171</v>
      </c>
      <c r="D541" t="s">
        <v>1224</v>
      </c>
      <c r="E541" t="s">
        <v>2172</v>
      </c>
      <c r="F541"/>
      <c r="H541" s="1">
        <v>46645.91</v>
      </c>
      <c r="I541" t="s">
        <v>2173</v>
      </c>
      <c r="J541" t="s">
        <v>2174</v>
      </c>
      <c r="K541" s="170">
        <v>45900</v>
      </c>
      <c r="L541" s="1">
        <v>0</v>
      </c>
      <c r="M541" s="1">
        <v>45930</v>
      </c>
      <c r="Y541"/>
      <c r="Z541"/>
      <c r="AB541"/>
    </row>
    <row r="542" spans="1:28" ht="14.4" hidden="1">
      <c r="A542" t="s">
        <v>178</v>
      </c>
      <c r="B542" s="1">
        <v>81</v>
      </c>
      <c r="C542" s="258" t="s">
        <v>2175</v>
      </c>
      <c r="D542" t="s">
        <v>1224</v>
      </c>
      <c r="E542" t="s">
        <v>2176</v>
      </c>
      <c r="F542"/>
      <c r="H542" s="1">
        <v>3850</v>
      </c>
      <c r="I542" t="s">
        <v>2177</v>
      </c>
      <c r="J542" t="s">
        <v>2178</v>
      </c>
      <c r="K542" s="170">
        <v>46022</v>
      </c>
      <c r="L542" s="1">
        <v>3850</v>
      </c>
      <c r="M542" s="1">
        <v>46029</v>
      </c>
      <c r="Y542"/>
      <c r="Z542"/>
      <c r="AB542"/>
    </row>
    <row r="543" spans="1:28" ht="14.4" hidden="1">
      <c r="A543" t="s">
        <v>178</v>
      </c>
      <c r="B543" s="1">
        <v>82</v>
      </c>
      <c r="C543" s="258" t="s">
        <v>2179</v>
      </c>
      <c r="D543" t="s">
        <v>1224</v>
      </c>
      <c r="E543" t="s">
        <v>2180</v>
      </c>
      <c r="F543"/>
      <c r="H543" s="1">
        <v>14420</v>
      </c>
      <c r="I543" t="s">
        <v>2181</v>
      </c>
      <c r="J543" t="s">
        <v>2182</v>
      </c>
      <c r="K543" s="170">
        <v>46022</v>
      </c>
      <c r="L543" s="1">
        <v>14420</v>
      </c>
      <c r="M543" s="1">
        <v>46015</v>
      </c>
      <c r="Y543"/>
      <c r="Z543"/>
      <c r="AB543"/>
    </row>
    <row r="544" spans="1:28" ht="14.4" hidden="1">
      <c r="A544" t="s">
        <v>178</v>
      </c>
      <c r="B544" s="1">
        <v>94</v>
      </c>
      <c r="C544" s="258" t="s">
        <v>2183</v>
      </c>
      <c r="D544" t="s">
        <v>1246</v>
      </c>
      <c r="E544" t="s">
        <v>2162</v>
      </c>
      <c r="F544">
        <v>219492</v>
      </c>
      <c r="G544">
        <v>0.5</v>
      </c>
      <c r="H544" s="1">
        <v>109746</v>
      </c>
      <c r="I544" t="s">
        <v>2163</v>
      </c>
      <c r="J544" t="s">
        <v>2164</v>
      </c>
      <c r="K544" s="170">
        <v>45838</v>
      </c>
      <c r="L544" s="1">
        <v>106314.94</v>
      </c>
      <c r="M544" s="1">
        <v>45820</v>
      </c>
      <c r="Y544"/>
      <c r="Z544"/>
      <c r="AB544"/>
    </row>
    <row r="545" spans="1:28" ht="14.4" hidden="1">
      <c r="A545" t="s">
        <v>178</v>
      </c>
      <c r="B545" s="1">
        <v>95</v>
      </c>
      <c r="C545" s="258" t="s">
        <v>2184</v>
      </c>
      <c r="D545" t="s">
        <v>1246</v>
      </c>
      <c r="E545" t="s">
        <v>2166</v>
      </c>
      <c r="F545"/>
      <c r="G545">
        <v>0.25</v>
      </c>
      <c r="H545" s="1">
        <v>54873</v>
      </c>
      <c r="I545"/>
      <c r="J545" t="s">
        <v>2164</v>
      </c>
      <c r="K545" s="170">
        <v>45838</v>
      </c>
      <c r="L545" s="1">
        <v>53157.47</v>
      </c>
      <c r="M545" s="1">
        <v>45841</v>
      </c>
      <c r="Y545"/>
      <c r="Z545"/>
      <c r="AB545"/>
    </row>
    <row r="546" spans="1:28" ht="14.4" hidden="1">
      <c r="A546" t="s">
        <v>178</v>
      </c>
      <c r="B546" s="1">
        <v>96</v>
      </c>
      <c r="C546" s="258" t="s">
        <v>2185</v>
      </c>
      <c r="D546" t="s">
        <v>1246</v>
      </c>
      <c r="E546" t="s">
        <v>2168</v>
      </c>
      <c r="F546"/>
      <c r="G546">
        <v>0.25</v>
      </c>
      <c r="H546" s="1">
        <v>54873</v>
      </c>
      <c r="I546"/>
      <c r="J546" t="s">
        <v>2164</v>
      </c>
      <c r="K546" s="170">
        <v>45838</v>
      </c>
      <c r="L546" s="1">
        <v>53157.47</v>
      </c>
      <c r="M546" s="1">
        <v>46015</v>
      </c>
      <c r="Y546"/>
      <c r="Z546"/>
      <c r="AB546"/>
    </row>
    <row r="547" spans="1:28" ht="14.4" hidden="1">
      <c r="A547" t="s">
        <v>178</v>
      </c>
      <c r="B547" s="1">
        <v>108</v>
      </c>
      <c r="C547" s="258" t="s">
        <v>2186</v>
      </c>
      <c r="D547" t="s">
        <v>1255</v>
      </c>
      <c r="E547" t="s">
        <v>2162</v>
      </c>
      <c r="F547">
        <v>7280</v>
      </c>
      <c r="G547">
        <v>0.5</v>
      </c>
      <c r="H547" s="1">
        <v>3640</v>
      </c>
      <c r="I547" t="s">
        <v>2163</v>
      </c>
      <c r="J547" t="s">
        <v>2187</v>
      </c>
      <c r="K547" s="170">
        <v>45838</v>
      </c>
      <c r="L547" s="1">
        <v>13800</v>
      </c>
      <c r="M547" s="1">
        <v>45820</v>
      </c>
      <c r="Y547"/>
      <c r="Z547"/>
      <c r="AB547"/>
    </row>
    <row r="548" spans="1:28" ht="14.4" hidden="1">
      <c r="A548" t="s">
        <v>178</v>
      </c>
      <c r="B548" s="1">
        <v>109</v>
      </c>
      <c r="C548" s="258" t="s">
        <v>2188</v>
      </c>
      <c r="D548" t="s">
        <v>1255</v>
      </c>
      <c r="E548" t="s">
        <v>2166</v>
      </c>
      <c r="F548"/>
      <c r="G548">
        <v>0.25</v>
      </c>
      <c r="H548" s="1">
        <v>1820</v>
      </c>
      <c r="I548"/>
      <c r="J548" t="s">
        <v>2164</v>
      </c>
      <c r="K548" s="170">
        <v>45838</v>
      </c>
      <c r="L548" s="1">
        <v>6900</v>
      </c>
      <c r="M548" s="1">
        <v>45841</v>
      </c>
      <c r="Y548"/>
      <c r="Z548"/>
      <c r="AB548"/>
    </row>
    <row r="549" spans="1:28" ht="14.4" hidden="1">
      <c r="A549" t="s">
        <v>178</v>
      </c>
      <c r="B549" s="1">
        <v>110</v>
      </c>
      <c r="C549" s="258" t="s">
        <v>2189</v>
      </c>
      <c r="D549" t="s">
        <v>1255</v>
      </c>
      <c r="E549" t="s">
        <v>2168</v>
      </c>
      <c r="F549"/>
      <c r="G549">
        <v>0.25</v>
      </c>
      <c r="H549" s="1">
        <v>1820</v>
      </c>
      <c r="I549"/>
      <c r="J549" t="s">
        <v>2164</v>
      </c>
      <c r="K549" s="170">
        <v>45838</v>
      </c>
      <c r="L549" s="1">
        <v>6900</v>
      </c>
      <c r="M549" s="1">
        <v>46015</v>
      </c>
      <c r="Y549"/>
      <c r="Z549"/>
      <c r="AB549"/>
    </row>
    <row r="550" spans="1:28" ht="14.4" hidden="1">
      <c r="A550" t="s">
        <v>178</v>
      </c>
      <c r="B550" s="1">
        <v>139</v>
      </c>
      <c r="C550" s="258" t="s">
        <v>2190</v>
      </c>
      <c r="D550" t="s">
        <v>1280</v>
      </c>
      <c r="E550" t="s">
        <v>1281</v>
      </c>
      <c r="F550"/>
      <c r="H550" s="1">
        <v>214.2</v>
      </c>
      <c r="I550"/>
      <c r="J550" t="s">
        <v>1604</v>
      </c>
      <c r="K550" s="170">
        <v>45838</v>
      </c>
      <c r="M550" s="1">
        <v>45842</v>
      </c>
      <c r="N550" s="1">
        <v>214.2</v>
      </c>
      <c r="Y550"/>
      <c r="Z550"/>
      <c r="AB550"/>
    </row>
    <row r="551" spans="1:28" ht="14.4" hidden="1">
      <c r="A551" t="s">
        <v>178</v>
      </c>
      <c r="B551" s="1">
        <v>140</v>
      </c>
      <c r="C551" s="258" t="s">
        <v>2191</v>
      </c>
      <c r="D551" t="s">
        <v>1280</v>
      </c>
      <c r="E551" t="s">
        <v>1281</v>
      </c>
      <c r="F551"/>
      <c r="H551" s="1">
        <v>0</v>
      </c>
      <c r="I551"/>
      <c r="J551" t="s">
        <v>1604</v>
      </c>
      <c r="K551" s="170">
        <v>45869</v>
      </c>
      <c r="M551" s="1">
        <v>45876</v>
      </c>
      <c r="Y551"/>
      <c r="Z551"/>
      <c r="AB551"/>
    </row>
    <row r="552" spans="1:28" ht="14.4" hidden="1">
      <c r="A552" t="s">
        <v>178</v>
      </c>
      <c r="B552" s="1">
        <v>141</v>
      </c>
      <c r="C552" s="258" t="s">
        <v>2192</v>
      </c>
      <c r="D552" t="s">
        <v>1280</v>
      </c>
      <c r="E552" t="s">
        <v>1281</v>
      </c>
      <c r="F552"/>
      <c r="H552" s="1">
        <v>0</v>
      </c>
      <c r="I552"/>
      <c r="J552" t="s">
        <v>1604</v>
      </c>
      <c r="K552" s="170">
        <v>45900</v>
      </c>
      <c r="M552" s="1">
        <v>45900</v>
      </c>
      <c r="Y552"/>
      <c r="Z552"/>
      <c r="AB552"/>
    </row>
    <row r="553" spans="1:28" ht="14.4" hidden="1">
      <c r="A553" t="s">
        <v>182</v>
      </c>
      <c r="B553" s="1">
        <v>6</v>
      </c>
      <c r="C553" s="258" t="s">
        <v>2193</v>
      </c>
      <c r="D553" t="s">
        <v>1146</v>
      </c>
      <c r="E553" t="s">
        <v>2194</v>
      </c>
      <c r="F553">
        <v>11420</v>
      </c>
      <c r="G553">
        <v>0.1</v>
      </c>
      <c r="H553" s="1">
        <v>1373597.6</v>
      </c>
      <c r="I553" t="s">
        <v>2195</v>
      </c>
      <c r="J553" t="s">
        <v>2196</v>
      </c>
      <c r="K553" s="170">
        <v>45869</v>
      </c>
      <c r="L553" s="1">
        <v>1510104.5605359131</v>
      </c>
      <c r="M553" s="1">
        <v>45827</v>
      </c>
      <c r="N553" s="1">
        <v>13735976</v>
      </c>
      <c r="Y553"/>
      <c r="Z553"/>
      <c r="AB553"/>
    </row>
    <row r="554" spans="1:28" ht="14.4" hidden="1">
      <c r="A554" t="s">
        <v>182</v>
      </c>
      <c r="B554" s="1">
        <v>8</v>
      </c>
      <c r="C554" s="258" t="s">
        <v>2197</v>
      </c>
      <c r="D554" t="s">
        <v>1146</v>
      </c>
      <c r="E554" t="s">
        <v>2198</v>
      </c>
      <c r="F554">
        <v>5112</v>
      </c>
      <c r="G554">
        <v>1202.8</v>
      </c>
      <c r="H554" s="1">
        <v>1457166.0521739132</v>
      </c>
      <c r="I554"/>
      <c r="J554" t="s">
        <v>2199</v>
      </c>
      <c r="K554" s="170">
        <v>45869</v>
      </c>
      <c r="L554" s="1">
        <v>6083790.7724287482</v>
      </c>
      <c r="M554" s="1">
        <v>45925</v>
      </c>
      <c r="Y554"/>
      <c r="Z554"/>
      <c r="AB554"/>
    </row>
    <row r="555" spans="1:28" ht="14.4" hidden="1">
      <c r="A555" t="s">
        <v>182</v>
      </c>
      <c r="B555" s="1">
        <v>9</v>
      </c>
      <c r="C555" s="258" t="s">
        <v>2200</v>
      </c>
      <c r="D555" t="s">
        <v>1146</v>
      </c>
      <c r="F555"/>
      <c r="H555" s="1">
        <v>3897072.0000000009</v>
      </c>
      <c r="I555"/>
      <c r="J555" t="s">
        <v>2199</v>
      </c>
      <c r="K555" s="170">
        <v>45869</v>
      </c>
      <c r="L555" s="1">
        <v>0</v>
      </c>
      <c r="M555" s="1">
        <v>45946</v>
      </c>
      <c r="Y555"/>
      <c r="Z555"/>
      <c r="AB555"/>
    </row>
    <row r="556" spans="1:28" ht="14.4" hidden="1">
      <c r="A556" t="s">
        <v>182</v>
      </c>
      <c r="B556" s="1">
        <v>10</v>
      </c>
      <c r="C556" s="258" t="s">
        <v>2201</v>
      </c>
      <c r="D556" t="s">
        <v>1146</v>
      </c>
      <c r="F556"/>
      <c r="H556" s="1">
        <v>179604.18782608525</v>
      </c>
      <c r="I556"/>
      <c r="J556" t="s">
        <v>2199</v>
      </c>
      <c r="K556" s="170">
        <v>45869</v>
      </c>
      <c r="L556" s="1">
        <v>0</v>
      </c>
      <c r="M556" s="1">
        <v>46031</v>
      </c>
      <c r="Y556"/>
      <c r="Z556"/>
      <c r="AB556"/>
    </row>
    <row r="557" spans="1:28" ht="14.4" hidden="1">
      <c r="A557" t="s">
        <v>182</v>
      </c>
      <c r="B557" s="1">
        <v>11</v>
      </c>
      <c r="C557" s="258" t="s">
        <v>2202</v>
      </c>
      <c r="D557" t="s">
        <v>1146</v>
      </c>
      <c r="E557" t="s">
        <v>2203</v>
      </c>
      <c r="F557">
        <v>6300</v>
      </c>
      <c r="G557">
        <v>1202.8</v>
      </c>
      <c r="H557" s="1">
        <v>869565.22</v>
      </c>
      <c r="I557"/>
      <c r="J557" t="s">
        <v>2199</v>
      </c>
      <c r="K557" s="170">
        <v>45869</v>
      </c>
      <c r="L557" s="1">
        <v>7497629.4730635965</v>
      </c>
      <c r="M557" s="1">
        <v>46031</v>
      </c>
      <c r="Y557"/>
      <c r="Z557"/>
      <c r="AB557"/>
    </row>
    <row r="558" spans="1:28" ht="14.4" hidden="1">
      <c r="A558" t="s">
        <v>182</v>
      </c>
      <c r="B558" s="1">
        <v>12</v>
      </c>
      <c r="C558" s="258" t="s">
        <v>2204</v>
      </c>
      <c r="D558" t="s">
        <v>1146</v>
      </c>
      <c r="F558"/>
      <c r="H558" s="1">
        <v>637461.31000000006</v>
      </c>
      <c r="I558"/>
      <c r="J558" t="s">
        <v>2199</v>
      </c>
      <c r="K558" s="170">
        <v>45869</v>
      </c>
      <c r="L558" s="1">
        <v>0</v>
      </c>
      <c r="M558" s="1">
        <v>46031</v>
      </c>
      <c r="Y558"/>
      <c r="Z558"/>
      <c r="AB558"/>
    </row>
    <row r="559" spans="1:28" ht="14.4" hidden="1">
      <c r="A559" t="s">
        <v>182</v>
      </c>
      <c r="B559" s="1">
        <v>13</v>
      </c>
      <c r="C559" s="258" t="s">
        <v>2205</v>
      </c>
      <c r="D559" t="s">
        <v>1146</v>
      </c>
      <c r="F559"/>
      <c r="H559" s="1">
        <v>1006679.1304347828</v>
      </c>
      <c r="I559"/>
      <c r="J559" t="s">
        <v>2199</v>
      </c>
      <c r="K559" s="170">
        <v>45869</v>
      </c>
      <c r="L559" s="1">
        <v>0</v>
      </c>
      <c r="M559" s="1">
        <v>46037</v>
      </c>
      <c r="Y559"/>
      <c r="Z559"/>
      <c r="AB559"/>
    </row>
    <row r="560" spans="1:28" ht="14.4" hidden="1">
      <c r="A560" t="s">
        <v>182</v>
      </c>
      <c r="B560" s="1">
        <v>14</v>
      </c>
      <c r="C560" s="258" t="s">
        <v>2206</v>
      </c>
      <c r="D560" t="s">
        <v>1146</v>
      </c>
      <c r="F560"/>
      <c r="H560" s="1">
        <v>1277597.209</v>
      </c>
      <c r="I560"/>
      <c r="J560" t="s">
        <v>2199</v>
      </c>
      <c r="K560" s="170">
        <v>45869</v>
      </c>
      <c r="L560" s="1">
        <v>0</v>
      </c>
      <c r="M560" s="1">
        <v>46045</v>
      </c>
      <c r="Y560"/>
      <c r="Z560"/>
      <c r="AB560"/>
    </row>
    <row r="561" spans="1:28" ht="14.4" hidden="1">
      <c r="A561" t="s">
        <v>182</v>
      </c>
      <c r="B561" s="1">
        <v>15</v>
      </c>
      <c r="C561" s="258" t="s">
        <v>2207</v>
      </c>
      <c r="D561" t="s">
        <v>1146</v>
      </c>
      <c r="F561"/>
      <c r="H561" s="1">
        <v>1304347.8259999999</v>
      </c>
      <c r="I561"/>
      <c r="J561" t="s">
        <v>2199</v>
      </c>
      <c r="K561" s="170">
        <v>45869</v>
      </c>
      <c r="L561" s="1">
        <v>0</v>
      </c>
      <c r="M561" s="1">
        <v>46051</v>
      </c>
      <c r="Y561"/>
      <c r="Z561"/>
      <c r="AB561"/>
    </row>
    <row r="562" spans="1:28" ht="14.4" hidden="1">
      <c r="A562" t="s">
        <v>182</v>
      </c>
      <c r="B562" s="1">
        <v>16</v>
      </c>
      <c r="C562" s="258" t="s">
        <v>2208</v>
      </c>
      <c r="D562" t="s">
        <v>1146</v>
      </c>
      <c r="F562"/>
      <c r="H562" s="1">
        <v>1724225.3045652178</v>
      </c>
      <c r="I562"/>
      <c r="J562" t="s">
        <v>2199</v>
      </c>
      <c r="K562" s="170">
        <v>45869</v>
      </c>
      <c r="L562" s="1">
        <v>0</v>
      </c>
      <c r="M562" s="1">
        <v>46051</v>
      </c>
      <c r="Y562"/>
      <c r="Z562"/>
      <c r="AB562"/>
    </row>
    <row r="563" spans="1:28" ht="14.4" hidden="1">
      <c r="A563" t="s">
        <v>182</v>
      </c>
      <c r="B563" s="1">
        <v>17</v>
      </c>
      <c r="C563" s="258" t="s">
        <v>2209</v>
      </c>
      <c r="D563" t="s">
        <v>1146</v>
      </c>
      <c r="E563" t="s">
        <v>2210</v>
      </c>
      <c r="F563">
        <v>8</v>
      </c>
      <c r="G563">
        <v>1202.8</v>
      </c>
      <c r="H563" s="1">
        <v>8660.16</v>
      </c>
      <c r="I563"/>
      <c r="J563" t="s">
        <v>2199</v>
      </c>
      <c r="K563" s="170">
        <v>45869</v>
      </c>
      <c r="L563" s="1">
        <v>9520.7993308744099</v>
      </c>
      <c r="M563" s="1">
        <v>46051</v>
      </c>
      <c r="Y563"/>
      <c r="Z563"/>
      <c r="AB563"/>
    </row>
    <row r="564" spans="1:28" ht="14.4" hidden="1">
      <c r="A564" t="s">
        <v>182</v>
      </c>
      <c r="B564" s="1">
        <v>18</v>
      </c>
      <c r="C564" s="258" t="s">
        <v>2211</v>
      </c>
      <c r="D564" t="s">
        <v>1146</v>
      </c>
      <c r="E564" t="s">
        <v>2212</v>
      </c>
      <c r="F564">
        <v>1</v>
      </c>
      <c r="G564">
        <v>43292.88</v>
      </c>
      <c r="H564" s="1">
        <v>43292.88</v>
      </c>
      <c r="I564"/>
      <c r="J564" t="s">
        <v>2213</v>
      </c>
      <c r="K564" s="170">
        <v>45900</v>
      </c>
      <c r="L564" s="1">
        <v>0</v>
      </c>
      <c r="M564" s="1">
        <v>45946</v>
      </c>
      <c r="Y564"/>
      <c r="Z564"/>
      <c r="AB564"/>
    </row>
    <row r="565" spans="1:28" ht="14.4" hidden="1">
      <c r="A565" t="s">
        <v>182</v>
      </c>
      <c r="B565" s="1">
        <v>19</v>
      </c>
      <c r="C565" s="258" t="s">
        <v>2214</v>
      </c>
      <c r="D565" t="s">
        <v>1146</v>
      </c>
      <c r="E565" t="s">
        <v>2212</v>
      </c>
      <c r="F565">
        <v>1</v>
      </c>
      <c r="G565">
        <v>-43292.88</v>
      </c>
      <c r="H565" s="1">
        <v>-43292.88</v>
      </c>
      <c r="I565"/>
      <c r="J565" t="s">
        <v>2215</v>
      </c>
      <c r="K565" s="170">
        <v>45991</v>
      </c>
      <c r="L565" s="1">
        <v>0</v>
      </c>
      <c r="M565" s="1">
        <v>46051</v>
      </c>
      <c r="Y565"/>
      <c r="Z565"/>
      <c r="AB565"/>
    </row>
    <row r="566" spans="1:28" ht="14.4" hidden="1">
      <c r="A566" t="s">
        <v>182</v>
      </c>
      <c r="B566" s="1">
        <v>21</v>
      </c>
      <c r="C566" s="258" t="s">
        <v>2216</v>
      </c>
      <c r="D566" t="s">
        <v>1157</v>
      </c>
      <c r="E566" t="s">
        <v>2217</v>
      </c>
      <c r="F566">
        <v>23</v>
      </c>
      <c r="G566">
        <v>108018.0759</v>
      </c>
      <c r="H566" s="1">
        <v>745324.72371000005</v>
      </c>
      <c r="I566" t="s">
        <v>2218</v>
      </c>
      <c r="J566" t="s">
        <v>2219</v>
      </c>
      <c r="K566" s="170">
        <v>45869</v>
      </c>
      <c r="L566" s="1">
        <v>886426.77283851232</v>
      </c>
      <c r="M566" s="1">
        <v>45820</v>
      </c>
      <c r="N566" s="1">
        <v>2495176.22371</v>
      </c>
      <c r="Y566"/>
      <c r="Z566"/>
      <c r="AB566"/>
    </row>
    <row r="567" spans="1:28" ht="14.4" hidden="1">
      <c r="A567" t="s">
        <v>182</v>
      </c>
      <c r="B567" s="1">
        <v>22</v>
      </c>
      <c r="C567" s="258" t="s">
        <v>2220</v>
      </c>
      <c r="D567" t="s">
        <v>1157</v>
      </c>
      <c r="E567" t="s">
        <v>2221</v>
      </c>
      <c r="F567"/>
      <c r="H567" s="1">
        <v>1749851.5</v>
      </c>
      <c r="I567"/>
      <c r="J567" t="s">
        <v>2222</v>
      </c>
      <c r="K567" s="170">
        <v>45869</v>
      </c>
      <c r="L567" s="1">
        <v>2081126.7475076499</v>
      </c>
      <c r="M567" s="1">
        <v>45855</v>
      </c>
      <c r="Y567"/>
      <c r="Z567"/>
      <c r="AB567"/>
    </row>
    <row r="568" spans="1:28" ht="14.4" hidden="1">
      <c r="A568" t="s">
        <v>182</v>
      </c>
      <c r="B568" s="1">
        <v>25</v>
      </c>
      <c r="C568" s="258" t="s">
        <v>2223</v>
      </c>
      <c r="D568" t="s">
        <v>1157</v>
      </c>
      <c r="E568" t="s">
        <v>2224</v>
      </c>
      <c r="F568"/>
      <c r="H568" s="1">
        <v>899.72</v>
      </c>
      <c r="I568"/>
      <c r="J568" t="s">
        <v>2225</v>
      </c>
      <c r="K568" s="170">
        <v>46022</v>
      </c>
      <c r="L568" s="1">
        <v>0</v>
      </c>
      <c r="M568" s="1">
        <v>46053</v>
      </c>
      <c r="Y568"/>
      <c r="Z568"/>
      <c r="AB568"/>
    </row>
    <row r="569" spans="1:28" ht="14.4" hidden="1">
      <c r="A569" t="s">
        <v>182</v>
      </c>
      <c r="B569" s="1">
        <v>26</v>
      </c>
      <c r="C569" s="258" t="s">
        <v>2226</v>
      </c>
      <c r="D569" t="s">
        <v>1157</v>
      </c>
      <c r="F569"/>
      <c r="H569" s="1">
        <v>-899.72</v>
      </c>
      <c r="I569"/>
      <c r="J569" t="s">
        <v>2225</v>
      </c>
      <c r="K569" s="170">
        <v>46053</v>
      </c>
      <c r="L569" s="1">
        <v>0</v>
      </c>
      <c r="M569" s="1">
        <v>46053</v>
      </c>
      <c r="Y569"/>
      <c r="Z569"/>
      <c r="AB569"/>
    </row>
    <row r="570" spans="1:28" ht="14.4" hidden="1">
      <c r="A570" t="s">
        <v>182</v>
      </c>
      <c r="B570" s="1">
        <v>29</v>
      </c>
      <c r="C570" s="258" t="s">
        <v>2227</v>
      </c>
      <c r="D570" t="s">
        <v>1160</v>
      </c>
      <c r="E570" t="s">
        <v>2228</v>
      </c>
      <c r="F570">
        <v>19830</v>
      </c>
      <c r="G570">
        <v>22.88</v>
      </c>
      <c r="H570" s="1">
        <v>453710.4</v>
      </c>
      <c r="I570" t="s">
        <v>2229</v>
      </c>
      <c r="J570" t="s">
        <v>2230</v>
      </c>
      <c r="K570" s="170">
        <v>45838</v>
      </c>
      <c r="L570" s="1">
        <v>870407.92269117013</v>
      </c>
      <c r="M570" s="1">
        <v>45867</v>
      </c>
      <c r="N570" s="1">
        <v>4071044.26</v>
      </c>
      <c r="Y570"/>
      <c r="Z570"/>
      <c r="AB570"/>
    </row>
    <row r="571" spans="1:28" ht="14.4" hidden="1">
      <c r="A571" t="s">
        <v>182</v>
      </c>
      <c r="B571" s="1">
        <v>30</v>
      </c>
      <c r="C571" s="258" t="s">
        <v>2231</v>
      </c>
      <c r="D571" t="s">
        <v>1160</v>
      </c>
      <c r="E571" t="s">
        <v>2232</v>
      </c>
      <c r="F571">
        <v>39660</v>
      </c>
      <c r="G571">
        <v>5.87</v>
      </c>
      <c r="H571" s="1">
        <v>232804.2</v>
      </c>
      <c r="I571"/>
      <c r="J571" t="s">
        <v>2230</v>
      </c>
      <c r="K571" s="170">
        <v>45838</v>
      </c>
      <c r="L571" s="1">
        <v>446616.65263961261</v>
      </c>
      <c r="M571" s="1">
        <v>45867</v>
      </c>
      <c r="Y571"/>
      <c r="Z571"/>
      <c r="AB571"/>
    </row>
    <row r="572" spans="1:28" ht="14.4" hidden="1">
      <c r="A572" t="s">
        <v>182</v>
      </c>
      <c r="B572" s="1">
        <v>31</v>
      </c>
      <c r="C572" s="258" t="s">
        <v>2233</v>
      </c>
      <c r="D572" t="s">
        <v>1160</v>
      </c>
      <c r="E572" t="s">
        <v>2234</v>
      </c>
      <c r="F572">
        <v>18030</v>
      </c>
      <c r="G572">
        <v>10.64</v>
      </c>
      <c r="H572" s="1">
        <v>197183</v>
      </c>
      <c r="I572"/>
      <c r="J572" t="s">
        <v>2230</v>
      </c>
      <c r="K572" s="170">
        <v>45838</v>
      </c>
      <c r="L572" s="1">
        <v>378280.16598255851</v>
      </c>
      <c r="M572" s="1">
        <v>45867</v>
      </c>
      <c r="Y572"/>
      <c r="Z572"/>
      <c r="AB572"/>
    </row>
    <row r="573" spans="1:28" ht="14.4" hidden="1">
      <c r="A573" t="s">
        <v>182</v>
      </c>
      <c r="B573" s="1">
        <v>32</v>
      </c>
      <c r="C573" s="258" t="s">
        <v>2235</v>
      </c>
      <c r="D573" t="s">
        <v>1160</v>
      </c>
      <c r="E573" t="s">
        <v>2236</v>
      </c>
      <c r="F573">
        <v>1820</v>
      </c>
      <c r="G573">
        <v>10.96</v>
      </c>
      <c r="H573" s="1">
        <v>20391.2</v>
      </c>
      <c r="I573"/>
      <c r="J573" t="s">
        <v>2230</v>
      </c>
      <c r="K573" s="170">
        <v>45838</v>
      </c>
      <c r="L573" s="1">
        <v>39118.922628135013</v>
      </c>
      <c r="M573" s="1">
        <v>45867</v>
      </c>
      <c r="Y573"/>
      <c r="Z573"/>
      <c r="AB573"/>
    </row>
    <row r="574" spans="1:28" ht="14.4" hidden="1">
      <c r="A574" t="s">
        <v>182</v>
      </c>
      <c r="B574" s="1">
        <v>34</v>
      </c>
      <c r="C574" s="258" t="s">
        <v>2237</v>
      </c>
      <c r="D574" t="s">
        <v>1160</v>
      </c>
      <c r="E574" t="s">
        <v>2238</v>
      </c>
      <c r="F574">
        <v>1983</v>
      </c>
      <c r="G574">
        <v>22.88</v>
      </c>
      <c r="H574" s="1">
        <v>45371.040000000001</v>
      </c>
      <c r="I574"/>
      <c r="J574" t="s">
        <v>2230</v>
      </c>
      <c r="K574" s="170">
        <v>45838</v>
      </c>
      <c r="L574" s="1">
        <v>87040.79226911701</v>
      </c>
      <c r="M574" s="1">
        <v>45867</v>
      </c>
      <c r="Y574"/>
      <c r="Z574"/>
      <c r="AB574"/>
    </row>
    <row r="575" spans="1:28" ht="14.4" hidden="1">
      <c r="A575" t="s">
        <v>182</v>
      </c>
      <c r="B575" s="1">
        <v>35</v>
      </c>
      <c r="C575" s="258" t="s">
        <v>2239</v>
      </c>
      <c r="D575" t="s">
        <v>1160</v>
      </c>
      <c r="E575" t="s">
        <v>2240</v>
      </c>
      <c r="F575">
        <v>3966</v>
      </c>
      <c r="G575">
        <v>5.87</v>
      </c>
      <c r="H575" s="1">
        <v>23280.42</v>
      </c>
      <c r="I575"/>
      <c r="J575" t="s">
        <v>2230</v>
      </c>
      <c r="K575" s="170">
        <v>45838</v>
      </c>
      <c r="L575" s="1">
        <v>44661.665263961266</v>
      </c>
      <c r="M575" s="1">
        <v>45867</v>
      </c>
      <c r="Y575"/>
      <c r="Z575"/>
      <c r="AB575"/>
    </row>
    <row r="576" spans="1:28" ht="14.4" hidden="1">
      <c r="A576" t="s">
        <v>182</v>
      </c>
      <c r="B576" s="1">
        <v>37</v>
      </c>
      <c r="C576" s="258" t="s">
        <v>2241</v>
      </c>
      <c r="D576" t="s">
        <v>1160</v>
      </c>
      <c r="E576" t="s">
        <v>2242</v>
      </c>
      <c r="F576"/>
      <c r="H576" s="1">
        <v>17564</v>
      </c>
      <c r="I576"/>
      <c r="J576" t="s">
        <v>2230</v>
      </c>
      <c r="K576" s="170">
        <v>45838</v>
      </c>
      <c r="L576" s="1">
        <v>33695.16051240552</v>
      </c>
      <c r="M576" s="1">
        <v>45867</v>
      </c>
      <c r="Y576"/>
      <c r="Z576"/>
      <c r="AB576"/>
    </row>
    <row r="577" spans="1:28" ht="14.4" hidden="1">
      <c r="A577" t="s">
        <v>182</v>
      </c>
      <c r="B577" s="1">
        <v>41</v>
      </c>
      <c r="C577" s="258" t="s">
        <v>2243</v>
      </c>
      <c r="D577" t="s">
        <v>1160</v>
      </c>
      <c r="E577" t="s">
        <v>2244</v>
      </c>
      <c r="F577">
        <v>3169.44</v>
      </c>
      <c r="G577">
        <v>0.97201398354283397</v>
      </c>
      <c r="H577" s="1">
        <v>1540370</v>
      </c>
      <c r="I577" t="s">
        <v>2245</v>
      </c>
      <c r="J577" t="s">
        <v>2246</v>
      </c>
      <c r="K577" s="170">
        <v>45900</v>
      </c>
      <c r="L577" s="1">
        <v>2955079.389574931</v>
      </c>
      <c r="M577" s="1">
        <v>45827</v>
      </c>
      <c r="Y577"/>
      <c r="Z577"/>
      <c r="AB577"/>
    </row>
    <row r="578" spans="1:28" ht="14.4" hidden="1">
      <c r="A578" t="s">
        <v>182</v>
      </c>
      <c r="B578" s="1">
        <v>42</v>
      </c>
      <c r="C578" s="258" t="s">
        <v>2247</v>
      </c>
      <c r="D578" t="s">
        <v>1160</v>
      </c>
      <c r="E578" t="s">
        <v>2248</v>
      </c>
      <c r="F578"/>
      <c r="H578" s="1">
        <v>1540370</v>
      </c>
      <c r="I578"/>
      <c r="J578" t="s">
        <v>2249</v>
      </c>
      <c r="K578" s="170">
        <v>45900</v>
      </c>
      <c r="L578" s="1">
        <v>2955079.389574931</v>
      </c>
      <c r="M578" s="1">
        <v>45930</v>
      </c>
      <c r="Y578"/>
      <c r="Z578"/>
      <c r="AB578"/>
    </row>
    <row r="579" spans="1:28" ht="14.4" hidden="1">
      <c r="A579" t="s">
        <v>182</v>
      </c>
      <c r="B579" s="1">
        <v>43</v>
      </c>
      <c r="C579" s="258" t="s">
        <v>2250</v>
      </c>
      <c r="D579" t="s">
        <v>1160</v>
      </c>
      <c r="F579"/>
      <c r="H579" s="1">
        <v>-1540370</v>
      </c>
      <c r="I579"/>
      <c r="J579" t="s">
        <v>2251</v>
      </c>
      <c r="K579" s="170">
        <v>45930</v>
      </c>
      <c r="L579" s="1">
        <v>0</v>
      </c>
      <c r="M579" s="1">
        <v>45930</v>
      </c>
      <c r="Y579"/>
      <c r="Z579"/>
      <c r="AB579"/>
    </row>
    <row r="580" spans="1:28" ht="14.4" hidden="1">
      <c r="A580" t="s">
        <v>182</v>
      </c>
      <c r="B580" s="1">
        <v>44</v>
      </c>
      <c r="C580" s="258" t="s">
        <v>2252</v>
      </c>
      <c r="D580" t="s">
        <v>1160</v>
      </c>
      <c r="F580"/>
      <c r="H580" s="1">
        <v>-1540370</v>
      </c>
      <c r="I580"/>
      <c r="J580" t="s">
        <v>2253</v>
      </c>
      <c r="K580" s="170">
        <v>45930</v>
      </c>
      <c r="L580" s="1">
        <v>0</v>
      </c>
      <c r="M580" s="1">
        <v>45930</v>
      </c>
      <c r="Y580"/>
      <c r="Z580"/>
      <c r="AB580"/>
    </row>
    <row r="581" spans="1:28" ht="14.4" hidden="1">
      <c r="A581" t="s">
        <v>182</v>
      </c>
      <c r="B581" s="1">
        <v>45</v>
      </c>
      <c r="C581" s="258" t="s">
        <v>2254</v>
      </c>
      <c r="D581" t="s">
        <v>1160</v>
      </c>
      <c r="F581"/>
      <c r="H581" s="1">
        <v>3006740</v>
      </c>
      <c r="I581"/>
      <c r="J581" t="s">
        <v>2255</v>
      </c>
      <c r="K581" s="170">
        <v>45930</v>
      </c>
      <c r="L581" s="1">
        <v>0</v>
      </c>
      <c r="M581" s="1">
        <v>45930</v>
      </c>
      <c r="Y581"/>
      <c r="Z581"/>
      <c r="AB581"/>
    </row>
    <row r="582" spans="1:28" ht="14.4" hidden="1">
      <c r="A582" t="s">
        <v>182</v>
      </c>
      <c r="B582" s="1">
        <v>46</v>
      </c>
      <c r="C582" s="258" t="s">
        <v>2256</v>
      </c>
      <c r="D582" t="s">
        <v>1160</v>
      </c>
      <c r="E582" t="s">
        <v>2257</v>
      </c>
      <c r="F582"/>
      <c r="H582" s="1">
        <v>37000</v>
      </c>
      <c r="I582"/>
      <c r="J582" t="s">
        <v>2246</v>
      </c>
      <c r="K582" s="170">
        <v>45838</v>
      </c>
      <c r="L582" s="1">
        <v>70981.606636244833</v>
      </c>
      <c r="M582" s="1">
        <v>45827</v>
      </c>
      <c r="Y582"/>
      <c r="Z582"/>
      <c r="AB582"/>
    </row>
    <row r="583" spans="1:28" ht="14.4" hidden="1">
      <c r="A583" t="s">
        <v>182</v>
      </c>
      <c r="B583" s="1">
        <v>47</v>
      </c>
      <c r="C583" s="258" t="s">
        <v>2258</v>
      </c>
      <c r="D583" t="s">
        <v>1160</v>
      </c>
      <c r="E583" t="s">
        <v>2259</v>
      </c>
      <c r="F583"/>
      <c r="H583" s="1">
        <v>37000</v>
      </c>
      <c r="I583"/>
      <c r="J583" t="s">
        <v>2249</v>
      </c>
      <c r="K583" s="170">
        <v>45900</v>
      </c>
      <c r="L583" s="1">
        <v>70981.606636244833</v>
      </c>
      <c r="M583" s="1">
        <v>45930</v>
      </c>
      <c r="Y583"/>
      <c r="Z583"/>
      <c r="AB583"/>
    </row>
    <row r="584" spans="1:28" ht="14.4" hidden="1">
      <c r="A584" t="s">
        <v>182</v>
      </c>
      <c r="B584" s="1">
        <v>49</v>
      </c>
      <c r="C584" s="258" t="s">
        <v>2260</v>
      </c>
      <c r="D584" t="s">
        <v>1165</v>
      </c>
      <c r="E584" t="s">
        <v>2261</v>
      </c>
      <c r="F584">
        <v>24000</v>
      </c>
      <c r="G584">
        <v>0</v>
      </c>
      <c r="H584" s="1">
        <v>0</v>
      </c>
      <c r="I584"/>
      <c r="J584"/>
      <c r="K584" s="170"/>
      <c r="L584" s="1">
        <v>0</v>
      </c>
      <c r="N584" s="1">
        <v>3329187</v>
      </c>
      <c r="Y584"/>
      <c r="Z584"/>
      <c r="AB584"/>
    </row>
    <row r="585" spans="1:28" ht="14.4" hidden="1">
      <c r="A585" t="s">
        <v>182</v>
      </c>
      <c r="B585" s="1">
        <v>50</v>
      </c>
      <c r="C585" s="258" t="s">
        <v>2262</v>
      </c>
      <c r="D585" t="s">
        <v>1165</v>
      </c>
      <c r="E585" t="s">
        <v>2263</v>
      </c>
      <c r="F585">
        <v>0.1</v>
      </c>
      <c r="G585">
        <v>2376000</v>
      </c>
      <c r="H585" s="1">
        <v>237600</v>
      </c>
      <c r="I585" t="s">
        <v>2195</v>
      </c>
      <c r="J585" t="s">
        <v>2196</v>
      </c>
      <c r="K585" s="170">
        <v>45838</v>
      </c>
      <c r="L585" s="1">
        <v>465334.01673059782</v>
      </c>
      <c r="M585" s="1">
        <v>45901</v>
      </c>
      <c r="Y585"/>
      <c r="Z585"/>
      <c r="AB585"/>
    </row>
    <row r="586" spans="1:28" ht="14.4" hidden="1">
      <c r="A586" t="s">
        <v>182</v>
      </c>
      <c r="B586" s="1">
        <v>51</v>
      </c>
      <c r="C586" s="258" t="s">
        <v>2264</v>
      </c>
      <c r="D586" t="s">
        <v>1165</v>
      </c>
      <c r="E586" t="s">
        <v>836</v>
      </c>
      <c r="F586">
        <v>0.9</v>
      </c>
      <c r="H586" s="1">
        <v>2138400</v>
      </c>
      <c r="I586"/>
      <c r="J586" t="s">
        <v>2265</v>
      </c>
      <c r="K586" s="170">
        <v>45838</v>
      </c>
      <c r="L586" s="1">
        <v>4188006.1505753798</v>
      </c>
      <c r="M586" s="1">
        <v>45901</v>
      </c>
      <c r="Y586"/>
      <c r="Z586"/>
      <c r="AB586"/>
    </row>
    <row r="587" spans="1:28" ht="14.4" hidden="1">
      <c r="A587" t="s">
        <v>182</v>
      </c>
      <c r="B587" s="1">
        <v>52</v>
      </c>
      <c r="C587" s="258" t="s">
        <v>2266</v>
      </c>
      <c r="D587" t="s">
        <v>1165</v>
      </c>
      <c r="E587" t="s">
        <v>2267</v>
      </c>
      <c r="F587">
        <v>500</v>
      </c>
      <c r="G587">
        <v>13</v>
      </c>
      <c r="H587" s="1">
        <v>6500</v>
      </c>
      <c r="I587" t="s">
        <v>2268</v>
      </c>
      <c r="J587" t="s">
        <v>2269</v>
      </c>
      <c r="K587" s="170">
        <v>45869</v>
      </c>
      <c r="L587" s="1">
        <v>13627.717212616306</v>
      </c>
      <c r="M587" s="1">
        <v>45925</v>
      </c>
      <c r="Y587"/>
      <c r="Z587"/>
      <c r="AB587"/>
    </row>
    <row r="588" spans="1:28" ht="14.4" hidden="1">
      <c r="A588" t="s">
        <v>182</v>
      </c>
      <c r="B588" s="1">
        <v>53</v>
      </c>
      <c r="C588" s="258" t="s">
        <v>2270</v>
      </c>
      <c r="D588" t="s">
        <v>1165</v>
      </c>
      <c r="E588" t="s">
        <v>2271</v>
      </c>
      <c r="F588">
        <v>500</v>
      </c>
      <c r="G588">
        <v>13</v>
      </c>
      <c r="H588" s="1">
        <v>6500</v>
      </c>
      <c r="I588"/>
      <c r="J588" t="s">
        <v>2269</v>
      </c>
      <c r="K588" s="170">
        <v>45869</v>
      </c>
      <c r="L588" s="1">
        <v>13627.717212616306</v>
      </c>
      <c r="M588" s="1">
        <v>45925</v>
      </c>
      <c r="Y588"/>
      <c r="Z588"/>
      <c r="AB588"/>
    </row>
    <row r="589" spans="1:28" ht="14.4" hidden="1">
      <c r="A589" t="s">
        <v>182</v>
      </c>
      <c r="B589" s="1">
        <v>55</v>
      </c>
      <c r="C589" s="258" t="s">
        <v>2272</v>
      </c>
      <c r="D589" t="s">
        <v>1165</v>
      </c>
      <c r="E589" t="s">
        <v>2273</v>
      </c>
      <c r="F589"/>
      <c r="H589" s="1">
        <v>370187</v>
      </c>
      <c r="I589" t="s">
        <v>2274</v>
      </c>
      <c r="J589" t="s">
        <v>2275</v>
      </c>
      <c r="K589" s="170">
        <v>45869</v>
      </c>
      <c r="L589" s="1">
        <v>1724074.1776282564</v>
      </c>
      <c r="M589" s="1">
        <v>45904</v>
      </c>
      <c r="Y589"/>
      <c r="Z589"/>
      <c r="AB589"/>
    </row>
    <row r="590" spans="1:28" ht="14.4" hidden="1">
      <c r="A590" t="s">
        <v>182</v>
      </c>
      <c r="B590" s="1">
        <v>62</v>
      </c>
      <c r="C590" s="258" t="s">
        <v>2276</v>
      </c>
      <c r="D590" t="s">
        <v>1165</v>
      </c>
      <c r="E590" t="s">
        <v>2277</v>
      </c>
      <c r="F590">
        <v>275000</v>
      </c>
      <c r="G590">
        <v>0.5</v>
      </c>
      <c r="H590" s="1">
        <v>137500</v>
      </c>
      <c r="I590" t="s">
        <v>2278</v>
      </c>
      <c r="J590" t="s">
        <v>2279</v>
      </c>
      <c r="K590" s="170">
        <v>45838</v>
      </c>
      <c r="L590" s="1">
        <v>269290.51894131815</v>
      </c>
      <c r="M590" s="1">
        <v>45834</v>
      </c>
      <c r="Y590"/>
      <c r="Z590"/>
      <c r="AB590"/>
    </row>
    <row r="591" spans="1:28" ht="14.4" hidden="1">
      <c r="A591" t="s">
        <v>182</v>
      </c>
      <c r="B591" s="1">
        <v>63</v>
      </c>
      <c r="C591" s="258" t="s">
        <v>2280</v>
      </c>
      <c r="D591" t="s">
        <v>1165</v>
      </c>
      <c r="E591" t="s">
        <v>2281</v>
      </c>
      <c r="F591"/>
      <c r="G591">
        <v>0.4</v>
      </c>
      <c r="H591" s="1">
        <v>110000</v>
      </c>
      <c r="I591"/>
      <c r="J591" t="s">
        <v>2282</v>
      </c>
      <c r="K591" s="170">
        <v>45869</v>
      </c>
      <c r="L591" s="1">
        <v>230622.90667504515</v>
      </c>
      <c r="M591" s="1">
        <v>45910</v>
      </c>
      <c r="Y591"/>
      <c r="Z591"/>
      <c r="AB591"/>
    </row>
    <row r="592" spans="1:28" ht="14.4" hidden="1">
      <c r="A592" t="s">
        <v>182</v>
      </c>
      <c r="B592" s="1">
        <v>64</v>
      </c>
      <c r="C592" s="258" t="s">
        <v>2283</v>
      </c>
      <c r="D592" t="s">
        <v>1165</v>
      </c>
      <c r="E592" t="s">
        <v>2284</v>
      </c>
      <c r="F592"/>
      <c r="G592">
        <v>0.1</v>
      </c>
      <c r="H592" s="1">
        <v>27500</v>
      </c>
      <c r="I592"/>
      <c r="J592" t="s">
        <v>2285</v>
      </c>
      <c r="K592" s="170">
        <v>45900</v>
      </c>
      <c r="L592" s="1">
        <v>71925.973060766104</v>
      </c>
      <c r="M592" s="1">
        <v>46100</v>
      </c>
      <c r="Y592"/>
      <c r="Z592"/>
      <c r="AB592"/>
    </row>
    <row r="593" spans="1:28" ht="14.4" hidden="1">
      <c r="A593" t="s">
        <v>182</v>
      </c>
      <c r="B593" s="1">
        <v>67</v>
      </c>
      <c r="C593" s="258" t="s">
        <v>2286</v>
      </c>
      <c r="D593" t="s">
        <v>1165</v>
      </c>
      <c r="E593" t="s">
        <v>2287</v>
      </c>
      <c r="F593">
        <v>295000</v>
      </c>
      <c r="G593">
        <v>0.5</v>
      </c>
      <c r="H593" s="1">
        <v>147500</v>
      </c>
      <c r="I593"/>
      <c r="J593" t="s">
        <v>2279</v>
      </c>
      <c r="K593" s="170">
        <v>45838</v>
      </c>
      <c r="L593" s="1">
        <v>288875.28395523224</v>
      </c>
      <c r="M593" s="1">
        <v>45834</v>
      </c>
      <c r="Y593"/>
      <c r="Z593"/>
      <c r="AB593"/>
    </row>
    <row r="594" spans="1:28" ht="14.4" hidden="1">
      <c r="A594" t="s">
        <v>182</v>
      </c>
      <c r="B594" s="1">
        <v>68</v>
      </c>
      <c r="C594" s="258" t="s">
        <v>2288</v>
      </c>
      <c r="D594" t="s">
        <v>1165</v>
      </c>
      <c r="E594" t="s">
        <v>2289</v>
      </c>
      <c r="F594"/>
      <c r="G594">
        <v>0.4</v>
      </c>
      <c r="H594" s="1">
        <v>118000</v>
      </c>
      <c r="I594"/>
      <c r="J594" t="s">
        <v>2282</v>
      </c>
      <c r="K594" s="170">
        <v>45869</v>
      </c>
      <c r="L594" s="1">
        <v>247395.48170595756</v>
      </c>
      <c r="M594" s="1">
        <v>45910</v>
      </c>
      <c r="Y594"/>
      <c r="Z594"/>
      <c r="AB594"/>
    </row>
    <row r="595" spans="1:28" ht="14.4" hidden="1">
      <c r="A595" t="s">
        <v>182</v>
      </c>
      <c r="B595" s="1">
        <v>69</v>
      </c>
      <c r="C595" s="258" t="s">
        <v>2290</v>
      </c>
      <c r="D595" t="s">
        <v>1165</v>
      </c>
      <c r="E595" t="s">
        <v>2291</v>
      </c>
      <c r="F595"/>
      <c r="G595">
        <v>0.1</v>
      </c>
      <c r="H595" s="1">
        <v>29500</v>
      </c>
      <c r="I595"/>
      <c r="J595" t="s">
        <v>2285</v>
      </c>
      <c r="K595" s="170">
        <v>45900</v>
      </c>
      <c r="L595" s="1">
        <v>77156.952919730917</v>
      </c>
      <c r="M595" s="1">
        <v>46100</v>
      </c>
      <c r="Y595"/>
      <c r="Z595"/>
      <c r="AB595"/>
    </row>
    <row r="596" spans="1:28" ht="14.4" hidden="1">
      <c r="A596" t="s">
        <v>182</v>
      </c>
      <c r="B596" s="1">
        <v>75</v>
      </c>
      <c r="C596" s="258" t="s">
        <v>2292</v>
      </c>
      <c r="D596" t="s">
        <v>1193</v>
      </c>
      <c r="E596" t="s">
        <v>2293</v>
      </c>
      <c r="F596">
        <v>1</v>
      </c>
      <c r="H596" s="1">
        <v>19205.5</v>
      </c>
      <c r="I596" t="s">
        <v>2294</v>
      </c>
      <c r="J596" t="s">
        <v>2295</v>
      </c>
      <c r="K596" s="170">
        <v>45869</v>
      </c>
      <c r="L596" s="1">
        <v>3006.8451525953706</v>
      </c>
      <c r="M596" s="1">
        <v>45862</v>
      </c>
      <c r="Y596"/>
      <c r="Z596"/>
      <c r="AB596"/>
    </row>
    <row r="597" spans="1:28" ht="14.4" hidden="1">
      <c r="A597" t="s">
        <v>182</v>
      </c>
      <c r="B597" s="1">
        <v>76</v>
      </c>
      <c r="C597" s="258" t="s">
        <v>2296</v>
      </c>
      <c r="D597" t="s">
        <v>1193</v>
      </c>
      <c r="E597" t="s">
        <v>2297</v>
      </c>
      <c r="F597"/>
      <c r="H597" s="1">
        <v>264.26</v>
      </c>
      <c r="I597"/>
      <c r="J597" t="s">
        <v>2298</v>
      </c>
      <c r="K597" s="170">
        <v>45869</v>
      </c>
      <c r="L597" s="1">
        <v>41.372986906086929</v>
      </c>
      <c r="M597" s="1">
        <v>45900</v>
      </c>
      <c r="Y597"/>
      <c r="Z597"/>
      <c r="AB597"/>
    </row>
    <row r="598" spans="1:28" ht="14.4" hidden="1">
      <c r="A598" t="s">
        <v>182</v>
      </c>
      <c r="B598" s="1">
        <v>77</v>
      </c>
      <c r="C598" s="258" t="s">
        <v>2299</v>
      </c>
      <c r="D598" t="s">
        <v>1193</v>
      </c>
      <c r="E598" t="s">
        <v>1200</v>
      </c>
      <c r="F598">
        <v>1</v>
      </c>
      <c r="H598" s="1">
        <v>11169</v>
      </c>
      <c r="I598"/>
      <c r="J598" t="s">
        <v>1691</v>
      </c>
      <c r="K598" s="170">
        <v>45900</v>
      </c>
      <c r="L598" s="1">
        <v>26948.87</v>
      </c>
      <c r="M598" s="1">
        <v>45900</v>
      </c>
      <c r="Y598"/>
      <c r="Z598"/>
      <c r="AB598"/>
    </row>
    <row r="599" spans="1:28" ht="14.4" hidden="1">
      <c r="A599" t="s">
        <v>182</v>
      </c>
      <c r="B599" s="1">
        <v>78</v>
      </c>
      <c r="C599" s="258" t="s">
        <v>2300</v>
      </c>
      <c r="D599" t="s">
        <v>1193</v>
      </c>
      <c r="E599" t="s">
        <v>2301</v>
      </c>
      <c r="F599"/>
      <c r="H599" s="1">
        <v>175.56</v>
      </c>
      <c r="I599"/>
      <c r="J599" t="s">
        <v>2298</v>
      </c>
      <c r="K599" s="170">
        <v>45869</v>
      </c>
      <c r="L599" s="1">
        <v>27.48596677981012</v>
      </c>
      <c r="M599" s="1">
        <v>45900</v>
      </c>
      <c r="Y599"/>
      <c r="Z599"/>
      <c r="AB599"/>
    </row>
    <row r="600" spans="1:28" ht="14.4" hidden="1">
      <c r="A600" t="s">
        <v>182</v>
      </c>
      <c r="B600" s="1">
        <v>79</v>
      </c>
      <c r="C600" s="258" t="s">
        <v>2302</v>
      </c>
      <c r="D600" t="s">
        <v>1193</v>
      </c>
      <c r="E600" t="s">
        <v>2303</v>
      </c>
      <c r="F600">
        <v>1</v>
      </c>
      <c r="H600" s="1">
        <v>95374</v>
      </c>
      <c r="I600" t="s">
        <v>2304</v>
      </c>
      <c r="J600" t="s">
        <v>2305</v>
      </c>
      <c r="K600" s="170">
        <v>45869</v>
      </c>
      <c r="L600" s="1">
        <v>14931.912711651916</v>
      </c>
      <c r="M600" s="1">
        <v>45930</v>
      </c>
      <c r="Y600"/>
      <c r="Z600"/>
      <c r="AB600"/>
    </row>
    <row r="601" spans="1:28" ht="14.4" hidden="1">
      <c r="A601" t="s">
        <v>182</v>
      </c>
      <c r="B601" s="1">
        <v>80</v>
      </c>
      <c r="C601" s="258" t="s">
        <v>2306</v>
      </c>
      <c r="D601" t="s">
        <v>1193</v>
      </c>
      <c r="E601" t="s">
        <v>2307</v>
      </c>
      <c r="F601"/>
      <c r="H601" s="1">
        <v>15921</v>
      </c>
      <c r="I601" t="s">
        <v>2308</v>
      </c>
      <c r="J601" t="s">
        <v>2309</v>
      </c>
      <c r="K601" s="170">
        <v>45869</v>
      </c>
      <c r="L601" s="1">
        <v>2492.6183475812081</v>
      </c>
      <c r="M601" s="1">
        <v>45899</v>
      </c>
      <c r="Y601"/>
      <c r="Z601"/>
      <c r="AB601"/>
    </row>
    <row r="602" spans="1:28" ht="14.4" hidden="1">
      <c r="A602" t="s">
        <v>182</v>
      </c>
      <c r="B602" s="1">
        <v>81</v>
      </c>
      <c r="C602" s="258" t="s">
        <v>2310</v>
      </c>
      <c r="D602" t="s">
        <v>1193</v>
      </c>
      <c r="E602" t="s">
        <v>850</v>
      </c>
      <c r="F602"/>
      <c r="H602" s="1">
        <v>83760</v>
      </c>
      <c r="I602" t="s">
        <v>2311</v>
      </c>
      <c r="J602" t="s">
        <v>2312</v>
      </c>
      <c r="K602" s="170">
        <v>46022</v>
      </c>
      <c r="L602" s="1">
        <v>17237.103282812757</v>
      </c>
      <c r="M602" s="1">
        <v>46037</v>
      </c>
      <c r="Y602"/>
      <c r="Z602"/>
      <c r="AB602"/>
    </row>
    <row r="603" spans="1:28" ht="14.4" hidden="1">
      <c r="A603" t="s">
        <v>182</v>
      </c>
      <c r="B603" s="1">
        <v>82</v>
      </c>
      <c r="C603" s="258" t="s">
        <v>2313</v>
      </c>
      <c r="D603" t="s">
        <v>1193</v>
      </c>
      <c r="F603"/>
      <c r="H603" s="1">
        <v>-1980</v>
      </c>
      <c r="I603"/>
      <c r="J603" t="s">
        <v>2314</v>
      </c>
      <c r="K603" s="170">
        <v>46053</v>
      </c>
      <c r="M603" s="1">
        <v>46053</v>
      </c>
      <c r="Y603"/>
      <c r="Z603"/>
      <c r="AB603"/>
    </row>
    <row r="604" spans="1:28" ht="14.4" hidden="1">
      <c r="A604" t="s">
        <v>182</v>
      </c>
      <c r="B604" s="1">
        <v>83</v>
      </c>
      <c r="C604" s="258" t="s">
        <v>2315</v>
      </c>
      <c r="D604" t="s">
        <v>1193</v>
      </c>
      <c r="E604" t="s">
        <v>2316</v>
      </c>
      <c r="F604">
        <v>1</v>
      </c>
      <c r="H604" s="1">
        <v>1060</v>
      </c>
      <c r="I604" t="s">
        <v>2317</v>
      </c>
      <c r="J604" t="s">
        <v>2318</v>
      </c>
      <c r="K604" s="170">
        <v>45930</v>
      </c>
      <c r="L604" s="1">
        <v>335.81690215918718</v>
      </c>
      <c r="M604" s="1">
        <v>45904</v>
      </c>
      <c r="Y604"/>
      <c r="Z604"/>
      <c r="AB604"/>
    </row>
    <row r="605" spans="1:28" ht="14.4" hidden="1">
      <c r="A605" t="s">
        <v>182</v>
      </c>
      <c r="B605" s="1">
        <v>85</v>
      </c>
      <c r="C605" s="258" t="s">
        <v>2319</v>
      </c>
      <c r="D605" t="s">
        <v>1193</v>
      </c>
      <c r="E605" t="s">
        <v>2320</v>
      </c>
      <c r="F605"/>
      <c r="H605" s="1">
        <v>11169</v>
      </c>
      <c r="I605"/>
      <c r="J605" t="s">
        <v>1201</v>
      </c>
      <c r="K605" s="170">
        <v>45961</v>
      </c>
      <c r="L605" s="1">
        <v>3469.321771844011</v>
      </c>
      <c r="M605" s="1">
        <v>45974</v>
      </c>
      <c r="Y605"/>
      <c r="Z605"/>
      <c r="AB605"/>
    </row>
    <row r="606" spans="1:28" ht="14.4" hidden="1">
      <c r="A606" t="s">
        <v>182</v>
      </c>
      <c r="B606" s="1">
        <v>86</v>
      </c>
      <c r="C606" s="258" t="s">
        <v>2321</v>
      </c>
      <c r="D606" t="s">
        <v>1193</v>
      </c>
      <c r="E606" t="s">
        <v>2301</v>
      </c>
      <c r="F606"/>
      <c r="H606" s="1">
        <v>308.98</v>
      </c>
      <c r="I606"/>
      <c r="J606" t="s">
        <v>1204</v>
      </c>
      <c r="K606" s="170">
        <v>45961</v>
      </c>
      <c r="L606" s="1">
        <v>97.749104563019316</v>
      </c>
      <c r="M606" s="1">
        <v>45991</v>
      </c>
      <c r="Y606"/>
      <c r="Z606"/>
      <c r="AB606"/>
    </row>
    <row r="607" spans="1:28" ht="14.4" hidden="1">
      <c r="A607" t="s">
        <v>182</v>
      </c>
      <c r="B607" s="1">
        <v>87</v>
      </c>
      <c r="C607" s="258" t="s">
        <v>2322</v>
      </c>
      <c r="D607" t="s">
        <v>1193</v>
      </c>
      <c r="E607" t="s">
        <v>2323</v>
      </c>
      <c r="F607"/>
      <c r="H607" s="1">
        <v>1980</v>
      </c>
      <c r="I607"/>
      <c r="J607" t="s">
        <v>2324</v>
      </c>
      <c r="K607" s="170">
        <v>46053</v>
      </c>
      <c r="L607" s="1">
        <v>562.22433163430321</v>
      </c>
      <c r="M607" s="1">
        <v>46065</v>
      </c>
      <c r="Y607"/>
      <c r="Z607"/>
      <c r="AB607"/>
    </row>
    <row r="608" spans="1:28" ht="14.4" hidden="1">
      <c r="A608" t="s">
        <v>182</v>
      </c>
      <c r="B608" s="1">
        <v>88</v>
      </c>
      <c r="C608" s="258" t="s">
        <v>2325</v>
      </c>
      <c r="D608" t="s">
        <v>1193</v>
      </c>
      <c r="E608" t="s">
        <v>2326</v>
      </c>
      <c r="F608"/>
      <c r="H608" s="1">
        <v>3170</v>
      </c>
      <c r="I608"/>
      <c r="J608" t="s">
        <v>2327</v>
      </c>
      <c r="K608" s="170">
        <v>46053</v>
      </c>
      <c r="L608" s="1">
        <v>7.42</v>
      </c>
      <c r="M608" s="1">
        <v>46081</v>
      </c>
      <c r="Y608"/>
      <c r="Z608"/>
      <c r="AB608"/>
    </row>
    <row r="609" spans="1:28" ht="14.4" hidden="1">
      <c r="A609" t="s">
        <v>182</v>
      </c>
      <c r="B609" s="1">
        <v>97</v>
      </c>
      <c r="C609" s="258" t="s">
        <v>2328</v>
      </c>
      <c r="D609" t="s">
        <v>1211</v>
      </c>
      <c r="E609" t="s">
        <v>2329</v>
      </c>
      <c r="F609"/>
      <c r="G609">
        <v>27122.75</v>
      </c>
      <c r="H609" s="1">
        <v>542455</v>
      </c>
      <c r="I609" t="s">
        <v>2330</v>
      </c>
      <c r="J609" t="s">
        <v>2331</v>
      </c>
      <c r="K609" s="170">
        <v>45869</v>
      </c>
      <c r="L609" s="1">
        <v>819376.53083841596</v>
      </c>
      <c r="M609" s="1">
        <v>45901</v>
      </c>
      <c r="Y609"/>
      <c r="Z609"/>
      <c r="AB609"/>
    </row>
    <row r="610" spans="1:28" ht="14.4" hidden="1">
      <c r="A610" t="s">
        <v>182</v>
      </c>
      <c r="B610" s="1">
        <v>99</v>
      </c>
      <c r="C610" s="258" t="s">
        <v>2332</v>
      </c>
      <c r="D610" t="s">
        <v>1211</v>
      </c>
      <c r="E610" t="s">
        <v>2333</v>
      </c>
      <c r="F610"/>
      <c r="H610" s="1">
        <v>111600</v>
      </c>
      <c r="I610"/>
      <c r="J610" t="s">
        <v>2334</v>
      </c>
      <c r="K610" s="170">
        <v>46022</v>
      </c>
      <c r="M610" s="1">
        <v>46051</v>
      </c>
      <c r="Y610"/>
      <c r="Z610"/>
      <c r="AB610"/>
    </row>
    <row r="611" spans="1:28" ht="14.4" hidden="1">
      <c r="A611" t="s">
        <v>182</v>
      </c>
      <c r="B611" s="1">
        <v>102</v>
      </c>
      <c r="C611" s="258" t="s">
        <v>2335</v>
      </c>
      <c r="D611" t="s">
        <v>1211</v>
      </c>
      <c r="E611" t="s">
        <v>2336</v>
      </c>
      <c r="F611"/>
      <c r="G611">
        <v>1126388</v>
      </c>
      <c r="H611" s="1">
        <v>602839</v>
      </c>
      <c r="I611" t="s">
        <v>2337</v>
      </c>
      <c r="J611" t="s">
        <v>2338</v>
      </c>
      <c r="K611" s="170">
        <v>45869</v>
      </c>
      <c r="L611" s="1">
        <v>586595.33735154092</v>
      </c>
      <c r="M611" s="1">
        <v>45900</v>
      </c>
      <c r="Y611"/>
      <c r="Z611"/>
      <c r="AB611"/>
    </row>
    <row r="612" spans="1:28" ht="14.4" hidden="1">
      <c r="A612" t="s">
        <v>182</v>
      </c>
      <c r="B612" s="1">
        <v>103</v>
      </c>
      <c r="C612" s="258" t="s">
        <v>2339</v>
      </c>
      <c r="D612" t="s">
        <v>1211</v>
      </c>
      <c r="E612" t="s">
        <v>2340</v>
      </c>
      <c r="F612"/>
      <c r="H612" s="1">
        <v>517469.18</v>
      </c>
      <c r="I612"/>
      <c r="J612" t="s">
        <v>2341</v>
      </c>
      <c r="K612" s="170">
        <v>45869</v>
      </c>
      <c r="L612" s="1">
        <v>460970.25062994479</v>
      </c>
      <c r="M612" s="1">
        <v>45900</v>
      </c>
      <c r="Y612"/>
      <c r="Z612"/>
      <c r="AB612"/>
    </row>
    <row r="613" spans="1:28" ht="14.4" hidden="1">
      <c r="A613" t="s">
        <v>182</v>
      </c>
      <c r="B613" s="1">
        <v>104</v>
      </c>
      <c r="C613" s="258" t="s">
        <v>2342</v>
      </c>
      <c r="D613" t="s">
        <v>1211</v>
      </c>
      <c r="E613" t="s">
        <v>2343</v>
      </c>
      <c r="F613"/>
      <c r="H613" s="1">
        <v>6079.82</v>
      </c>
      <c r="I613"/>
      <c r="J613" t="s">
        <v>2344</v>
      </c>
      <c r="K613" s="170">
        <v>45869</v>
      </c>
      <c r="L613" s="1">
        <v>5915.9975780210725</v>
      </c>
      <c r="M613" s="1">
        <v>45900</v>
      </c>
      <c r="Y613"/>
      <c r="Z613"/>
      <c r="AB613"/>
    </row>
    <row r="614" spans="1:28" ht="14.4" hidden="1">
      <c r="A614" t="s">
        <v>182</v>
      </c>
      <c r="B614" s="1">
        <v>106</v>
      </c>
      <c r="C614" s="258" t="s">
        <v>2345</v>
      </c>
      <c r="D614" t="s">
        <v>1211</v>
      </c>
      <c r="E614" t="s">
        <v>2346</v>
      </c>
      <c r="F614"/>
      <c r="H614" s="1">
        <v>51044</v>
      </c>
      <c r="I614"/>
      <c r="J614" t="s">
        <v>2347</v>
      </c>
      <c r="K614" s="170">
        <v>45991</v>
      </c>
      <c r="L614" s="1" t="s">
        <v>170</v>
      </c>
      <c r="M614" s="1">
        <v>46029</v>
      </c>
      <c r="Y614"/>
      <c r="Z614"/>
      <c r="AB614"/>
    </row>
    <row r="615" spans="1:28" ht="14.4" hidden="1">
      <c r="A615" t="s">
        <v>182</v>
      </c>
      <c r="B615" s="1">
        <v>110</v>
      </c>
      <c r="C615" s="258" t="s">
        <v>2348</v>
      </c>
      <c r="D615" t="s">
        <v>1211</v>
      </c>
      <c r="E615" t="s">
        <v>2277</v>
      </c>
      <c r="F615">
        <v>275000</v>
      </c>
      <c r="G615">
        <v>0.5</v>
      </c>
      <c r="H615" s="1">
        <v>137500</v>
      </c>
      <c r="I615" t="s">
        <v>2278</v>
      </c>
      <c r="J615" t="s">
        <v>2279</v>
      </c>
      <c r="K615" s="170">
        <v>45838</v>
      </c>
      <c r="L615" s="1">
        <v>136570.21466011828</v>
      </c>
      <c r="M615" s="1">
        <v>45834</v>
      </c>
      <c r="Y615"/>
      <c r="Z615"/>
      <c r="AB615"/>
    </row>
    <row r="616" spans="1:28" ht="14.4" hidden="1">
      <c r="A616" t="s">
        <v>182</v>
      </c>
      <c r="B616" s="1">
        <v>111</v>
      </c>
      <c r="C616" s="258" t="s">
        <v>2349</v>
      </c>
      <c r="D616" t="s">
        <v>1211</v>
      </c>
      <c r="E616" t="s">
        <v>2350</v>
      </c>
      <c r="F616"/>
      <c r="G616">
        <v>0.4</v>
      </c>
      <c r="H616" s="1">
        <v>110000</v>
      </c>
      <c r="I616"/>
      <c r="J616" t="s">
        <v>2282</v>
      </c>
      <c r="K616" s="170">
        <v>45869</v>
      </c>
      <c r="L616" s="1">
        <v>107036.01974767644</v>
      </c>
      <c r="M616" s="1">
        <v>45910</v>
      </c>
      <c r="Y616"/>
      <c r="Z616"/>
      <c r="AB616"/>
    </row>
    <row r="617" spans="1:28" ht="14.4" hidden="1">
      <c r="A617" t="s">
        <v>182</v>
      </c>
      <c r="B617" s="1">
        <v>112</v>
      </c>
      <c r="C617" s="258" t="s">
        <v>2351</v>
      </c>
      <c r="D617" t="s">
        <v>1211</v>
      </c>
      <c r="E617" t="s">
        <v>2284</v>
      </c>
      <c r="F617"/>
      <c r="G617">
        <v>0.1</v>
      </c>
      <c r="H617" s="1">
        <v>27500</v>
      </c>
      <c r="I617"/>
      <c r="J617" t="s">
        <v>2285</v>
      </c>
      <c r="K617" s="170">
        <v>45900</v>
      </c>
      <c r="L617" s="1">
        <v>39048.034594758567</v>
      </c>
      <c r="M617" s="1">
        <v>46100</v>
      </c>
      <c r="Y617"/>
      <c r="Z617"/>
      <c r="AB617"/>
    </row>
    <row r="618" spans="1:28" ht="14.4" hidden="1">
      <c r="A618" t="s">
        <v>182</v>
      </c>
      <c r="B618" s="1">
        <v>115</v>
      </c>
      <c r="C618" s="258" t="s">
        <v>2352</v>
      </c>
      <c r="D618" t="s">
        <v>1211</v>
      </c>
      <c r="E618" t="s">
        <v>2287</v>
      </c>
      <c r="F618">
        <v>295000</v>
      </c>
      <c r="G618">
        <v>0.5</v>
      </c>
      <c r="H618" s="1">
        <v>147500</v>
      </c>
      <c r="I618"/>
      <c r="J618" t="s">
        <v>2279</v>
      </c>
      <c r="K618" s="170">
        <v>45838</v>
      </c>
      <c r="L618" s="1">
        <v>146502.59390812687</v>
      </c>
      <c r="M618" s="1">
        <v>45834</v>
      </c>
      <c r="Y618"/>
      <c r="Z618"/>
      <c r="AB618"/>
    </row>
    <row r="619" spans="1:28" ht="14.4" hidden="1">
      <c r="A619" t="s">
        <v>182</v>
      </c>
      <c r="B619" s="1">
        <v>116</v>
      </c>
      <c r="C619" s="258" t="s">
        <v>2353</v>
      </c>
      <c r="D619" t="s">
        <v>1211</v>
      </c>
      <c r="E619" t="s">
        <v>2354</v>
      </c>
      <c r="F619"/>
      <c r="G619">
        <v>0.4</v>
      </c>
      <c r="H619" s="1">
        <v>118000</v>
      </c>
      <c r="I619"/>
      <c r="J619" t="s">
        <v>2282</v>
      </c>
      <c r="K619" s="170">
        <v>45869</v>
      </c>
      <c r="L619" s="1">
        <v>114820.45754750744</v>
      </c>
      <c r="M619" s="1">
        <v>45910</v>
      </c>
      <c r="Y619"/>
      <c r="Z619"/>
      <c r="AB619"/>
    </row>
    <row r="620" spans="1:28" ht="14.4" hidden="1">
      <c r="A620" t="s">
        <v>182</v>
      </c>
      <c r="B620" s="1">
        <v>117</v>
      </c>
      <c r="C620" s="258" t="s">
        <v>2355</v>
      </c>
      <c r="D620" t="s">
        <v>1211</v>
      </c>
      <c r="E620" t="s">
        <v>2291</v>
      </c>
      <c r="F620"/>
      <c r="G620">
        <v>0.1</v>
      </c>
      <c r="H620" s="1">
        <v>29500</v>
      </c>
      <c r="I620"/>
      <c r="J620" t="s">
        <v>2285</v>
      </c>
      <c r="K620" s="170">
        <v>45900</v>
      </c>
      <c r="L620" s="1">
        <v>41887.891656195548</v>
      </c>
      <c r="M620" s="1">
        <v>46100</v>
      </c>
      <c r="Y620"/>
      <c r="Z620"/>
      <c r="AB620"/>
    </row>
    <row r="621" spans="1:28" ht="14.4" hidden="1">
      <c r="A621" t="s">
        <v>182</v>
      </c>
      <c r="B621" s="1">
        <v>122</v>
      </c>
      <c r="C621" s="258" t="s">
        <v>2356</v>
      </c>
      <c r="D621" t="s">
        <v>2357</v>
      </c>
      <c r="E621" t="s">
        <v>2358</v>
      </c>
      <c r="F621">
        <v>0.3</v>
      </c>
      <c r="G621">
        <v>580994.92782799993</v>
      </c>
      <c r="H621" s="1">
        <v>174298.47834839998</v>
      </c>
      <c r="I621" t="s">
        <v>2218</v>
      </c>
      <c r="J621" t="s">
        <v>2219</v>
      </c>
      <c r="K621" s="170">
        <v>45900</v>
      </c>
      <c r="L621" s="1">
        <v>312323.78861163039</v>
      </c>
      <c r="M621" s="1">
        <v>45820</v>
      </c>
      <c r="N621" s="1">
        <v>7046627.6127361013</v>
      </c>
      <c r="Y621"/>
      <c r="Z621"/>
      <c r="AB621"/>
    </row>
    <row r="622" spans="1:28" ht="14.4" hidden="1">
      <c r="A622" t="s">
        <v>182</v>
      </c>
      <c r="B622" s="1">
        <v>123</v>
      </c>
      <c r="C622" s="258" t="s">
        <v>2359</v>
      </c>
      <c r="D622" t="s">
        <v>2357</v>
      </c>
      <c r="E622" t="s">
        <v>2358</v>
      </c>
      <c r="F622">
        <v>0.7</v>
      </c>
      <c r="H622" s="1">
        <v>408046.32</v>
      </c>
      <c r="I622"/>
      <c r="J622" t="s">
        <v>2360</v>
      </c>
      <c r="K622" s="170">
        <v>45900</v>
      </c>
      <c r="L622" s="1">
        <v>731174.32693068369</v>
      </c>
      <c r="M622" s="1">
        <v>45960</v>
      </c>
      <c r="Y622"/>
      <c r="Z622"/>
      <c r="AB622"/>
    </row>
    <row r="623" spans="1:28" ht="14.4" hidden="1">
      <c r="A623" t="s">
        <v>182</v>
      </c>
      <c r="B623" s="1">
        <v>125</v>
      </c>
      <c r="C623" s="258" t="s">
        <v>2361</v>
      </c>
      <c r="D623" t="s">
        <v>2357</v>
      </c>
      <c r="E623" t="s">
        <v>2362</v>
      </c>
      <c r="F623">
        <v>0.3</v>
      </c>
      <c r="G623">
        <v>2874051.1597769996</v>
      </c>
      <c r="H623" s="1">
        <v>862215.34793309984</v>
      </c>
      <c r="I623"/>
      <c r="J623" t="s">
        <v>2219</v>
      </c>
      <c r="K623" s="170">
        <v>45991</v>
      </c>
      <c r="L623" s="1">
        <v>1549556.8624156141</v>
      </c>
      <c r="M623" s="1">
        <v>45820</v>
      </c>
      <c r="Y623"/>
      <c r="Z623"/>
      <c r="AB623"/>
    </row>
    <row r="624" spans="1:28" ht="14.4" hidden="1">
      <c r="A624" t="s">
        <v>182</v>
      </c>
      <c r="B624" s="1">
        <v>126</v>
      </c>
      <c r="C624" s="258" t="s">
        <v>2363</v>
      </c>
      <c r="D624" t="s">
        <v>2357</v>
      </c>
      <c r="E624" t="s">
        <v>2364</v>
      </c>
      <c r="F624">
        <v>0.7</v>
      </c>
      <c r="H624" s="1">
        <v>2011835.8118438995</v>
      </c>
      <c r="I624"/>
      <c r="J624" t="s">
        <v>2365</v>
      </c>
      <c r="K624" s="170">
        <v>45991</v>
      </c>
      <c r="L624" s="1">
        <v>3615632.678969766</v>
      </c>
      <c r="M624" s="1">
        <v>45988</v>
      </c>
      <c r="Y624"/>
      <c r="Z624"/>
      <c r="AB624"/>
    </row>
    <row r="625" spans="1:28" ht="14.4" hidden="1">
      <c r="A625" t="s">
        <v>182</v>
      </c>
      <c r="B625" s="1">
        <v>127</v>
      </c>
      <c r="C625" s="258" t="s">
        <v>2366</v>
      </c>
      <c r="D625" t="s">
        <v>2357</v>
      </c>
      <c r="E625" t="s">
        <v>2367</v>
      </c>
      <c r="F625">
        <v>0.3</v>
      </c>
      <c r="G625">
        <v>247862.000008</v>
      </c>
      <c r="H625" s="1">
        <v>74358.600002399995</v>
      </c>
      <c r="I625"/>
      <c r="J625" t="s">
        <v>2219</v>
      </c>
      <c r="K625" s="170">
        <v>45991</v>
      </c>
      <c r="L625" s="1">
        <v>133635.84769112332</v>
      </c>
      <c r="M625" s="1">
        <v>45820</v>
      </c>
      <c r="Y625"/>
      <c r="Z625"/>
      <c r="AB625"/>
    </row>
    <row r="626" spans="1:28" ht="14.4" hidden="1">
      <c r="A626" t="s">
        <v>182</v>
      </c>
      <c r="B626" s="1">
        <v>128</v>
      </c>
      <c r="C626" s="258" t="s">
        <v>2368</v>
      </c>
      <c r="D626" t="s">
        <v>2357</v>
      </c>
      <c r="E626" t="s">
        <v>2369</v>
      </c>
      <c r="F626">
        <v>0.7</v>
      </c>
      <c r="H626" s="1">
        <v>173503.40000559998</v>
      </c>
      <c r="I626"/>
      <c r="J626" t="s">
        <v>2365</v>
      </c>
      <c r="K626" s="170">
        <v>45991</v>
      </c>
      <c r="L626" s="1">
        <v>311816.97794595436</v>
      </c>
      <c r="M626" s="1">
        <v>45988</v>
      </c>
      <c r="Y626"/>
      <c r="Z626"/>
      <c r="AB626"/>
    </row>
    <row r="627" spans="1:28" ht="14.4" hidden="1">
      <c r="A627" t="s">
        <v>182</v>
      </c>
      <c r="B627" s="1">
        <v>130</v>
      </c>
      <c r="C627" s="258" t="s">
        <v>2370</v>
      </c>
      <c r="D627" t="s">
        <v>2357</v>
      </c>
      <c r="E627" t="s">
        <v>2371</v>
      </c>
      <c r="F627">
        <v>0.3</v>
      </c>
      <c r="G627">
        <v>2317723.4647769998</v>
      </c>
      <c r="H627" s="1">
        <v>695317.03943309991</v>
      </c>
      <c r="I627"/>
      <c r="J627" t="s">
        <v>2219</v>
      </c>
      <c r="K627" s="170">
        <v>45991</v>
      </c>
      <c r="L627" s="1">
        <v>1252691.1980570836</v>
      </c>
      <c r="M627" s="1">
        <v>45820</v>
      </c>
      <c r="Y627"/>
      <c r="Z627"/>
      <c r="AB627"/>
    </row>
    <row r="628" spans="1:28" ht="14.4" hidden="1">
      <c r="A628" t="s">
        <v>182</v>
      </c>
      <c r="B628" s="1">
        <v>131</v>
      </c>
      <c r="C628" s="258" t="s">
        <v>2372</v>
      </c>
      <c r="D628" t="s">
        <v>2357</v>
      </c>
      <c r="E628" t="s">
        <v>2373</v>
      </c>
      <c r="F628">
        <v>0.7</v>
      </c>
      <c r="H628" s="1">
        <v>1622406.4253438998</v>
      </c>
      <c r="I628"/>
      <c r="J628" t="s">
        <v>2365</v>
      </c>
      <c r="K628" s="170">
        <v>45991</v>
      </c>
      <c r="L628" s="1">
        <v>2915757.6654665284</v>
      </c>
      <c r="M628" s="1">
        <v>45988</v>
      </c>
      <c r="Y628"/>
      <c r="Z628"/>
      <c r="AB628"/>
    </row>
    <row r="629" spans="1:28" ht="14.4" hidden="1">
      <c r="A629" t="s">
        <v>182</v>
      </c>
      <c r="B629" s="1">
        <v>132</v>
      </c>
      <c r="C629" s="258" t="s">
        <v>2374</v>
      </c>
      <c r="D629" t="s">
        <v>2357</v>
      </c>
      <c r="E629" t="s">
        <v>2375</v>
      </c>
      <c r="F629">
        <v>0.3</v>
      </c>
      <c r="G629">
        <v>192585.74162099999</v>
      </c>
      <c r="H629" s="1">
        <v>57775.722486299994</v>
      </c>
      <c r="I629"/>
      <c r="J629" t="s">
        <v>2219</v>
      </c>
      <c r="K629" s="170">
        <v>45991</v>
      </c>
      <c r="L629" s="1">
        <v>103833.41873266298</v>
      </c>
      <c r="M629" s="1">
        <v>45820</v>
      </c>
      <c r="Y629"/>
      <c r="Z629"/>
      <c r="AB629"/>
    </row>
    <row r="630" spans="1:28" ht="14.4" hidden="1">
      <c r="A630" t="s">
        <v>182</v>
      </c>
      <c r="B630" s="1">
        <v>133</v>
      </c>
      <c r="C630" s="258" t="s">
        <v>2376</v>
      </c>
      <c r="D630" t="s">
        <v>2357</v>
      </c>
      <c r="E630" t="s">
        <v>2377</v>
      </c>
      <c r="F630">
        <v>0.7</v>
      </c>
      <c r="H630" s="1">
        <v>134810.01913469998</v>
      </c>
      <c r="I630"/>
      <c r="J630" t="s">
        <v>2365</v>
      </c>
      <c r="K630" s="170">
        <v>45991</v>
      </c>
      <c r="L630" s="1">
        <v>242277.97704288029</v>
      </c>
      <c r="M630" s="1">
        <v>45988</v>
      </c>
      <c r="Y630"/>
      <c r="Z630"/>
      <c r="AB630"/>
    </row>
    <row r="631" spans="1:28" ht="14.4" hidden="1">
      <c r="A631" t="s">
        <v>182</v>
      </c>
      <c r="B631" s="1">
        <v>135</v>
      </c>
      <c r="C631" s="258" t="s">
        <v>2378</v>
      </c>
      <c r="D631" t="s">
        <v>2357</v>
      </c>
      <c r="E631" t="s">
        <v>2379</v>
      </c>
      <c r="F631">
        <v>0.3</v>
      </c>
      <c r="G631">
        <v>242310.08030599999</v>
      </c>
      <c r="H631" s="1">
        <v>72693.024091800005</v>
      </c>
      <c r="I631"/>
      <c r="J631" t="s">
        <v>2219</v>
      </c>
      <c r="K631" s="170">
        <v>45991</v>
      </c>
      <c r="L631" s="1">
        <v>130642.50665592682</v>
      </c>
      <c r="M631" s="1">
        <v>45820</v>
      </c>
      <c r="Y631"/>
      <c r="Z631"/>
      <c r="AB631"/>
    </row>
    <row r="632" spans="1:28" ht="14.4" hidden="1">
      <c r="A632" t="s">
        <v>182</v>
      </c>
      <c r="B632" s="1">
        <v>136</v>
      </c>
      <c r="C632" s="258" t="s">
        <v>2380</v>
      </c>
      <c r="D632" t="s">
        <v>2357</v>
      </c>
      <c r="E632" t="s">
        <v>2381</v>
      </c>
      <c r="F632">
        <v>0.7</v>
      </c>
      <c r="H632" s="1">
        <v>169617.05621420001</v>
      </c>
      <c r="I632"/>
      <c r="J632" t="s">
        <v>2365</v>
      </c>
      <c r="K632" s="170">
        <v>45991</v>
      </c>
      <c r="L632" s="1">
        <v>304832.51553049596</v>
      </c>
      <c r="M632" s="1">
        <v>45988</v>
      </c>
      <c r="Y632"/>
      <c r="Z632"/>
      <c r="AB632"/>
    </row>
    <row r="633" spans="1:28" ht="14.4" hidden="1">
      <c r="A633" t="s">
        <v>182</v>
      </c>
      <c r="B633" s="1">
        <v>138</v>
      </c>
      <c r="C633" s="258" t="s">
        <v>2382</v>
      </c>
      <c r="D633" t="s">
        <v>2357</v>
      </c>
      <c r="E633" t="s">
        <v>2383</v>
      </c>
      <c r="F633">
        <v>0.3</v>
      </c>
      <c r="G633">
        <v>91404.551560000007</v>
      </c>
      <c r="H633" s="1">
        <v>27421.365468</v>
      </c>
      <c r="I633"/>
      <c r="J633" t="s">
        <v>2219</v>
      </c>
      <c r="K633" s="170">
        <v>45991</v>
      </c>
      <c r="L633" s="1">
        <v>49281.151326759806</v>
      </c>
      <c r="M633" s="1">
        <v>45820</v>
      </c>
      <c r="Y633"/>
      <c r="Z633"/>
      <c r="AB633"/>
    </row>
    <row r="634" spans="1:28" ht="14.4" hidden="1">
      <c r="A634" t="s">
        <v>182</v>
      </c>
      <c r="B634" s="1">
        <v>139</v>
      </c>
      <c r="C634" s="258" t="s">
        <v>2384</v>
      </c>
      <c r="D634" t="s">
        <v>2357</v>
      </c>
      <c r="E634" t="s">
        <v>2385</v>
      </c>
      <c r="F634">
        <v>0.7</v>
      </c>
      <c r="H634" s="1">
        <v>63983.186092000004</v>
      </c>
      <c r="I634"/>
      <c r="J634" t="s">
        <v>2365</v>
      </c>
      <c r="K634" s="170">
        <v>45991</v>
      </c>
      <c r="L634" s="1">
        <v>114989.35309577288</v>
      </c>
      <c r="M634" s="1">
        <v>45988</v>
      </c>
      <c r="Y634"/>
      <c r="Z634"/>
      <c r="AB634"/>
    </row>
    <row r="635" spans="1:28" ht="14.4" hidden="1">
      <c r="A635" t="s">
        <v>182</v>
      </c>
      <c r="B635" s="1">
        <v>141</v>
      </c>
      <c r="C635" s="258" t="s">
        <v>2386</v>
      </c>
      <c r="D635" t="s">
        <v>2357</v>
      </c>
      <c r="E635" t="s">
        <v>2387</v>
      </c>
      <c r="F635">
        <v>0.3</v>
      </c>
      <c r="G635">
        <v>519149.92112900002</v>
      </c>
      <c r="H635" s="1">
        <v>159507.76633870002</v>
      </c>
      <c r="I635"/>
      <c r="J635" t="s">
        <v>2219</v>
      </c>
      <c r="K635" s="170">
        <v>45991</v>
      </c>
      <c r="L635" s="1">
        <v>286664.29393912485</v>
      </c>
      <c r="M635" s="1">
        <v>45820</v>
      </c>
      <c r="Y635"/>
      <c r="Z635"/>
      <c r="AB635"/>
    </row>
    <row r="636" spans="1:28" ht="14.4" hidden="1">
      <c r="A636" t="s">
        <v>182</v>
      </c>
      <c r="B636" s="1">
        <v>142</v>
      </c>
      <c r="C636" s="258" t="s">
        <v>2388</v>
      </c>
      <c r="D636" t="s">
        <v>2357</v>
      </c>
      <c r="E636" t="s">
        <v>2389</v>
      </c>
      <c r="F636">
        <v>0.7</v>
      </c>
      <c r="H636" s="1">
        <v>338838.05</v>
      </c>
      <c r="I636"/>
      <c r="J636" t="s">
        <v>2365</v>
      </c>
      <c r="K636" s="170">
        <v>45991</v>
      </c>
      <c r="L636" s="1">
        <v>608953.23527198925</v>
      </c>
      <c r="M636" s="1">
        <v>45988</v>
      </c>
      <c r="Y636"/>
      <c r="Z636"/>
      <c r="AB636"/>
    </row>
    <row r="637" spans="1:28" ht="14.4" hidden="1">
      <c r="A637" t="s">
        <v>182</v>
      </c>
      <c r="B637" s="1">
        <v>162</v>
      </c>
      <c r="C637" s="258" t="s">
        <v>2390</v>
      </c>
      <c r="D637" t="s">
        <v>1224</v>
      </c>
      <c r="E637" t="s">
        <v>2391</v>
      </c>
      <c r="F637">
        <v>78963</v>
      </c>
      <c r="G637">
        <v>2</v>
      </c>
      <c r="H637" s="1">
        <v>157926</v>
      </c>
      <c r="I637" t="s">
        <v>2392</v>
      </c>
      <c r="J637" t="s">
        <v>2393</v>
      </c>
      <c r="K637" s="170">
        <v>45869</v>
      </c>
      <c r="L637" s="1">
        <v>159363.64106558694</v>
      </c>
      <c r="M637" s="1">
        <v>45899</v>
      </c>
      <c r="Y637"/>
      <c r="Z637"/>
      <c r="AB637"/>
    </row>
    <row r="638" spans="1:28" ht="14.4" hidden="1">
      <c r="A638" t="s">
        <v>182</v>
      </c>
      <c r="B638" s="1">
        <v>163</v>
      </c>
      <c r="C638" s="258" t="s">
        <v>2394</v>
      </c>
      <c r="D638" t="s">
        <v>1224</v>
      </c>
      <c r="E638" t="s">
        <v>2395</v>
      </c>
      <c r="F638"/>
      <c r="H638" s="1">
        <v>416290</v>
      </c>
      <c r="I638" t="s">
        <v>2396</v>
      </c>
      <c r="J638" t="s">
        <v>2397</v>
      </c>
      <c r="K638" s="170">
        <v>45869</v>
      </c>
      <c r="L638" s="1">
        <v>373906.90512172278</v>
      </c>
      <c r="M638" s="1">
        <v>45899</v>
      </c>
      <c r="Y638"/>
      <c r="Z638"/>
      <c r="AB638"/>
    </row>
    <row r="639" spans="1:28" ht="14.4" hidden="1">
      <c r="A639" t="s">
        <v>182</v>
      </c>
      <c r="B639" s="1">
        <v>164</v>
      </c>
      <c r="C639" s="258" t="s">
        <v>2398</v>
      </c>
      <c r="D639" t="s">
        <v>1224</v>
      </c>
      <c r="E639" t="s">
        <v>2399</v>
      </c>
      <c r="F639"/>
      <c r="H639" s="1">
        <v>49639</v>
      </c>
      <c r="I639"/>
      <c r="J639" t="s">
        <v>2400</v>
      </c>
      <c r="K639" s="170">
        <v>45869</v>
      </c>
      <c r="L639" s="1">
        <v>50090.876605844955</v>
      </c>
      <c r="M639" s="1">
        <v>45899</v>
      </c>
      <c r="Y639"/>
      <c r="Z639"/>
      <c r="AB639"/>
    </row>
    <row r="640" spans="1:28" ht="14.4" hidden="1">
      <c r="A640" t="s">
        <v>182</v>
      </c>
      <c r="B640" s="1">
        <v>165</v>
      </c>
      <c r="C640" s="258" t="s">
        <v>2401</v>
      </c>
      <c r="D640" t="s">
        <v>1224</v>
      </c>
      <c r="E640" t="s">
        <v>2399</v>
      </c>
      <c r="F640"/>
      <c r="H640" s="1">
        <v>-49639</v>
      </c>
      <c r="I640"/>
      <c r="J640" t="s">
        <v>2400</v>
      </c>
      <c r="K640" s="170">
        <v>45900</v>
      </c>
      <c r="L640" s="1">
        <v>0</v>
      </c>
      <c r="M640" s="1">
        <v>45900</v>
      </c>
      <c r="Y640"/>
      <c r="Z640"/>
      <c r="AB640"/>
    </row>
    <row r="641" spans="1:28" ht="14.4" hidden="1">
      <c r="A641" t="s">
        <v>182</v>
      </c>
      <c r="B641" s="1">
        <v>166</v>
      </c>
      <c r="C641" s="258" t="s">
        <v>2402</v>
      </c>
      <c r="D641" t="s">
        <v>1224</v>
      </c>
      <c r="E641" t="s">
        <v>2403</v>
      </c>
      <c r="F641">
        <v>376996</v>
      </c>
      <c r="G641">
        <v>0.5</v>
      </c>
      <c r="H641" s="1">
        <v>188498</v>
      </c>
      <c r="I641" t="s">
        <v>2404</v>
      </c>
      <c r="J641" t="s">
        <v>2405</v>
      </c>
      <c r="K641" s="170">
        <v>45869</v>
      </c>
      <c r="L641" s="1">
        <v>190213.94585806649</v>
      </c>
      <c r="M641" s="1">
        <v>45989</v>
      </c>
      <c r="Y641"/>
      <c r="Z641"/>
      <c r="AB641"/>
    </row>
    <row r="642" spans="1:28" ht="14.4" hidden="1">
      <c r="A642" t="s">
        <v>182</v>
      </c>
      <c r="B642" s="1">
        <v>167</v>
      </c>
      <c r="C642" s="258" t="s">
        <v>2406</v>
      </c>
      <c r="D642" t="s">
        <v>1224</v>
      </c>
      <c r="E642" t="s">
        <v>2407</v>
      </c>
      <c r="F642">
        <v>188498</v>
      </c>
      <c r="G642">
        <v>0.5</v>
      </c>
      <c r="H642" s="1">
        <v>188498</v>
      </c>
      <c r="I642"/>
      <c r="J642" t="s">
        <v>2405</v>
      </c>
      <c r="K642" s="170">
        <v>45869</v>
      </c>
      <c r="L642" s="1">
        <v>190213.94585806649</v>
      </c>
      <c r="M642" s="1">
        <v>45989</v>
      </c>
      <c r="Y642"/>
      <c r="Z642"/>
      <c r="AB642"/>
    </row>
    <row r="643" spans="1:28" ht="14.4" hidden="1">
      <c r="A643" t="s">
        <v>182</v>
      </c>
      <c r="B643" s="1">
        <v>168</v>
      </c>
      <c r="C643" s="258" t="s">
        <v>2408</v>
      </c>
      <c r="D643" t="s">
        <v>1224</v>
      </c>
      <c r="E643" t="s">
        <v>2409</v>
      </c>
      <c r="F643"/>
      <c r="H643" s="1">
        <v>264744.74</v>
      </c>
      <c r="I643" t="s">
        <v>2410</v>
      </c>
      <c r="J643" t="s">
        <v>2411</v>
      </c>
      <c r="K643" s="170">
        <v>45838</v>
      </c>
      <c r="L643" s="1">
        <v>311742.46060635644</v>
      </c>
      <c r="M643" s="1">
        <v>45834</v>
      </c>
      <c r="Y643"/>
      <c r="Z643"/>
      <c r="AB643"/>
    </row>
    <row r="644" spans="1:28" ht="14.4" hidden="1">
      <c r="A644" t="s">
        <v>182</v>
      </c>
      <c r="B644" s="1">
        <v>169</v>
      </c>
      <c r="C644" s="258" t="s">
        <v>2412</v>
      </c>
      <c r="D644" t="s">
        <v>1224</v>
      </c>
      <c r="E644" t="s">
        <v>2413</v>
      </c>
      <c r="F644"/>
      <c r="H644" s="1">
        <v>8911.2000000000007</v>
      </c>
      <c r="I644"/>
      <c r="J644" t="s">
        <v>2411</v>
      </c>
      <c r="K644" s="170">
        <v>45838</v>
      </c>
      <c r="L644" s="1">
        <v>10493.124112514432</v>
      </c>
      <c r="M644" s="1">
        <v>45834</v>
      </c>
      <c r="Y644"/>
      <c r="Z644"/>
      <c r="AB644"/>
    </row>
    <row r="645" spans="1:28" ht="14.4" hidden="1">
      <c r="A645" t="s">
        <v>182</v>
      </c>
      <c r="B645" s="1">
        <v>170</v>
      </c>
      <c r="C645" s="258" t="s">
        <v>2414</v>
      </c>
      <c r="D645" t="s">
        <v>1224</v>
      </c>
      <c r="E645" t="s">
        <v>1461</v>
      </c>
      <c r="F645"/>
      <c r="H645" s="1">
        <v>500</v>
      </c>
      <c r="I645"/>
      <c r="J645" t="s">
        <v>2411</v>
      </c>
      <c r="K645" s="170">
        <v>45838</v>
      </c>
      <c r="L645" s="1">
        <v>588.76044261796551</v>
      </c>
      <c r="M645" s="1">
        <v>45834</v>
      </c>
      <c r="Y645"/>
      <c r="Z645"/>
      <c r="AB645"/>
    </row>
    <row r="646" spans="1:28" ht="14.4" hidden="1">
      <c r="A646" t="s">
        <v>182</v>
      </c>
      <c r="B646" s="1">
        <v>171</v>
      </c>
      <c r="C646" s="258" t="s">
        <v>2415</v>
      </c>
      <c r="D646" t="s">
        <v>1224</v>
      </c>
      <c r="E646" t="s">
        <v>2416</v>
      </c>
      <c r="F646">
        <v>5</v>
      </c>
      <c r="G646">
        <v>2900</v>
      </c>
      <c r="H646" s="1">
        <v>56604</v>
      </c>
      <c r="I646" t="s">
        <v>2417</v>
      </c>
      <c r="J646" t="s">
        <v>2418</v>
      </c>
      <c r="K646" s="170">
        <v>45900</v>
      </c>
      <c r="L646" s="1">
        <v>37374.055508281563</v>
      </c>
      <c r="M646" s="1">
        <v>45897</v>
      </c>
      <c r="Y646"/>
      <c r="Z646"/>
      <c r="AB646"/>
    </row>
    <row r="647" spans="1:28" ht="14.4" hidden="1">
      <c r="A647" t="s">
        <v>182</v>
      </c>
      <c r="B647" s="1">
        <v>174</v>
      </c>
      <c r="C647" s="258" t="s">
        <v>2419</v>
      </c>
      <c r="D647" t="s">
        <v>1224</v>
      </c>
      <c r="E647" t="s">
        <v>1411</v>
      </c>
      <c r="F647">
        <v>282770</v>
      </c>
      <c r="G647">
        <v>0.5</v>
      </c>
      <c r="H647" s="1">
        <v>141385</v>
      </c>
      <c r="I647" t="s">
        <v>2420</v>
      </c>
      <c r="J647" t="s">
        <v>2421</v>
      </c>
      <c r="K647" s="170">
        <v>45869</v>
      </c>
      <c r="L647" s="1">
        <v>142672.06408101268</v>
      </c>
      <c r="M647" s="1">
        <v>45855</v>
      </c>
      <c r="Y647"/>
      <c r="Z647"/>
      <c r="AB647"/>
    </row>
    <row r="648" spans="1:28" ht="14.4" hidden="1">
      <c r="A648" t="s">
        <v>182</v>
      </c>
      <c r="B648" s="1">
        <v>175</v>
      </c>
      <c r="C648" s="258" t="s">
        <v>2422</v>
      </c>
      <c r="D648" t="s">
        <v>1224</v>
      </c>
      <c r="E648" t="s">
        <v>2423</v>
      </c>
      <c r="F648"/>
      <c r="G648">
        <v>0.5</v>
      </c>
      <c r="H648" s="1">
        <v>141385</v>
      </c>
      <c r="I648"/>
      <c r="J648" t="s">
        <v>2424</v>
      </c>
      <c r="K648" s="170">
        <v>45900</v>
      </c>
      <c r="L648" s="1">
        <v>139002.42023511391</v>
      </c>
      <c r="M648" s="1">
        <v>45910</v>
      </c>
      <c r="Y648"/>
      <c r="Z648"/>
      <c r="AB648"/>
    </row>
    <row r="649" spans="1:28" ht="14.4" hidden="1">
      <c r="A649" t="s">
        <v>182</v>
      </c>
      <c r="B649" s="1">
        <v>177</v>
      </c>
      <c r="C649" s="258" t="s">
        <v>2425</v>
      </c>
      <c r="D649" t="s">
        <v>1224</v>
      </c>
      <c r="E649" t="s">
        <v>2426</v>
      </c>
      <c r="F649"/>
      <c r="H649" s="1">
        <v>50000</v>
      </c>
      <c r="I649"/>
      <c r="J649"/>
      <c r="K649" s="170">
        <v>46081</v>
      </c>
      <c r="L649" s="1">
        <v>47805.186137722783</v>
      </c>
      <c r="M649" s="1">
        <v>46081</v>
      </c>
      <c r="Y649"/>
      <c r="Z649"/>
      <c r="AB649"/>
    </row>
    <row r="650" spans="1:28" ht="14.4" hidden="1">
      <c r="A650" t="s">
        <v>182</v>
      </c>
      <c r="B650" s="1">
        <v>179</v>
      </c>
      <c r="C650" s="258" t="s">
        <v>2427</v>
      </c>
      <c r="D650" t="s">
        <v>1224</v>
      </c>
      <c r="E650" t="s">
        <v>2428</v>
      </c>
      <c r="F650"/>
      <c r="H650" s="1">
        <v>1376.27</v>
      </c>
      <c r="I650"/>
      <c r="J650" t="s">
        <v>2429</v>
      </c>
      <c r="K650" s="170">
        <v>45961</v>
      </c>
      <c r="L650" s="1">
        <v>1352.2371916952748</v>
      </c>
      <c r="M650" s="1">
        <v>45940</v>
      </c>
      <c r="Y650"/>
      <c r="Z650"/>
      <c r="AB650"/>
    </row>
    <row r="651" spans="1:28" ht="14.4" hidden="1">
      <c r="A651" t="s">
        <v>182</v>
      </c>
      <c r="B651" s="1">
        <v>181</v>
      </c>
      <c r="C651" s="258" t="s">
        <v>2430</v>
      </c>
      <c r="D651" t="s">
        <v>1224</v>
      </c>
      <c r="E651" t="s">
        <v>2431</v>
      </c>
      <c r="F651"/>
      <c r="H651" s="1">
        <v>600000</v>
      </c>
      <c r="I651"/>
      <c r="J651" t="s">
        <v>2432</v>
      </c>
      <c r="K651" s="170">
        <v>45900</v>
      </c>
      <c r="L651" s="1">
        <v>522600.12083190127</v>
      </c>
      <c r="M651" s="1">
        <v>46065</v>
      </c>
      <c r="Y651"/>
      <c r="Z651"/>
      <c r="AB651"/>
    </row>
    <row r="652" spans="1:28" ht="14.4" hidden="1">
      <c r="A652" t="s">
        <v>182</v>
      </c>
      <c r="B652" s="1">
        <v>184</v>
      </c>
      <c r="C652" s="258" t="s">
        <v>2433</v>
      </c>
      <c r="D652" t="s">
        <v>1246</v>
      </c>
      <c r="E652" t="s">
        <v>1169</v>
      </c>
      <c r="F652">
        <v>2400000</v>
      </c>
      <c r="G652">
        <v>0.17499999999999999</v>
      </c>
      <c r="H652" s="1">
        <v>420000</v>
      </c>
      <c r="I652" t="s">
        <v>2278</v>
      </c>
      <c r="J652" t="s">
        <v>2279</v>
      </c>
      <c r="K652" s="170">
        <v>45838</v>
      </c>
      <c r="L652" s="1">
        <v>326447.90009625664</v>
      </c>
      <c r="M652" s="1">
        <v>45834</v>
      </c>
      <c r="Y652"/>
      <c r="Z652"/>
      <c r="AB652"/>
    </row>
    <row r="653" spans="1:28" ht="14.4" hidden="1">
      <c r="A653" t="s">
        <v>182</v>
      </c>
      <c r="B653" s="1">
        <v>185</v>
      </c>
      <c r="C653" s="258" t="s">
        <v>2434</v>
      </c>
      <c r="D653" t="s">
        <v>1246</v>
      </c>
      <c r="E653" t="s">
        <v>558</v>
      </c>
      <c r="F653">
        <v>0.6</v>
      </c>
      <c r="G653">
        <v>0.2</v>
      </c>
      <c r="H653" s="1">
        <v>480000</v>
      </c>
      <c r="I653"/>
      <c r="J653" t="s">
        <v>2282</v>
      </c>
      <c r="K653" s="170">
        <v>45869</v>
      </c>
      <c r="L653" s="1">
        <v>242313.05694970069</v>
      </c>
      <c r="M653" s="1">
        <v>45904</v>
      </c>
      <c r="Y653"/>
      <c r="Z653"/>
      <c r="AB653"/>
    </row>
    <row r="654" spans="1:28" ht="14.4" hidden="1">
      <c r="A654" t="s">
        <v>182</v>
      </c>
      <c r="B654" s="1">
        <v>186</v>
      </c>
      <c r="C654" s="258" t="s">
        <v>2435</v>
      </c>
      <c r="D654" t="s">
        <v>1246</v>
      </c>
      <c r="E654" t="s">
        <v>2436</v>
      </c>
      <c r="F654"/>
      <c r="G654">
        <v>0.2</v>
      </c>
      <c r="H654" s="1">
        <v>480000</v>
      </c>
      <c r="I654"/>
      <c r="J654" t="s">
        <v>2285</v>
      </c>
      <c r="K654" s="170">
        <v>45900</v>
      </c>
      <c r="L654" s="1">
        <v>242313.04694970069</v>
      </c>
      <c r="M654" s="1">
        <v>45995</v>
      </c>
      <c r="Y654"/>
      <c r="Z654"/>
      <c r="AB654"/>
    </row>
    <row r="655" spans="1:28" ht="14.4" hidden="1">
      <c r="A655" t="s">
        <v>182</v>
      </c>
      <c r="B655" s="1">
        <v>187</v>
      </c>
      <c r="C655" s="258" t="s">
        <v>2437</v>
      </c>
      <c r="D655" t="s">
        <v>1246</v>
      </c>
      <c r="E655" t="s">
        <v>2438</v>
      </c>
      <c r="F655"/>
      <c r="G655">
        <v>0.1</v>
      </c>
      <c r="H655" s="1">
        <v>240000</v>
      </c>
      <c r="I655"/>
      <c r="J655" t="s">
        <v>2285</v>
      </c>
      <c r="K655" s="170">
        <v>45900</v>
      </c>
      <c r="L655" s="1">
        <v>152833.14847485034</v>
      </c>
      <c r="M655" s="1">
        <v>45995</v>
      </c>
      <c r="Y655"/>
      <c r="Z655"/>
      <c r="AB655"/>
    </row>
    <row r="656" spans="1:28" ht="14.4" hidden="1">
      <c r="A656" t="s">
        <v>182</v>
      </c>
      <c r="B656" s="1">
        <v>188</v>
      </c>
      <c r="C656" s="258" t="s">
        <v>2439</v>
      </c>
      <c r="D656" t="s">
        <v>1246</v>
      </c>
      <c r="E656" t="s">
        <v>2440</v>
      </c>
      <c r="F656"/>
      <c r="G656">
        <v>0.2</v>
      </c>
      <c r="H656" s="1">
        <v>480000</v>
      </c>
      <c r="I656"/>
      <c r="J656" t="s">
        <v>2441</v>
      </c>
      <c r="K656" s="170">
        <v>46053</v>
      </c>
      <c r="L656" s="1">
        <v>305666.29694970069</v>
      </c>
      <c r="M656" s="1">
        <v>46045</v>
      </c>
      <c r="Y656"/>
      <c r="Z656"/>
      <c r="AB656"/>
    </row>
    <row r="657" spans="1:28" ht="14.4" hidden="1">
      <c r="A657" t="s">
        <v>182</v>
      </c>
      <c r="B657" s="1">
        <v>189</v>
      </c>
      <c r="C657" s="258" t="s">
        <v>2442</v>
      </c>
      <c r="D657" t="s">
        <v>1246</v>
      </c>
      <c r="E657" t="s">
        <v>2443</v>
      </c>
      <c r="F657"/>
      <c r="G657">
        <v>0.05</v>
      </c>
      <c r="H657" s="1">
        <v>120000</v>
      </c>
      <c r="I657"/>
      <c r="J657" t="s">
        <v>2441</v>
      </c>
      <c r="K657" s="170">
        <v>46053</v>
      </c>
      <c r="L657" s="1">
        <v>76416.574237425171</v>
      </c>
      <c r="M657" s="1">
        <v>46045</v>
      </c>
      <c r="Y657"/>
      <c r="Z657"/>
      <c r="AB657"/>
    </row>
    <row r="658" spans="1:28" ht="14.4" hidden="1">
      <c r="A658" t="s">
        <v>182</v>
      </c>
      <c r="B658" s="1">
        <v>190</v>
      </c>
      <c r="C658" s="258" t="s">
        <v>2444</v>
      </c>
      <c r="D658" t="s">
        <v>1246</v>
      </c>
      <c r="E658" t="s">
        <v>2445</v>
      </c>
      <c r="F658"/>
      <c r="G658">
        <v>0.05</v>
      </c>
      <c r="H658" s="1">
        <v>120000</v>
      </c>
      <c r="I658"/>
      <c r="J658" t="s">
        <v>2441</v>
      </c>
      <c r="K658" s="170">
        <v>46053</v>
      </c>
      <c r="L658" s="1">
        <v>76416.574237425171</v>
      </c>
      <c r="M658" s="1">
        <v>46070</v>
      </c>
      <c r="Y658"/>
      <c r="Z658"/>
      <c r="AB658"/>
    </row>
    <row r="659" spans="1:28" ht="14.4" hidden="1">
      <c r="A659" t="s">
        <v>182</v>
      </c>
      <c r="B659" s="1">
        <v>191</v>
      </c>
      <c r="C659" s="258" t="s">
        <v>2446</v>
      </c>
      <c r="D659" t="s">
        <v>1246</v>
      </c>
      <c r="E659" t="s">
        <v>1190</v>
      </c>
      <c r="F659"/>
      <c r="G659">
        <v>2.5000000000000001E-2</v>
      </c>
      <c r="H659" s="1">
        <v>60000</v>
      </c>
      <c r="I659"/>
      <c r="J659" t="s">
        <v>2441</v>
      </c>
      <c r="K659" s="170">
        <v>46053</v>
      </c>
      <c r="L659" s="1">
        <v>38208.287118712586</v>
      </c>
      <c r="M659" s="1">
        <v>46100</v>
      </c>
      <c r="Y659"/>
      <c r="Z659"/>
      <c r="AB659"/>
    </row>
    <row r="660" spans="1:28" ht="14.4" hidden="1">
      <c r="A660" t="s">
        <v>182</v>
      </c>
      <c r="B660" s="1">
        <v>194</v>
      </c>
      <c r="C660" s="258" t="s">
        <v>2447</v>
      </c>
      <c r="D660" t="s">
        <v>1246</v>
      </c>
      <c r="E660" t="s">
        <v>1169</v>
      </c>
      <c r="F660">
        <v>1500000</v>
      </c>
      <c r="G660">
        <v>0.17499999999999999</v>
      </c>
      <c r="H660" s="1">
        <v>262500</v>
      </c>
      <c r="I660"/>
      <c r="J660" t="s">
        <v>2279</v>
      </c>
      <c r="K660" s="170">
        <v>45838</v>
      </c>
      <c r="L660" s="1">
        <v>204029.93756016044</v>
      </c>
      <c r="M660" s="1">
        <v>45834</v>
      </c>
      <c r="Y660"/>
      <c r="Z660"/>
      <c r="AB660"/>
    </row>
    <row r="661" spans="1:28" ht="14.4" hidden="1">
      <c r="A661" t="s">
        <v>182</v>
      </c>
      <c r="B661" s="1">
        <v>195</v>
      </c>
      <c r="C661" s="258" t="s">
        <v>2448</v>
      </c>
      <c r="D661" t="s">
        <v>1246</v>
      </c>
      <c r="E661" t="s">
        <v>558</v>
      </c>
      <c r="F661">
        <v>0.5</v>
      </c>
      <c r="G661">
        <v>0.2</v>
      </c>
      <c r="H661" s="1">
        <v>300000</v>
      </c>
      <c r="I661"/>
      <c r="J661" t="s">
        <v>2282</v>
      </c>
      <c r="K661" s="170">
        <v>45869</v>
      </c>
      <c r="L661" s="1">
        <v>191041.43559356293</v>
      </c>
      <c r="M661" s="1">
        <v>45904</v>
      </c>
      <c r="Y661"/>
      <c r="Z661"/>
      <c r="AB661"/>
    </row>
    <row r="662" spans="1:28" ht="14.4" hidden="1">
      <c r="A662" t="s">
        <v>182</v>
      </c>
      <c r="B662" s="1">
        <v>196</v>
      </c>
      <c r="C662" s="258" t="s">
        <v>2449</v>
      </c>
      <c r="D662" t="s">
        <v>1246</v>
      </c>
      <c r="E662" t="s">
        <v>2436</v>
      </c>
      <c r="F662"/>
      <c r="G662">
        <v>0.2</v>
      </c>
      <c r="H662" s="1">
        <v>300000</v>
      </c>
      <c r="I662"/>
      <c r="J662" t="s">
        <v>2285</v>
      </c>
      <c r="K662" s="170">
        <v>45900</v>
      </c>
      <c r="L662" s="1">
        <v>191041.43559356293</v>
      </c>
      <c r="M662" s="1">
        <v>46044</v>
      </c>
      <c r="Y662"/>
      <c r="Z662"/>
      <c r="AB662"/>
    </row>
    <row r="663" spans="1:28" ht="14.4" hidden="1">
      <c r="A663" t="s">
        <v>182</v>
      </c>
      <c r="B663" s="1">
        <v>197</v>
      </c>
      <c r="C663" s="258" t="s">
        <v>2450</v>
      </c>
      <c r="D663" t="s">
        <v>1246</v>
      </c>
      <c r="E663" t="s">
        <v>2438</v>
      </c>
      <c r="F663"/>
      <c r="G663">
        <v>0.1</v>
      </c>
      <c r="H663" s="1">
        <v>150000</v>
      </c>
      <c r="I663"/>
      <c r="J663" t="s">
        <v>2285</v>
      </c>
      <c r="K663" s="170">
        <v>45900</v>
      </c>
      <c r="L663" s="1">
        <v>95520.717796781479</v>
      </c>
      <c r="M663" s="1">
        <v>46044</v>
      </c>
      <c r="Y663"/>
      <c r="Z663"/>
      <c r="AB663"/>
    </row>
    <row r="664" spans="1:28" ht="14.4" hidden="1">
      <c r="A664" t="s">
        <v>182</v>
      </c>
      <c r="B664" s="1">
        <v>198</v>
      </c>
      <c r="C664" s="258" t="s">
        <v>2451</v>
      </c>
      <c r="D664" t="s">
        <v>1246</v>
      </c>
      <c r="E664" t="s">
        <v>2452</v>
      </c>
      <c r="F664"/>
      <c r="G664">
        <v>0.15</v>
      </c>
      <c r="H664" s="1">
        <v>225000</v>
      </c>
      <c r="I664"/>
      <c r="J664" t="s">
        <v>2285</v>
      </c>
      <c r="K664" s="170">
        <v>45900</v>
      </c>
      <c r="L664" s="1">
        <v>191041.43559356293</v>
      </c>
      <c r="M664" s="1">
        <v>46008</v>
      </c>
      <c r="Y664"/>
      <c r="Z664"/>
      <c r="AB664"/>
    </row>
    <row r="665" spans="1:28" ht="14.4" hidden="1">
      <c r="A665" t="s">
        <v>182</v>
      </c>
      <c r="B665" s="1">
        <v>199</v>
      </c>
      <c r="C665" s="258" t="s">
        <v>2453</v>
      </c>
      <c r="D665" t="s">
        <v>1246</v>
      </c>
      <c r="E665" t="s">
        <v>2454</v>
      </c>
      <c r="F665"/>
      <c r="G665">
        <v>0.05</v>
      </c>
      <c r="H665" s="1">
        <v>75000</v>
      </c>
      <c r="I665"/>
      <c r="J665" t="s">
        <v>2285</v>
      </c>
      <c r="K665" s="170">
        <v>45900</v>
      </c>
      <c r="L665" s="1" t="s">
        <v>170</v>
      </c>
      <c r="M665" s="1">
        <v>46015</v>
      </c>
      <c r="Y665"/>
      <c r="Z665"/>
      <c r="AB665"/>
    </row>
    <row r="666" spans="1:28" ht="14.4" hidden="1">
      <c r="A666" t="s">
        <v>182</v>
      </c>
      <c r="B666" s="1">
        <v>200</v>
      </c>
      <c r="C666" s="258" t="s">
        <v>2455</v>
      </c>
      <c r="D666" t="s">
        <v>1246</v>
      </c>
      <c r="E666" t="s">
        <v>2456</v>
      </c>
      <c r="F666"/>
      <c r="G666">
        <v>3.7499999999999999E-2</v>
      </c>
      <c r="H666" s="1">
        <v>56250</v>
      </c>
      <c r="I666"/>
      <c r="J666" t="s">
        <v>2285</v>
      </c>
      <c r="K666" s="170">
        <v>45900</v>
      </c>
      <c r="L666" s="1">
        <v>47760.358898390739</v>
      </c>
      <c r="M666" s="1">
        <v>46009</v>
      </c>
      <c r="Y666"/>
      <c r="Z666"/>
      <c r="AB666"/>
    </row>
    <row r="667" spans="1:28" ht="14.4" hidden="1">
      <c r="A667" t="s">
        <v>182</v>
      </c>
      <c r="B667" s="1">
        <v>201</v>
      </c>
      <c r="C667" s="258" t="s">
        <v>2457</v>
      </c>
      <c r="D667" t="s">
        <v>1246</v>
      </c>
      <c r="E667" t="s">
        <v>2458</v>
      </c>
      <c r="F667"/>
      <c r="G667">
        <v>1.2500000000000001E-2</v>
      </c>
      <c r="H667" s="1">
        <v>18750</v>
      </c>
      <c r="I667"/>
      <c r="J667" t="s">
        <v>2285</v>
      </c>
      <c r="K667" s="170">
        <v>45900</v>
      </c>
      <c r="L667" s="1">
        <v>0</v>
      </c>
      <c r="M667" s="1">
        <v>46015</v>
      </c>
      <c r="Y667"/>
      <c r="Z667"/>
      <c r="AB667"/>
    </row>
    <row r="668" spans="1:28" ht="14.4" hidden="1">
      <c r="A668" t="s">
        <v>182</v>
      </c>
      <c r="B668" s="1">
        <v>202</v>
      </c>
      <c r="C668" s="258" t="s">
        <v>2459</v>
      </c>
      <c r="D668" t="s">
        <v>1246</v>
      </c>
      <c r="E668" t="s">
        <v>2445</v>
      </c>
      <c r="F668"/>
      <c r="G668">
        <v>0.05</v>
      </c>
      <c r="H668" s="1">
        <v>75000</v>
      </c>
      <c r="I668"/>
      <c r="J668" t="s">
        <v>2441</v>
      </c>
      <c r="K668" s="170">
        <v>46053</v>
      </c>
      <c r="L668" s="1">
        <v>47760.358898390739</v>
      </c>
      <c r="M668" s="1">
        <v>46070</v>
      </c>
      <c r="Y668"/>
      <c r="Z668"/>
      <c r="AB668"/>
    </row>
    <row r="669" spans="1:28" ht="14.4" hidden="1">
      <c r="A669" t="s">
        <v>182</v>
      </c>
      <c r="B669" s="1">
        <v>203</v>
      </c>
      <c r="C669" s="258" t="s">
        <v>2460</v>
      </c>
      <c r="D669" t="s">
        <v>1246</v>
      </c>
      <c r="E669" t="s">
        <v>1190</v>
      </c>
      <c r="F669"/>
      <c r="G669">
        <v>2.5000000000000001E-2</v>
      </c>
      <c r="H669" s="1">
        <v>37500</v>
      </c>
      <c r="I669"/>
      <c r="J669" t="s">
        <v>2441</v>
      </c>
      <c r="K669" s="170">
        <v>46053</v>
      </c>
      <c r="L669" s="1">
        <v>23880.17944919537</v>
      </c>
      <c r="M669" s="1">
        <v>46100</v>
      </c>
      <c r="Y669"/>
      <c r="Z669"/>
      <c r="AB669"/>
    </row>
    <row r="670" spans="1:28" ht="14.4" hidden="1">
      <c r="A670" t="s">
        <v>182</v>
      </c>
      <c r="B670" s="1">
        <v>206</v>
      </c>
      <c r="C670" s="258" t="s">
        <v>2461</v>
      </c>
      <c r="D670" t="s">
        <v>1246</v>
      </c>
      <c r="E670" t="s">
        <v>1169</v>
      </c>
      <c r="F670">
        <v>1950000</v>
      </c>
      <c r="G670">
        <v>0.17499999999999999</v>
      </c>
      <c r="H670" s="1">
        <v>341250</v>
      </c>
      <c r="I670"/>
      <c r="J670" t="s">
        <v>2279</v>
      </c>
      <c r="K670" s="170">
        <v>45838</v>
      </c>
      <c r="L670" s="1">
        <v>265238.91882820858</v>
      </c>
      <c r="M670" s="1">
        <v>45834</v>
      </c>
      <c r="Y670"/>
      <c r="Z670"/>
      <c r="AB670"/>
    </row>
    <row r="671" spans="1:28" ht="14.4" hidden="1">
      <c r="A671" t="s">
        <v>182</v>
      </c>
      <c r="B671" s="1">
        <v>207</v>
      </c>
      <c r="C671" s="258" t="s">
        <v>2462</v>
      </c>
      <c r="D671" t="s">
        <v>1246</v>
      </c>
      <c r="E671" t="s">
        <v>558</v>
      </c>
      <c r="F671">
        <v>0.27857142857142858</v>
      </c>
      <c r="G671">
        <v>0.2</v>
      </c>
      <c r="H671" s="1">
        <v>390000</v>
      </c>
      <c r="I671"/>
      <c r="J671" t="s">
        <v>2282</v>
      </c>
      <c r="K671" s="170">
        <v>45869</v>
      </c>
      <c r="L671" s="1">
        <v>248353.86627163179</v>
      </c>
      <c r="M671" s="1">
        <v>45904</v>
      </c>
      <c r="Y671"/>
      <c r="Z671"/>
      <c r="AB671"/>
    </row>
    <row r="672" spans="1:28" ht="14.4" hidden="1">
      <c r="A672" t="s">
        <v>182</v>
      </c>
      <c r="B672" s="1">
        <v>208</v>
      </c>
      <c r="C672" s="258" t="s">
        <v>2463</v>
      </c>
      <c r="D672" t="s">
        <v>1246</v>
      </c>
      <c r="E672" t="s">
        <v>2464</v>
      </c>
      <c r="F672"/>
      <c r="G672">
        <v>0.2</v>
      </c>
      <c r="H672" s="1">
        <v>390000</v>
      </c>
      <c r="I672"/>
      <c r="J672" t="s">
        <v>2285</v>
      </c>
      <c r="K672" s="170">
        <v>45900</v>
      </c>
      <c r="L672" s="1">
        <v>248353.86627163179</v>
      </c>
      <c r="M672" s="1">
        <v>45939</v>
      </c>
      <c r="Y672"/>
      <c r="Z672"/>
      <c r="AB672"/>
    </row>
    <row r="673" spans="1:28" ht="14.4" hidden="1">
      <c r="A673" t="s">
        <v>182</v>
      </c>
      <c r="B673" s="1">
        <v>209</v>
      </c>
      <c r="C673" s="258" t="s">
        <v>2465</v>
      </c>
      <c r="D673" t="s">
        <v>1246</v>
      </c>
      <c r="E673" t="s">
        <v>2466</v>
      </c>
      <c r="F673"/>
      <c r="G673">
        <v>0.1</v>
      </c>
      <c r="H673" s="1">
        <v>195000</v>
      </c>
      <c r="I673"/>
      <c r="J673" t="s">
        <v>2285</v>
      </c>
      <c r="K673" s="170">
        <v>45900</v>
      </c>
      <c r="L673" s="1">
        <v>124176.9331358159</v>
      </c>
      <c r="M673" s="1">
        <v>46009</v>
      </c>
      <c r="Y673"/>
      <c r="Z673"/>
      <c r="AB673"/>
    </row>
    <row r="674" spans="1:28" ht="14.4" hidden="1">
      <c r="A674" t="s">
        <v>182</v>
      </c>
      <c r="B674" s="1">
        <v>210</v>
      </c>
      <c r="C674" s="258" t="s">
        <v>2467</v>
      </c>
      <c r="D674" t="s">
        <v>1246</v>
      </c>
      <c r="E674" t="s">
        <v>2468</v>
      </c>
      <c r="F674"/>
      <c r="G674">
        <v>0.1</v>
      </c>
      <c r="H674" s="1">
        <v>195000</v>
      </c>
      <c r="I674"/>
      <c r="J674" t="s">
        <v>2285</v>
      </c>
      <c r="K674" s="170">
        <v>45900</v>
      </c>
      <c r="L674" s="1">
        <v>248353.86627163179</v>
      </c>
      <c r="M674" s="1">
        <v>46015</v>
      </c>
      <c r="Y674"/>
      <c r="Z674"/>
      <c r="AB674"/>
    </row>
    <row r="675" spans="1:28" ht="14.4" hidden="1">
      <c r="A675" t="s">
        <v>182</v>
      </c>
      <c r="B675" s="1">
        <v>211</v>
      </c>
      <c r="C675" s="258" t="s">
        <v>2469</v>
      </c>
      <c r="D675" t="s">
        <v>1246</v>
      </c>
      <c r="E675" t="s">
        <v>2468</v>
      </c>
      <c r="F675"/>
      <c r="G675">
        <v>0.1</v>
      </c>
      <c r="H675" s="1">
        <v>195000</v>
      </c>
      <c r="I675"/>
      <c r="J675" t="s">
        <v>2285</v>
      </c>
      <c r="K675" s="170">
        <v>45900</v>
      </c>
      <c r="M675" s="1">
        <v>46051</v>
      </c>
      <c r="Y675"/>
      <c r="Z675"/>
      <c r="AB675"/>
    </row>
    <row r="676" spans="1:28" ht="14.4" hidden="1">
      <c r="A676" t="s">
        <v>182</v>
      </c>
      <c r="B676" s="1">
        <v>212</v>
      </c>
      <c r="C676" s="258" t="s">
        <v>2470</v>
      </c>
      <c r="D676" t="s">
        <v>1246</v>
      </c>
      <c r="E676" t="s">
        <v>1181</v>
      </c>
      <c r="F676"/>
      <c r="G676">
        <v>0.05</v>
      </c>
      <c r="H676" s="1">
        <v>97500</v>
      </c>
      <c r="I676"/>
      <c r="J676" t="s">
        <v>2285</v>
      </c>
      <c r="K676" s="170">
        <v>45900</v>
      </c>
      <c r="L676" s="1">
        <v>62088.466567907955</v>
      </c>
      <c r="M676" s="1">
        <v>46052</v>
      </c>
      <c r="Y676"/>
      <c r="Z676"/>
      <c r="AB676"/>
    </row>
    <row r="677" spans="1:28" ht="14.4" hidden="1">
      <c r="A677" t="s">
        <v>182</v>
      </c>
      <c r="B677" s="1">
        <v>213</v>
      </c>
      <c r="C677" s="258" t="s">
        <v>2471</v>
      </c>
      <c r="D677" t="s">
        <v>1246</v>
      </c>
      <c r="E677" t="s">
        <v>2445</v>
      </c>
      <c r="F677"/>
      <c r="G677">
        <v>0.05</v>
      </c>
      <c r="H677" s="1">
        <v>97500</v>
      </c>
      <c r="I677"/>
      <c r="J677" t="s">
        <v>2441</v>
      </c>
      <c r="K677" s="170">
        <v>46053</v>
      </c>
      <c r="L677" s="1">
        <v>62088.466567907955</v>
      </c>
      <c r="M677" s="1">
        <v>46070</v>
      </c>
      <c r="Y677"/>
      <c r="Z677"/>
      <c r="AB677"/>
    </row>
    <row r="678" spans="1:28" ht="14.4" hidden="1">
      <c r="A678" t="s">
        <v>182</v>
      </c>
      <c r="B678" s="1">
        <v>214</v>
      </c>
      <c r="C678" s="258" t="s">
        <v>2472</v>
      </c>
      <c r="D678" t="s">
        <v>1246</v>
      </c>
      <c r="E678" t="s">
        <v>1190</v>
      </c>
      <c r="F678"/>
      <c r="G678">
        <v>2.5000000000000001E-2</v>
      </c>
      <c r="H678" s="1">
        <v>48750</v>
      </c>
      <c r="I678"/>
      <c r="J678" t="s">
        <v>2441</v>
      </c>
      <c r="K678" s="170">
        <v>46053</v>
      </c>
      <c r="L678" s="1">
        <v>31044.233283953978</v>
      </c>
      <c r="M678" s="1">
        <v>46109</v>
      </c>
      <c r="Y678"/>
      <c r="Z678"/>
      <c r="AB678"/>
    </row>
    <row r="679" spans="1:28" ht="14.4" hidden="1">
      <c r="A679" t="s">
        <v>182</v>
      </c>
      <c r="B679" s="1">
        <v>217</v>
      </c>
      <c r="C679" s="258" t="s">
        <v>2473</v>
      </c>
      <c r="D679" t="s">
        <v>1246</v>
      </c>
      <c r="E679" t="s">
        <v>1169</v>
      </c>
      <c r="F679">
        <v>2205680</v>
      </c>
      <c r="G679">
        <v>0.25</v>
      </c>
      <c r="H679" s="1">
        <v>551420</v>
      </c>
      <c r="I679" t="s">
        <v>2474</v>
      </c>
      <c r="J679" t="s">
        <v>2475</v>
      </c>
      <c r="K679" s="170">
        <v>45869</v>
      </c>
      <c r="L679" s="1">
        <v>351146.89471667493</v>
      </c>
      <c r="M679" s="1">
        <v>45932</v>
      </c>
      <c r="Y679"/>
      <c r="Z679"/>
      <c r="AB679"/>
    </row>
    <row r="680" spans="1:28" ht="14.4" hidden="1">
      <c r="A680" t="s">
        <v>182</v>
      </c>
      <c r="B680" s="1">
        <v>218</v>
      </c>
      <c r="C680" s="258" t="s">
        <v>2476</v>
      </c>
      <c r="D680" t="s">
        <v>1246</v>
      </c>
      <c r="E680" t="s">
        <v>558</v>
      </c>
      <c r="F680">
        <v>3.1153672316384182</v>
      </c>
      <c r="G680">
        <v>0.25</v>
      </c>
      <c r="H680" s="1">
        <v>551420</v>
      </c>
      <c r="I680"/>
      <c r="J680" t="s">
        <v>2475</v>
      </c>
      <c r="K680" s="170">
        <v>45869</v>
      </c>
      <c r="L680" s="1">
        <v>351146.89471667493</v>
      </c>
      <c r="M680" s="1">
        <v>45932</v>
      </c>
      <c r="Y680"/>
      <c r="Z680"/>
      <c r="AB680"/>
    </row>
    <row r="681" spans="1:28" ht="14.4" hidden="1">
      <c r="A681" t="s">
        <v>182</v>
      </c>
      <c r="B681" s="1">
        <v>219</v>
      </c>
      <c r="C681" s="258" t="s">
        <v>2477</v>
      </c>
      <c r="D681" t="s">
        <v>1246</v>
      </c>
      <c r="E681" t="s">
        <v>2478</v>
      </c>
      <c r="F681"/>
      <c r="G681">
        <v>0.2</v>
      </c>
      <c r="H681" s="1">
        <v>441136</v>
      </c>
      <c r="I681"/>
      <c r="J681" t="s">
        <v>2475</v>
      </c>
      <c r="K681" s="170">
        <v>45900</v>
      </c>
      <c r="L681" s="1">
        <v>561835.03154667979</v>
      </c>
      <c r="M681" s="1">
        <v>46009</v>
      </c>
      <c r="Y681"/>
      <c r="Z681"/>
      <c r="AB681"/>
    </row>
    <row r="682" spans="1:28" ht="14.4" hidden="1">
      <c r="A682" t="s">
        <v>182</v>
      </c>
      <c r="B682" s="1">
        <v>220</v>
      </c>
      <c r="C682" s="258" t="s">
        <v>2479</v>
      </c>
      <c r="D682" t="s">
        <v>1246</v>
      </c>
      <c r="F682"/>
      <c r="G682">
        <v>0.1</v>
      </c>
      <c r="H682" s="1">
        <v>220568</v>
      </c>
      <c r="I682"/>
      <c r="J682" t="s">
        <v>2475</v>
      </c>
      <c r="K682" s="170">
        <v>45900</v>
      </c>
      <c r="M682" s="1">
        <v>46015</v>
      </c>
      <c r="Y682"/>
      <c r="Z682"/>
      <c r="AB682"/>
    </row>
    <row r="683" spans="1:28" ht="14.4" hidden="1">
      <c r="A683" t="s">
        <v>182</v>
      </c>
      <c r="B683" s="1">
        <v>221</v>
      </c>
      <c r="C683" s="258" t="s">
        <v>2480</v>
      </c>
      <c r="D683" t="s">
        <v>1246</v>
      </c>
      <c r="F683"/>
      <c r="G683">
        <v>0.1</v>
      </c>
      <c r="H683" s="1">
        <v>220568</v>
      </c>
      <c r="I683"/>
      <c r="J683" t="s">
        <v>2475</v>
      </c>
      <c r="K683" s="170">
        <v>45900</v>
      </c>
      <c r="M683" s="1">
        <v>46022</v>
      </c>
      <c r="Y683"/>
      <c r="Z683"/>
      <c r="AB683"/>
    </row>
    <row r="684" spans="1:28" ht="14.4" hidden="1">
      <c r="A684" t="s">
        <v>182</v>
      </c>
      <c r="B684" s="1">
        <v>222</v>
      </c>
      <c r="C684" s="258" t="s">
        <v>2481</v>
      </c>
      <c r="D684" t="s">
        <v>1246</v>
      </c>
      <c r="E684" t="s">
        <v>1190</v>
      </c>
      <c r="F684"/>
      <c r="G684">
        <v>0.1</v>
      </c>
      <c r="H684" s="1">
        <v>220568</v>
      </c>
      <c r="I684"/>
      <c r="J684" t="s">
        <v>2475</v>
      </c>
      <c r="K684" s="170">
        <v>45900</v>
      </c>
      <c r="L684" s="1">
        <v>123377.38788666997</v>
      </c>
      <c r="M684" s="1">
        <v>46029</v>
      </c>
      <c r="Y684"/>
      <c r="Z684"/>
      <c r="AB684"/>
    </row>
    <row r="685" spans="1:28" ht="14.4" hidden="1">
      <c r="A685" t="s">
        <v>182</v>
      </c>
      <c r="B685" s="1">
        <v>228</v>
      </c>
      <c r="C685" s="258" t="s">
        <v>2482</v>
      </c>
      <c r="D685" t="s">
        <v>1255</v>
      </c>
      <c r="E685" t="s">
        <v>2483</v>
      </c>
      <c r="F685">
        <v>82020</v>
      </c>
      <c r="G685">
        <v>0.5</v>
      </c>
      <c r="H685" s="1">
        <v>41010</v>
      </c>
      <c r="I685" t="s">
        <v>2484</v>
      </c>
      <c r="J685" t="s">
        <v>2485</v>
      </c>
      <c r="K685" s="170">
        <v>45900</v>
      </c>
      <c r="L685" s="1">
        <v>0</v>
      </c>
      <c r="M685" s="1">
        <v>45925</v>
      </c>
      <c r="Y685"/>
      <c r="Z685"/>
      <c r="AB685"/>
    </row>
    <row r="686" spans="1:28" ht="14.4" hidden="1">
      <c r="A686" t="s">
        <v>182</v>
      </c>
      <c r="B686" s="1">
        <v>229</v>
      </c>
      <c r="C686" s="258" t="s">
        <v>2486</v>
      </c>
      <c r="D686" t="s">
        <v>1255</v>
      </c>
      <c r="F686"/>
      <c r="H686" s="1">
        <v>41010</v>
      </c>
      <c r="I686"/>
      <c r="J686" t="s">
        <v>2485</v>
      </c>
      <c r="K686" s="170">
        <v>45900</v>
      </c>
      <c r="L686" s="1">
        <v>0</v>
      </c>
      <c r="M686" s="1">
        <v>45967</v>
      </c>
      <c r="Y686"/>
      <c r="Z686"/>
      <c r="AB686"/>
    </row>
    <row r="687" spans="1:28" ht="14.4" hidden="1">
      <c r="A687" t="s">
        <v>182</v>
      </c>
      <c r="B687" s="1">
        <v>230</v>
      </c>
      <c r="C687" s="258" t="s">
        <v>2487</v>
      </c>
      <c r="D687" t="s">
        <v>1255</v>
      </c>
      <c r="F687"/>
      <c r="H687" s="1">
        <v>41010</v>
      </c>
      <c r="I687"/>
      <c r="J687" t="s">
        <v>2488</v>
      </c>
      <c r="K687" s="170">
        <v>45991</v>
      </c>
      <c r="L687" s="1">
        <v>0</v>
      </c>
      <c r="M687" s="1">
        <v>46037</v>
      </c>
      <c r="Y687"/>
      <c r="Z687"/>
      <c r="AB687"/>
    </row>
    <row r="688" spans="1:28" ht="14.4" hidden="1">
      <c r="A688" t="s">
        <v>182</v>
      </c>
      <c r="B688" s="1">
        <v>231</v>
      </c>
      <c r="C688" s="258" t="s">
        <v>2489</v>
      </c>
      <c r="D688" t="s">
        <v>1255</v>
      </c>
      <c r="F688"/>
      <c r="H688" s="1">
        <v>41010</v>
      </c>
      <c r="I688"/>
      <c r="J688" t="s">
        <v>2490</v>
      </c>
      <c r="K688" s="170">
        <v>46022</v>
      </c>
      <c r="L688" s="1">
        <v>0</v>
      </c>
      <c r="M688" s="1">
        <v>46031</v>
      </c>
      <c r="Y688"/>
      <c r="Z688"/>
      <c r="AB688"/>
    </row>
    <row r="689" spans="1:28" ht="14.4" hidden="1">
      <c r="A689" t="s">
        <v>182</v>
      </c>
      <c r="B689" s="1">
        <v>232</v>
      </c>
      <c r="C689" s="258" t="s">
        <v>2491</v>
      </c>
      <c r="D689" t="s">
        <v>1255</v>
      </c>
      <c r="E689" t="s">
        <v>2492</v>
      </c>
      <c r="F689"/>
      <c r="H689" s="1">
        <v>41470</v>
      </c>
      <c r="I689"/>
      <c r="J689" t="s">
        <v>2493</v>
      </c>
      <c r="K689" s="170">
        <v>46022</v>
      </c>
      <c r="L689" s="1">
        <v>790.55</v>
      </c>
      <c r="M689" s="1">
        <v>46053</v>
      </c>
      <c r="Y689"/>
      <c r="Z689"/>
      <c r="AB689"/>
    </row>
    <row r="690" spans="1:28" ht="14.4" hidden="1">
      <c r="A690" t="s">
        <v>182</v>
      </c>
      <c r="B690" s="1">
        <v>233</v>
      </c>
      <c r="C690" s="258" t="s">
        <v>2494</v>
      </c>
      <c r="D690" t="s">
        <v>1255</v>
      </c>
      <c r="E690" t="s">
        <v>2495</v>
      </c>
      <c r="F690"/>
      <c r="H690" s="1">
        <v>460</v>
      </c>
      <c r="I690"/>
      <c r="J690" t="s">
        <v>2496</v>
      </c>
      <c r="K690" s="170">
        <v>46022</v>
      </c>
      <c r="L690" s="1">
        <v>0</v>
      </c>
      <c r="M690" s="1">
        <v>46031</v>
      </c>
      <c r="Y690"/>
      <c r="Z690"/>
      <c r="AB690"/>
    </row>
    <row r="691" spans="1:28" ht="14.4" hidden="1">
      <c r="A691" t="s">
        <v>182</v>
      </c>
      <c r="B691" s="1">
        <v>235</v>
      </c>
      <c r="C691" s="258" t="s">
        <v>2497</v>
      </c>
      <c r="D691" t="s">
        <v>1255</v>
      </c>
      <c r="E691" t="s">
        <v>2277</v>
      </c>
      <c r="F691">
        <v>400000</v>
      </c>
      <c r="G691">
        <v>0.5</v>
      </c>
      <c r="H691" s="1">
        <v>200000</v>
      </c>
      <c r="I691" t="s">
        <v>2278</v>
      </c>
      <c r="J691" t="s">
        <v>2279</v>
      </c>
      <c r="K691" s="170">
        <v>45838</v>
      </c>
      <c r="L691" s="1">
        <v>130552.96794014868</v>
      </c>
      <c r="M691" s="1">
        <v>45834</v>
      </c>
      <c r="Y691"/>
      <c r="Z691"/>
      <c r="AB691"/>
    </row>
    <row r="692" spans="1:28" ht="14.4" hidden="1">
      <c r="A692" t="s">
        <v>182</v>
      </c>
      <c r="B692" s="1">
        <v>236</v>
      </c>
      <c r="C692" s="258" t="s">
        <v>2498</v>
      </c>
      <c r="D692" t="s">
        <v>1255</v>
      </c>
      <c r="E692" t="s">
        <v>2499</v>
      </c>
      <c r="F692"/>
      <c r="G692">
        <v>0.4</v>
      </c>
      <c r="H692" s="1">
        <v>160000</v>
      </c>
      <c r="I692"/>
      <c r="J692" t="s">
        <v>2282</v>
      </c>
      <c r="K692" s="170">
        <v>45869</v>
      </c>
      <c r="L692" s="1">
        <v>105639.01698453363</v>
      </c>
      <c r="M692" s="1">
        <v>45904</v>
      </c>
      <c r="Y692"/>
      <c r="Z692"/>
      <c r="AB692"/>
    </row>
    <row r="693" spans="1:28" ht="14.4" hidden="1">
      <c r="A693" t="s">
        <v>182</v>
      </c>
      <c r="B693" s="1">
        <v>237</v>
      </c>
      <c r="C693" s="258" t="s">
        <v>2500</v>
      </c>
      <c r="D693" t="s">
        <v>1255</v>
      </c>
      <c r="E693" t="s">
        <v>2501</v>
      </c>
      <c r="F693"/>
      <c r="G693">
        <v>0.1</v>
      </c>
      <c r="H693" s="1">
        <v>40000</v>
      </c>
      <c r="I693"/>
      <c r="J693" t="s">
        <v>2285</v>
      </c>
      <c r="K693" s="170">
        <v>45900</v>
      </c>
      <c r="L693" s="1">
        <v>16629.772302381578</v>
      </c>
      <c r="M693" s="1">
        <v>46100</v>
      </c>
      <c r="Y693"/>
      <c r="Z693"/>
      <c r="AB693"/>
    </row>
    <row r="694" spans="1:28" ht="14.4" hidden="1">
      <c r="A694" t="s">
        <v>182</v>
      </c>
      <c r="B694" s="1">
        <v>241</v>
      </c>
      <c r="C694" s="258" t="s">
        <v>2502</v>
      </c>
      <c r="D694" t="s">
        <v>1255</v>
      </c>
      <c r="E694" t="s">
        <v>2287</v>
      </c>
      <c r="F694">
        <v>250000</v>
      </c>
      <c r="G694">
        <v>0.5</v>
      </c>
      <c r="H694" s="1">
        <v>125000</v>
      </c>
      <c r="I694"/>
      <c r="J694" t="s">
        <v>2279</v>
      </c>
      <c r="K694" s="170">
        <v>45838</v>
      </c>
      <c r="L694" s="1">
        <v>81595.60496259293</v>
      </c>
      <c r="M694" s="1">
        <v>45834</v>
      </c>
      <c r="Y694"/>
      <c r="Z694"/>
      <c r="AB694"/>
    </row>
    <row r="695" spans="1:28" ht="14.4" hidden="1">
      <c r="A695" t="s">
        <v>182</v>
      </c>
      <c r="B695" s="1">
        <v>242</v>
      </c>
      <c r="C695" s="258" t="s">
        <v>2503</v>
      </c>
      <c r="D695" t="s">
        <v>1255</v>
      </c>
      <c r="E695" t="s">
        <v>2504</v>
      </c>
      <c r="F695"/>
      <c r="G695">
        <v>0.4</v>
      </c>
      <c r="H695" s="1">
        <v>100000</v>
      </c>
      <c r="I695"/>
      <c r="J695" t="s">
        <v>2282</v>
      </c>
      <c r="K695" s="170">
        <v>45869</v>
      </c>
      <c r="L695" s="1">
        <v>68657.965615333524</v>
      </c>
      <c r="M695" s="1">
        <v>45904</v>
      </c>
      <c r="Y695"/>
      <c r="Z695"/>
      <c r="AB695"/>
    </row>
    <row r="696" spans="1:28" ht="14.4" hidden="1">
      <c r="A696" t="s">
        <v>182</v>
      </c>
      <c r="B696" s="1">
        <v>243</v>
      </c>
      <c r="C696" s="258" t="s">
        <v>2505</v>
      </c>
      <c r="D696" t="s">
        <v>1255</v>
      </c>
      <c r="E696" t="s">
        <v>2506</v>
      </c>
      <c r="F696"/>
      <c r="G696">
        <v>0.1</v>
      </c>
      <c r="H696" s="1">
        <v>25000</v>
      </c>
      <c r="I696"/>
      <c r="J696" t="s">
        <v>2285</v>
      </c>
      <c r="K696" s="170">
        <v>45900</v>
      </c>
      <c r="L696" s="1">
        <v>22162.210188988483</v>
      </c>
      <c r="M696" s="1">
        <v>46100</v>
      </c>
      <c r="Y696"/>
      <c r="Z696"/>
      <c r="AB696"/>
    </row>
    <row r="697" spans="1:28" ht="14.4" hidden="1">
      <c r="A697" t="s">
        <v>182</v>
      </c>
      <c r="B697" s="1">
        <v>245</v>
      </c>
      <c r="C697" s="258" t="s">
        <v>2507</v>
      </c>
      <c r="D697" t="s">
        <v>1255</v>
      </c>
      <c r="E697" t="s">
        <v>2508</v>
      </c>
      <c r="F697"/>
      <c r="H697" s="1">
        <v>10400</v>
      </c>
      <c r="I697"/>
      <c r="J697" t="s">
        <v>2509</v>
      </c>
      <c r="K697" s="170">
        <v>45838</v>
      </c>
      <c r="L697" s="1">
        <v>6788.7543328877318</v>
      </c>
      <c r="M697" s="1">
        <v>45835</v>
      </c>
      <c r="Y697"/>
      <c r="Z697"/>
      <c r="AB697"/>
    </row>
    <row r="698" spans="1:28" ht="14.4" hidden="1">
      <c r="A698" t="s">
        <v>182</v>
      </c>
      <c r="B698" s="1">
        <v>246</v>
      </c>
      <c r="C698" s="258" t="s">
        <v>2510</v>
      </c>
      <c r="D698" t="s">
        <v>1255</v>
      </c>
      <c r="E698" t="s">
        <v>2511</v>
      </c>
      <c r="F698"/>
      <c r="H698" s="1">
        <v>10400</v>
      </c>
      <c r="I698"/>
      <c r="J698" t="s">
        <v>2512</v>
      </c>
      <c r="K698" s="170">
        <v>45869</v>
      </c>
      <c r="L698" s="1">
        <v>6743.2861039946856</v>
      </c>
      <c r="M698" s="1">
        <v>45845</v>
      </c>
      <c r="Y698"/>
      <c r="Z698"/>
      <c r="AB698"/>
    </row>
    <row r="699" spans="1:28" ht="14.4" hidden="1">
      <c r="A699" t="s">
        <v>182</v>
      </c>
      <c r="B699" s="1">
        <v>247</v>
      </c>
      <c r="C699" s="258" t="s">
        <v>2513</v>
      </c>
      <c r="D699" t="s">
        <v>1255</v>
      </c>
      <c r="E699" t="s">
        <v>2514</v>
      </c>
      <c r="F699"/>
      <c r="H699" s="1">
        <v>1550</v>
      </c>
      <c r="I699"/>
      <c r="J699" t="s">
        <v>2515</v>
      </c>
      <c r="K699" s="170">
        <v>45869</v>
      </c>
      <c r="L699" s="1">
        <v>1023.3779770376696</v>
      </c>
      <c r="M699" s="1">
        <v>45901</v>
      </c>
      <c r="Y699"/>
      <c r="Z699"/>
      <c r="AB699"/>
    </row>
    <row r="700" spans="1:28" ht="14.4" hidden="1">
      <c r="A700" t="s">
        <v>182</v>
      </c>
      <c r="B700" s="1">
        <v>248</v>
      </c>
      <c r="C700" s="258" t="s">
        <v>2516</v>
      </c>
      <c r="D700" t="s">
        <v>1255</v>
      </c>
      <c r="E700" t="s">
        <v>2514</v>
      </c>
      <c r="F700"/>
      <c r="H700" s="1">
        <v>11850</v>
      </c>
      <c r="I700"/>
      <c r="J700" t="s">
        <v>2517</v>
      </c>
      <c r="K700" s="170">
        <v>45900</v>
      </c>
      <c r="L700" s="1">
        <v>6908.749169580542</v>
      </c>
      <c r="M700" s="1">
        <v>45890</v>
      </c>
      <c r="Y700"/>
      <c r="Z700"/>
      <c r="AB700"/>
    </row>
    <row r="701" spans="1:28" ht="14.4" hidden="1">
      <c r="A701" t="s">
        <v>182</v>
      </c>
      <c r="B701" s="1">
        <v>249</v>
      </c>
      <c r="C701" s="258" t="s">
        <v>2518</v>
      </c>
      <c r="D701" t="s">
        <v>1255</v>
      </c>
      <c r="E701" t="s">
        <v>2519</v>
      </c>
      <c r="F701"/>
      <c r="H701" s="1">
        <v>1500</v>
      </c>
      <c r="I701"/>
      <c r="J701" t="s">
        <v>2520</v>
      </c>
      <c r="K701" s="170">
        <v>45900</v>
      </c>
      <c r="L701" s="1">
        <v>874.52521133930907</v>
      </c>
      <c r="M701" s="1">
        <v>45930</v>
      </c>
      <c r="Y701"/>
      <c r="Z701"/>
      <c r="AB701"/>
    </row>
    <row r="702" spans="1:28" ht="14.4" hidden="1">
      <c r="A702" t="s">
        <v>182</v>
      </c>
      <c r="B702" s="1">
        <v>250</v>
      </c>
      <c r="C702" s="258" t="s">
        <v>2521</v>
      </c>
      <c r="D702" t="s">
        <v>1255</v>
      </c>
      <c r="E702" t="s">
        <v>2522</v>
      </c>
      <c r="F702"/>
      <c r="H702" s="1">
        <v>1500</v>
      </c>
      <c r="I702"/>
      <c r="J702" t="s">
        <v>2523</v>
      </c>
      <c r="K702" s="170">
        <v>45900</v>
      </c>
      <c r="L702" s="1">
        <v>874.52521133930907</v>
      </c>
      <c r="M702" s="1">
        <v>45930</v>
      </c>
      <c r="Y702"/>
      <c r="Z702"/>
      <c r="AB702"/>
    </row>
    <row r="703" spans="1:28" ht="14.4" hidden="1">
      <c r="A703" t="s">
        <v>182</v>
      </c>
      <c r="B703" s="1">
        <v>251</v>
      </c>
      <c r="C703" s="258" t="s">
        <v>2524</v>
      </c>
      <c r="D703" t="s">
        <v>1255</v>
      </c>
      <c r="E703" t="s">
        <v>2525</v>
      </c>
      <c r="F703"/>
      <c r="H703" s="1">
        <v>250</v>
      </c>
      <c r="I703"/>
      <c r="J703" t="s">
        <v>2526</v>
      </c>
      <c r="K703" s="170">
        <v>45838</v>
      </c>
      <c r="L703" s="1">
        <v>163.19120992518586</v>
      </c>
      <c r="M703" s="1">
        <v>45876</v>
      </c>
      <c r="Y703"/>
      <c r="Z703"/>
      <c r="AB703"/>
    </row>
    <row r="704" spans="1:28" ht="14.4" hidden="1">
      <c r="A704" t="s">
        <v>182</v>
      </c>
      <c r="B704" s="1">
        <v>252</v>
      </c>
      <c r="C704" s="258" t="s">
        <v>2527</v>
      </c>
      <c r="D704" t="s">
        <v>1255</v>
      </c>
      <c r="E704" t="s">
        <v>2525</v>
      </c>
      <c r="F704"/>
      <c r="H704" s="1">
        <v>2635</v>
      </c>
      <c r="I704"/>
      <c r="J704" t="s">
        <v>2528</v>
      </c>
      <c r="K704" s="170">
        <v>45930</v>
      </c>
      <c r="L704" s="1">
        <v>0</v>
      </c>
      <c r="M704" s="1">
        <v>45930</v>
      </c>
      <c r="Y704"/>
      <c r="Z704"/>
      <c r="AB704"/>
    </row>
    <row r="705" spans="1:28" ht="14.4" hidden="1">
      <c r="A705" t="s">
        <v>182</v>
      </c>
      <c r="B705" s="1">
        <v>253</v>
      </c>
      <c r="C705" s="258" t="s">
        <v>2529</v>
      </c>
      <c r="D705" t="s">
        <v>1255</v>
      </c>
      <c r="E705" t="s">
        <v>2525</v>
      </c>
      <c r="F705"/>
      <c r="H705" s="1">
        <v>1550</v>
      </c>
      <c r="I705"/>
      <c r="J705" t="s">
        <v>2530</v>
      </c>
      <c r="K705" s="170">
        <v>45930</v>
      </c>
      <c r="L705" s="1">
        <v>0</v>
      </c>
      <c r="M705" s="1">
        <v>45930</v>
      </c>
      <c r="Y705"/>
      <c r="Z705"/>
      <c r="AB705"/>
    </row>
    <row r="706" spans="1:28" ht="14.4" hidden="1">
      <c r="A706" t="s">
        <v>182</v>
      </c>
      <c r="B706" s="1">
        <v>254</v>
      </c>
      <c r="C706" s="258" t="s">
        <v>2531</v>
      </c>
      <c r="D706" t="s">
        <v>1255</v>
      </c>
      <c r="E706" t="s">
        <v>2525</v>
      </c>
      <c r="F706"/>
      <c r="H706" s="1">
        <v>1550</v>
      </c>
      <c r="I706"/>
      <c r="J706" t="s">
        <v>2532</v>
      </c>
      <c r="K706" s="170">
        <v>45930</v>
      </c>
      <c r="L706" s="1">
        <v>0</v>
      </c>
      <c r="M706" s="1">
        <v>45930</v>
      </c>
      <c r="Y706"/>
      <c r="Z706"/>
      <c r="AB706"/>
    </row>
    <row r="707" spans="1:28" ht="14.4" hidden="1">
      <c r="A707" t="s">
        <v>182</v>
      </c>
      <c r="B707" s="1">
        <v>255</v>
      </c>
      <c r="C707" s="258" t="s">
        <v>2533</v>
      </c>
      <c r="D707" t="s">
        <v>1255</v>
      </c>
      <c r="E707" t="s">
        <v>2534</v>
      </c>
      <c r="F707"/>
      <c r="H707" s="1">
        <v>595</v>
      </c>
      <c r="I707"/>
      <c r="J707" t="s">
        <v>2535</v>
      </c>
      <c r="K707" s="170">
        <v>45900</v>
      </c>
      <c r="L707" s="1">
        <v>346.89500049792593</v>
      </c>
      <c r="M707" s="1">
        <v>45901</v>
      </c>
      <c r="Y707"/>
      <c r="Z707"/>
      <c r="AB707"/>
    </row>
    <row r="708" spans="1:28" ht="14.4" hidden="1">
      <c r="A708" t="s">
        <v>182</v>
      </c>
      <c r="B708" s="1">
        <v>256</v>
      </c>
      <c r="C708" s="258" t="s">
        <v>2536</v>
      </c>
      <c r="D708" t="s">
        <v>1255</v>
      </c>
      <c r="E708" t="s">
        <v>2534</v>
      </c>
      <c r="F708"/>
      <c r="H708" s="1">
        <v>1250</v>
      </c>
      <c r="I708"/>
      <c r="J708" t="s">
        <v>2537</v>
      </c>
      <c r="K708" s="170">
        <v>45900</v>
      </c>
      <c r="L708" s="1">
        <v>728.77100944942435</v>
      </c>
      <c r="M708" s="1">
        <v>45901</v>
      </c>
      <c r="Y708"/>
      <c r="Z708"/>
      <c r="AB708"/>
    </row>
    <row r="709" spans="1:28" ht="14.4" hidden="1">
      <c r="A709" t="s">
        <v>182</v>
      </c>
      <c r="B709" s="1">
        <v>257</v>
      </c>
      <c r="C709" s="258" t="s">
        <v>2538</v>
      </c>
      <c r="D709" t="s">
        <v>1255</v>
      </c>
      <c r="E709" t="s">
        <v>2539</v>
      </c>
      <c r="F709"/>
      <c r="H709" s="1">
        <v>1500</v>
      </c>
      <c r="I709"/>
      <c r="J709" t="s">
        <v>2540</v>
      </c>
      <c r="K709" s="170">
        <v>45961</v>
      </c>
      <c r="L709" s="1">
        <v>865.42161616940507</v>
      </c>
      <c r="M709" s="1">
        <v>45974</v>
      </c>
      <c r="Y709"/>
      <c r="Z709"/>
      <c r="AB709"/>
    </row>
    <row r="710" spans="1:28" ht="14.4" hidden="1">
      <c r="A710" t="s">
        <v>182</v>
      </c>
      <c r="B710" s="1">
        <v>258</v>
      </c>
      <c r="C710" s="258" t="s">
        <v>2541</v>
      </c>
      <c r="D710" t="s">
        <v>1255</v>
      </c>
      <c r="E710" t="s">
        <v>2539</v>
      </c>
      <c r="F710"/>
      <c r="H710" s="1">
        <v>1500</v>
      </c>
      <c r="I710"/>
      <c r="J710" t="s">
        <v>2542</v>
      </c>
      <c r="K710" s="170">
        <v>45961</v>
      </c>
      <c r="L710" s="1">
        <v>865.42161616940507</v>
      </c>
      <c r="M710" s="1">
        <v>45974</v>
      </c>
      <c r="Y710"/>
      <c r="Z710"/>
      <c r="AB710"/>
    </row>
    <row r="711" spans="1:28" ht="14.4" hidden="1">
      <c r="A711" t="s">
        <v>182</v>
      </c>
      <c r="B711" s="1">
        <v>259</v>
      </c>
      <c r="C711" s="258" t="s">
        <v>2543</v>
      </c>
      <c r="D711" t="s">
        <v>1255</v>
      </c>
      <c r="E711" t="s">
        <v>2539</v>
      </c>
      <c r="F711"/>
      <c r="H711" s="1">
        <v>2550</v>
      </c>
      <c r="I711"/>
      <c r="J711" t="s">
        <v>2544</v>
      </c>
      <c r="K711" s="170">
        <v>45961</v>
      </c>
      <c r="L711" s="1">
        <v>1471.2167474879886</v>
      </c>
      <c r="M711" s="1">
        <v>45974</v>
      </c>
      <c r="Y711"/>
      <c r="Z711"/>
      <c r="AB711"/>
    </row>
    <row r="712" spans="1:28" ht="14.4" hidden="1">
      <c r="A712" t="s">
        <v>182</v>
      </c>
      <c r="B712" s="1">
        <v>260</v>
      </c>
      <c r="C712" s="258" t="s">
        <v>2545</v>
      </c>
      <c r="D712" t="s">
        <v>1255</v>
      </c>
      <c r="E712" t="s">
        <v>2546</v>
      </c>
      <c r="F712"/>
      <c r="H712" s="1">
        <v>1550</v>
      </c>
      <c r="I712"/>
      <c r="J712" t="s">
        <v>2547</v>
      </c>
      <c r="K712" s="170">
        <v>45991</v>
      </c>
      <c r="L712" s="1">
        <v>1770.4386486937567</v>
      </c>
      <c r="M712" s="1">
        <v>45995</v>
      </c>
      <c r="Y712"/>
      <c r="Z712"/>
      <c r="AB712"/>
    </row>
    <row r="713" spans="1:28" ht="14.4" hidden="1">
      <c r="A713" t="s">
        <v>182</v>
      </c>
      <c r="B713" s="1">
        <v>261</v>
      </c>
      <c r="C713" s="258" t="s">
        <v>2548</v>
      </c>
      <c r="D713" t="s">
        <v>1255</v>
      </c>
      <c r="E713" t="s">
        <v>2549</v>
      </c>
      <c r="F713"/>
      <c r="H713" s="1">
        <v>1550</v>
      </c>
      <c r="I713"/>
      <c r="J713" t="s">
        <v>2550</v>
      </c>
      <c r="K713" s="170">
        <v>45991</v>
      </c>
      <c r="L713" s="1">
        <v>1770.4386486937567</v>
      </c>
      <c r="M713" s="1">
        <v>45995</v>
      </c>
      <c r="Y713"/>
      <c r="Z713"/>
      <c r="AB713"/>
    </row>
    <row r="714" spans="1:28" ht="14.4" hidden="1">
      <c r="A714" t="s">
        <v>182</v>
      </c>
      <c r="B714" s="1">
        <v>262</v>
      </c>
      <c r="C714" s="258" t="s">
        <v>2551</v>
      </c>
      <c r="D714" t="s">
        <v>1255</v>
      </c>
      <c r="E714" t="s">
        <v>2552</v>
      </c>
      <c r="F714"/>
      <c r="H714" s="1">
        <v>2635</v>
      </c>
      <c r="I714"/>
      <c r="J714" t="s">
        <v>2553</v>
      </c>
      <c r="K714" s="170">
        <v>45991</v>
      </c>
      <c r="L714" s="1">
        <v>988.11070277938677</v>
      </c>
      <c r="M714" s="1">
        <v>45995</v>
      </c>
      <c r="Y714"/>
      <c r="Z714"/>
      <c r="AB714"/>
    </row>
    <row r="715" spans="1:28" ht="14.4" hidden="1">
      <c r="A715" t="s">
        <v>182</v>
      </c>
      <c r="B715" s="1">
        <v>263</v>
      </c>
      <c r="C715" s="258" t="s">
        <v>2554</v>
      </c>
      <c r="D715" t="s">
        <v>1255</v>
      </c>
      <c r="E715" t="s">
        <v>2555</v>
      </c>
      <c r="F715"/>
      <c r="H715" s="1">
        <v>1550</v>
      </c>
      <c r="I715"/>
      <c r="J715" t="s">
        <v>2556</v>
      </c>
      <c r="K715" s="170">
        <v>46022</v>
      </c>
      <c r="L715" s="1">
        <v>0</v>
      </c>
      <c r="M715" s="1">
        <v>46031</v>
      </c>
      <c r="Y715"/>
      <c r="Z715"/>
      <c r="AB715"/>
    </row>
    <row r="716" spans="1:28" ht="14.4" hidden="1">
      <c r="A716" t="s">
        <v>182</v>
      </c>
      <c r="B716" s="1">
        <v>264</v>
      </c>
      <c r="C716" s="258" t="s">
        <v>2557</v>
      </c>
      <c r="D716" t="s">
        <v>1255</v>
      </c>
      <c r="E716" t="s">
        <v>2558</v>
      </c>
      <c r="F716"/>
      <c r="H716" s="1">
        <v>1550</v>
      </c>
      <c r="I716"/>
      <c r="J716" t="s">
        <v>2559</v>
      </c>
      <c r="K716" s="170">
        <v>46022</v>
      </c>
      <c r="L716" s="1">
        <v>0</v>
      </c>
      <c r="M716" s="1">
        <v>46031</v>
      </c>
      <c r="Y716"/>
      <c r="Z716"/>
      <c r="AB716"/>
    </row>
    <row r="717" spans="1:28" ht="14.4" hidden="1">
      <c r="A717" t="s">
        <v>182</v>
      </c>
      <c r="B717" s="1">
        <v>265</v>
      </c>
      <c r="C717" s="258" t="s">
        <v>2560</v>
      </c>
      <c r="D717" t="s">
        <v>1255</v>
      </c>
      <c r="E717" t="s">
        <v>2561</v>
      </c>
      <c r="F717"/>
      <c r="H717" s="1">
        <v>2635</v>
      </c>
      <c r="I717"/>
      <c r="J717" t="s">
        <v>2562</v>
      </c>
      <c r="K717" s="170">
        <v>46022</v>
      </c>
      <c r="L717" s="1">
        <v>0</v>
      </c>
      <c r="M717" s="1">
        <v>46031</v>
      </c>
      <c r="Y717"/>
      <c r="Z717"/>
      <c r="AB717"/>
    </row>
    <row r="718" spans="1:28" ht="14.4" hidden="1">
      <c r="A718" t="s">
        <v>182</v>
      </c>
      <c r="B718" s="1">
        <v>266</v>
      </c>
      <c r="C718" s="258" t="s">
        <v>2563</v>
      </c>
      <c r="D718" t="s">
        <v>1255</v>
      </c>
      <c r="E718" t="s">
        <v>2564</v>
      </c>
      <c r="F718"/>
      <c r="H718" s="1">
        <v>1400</v>
      </c>
      <c r="I718"/>
      <c r="J718" t="s">
        <v>2565</v>
      </c>
      <c r="K718" s="170">
        <v>46053</v>
      </c>
      <c r="L718" s="1">
        <v>0</v>
      </c>
      <c r="M718" s="1">
        <v>46058</v>
      </c>
      <c r="Y718"/>
      <c r="Z718"/>
      <c r="AB718"/>
    </row>
    <row r="719" spans="1:28" ht="14.4" hidden="1">
      <c r="A719" t="s">
        <v>182</v>
      </c>
      <c r="B719" s="1">
        <v>267</v>
      </c>
      <c r="C719" s="258" t="s">
        <v>2566</v>
      </c>
      <c r="D719" t="s">
        <v>1255</v>
      </c>
      <c r="E719" t="s">
        <v>2564</v>
      </c>
      <c r="F719"/>
      <c r="H719" s="1">
        <v>1400</v>
      </c>
      <c r="I719"/>
      <c r="J719" t="s">
        <v>2567</v>
      </c>
      <c r="K719" s="170">
        <v>46053</v>
      </c>
      <c r="L719" s="1">
        <v>0</v>
      </c>
      <c r="M719" s="1">
        <v>46058</v>
      </c>
      <c r="Y719"/>
      <c r="Z719"/>
      <c r="AB719"/>
    </row>
    <row r="720" spans="1:28" ht="14.4" hidden="1">
      <c r="A720" t="s">
        <v>182</v>
      </c>
      <c r="B720" s="1">
        <v>268</v>
      </c>
      <c r="C720" s="258" t="s">
        <v>2568</v>
      </c>
      <c r="D720" t="s">
        <v>1255</v>
      </c>
      <c r="E720" t="s">
        <v>2564</v>
      </c>
      <c r="F720"/>
      <c r="H720" s="1">
        <v>2380</v>
      </c>
      <c r="I720"/>
      <c r="J720" t="s">
        <v>2569</v>
      </c>
      <c r="K720" s="170">
        <v>46053</v>
      </c>
      <c r="L720" s="1">
        <v>0</v>
      </c>
      <c r="M720" s="1">
        <v>46058</v>
      </c>
      <c r="Y720"/>
      <c r="Z720"/>
      <c r="AB720"/>
    </row>
    <row r="721" spans="1:28" ht="14.4" hidden="1">
      <c r="A721" t="s">
        <v>182</v>
      </c>
      <c r="B721" s="1">
        <v>270</v>
      </c>
      <c r="C721" s="258" t="s">
        <v>2570</v>
      </c>
      <c r="D721" t="s">
        <v>1255</v>
      </c>
      <c r="E721" t="s">
        <v>2571</v>
      </c>
      <c r="F721"/>
      <c r="H721" s="1">
        <v>652.16999999999996</v>
      </c>
      <c r="I721"/>
      <c r="J721" t="s">
        <v>2572</v>
      </c>
      <c r="K721" s="170">
        <v>45900</v>
      </c>
      <c r="L721" s="1">
        <v>380.22607138610482</v>
      </c>
      <c r="M721" s="1">
        <v>45932</v>
      </c>
      <c r="Y721"/>
      <c r="Z721"/>
      <c r="AB721"/>
    </row>
    <row r="722" spans="1:28" ht="14.4" hidden="1">
      <c r="A722" t="s">
        <v>182</v>
      </c>
      <c r="B722" s="1">
        <v>271</v>
      </c>
      <c r="C722" s="258" t="s">
        <v>2573</v>
      </c>
      <c r="D722" t="s">
        <v>1255</v>
      </c>
      <c r="E722" t="s">
        <v>2574</v>
      </c>
      <c r="F722"/>
      <c r="H722" s="1">
        <v>2173.92</v>
      </c>
      <c r="I722"/>
      <c r="J722" t="s">
        <v>2575</v>
      </c>
      <c r="K722" s="170">
        <v>45930</v>
      </c>
      <c r="L722" s="1">
        <v>1258.8741122956246</v>
      </c>
      <c r="M722" s="1">
        <v>45939</v>
      </c>
      <c r="Y722"/>
      <c r="Z722"/>
      <c r="AB722"/>
    </row>
    <row r="723" spans="1:28" ht="14.4" hidden="1">
      <c r="A723" t="s">
        <v>182</v>
      </c>
      <c r="B723" s="1">
        <v>272</v>
      </c>
      <c r="C723" s="258" t="s">
        <v>2576</v>
      </c>
      <c r="D723" t="s">
        <v>1255</v>
      </c>
      <c r="E723" t="s">
        <v>2577</v>
      </c>
      <c r="F723"/>
      <c r="H723" s="1">
        <v>3086.9700000000003</v>
      </c>
      <c r="I723"/>
      <c r="J723" t="s">
        <v>2578</v>
      </c>
      <c r="K723" s="170">
        <v>45961</v>
      </c>
      <c r="L723" s="1">
        <v>1781.0203776443125</v>
      </c>
      <c r="M723" s="1">
        <v>45967</v>
      </c>
      <c r="Y723"/>
      <c r="Z723"/>
      <c r="AB723"/>
    </row>
    <row r="724" spans="1:28" ht="14.4" hidden="1">
      <c r="A724" t="s">
        <v>182</v>
      </c>
      <c r="B724" s="1">
        <v>273</v>
      </c>
      <c r="C724" s="258" t="s">
        <v>2579</v>
      </c>
      <c r="D724" t="s">
        <v>1255</v>
      </c>
      <c r="E724" t="s">
        <v>2580</v>
      </c>
      <c r="F724"/>
      <c r="H724" s="1">
        <v>2434.8000000000002</v>
      </c>
      <c r="I724"/>
      <c r="J724" t="s">
        <v>2581</v>
      </c>
      <c r="K724" s="170">
        <v>45991</v>
      </c>
      <c r="L724" s="1">
        <v>1343.363433444877</v>
      </c>
      <c r="M724" s="1">
        <v>45995</v>
      </c>
      <c r="Y724"/>
      <c r="Z724"/>
      <c r="AB724"/>
    </row>
    <row r="725" spans="1:28" ht="14.4" hidden="1">
      <c r="A725" t="s">
        <v>182</v>
      </c>
      <c r="B725" s="1">
        <v>274</v>
      </c>
      <c r="C725" s="258" t="s">
        <v>2582</v>
      </c>
      <c r="D725" t="s">
        <v>1255</v>
      </c>
      <c r="E725" t="s">
        <v>2583</v>
      </c>
      <c r="F725"/>
      <c r="H725" s="1">
        <v>1217.4000000000001</v>
      </c>
      <c r="I725"/>
      <c r="J725" t="s">
        <v>2584</v>
      </c>
      <c r="K725" s="170">
        <v>46022</v>
      </c>
      <c r="L725" s="1">
        <v>608.42503176814455</v>
      </c>
      <c r="M725" s="1">
        <v>46029</v>
      </c>
      <c r="Y725"/>
      <c r="Z725"/>
      <c r="AB725"/>
    </row>
    <row r="726" spans="1:28" ht="14.4" hidden="1">
      <c r="A726" t="s">
        <v>182</v>
      </c>
      <c r="B726" s="1">
        <v>275</v>
      </c>
      <c r="C726" s="258" t="s">
        <v>2585</v>
      </c>
      <c r="D726" t="s">
        <v>1255</v>
      </c>
      <c r="E726" t="s">
        <v>2583</v>
      </c>
      <c r="F726"/>
      <c r="H726" s="1">
        <v>608.70000000000005</v>
      </c>
      <c r="I726"/>
      <c r="J726" t="s">
        <v>2586</v>
      </c>
      <c r="K726" s="170">
        <v>46022</v>
      </c>
      <c r="L726" s="1">
        <v>304.21251588407227</v>
      </c>
      <c r="M726" s="1">
        <v>46029</v>
      </c>
      <c r="Y726"/>
      <c r="Z726"/>
      <c r="AB726"/>
    </row>
    <row r="727" spans="1:28" ht="14.4" hidden="1">
      <c r="A727" t="s">
        <v>182</v>
      </c>
      <c r="B727" s="1">
        <v>276</v>
      </c>
      <c r="C727" s="258" t="s">
        <v>2587</v>
      </c>
      <c r="D727" t="s">
        <v>1255</v>
      </c>
      <c r="E727" t="s">
        <v>2588</v>
      </c>
      <c r="F727"/>
      <c r="H727" s="1">
        <v>1826.1</v>
      </c>
      <c r="I727"/>
      <c r="J727" t="s">
        <v>2589</v>
      </c>
      <c r="K727" s="170">
        <v>46053</v>
      </c>
      <c r="L727" s="1">
        <v>0</v>
      </c>
      <c r="M727" s="1">
        <v>46058</v>
      </c>
      <c r="Y727"/>
      <c r="Z727"/>
      <c r="AB727"/>
    </row>
    <row r="728" spans="1:28" ht="14.4" hidden="1">
      <c r="A728" t="s">
        <v>182</v>
      </c>
      <c r="B728" s="1">
        <v>277</v>
      </c>
      <c r="C728" s="258" t="s">
        <v>2590</v>
      </c>
      <c r="D728" t="s">
        <v>1255</v>
      </c>
      <c r="E728" t="s">
        <v>2588</v>
      </c>
      <c r="F728"/>
      <c r="H728" s="1">
        <v>913.05</v>
      </c>
      <c r="I728"/>
      <c r="J728" t="s">
        <v>2591</v>
      </c>
      <c r="K728" s="170">
        <v>46053</v>
      </c>
      <c r="L728" s="1">
        <v>0</v>
      </c>
      <c r="M728" s="1">
        <v>46058</v>
      </c>
      <c r="Y728"/>
      <c r="Z728"/>
      <c r="AB728"/>
    </row>
    <row r="729" spans="1:28" ht="14.4" hidden="1">
      <c r="A729" t="s">
        <v>182</v>
      </c>
      <c r="B729" s="1">
        <v>283</v>
      </c>
      <c r="C729" s="258" t="s">
        <v>2592</v>
      </c>
      <c r="D729" t="s">
        <v>1264</v>
      </c>
      <c r="E729" t="s">
        <v>1265</v>
      </c>
      <c r="F729"/>
      <c r="H729" s="1">
        <v>236000</v>
      </c>
      <c r="I729"/>
      <c r="J729"/>
      <c r="K729" s="170">
        <v>46081</v>
      </c>
      <c r="L729" s="1">
        <v>177552.1000193764</v>
      </c>
      <c r="M729" s="1">
        <v>46081</v>
      </c>
      <c r="N729" s="1">
        <v>658656</v>
      </c>
      <c r="Y729"/>
      <c r="Z729"/>
      <c r="AB729"/>
    </row>
    <row r="730" spans="1:28" ht="14.4" hidden="1">
      <c r="A730" t="s">
        <v>182</v>
      </c>
      <c r="B730" s="1">
        <v>284</v>
      </c>
      <c r="C730" s="258" t="s">
        <v>2593</v>
      </c>
      <c r="D730" t="s">
        <v>1264</v>
      </c>
      <c r="E730" t="s">
        <v>2594</v>
      </c>
      <c r="F730"/>
      <c r="H730" s="1">
        <v>35600</v>
      </c>
      <c r="I730" t="s">
        <v>2595</v>
      </c>
      <c r="J730" t="s">
        <v>2596</v>
      </c>
      <c r="K730" s="170">
        <v>46081</v>
      </c>
      <c r="L730" s="1">
        <v>27213.871155465244</v>
      </c>
      <c r="M730" s="1">
        <v>46095</v>
      </c>
      <c r="Y730"/>
      <c r="Z730"/>
      <c r="AB730"/>
    </row>
    <row r="731" spans="1:28" ht="14.4" hidden="1">
      <c r="A731" t="s">
        <v>182</v>
      </c>
      <c r="B731" s="1">
        <v>285</v>
      </c>
      <c r="C731" s="258" t="s">
        <v>2597</v>
      </c>
      <c r="D731" t="s">
        <v>1264</v>
      </c>
      <c r="E731" t="s">
        <v>2598</v>
      </c>
      <c r="F731"/>
      <c r="H731" s="1">
        <v>28400</v>
      </c>
      <c r="I731" t="s">
        <v>2599</v>
      </c>
      <c r="J731" t="s">
        <v>2600</v>
      </c>
      <c r="K731" s="170">
        <v>45991</v>
      </c>
      <c r="L731" s="1">
        <v>21812.49766334868</v>
      </c>
      <c r="M731" s="1">
        <v>45995</v>
      </c>
      <c r="Y731"/>
      <c r="Z731"/>
      <c r="AB731"/>
    </row>
    <row r="732" spans="1:28" ht="14.4" hidden="1">
      <c r="A732" t="s">
        <v>182</v>
      </c>
      <c r="B732" s="1">
        <v>290</v>
      </c>
      <c r="C732" s="258" t="s">
        <v>2601</v>
      </c>
      <c r="D732" t="s">
        <v>1264</v>
      </c>
      <c r="E732" t="s">
        <v>1268</v>
      </c>
      <c r="F732"/>
      <c r="H732" s="1">
        <v>10400</v>
      </c>
      <c r="I732" t="s">
        <v>2602</v>
      </c>
      <c r="J732" t="s">
        <v>2603</v>
      </c>
      <c r="K732" s="170">
        <v>45838</v>
      </c>
      <c r="L732" s="1">
        <v>12174.422007609011</v>
      </c>
      <c r="M732" s="1">
        <v>45841</v>
      </c>
      <c r="Y732"/>
      <c r="Z732"/>
      <c r="AB732"/>
    </row>
    <row r="733" spans="1:28" ht="14.4" hidden="1">
      <c r="A733" t="s">
        <v>182</v>
      </c>
      <c r="B733" s="1">
        <v>291</v>
      </c>
      <c r="C733" s="258" t="s">
        <v>2604</v>
      </c>
      <c r="D733" t="s">
        <v>1264</v>
      </c>
      <c r="E733" t="s">
        <v>1271</v>
      </c>
      <c r="F733"/>
      <c r="H733" s="1">
        <v>79700</v>
      </c>
      <c r="I733" t="s">
        <v>2605</v>
      </c>
      <c r="J733" t="s">
        <v>2606</v>
      </c>
      <c r="K733" s="170">
        <v>45961</v>
      </c>
      <c r="L733" s="1">
        <v>58776.043794679215</v>
      </c>
      <c r="M733" s="1">
        <v>46031</v>
      </c>
      <c r="Y733"/>
      <c r="Z733"/>
      <c r="AB733"/>
    </row>
    <row r="734" spans="1:28" ht="14.4" hidden="1">
      <c r="A734" t="s">
        <v>182</v>
      </c>
      <c r="B734" s="1">
        <v>292</v>
      </c>
      <c r="C734" s="258" t="s">
        <v>2607</v>
      </c>
      <c r="D734" t="s">
        <v>1264</v>
      </c>
      <c r="E734" t="s">
        <v>2608</v>
      </c>
      <c r="F734"/>
      <c r="H734" s="1">
        <v>252556</v>
      </c>
      <c r="I734" t="s">
        <v>2609</v>
      </c>
      <c r="J734" t="s">
        <v>2610</v>
      </c>
      <c r="K734" s="170">
        <v>45869</v>
      </c>
      <c r="L734" s="1">
        <v>184585.6619127203</v>
      </c>
      <c r="M734" s="1">
        <v>46053</v>
      </c>
      <c r="Y734"/>
      <c r="Z734"/>
      <c r="AB734"/>
    </row>
    <row r="735" spans="1:28" ht="14.4" hidden="1">
      <c r="A735" t="s">
        <v>182</v>
      </c>
      <c r="B735" s="1">
        <v>295</v>
      </c>
      <c r="C735" s="258" t="s">
        <v>2611</v>
      </c>
      <c r="D735" t="s">
        <v>1264</v>
      </c>
      <c r="E735" t="s">
        <v>2612</v>
      </c>
      <c r="F735"/>
      <c r="H735" s="1">
        <v>8000</v>
      </c>
      <c r="I735"/>
      <c r="J735"/>
      <c r="K735" s="170">
        <v>46081</v>
      </c>
      <c r="L735" s="1">
        <v>6001.5261023517414</v>
      </c>
      <c r="M735" s="1">
        <v>46081</v>
      </c>
      <c r="Y735"/>
      <c r="Z735"/>
      <c r="AB735"/>
    </row>
    <row r="736" spans="1:28" ht="14.4" hidden="1">
      <c r="A736" t="s">
        <v>182</v>
      </c>
      <c r="B736" s="1">
        <v>296</v>
      </c>
      <c r="C736" s="258" t="s">
        <v>2613</v>
      </c>
      <c r="D736" t="s">
        <v>1264</v>
      </c>
      <c r="E736" t="s">
        <v>2614</v>
      </c>
      <c r="F736"/>
      <c r="H736" s="1">
        <v>8000</v>
      </c>
      <c r="I736"/>
      <c r="J736"/>
      <c r="K736" s="170">
        <v>46081</v>
      </c>
      <c r="L736" s="1">
        <v>6001.5261023517414</v>
      </c>
      <c r="M736" s="1">
        <v>46081</v>
      </c>
      <c r="Y736"/>
      <c r="Z736"/>
      <c r="AB736"/>
    </row>
    <row r="737" spans="1:28" ht="14.4" hidden="1">
      <c r="A737" t="s">
        <v>182</v>
      </c>
      <c r="B737" s="1">
        <v>299</v>
      </c>
      <c r="C737" s="258" t="s">
        <v>2615</v>
      </c>
      <c r="D737" t="s">
        <v>1274</v>
      </c>
      <c r="E737" t="s">
        <v>1275</v>
      </c>
      <c r="F737"/>
      <c r="H737" s="1">
        <v>0</v>
      </c>
      <c r="I737"/>
      <c r="J737"/>
      <c r="K737" s="170" t="s">
        <v>51</v>
      </c>
      <c r="Y737"/>
      <c r="Z737"/>
      <c r="AB737"/>
    </row>
    <row r="738" spans="1:28" ht="14.4" hidden="1">
      <c r="A738" t="s">
        <v>182</v>
      </c>
      <c r="B738" s="1">
        <v>301</v>
      </c>
      <c r="C738" s="258" t="s">
        <v>2616</v>
      </c>
      <c r="D738" t="s">
        <v>1277</v>
      </c>
      <c r="E738" t="s">
        <v>2617</v>
      </c>
      <c r="F738"/>
      <c r="H738" s="1">
        <v>1011275</v>
      </c>
      <c r="I738"/>
      <c r="J738"/>
      <c r="K738" s="170">
        <v>46081</v>
      </c>
      <c r="L738" s="1">
        <v>1044042.4707043892</v>
      </c>
      <c r="M738" s="1">
        <v>46112</v>
      </c>
      <c r="N738" s="1">
        <v>1045599.26</v>
      </c>
      <c r="Y738"/>
      <c r="Z738"/>
      <c r="AB738"/>
    </row>
    <row r="739" spans="1:28" ht="14.4" hidden="1">
      <c r="A739" t="s">
        <v>182</v>
      </c>
      <c r="B739" s="1">
        <v>302</v>
      </c>
      <c r="C739" s="258" t="s">
        <v>2618</v>
      </c>
      <c r="D739" t="s">
        <v>1277</v>
      </c>
      <c r="E739" t="s">
        <v>2619</v>
      </c>
      <c r="F739"/>
      <c r="H739" s="1">
        <v>11372</v>
      </c>
      <c r="I739"/>
      <c r="J739" t="s">
        <v>2620</v>
      </c>
      <c r="K739" s="170">
        <v>45900</v>
      </c>
      <c r="L739" s="1">
        <v>12657.57114292171</v>
      </c>
      <c r="M739" s="1">
        <v>45900</v>
      </c>
      <c r="Y739"/>
      <c r="Z739"/>
      <c r="AB739"/>
    </row>
    <row r="740" spans="1:28" ht="14.4" hidden="1">
      <c r="A740" t="s">
        <v>182</v>
      </c>
      <c r="B740" s="1">
        <v>303</v>
      </c>
      <c r="C740" s="258" t="s">
        <v>2621</v>
      </c>
      <c r="D740" t="s">
        <v>1277</v>
      </c>
      <c r="E740" t="s">
        <v>2622</v>
      </c>
      <c r="F740"/>
      <c r="H740" s="1">
        <v>2843</v>
      </c>
      <c r="I740"/>
      <c r="J740" t="s">
        <v>2623</v>
      </c>
      <c r="K740" s="170">
        <v>45930</v>
      </c>
      <c r="L740" s="1">
        <v>3164.3927857304275</v>
      </c>
      <c r="M740" s="1">
        <v>45900</v>
      </c>
      <c r="Y740"/>
      <c r="Z740"/>
      <c r="AB740"/>
    </row>
    <row r="741" spans="1:28" ht="14.4" hidden="1">
      <c r="A741" t="s">
        <v>182</v>
      </c>
      <c r="B741" s="1">
        <v>304</v>
      </c>
      <c r="C741" s="258" t="s">
        <v>2624</v>
      </c>
      <c r="D741" t="s">
        <v>1277</v>
      </c>
      <c r="E741" t="s">
        <v>2625</v>
      </c>
      <c r="F741"/>
      <c r="H741" s="1">
        <v>2843</v>
      </c>
      <c r="I741"/>
      <c r="J741" t="s">
        <v>2626</v>
      </c>
      <c r="K741" s="170">
        <v>45961</v>
      </c>
      <c r="L741" s="1">
        <v>3108.9043414431007</v>
      </c>
      <c r="M741" s="1">
        <v>45989</v>
      </c>
      <c r="Y741"/>
      <c r="Z741"/>
      <c r="AB741"/>
    </row>
    <row r="742" spans="1:28" ht="14.4" hidden="1">
      <c r="A742" t="s">
        <v>182</v>
      </c>
      <c r="B742" s="1">
        <v>305</v>
      </c>
      <c r="C742" s="258" t="s">
        <v>2627</v>
      </c>
      <c r="D742" t="s">
        <v>1277</v>
      </c>
      <c r="E742" t="s">
        <v>2628</v>
      </c>
      <c r="F742"/>
      <c r="H742" s="1">
        <v>2843</v>
      </c>
      <c r="I742"/>
      <c r="J742" t="s">
        <v>2629</v>
      </c>
      <c r="K742" s="170">
        <v>45991</v>
      </c>
      <c r="L742" s="1">
        <v>3155.1443414431005</v>
      </c>
      <c r="M742" s="1">
        <v>46021</v>
      </c>
      <c r="Y742"/>
      <c r="Z742"/>
      <c r="AB742"/>
    </row>
    <row r="743" spans="1:28" ht="14.4" hidden="1">
      <c r="A743" t="s">
        <v>182</v>
      </c>
      <c r="B743" s="1">
        <v>306</v>
      </c>
      <c r="C743" s="258" t="s">
        <v>2630</v>
      </c>
      <c r="D743" t="s">
        <v>1277</v>
      </c>
      <c r="E743" t="s">
        <v>2631</v>
      </c>
      <c r="F743"/>
      <c r="H743" s="1">
        <v>2843</v>
      </c>
      <c r="I743"/>
      <c r="J743" t="s">
        <v>2632</v>
      </c>
      <c r="K743" s="170">
        <v>46022</v>
      </c>
      <c r="L743" s="1">
        <v>3118.0250777042997</v>
      </c>
      <c r="M743" s="1">
        <v>46051</v>
      </c>
      <c r="Y743"/>
      <c r="Z743"/>
      <c r="AB743"/>
    </row>
    <row r="744" spans="1:28" ht="14.4" hidden="1">
      <c r="A744" t="s">
        <v>182</v>
      </c>
      <c r="B744" s="1">
        <v>307</v>
      </c>
      <c r="C744" s="258" t="s">
        <v>2633</v>
      </c>
      <c r="D744" t="s">
        <v>1277</v>
      </c>
      <c r="E744" t="s">
        <v>2634</v>
      </c>
      <c r="F744"/>
      <c r="H744" s="1">
        <v>2843</v>
      </c>
      <c r="I744"/>
      <c r="J744" t="s">
        <v>2635</v>
      </c>
      <c r="K744" s="170">
        <v>46053</v>
      </c>
      <c r="L744" s="1">
        <v>2935.3002098267816</v>
      </c>
      <c r="M744" s="1">
        <v>46081</v>
      </c>
      <c r="Y744"/>
      <c r="Z744"/>
      <c r="AB744"/>
    </row>
    <row r="745" spans="1:28" ht="14.4" hidden="1">
      <c r="A745" t="s">
        <v>182</v>
      </c>
      <c r="B745" s="1">
        <v>308</v>
      </c>
      <c r="C745" s="258" t="s">
        <v>2636</v>
      </c>
      <c r="D745" t="s">
        <v>1277</v>
      </c>
      <c r="E745" t="s">
        <v>2036</v>
      </c>
      <c r="F745"/>
      <c r="H745" s="1">
        <v>8737.26</v>
      </c>
      <c r="I745"/>
      <c r="J745" t="s">
        <v>2637</v>
      </c>
      <c r="K745" s="170">
        <v>46053</v>
      </c>
      <c r="L745" s="1">
        <v>9020.9219526243905</v>
      </c>
      <c r="M745" s="1">
        <v>46081</v>
      </c>
      <c r="Y745"/>
      <c r="Z745"/>
      <c r="AB745"/>
    </row>
    <row r="746" spans="1:28" ht="14.4" hidden="1">
      <c r="A746" t="s">
        <v>182</v>
      </c>
      <c r="B746" s="1">
        <v>311</v>
      </c>
      <c r="C746" s="258" t="s">
        <v>2638</v>
      </c>
      <c r="D746" t="s">
        <v>1280</v>
      </c>
      <c r="E746" t="s">
        <v>1281</v>
      </c>
      <c r="F746"/>
      <c r="H746" s="1">
        <v>6509.8599999999988</v>
      </c>
      <c r="I746"/>
      <c r="J746" t="s">
        <v>1604</v>
      </c>
      <c r="K746" s="170">
        <v>45808</v>
      </c>
      <c r="L746" s="1">
        <v>0</v>
      </c>
      <c r="M746" s="1">
        <v>45817</v>
      </c>
      <c r="N746" s="1">
        <v>271181.58</v>
      </c>
      <c r="Y746"/>
      <c r="Z746"/>
      <c r="AB746"/>
    </row>
    <row r="747" spans="1:28" ht="14.4" hidden="1">
      <c r="A747" t="s">
        <v>182</v>
      </c>
      <c r="B747" s="1">
        <v>312</v>
      </c>
      <c r="C747" s="258" t="s">
        <v>2639</v>
      </c>
      <c r="D747" t="s">
        <v>1280</v>
      </c>
      <c r="E747" t="s">
        <v>1281</v>
      </c>
      <c r="F747"/>
      <c r="H747" s="1">
        <v>5770.84</v>
      </c>
      <c r="I747"/>
      <c r="J747" t="s">
        <v>1604</v>
      </c>
      <c r="K747" s="170">
        <v>45838</v>
      </c>
      <c r="L747" s="1">
        <v>0</v>
      </c>
      <c r="M747" s="1">
        <v>45842</v>
      </c>
      <c r="Y747"/>
      <c r="Z747"/>
      <c r="AB747"/>
    </row>
    <row r="748" spans="1:28" ht="14.4" hidden="1">
      <c r="A748" t="s">
        <v>182</v>
      </c>
      <c r="B748" s="1">
        <v>313</v>
      </c>
      <c r="C748" s="258" t="s">
        <v>2640</v>
      </c>
      <c r="D748" t="s">
        <v>1280</v>
      </c>
      <c r="E748" t="s">
        <v>1281</v>
      </c>
      <c r="F748"/>
      <c r="H748" s="1">
        <v>21295.980000000003</v>
      </c>
      <c r="I748"/>
      <c r="J748" t="s">
        <v>1604</v>
      </c>
      <c r="K748" s="170">
        <v>45869</v>
      </c>
      <c r="L748" s="1">
        <v>0</v>
      </c>
      <c r="M748" s="1">
        <v>45876</v>
      </c>
      <c r="Y748"/>
      <c r="Z748"/>
      <c r="AB748"/>
    </row>
    <row r="749" spans="1:28" ht="14.4" hidden="1">
      <c r="A749" t="s">
        <v>182</v>
      </c>
      <c r="B749" s="1">
        <v>314</v>
      </c>
      <c r="C749" s="258" t="s">
        <v>2641</v>
      </c>
      <c r="D749" t="s">
        <v>1280</v>
      </c>
      <c r="E749" t="s">
        <v>1281</v>
      </c>
      <c r="F749"/>
      <c r="H749" s="1">
        <v>50534.6</v>
      </c>
      <c r="I749"/>
      <c r="J749" t="s">
        <v>1604</v>
      </c>
      <c r="K749" s="170">
        <v>45900</v>
      </c>
      <c r="L749" s="1">
        <v>0</v>
      </c>
      <c r="M749" s="1">
        <v>45905</v>
      </c>
      <c r="Y749"/>
      <c r="Z749"/>
      <c r="AB749"/>
    </row>
    <row r="750" spans="1:28" ht="14.4" hidden="1">
      <c r="A750" t="s">
        <v>182</v>
      </c>
      <c r="B750" s="1">
        <v>315</v>
      </c>
      <c r="C750" s="258" t="s">
        <v>2642</v>
      </c>
      <c r="D750" t="s">
        <v>1280</v>
      </c>
      <c r="E750" t="s">
        <v>1281</v>
      </c>
      <c r="F750"/>
      <c r="H750" s="1">
        <v>32154.959999999999</v>
      </c>
      <c r="I750"/>
      <c r="J750" t="s">
        <v>1604</v>
      </c>
      <c r="K750" s="170">
        <v>45930</v>
      </c>
      <c r="L750" s="1">
        <v>0</v>
      </c>
      <c r="M750" s="1">
        <v>45940</v>
      </c>
      <c r="Y750"/>
      <c r="Z750"/>
      <c r="AB750"/>
    </row>
    <row r="751" spans="1:28" ht="14.4" hidden="1">
      <c r="A751" t="s">
        <v>182</v>
      </c>
      <c r="B751" s="1">
        <v>316</v>
      </c>
      <c r="C751" s="258" t="s">
        <v>2643</v>
      </c>
      <c r="D751" t="s">
        <v>1280</v>
      </c>
      <c r="E751" t="s">
        <v>1281</v>
      </c>
      <c r="F751"/>
      <c r="H751" s="1">
        <v>20629.91</v>
      </c>
      <c r="I751"/>
      <c r="J751" t="s">
        <v>1604</v>
      </c>
      <c r="K751" s="170">
        <v>45961</v>
      </c>
      <c r="L751" s="1">
        <v>0</v>
      </c>
      <c r="M751" s="1">
        <v>45967</v>
      </c>
      <c r="Y751"/>
      <c r="Z751"/>
      <c r="AB751"/>
    </row>
    <row r="752" spans="1:28" ht="14.4" hidden="1">
      <c r="A752" t="s">
        <v>182</v>
      </c>
      <c r="B752" s="1">
        <v>317</v>
      </c>
      <c r="C752" s="258" t="s">
        <v>2644</v>
      </c>
      <c r="D752" t="s">
        <v>1280</v>
      </c>
      <c r="E752" t="s">
        <v>1281</v>
      </c>
      <c r="F752"/>
      <c r="H752" s="1">
        <v>15266.94</v>
      </c>
      <c r="I752"/>
      <c r="J752" t="s">
        <v>1604</v>
      </c>
      <c r="K752" s="170">
        <v>45991</v>
      </c>
      <c r="L752" s="1">
        <v>0</v>
      </c>
      <c r="M752" s="1">
        <v>45996</v>
      </c>
      <c r="Y752"/>
      <c r="Z752"/>
      <c r="AB752"/>
    </row>
    <row r="753" spans="1:28" ht="14.4" hidden="1">
      <c r="A753" t="s">
        <v>182</v>
      </c>
      <c r="B753" s="1">
        <v>318</v>
      </c>
      <c r="C753" s="258" t="s">
        <v>2645</v>
      </c>
      <c r="D753" t="s">
        <v>1280</v>
      </c>
      <c r="E753" t="s">
        <v>1281</v>
      </c>
      <c r="F753"/>
      <c r="H753" s="1">
        <v>59700.29</v>
      </c>
      <c r="I753"/>
      <c r="J753" t="s">
        <v>1604</v>
      </c>
      <c r="K753" s="170">
        <v>46022</v>
      </c>
      <c r="L753" s="1">
        <v>0</v>
      </c>
      <c r="M753" s="1">
        <v>46030</v>
      </c>
      <c r="Y753"/>
      <c r="Z753"/>
      <c r="AB753"/>
    </row>
    <row r="754" spans="1:28" ht="14.4" hidden="1">
      <c r="A754" t="s">
        <v>182</v>
      </c>
      <c r="B754" s="1">
        <v>319</v>
      </c>
      <c r="C754" s="258" t="s">
        <v>2646</v>
      </c>
      <c r="D754" t="s">
        <v>1280</v>
      </c>
      <c r="E754" t="s">
        <v>1281</v>
      </c>
      <c r="F754"/>
      <c r="H754" s="1">
        <v>28655.7</v>
      </c>
      <c r="I754"/>
      <c r="J754" t="s">
        <v>1604</v>
      </c>
      <c r="K754" s="170">
        <v>46053</v>
      </c>
      <c r="L754" s="1">
        <v>0</v>
      </c>
      <c r="M754" s="1">
        <v>46058</v>
      </c>
      <c r="Y754"/>
      <c r="Z754"/>
      <c r="AB754"/>
    </row>
    <row r="755" spans="1:28" ht="14.4" hidden="1">
      <c r="A755" t="s">
        <v>182</v>
      </c>
      <c r="B755" s="1">
        <v>320</v>
      </c>
      <c r="C755" s="258" t="s">
        <v>2647</v>
      </c>
      <c r="D755" t="s">
        <v>1280</v>
      </c>
      <c r="E755" t="s">
        <v>1281</v>
      </c>
      <c r="F755"/>
      <c r="H755" s="1">
        <v>30662.5</v>
      </c>
      <c r="I755"/>
      <c r="J755"/>
      <c r="K755" s="170">
        <v>46081</v>
      </c>
      <c r="L755" s="1">
        <v>0</v>
      </c>
      <c r="M755" s="1">
        <v>46081</v>
      </c>
      <c r="Y755"/>
      <c r="Z755"/>
      <c r="AB755"/>
    </row>
    <row r="756" spans="1:28" ht="14.4" hidden="1">
      <c r="A756" t="s">
        <v>182</v>
      </c>
      <c r="B756" s="1">
        <v>326</v>
      </c>
      <c r="C756" s="258" t="s">
        <v>2648</v>
      </c>
      <c r="D756" t="s">
        <v>1451</v>
      </c>
      <c r="E756" t="s">
        <v>2649</v>
      </c>
      <c r="F756"/>
      <c r="H756" s="1">
        <v>140.75</v>
      </c>
      <c r="I756" t="s">
        <v>2650</v>
      </c>
      <c r="J756" t="s">
        <v>2651</v>
      </c>
      <c r="K756" s="170">
        <v>46053</v>
      </c>
      <c r="M756" s="1">
        <v>46041</v>
      </c>
      <c r="Y756"/>
      <c r="Z756"/>
      <c r="AB756"/>
    </row>
    <row r="757" spans="1:28" ht="14.4" hidden="1">
      <c r="A757" t="s">
        <v>182</v>
      </c>
      <c r="B757" s="1">
        <v>327</v>
      </c>
      <c r="C757" s="258" t="s">
        <v>2652</v>
      </c>
      <c r="D757" t="s">
        <v>1451</v>
      </c>
      <c r="E757" t="s">
        <v>2649</v>
      </c>
      <c r="F757"/>
      <c r="H757" s="1">
        <v>3127.77</v>
      </c>
      <c r="I757" t="s">
        <v>2653</v>
      </c>
      <c r="J757" t="s">
        <v>2654</v>
      </c>
      <c r="K757" s="170">
        <v>45900</v>
      </c>
      <c r="M757" s="1">
        <v>45883</v>
      </c>
      <c r="Y757"/>
      <c r="Z757"/>
      <c r="AB757"/>
    </row>
    <row r="758" spans="1:28" ht="14.4" hidden="1">
      <c r="A758" t="s">
        <v>182</v>
      </c>
      <c r="B758" s="1">
        <v>328</v>
      </c>
      <c r="C758" s="258" t="s">
        <v>2655</v>
      </c>
      <c r="D758" t="s">
        <v>1451</v>
      </c>
      <c r="E758" t="s">
        <v>2649</v>
      </c>
      <c r="F758"/>
      <c r="H758" s="1">
        <v>1495.89</v>
      </c>
      <c r="I758" t="s">
        <v>2656</v>
      </c>
      <c r="J758" t="s">
        <v>2657</v>
      </c>
      <c r="K758" s="170">
        <v>45900</v>
      </c>
      <c r="M758" s="1">
        <v>45888</v>
      </c>
      <c r="Y758"/>
      <c r="Z758"/>
      <c r="AB758"/>
    </row>
    <row r="759" spans="1:28" ht="14.4" hidden="1">
      <c r="A759" t="s">
        <v>182</v>
      </c>
      <c r="B759" s="1">
        <v>329</v>
      </c>
      <c r="C759" s="258" t="s">
        <v>2658</v>
      </c>
      <c r="D759" t="s">
        <v>1451</v>
      </c>
      <c r="E759" t="s">
        <v>2649</v>
      </c>
      <c r="F759"/>
      <c r="H759" s="1">
        <v>407.97</v>
      </c>
      <c r="I759" t="s">
        <v>2659</v>
      </c>
      <c r="J759" t="s">
        <v>2660</v>
      </c>
      <c r="K759" s="170">
        <v>45900</v>
      </c>
      <c r="M759" s="1">
        <v>45890</v>
      </c>
      <c r="Y759"/>
      <c r="Z759"/>
      <c r="AB759"/>
    </row>
    <row r="760" spans="1:28" ht="14.4" hidden="1">
      <c r="A760" t="s">
        <v>182</v>
      </c>
      <c r="B760" s="1">
        <v>330</v>
      </c>
      <c r="C760" s="258" t="s">
        <v>2661</v>
      </c>
      <c r="D760" t="s">
        <v>1451</v>
      </c>
      <c r="E760" t="s">
        <v>2649</v>
      </c>
      <c r="F760"/>
      <c r="H760" s="1">
        <v>951.93</v>
      </c>
      <c r="I760" t="s">
        <v>2662</v>
      </c>
      <c r="J760" t="s">
        <v>2663</v>
      </c>
      <c r="K760" s="170">
        <v>45900</v>
      </c>
      <c r="M760" s="1">
        <v>45901</v>
      </c>
      <c r="Y760"/>
      <c r="Z760"/>
      <c r="AB760"/>
    </row>
    <row r="761" spans="1:28" ht="14.4" hidden="1">
      <c r="A761" t="s">
        <v>182</v>
      </c>
      <c r="B761" s="1">
        <v>331</v>
      </c>
      <c r="C761" s="258" t="s">
        <v>2664</v>
      </c>
      <c r="D761" t="s">
        <v>1451</v>
      </c>
      <c r="E761" t="s">
        <v>2649</v>
      </c>
      <c r="F761"/>
      <c r="H761" s="1">
        <v>135.99</v>
      </c>
      <c r="I761" t="s">
        <v>2665</v>
      </c>
      <c r="J761" t="s">
        <v>2666</v>
      </c>
      <c r="K761" s="170">
        <v>45930</v>
      </c>
      <c r="M761" s="1">
        <v>45910</v>
      </c>
      <c r="Y761"/>
      <c r="Z761"/>
      <c r="AB761"/>
    </row>
    <row r="762" spans="1:28" ht="14.4" hidden="1">
      <c r="A762" t="s">
        <v>182</v>
      </c>
      <c r="B762" s="1">
        <v>332</v>
      </c>
      <c r="C762" s="258" t="s">
        <v>2667</v>
      </c>
      <c r="D762" t="s">
        <v>1451</v>
      </c>
      <c r="E762" t="s">
        <v>2649</v>
      </c>
      <c r="F762"/>
      <c r="H762" s="1">
        <v>2719.8</v>
      </c>
      <c r="I762" t="s">
        <v>2668</v>
      </c>
      <c r="J762" t="s">
        <v>2669</v>
      </c>
      <c r="K762" s="170">
        <v>45930</v>
      </c>
      <c r="M762" s="1">
        <v>45923</v>
      </c>
      <c r="Y762"/>
      <c r="Z762"/>
      <c r="AB762"/>
    </row>
    <row r="763" spans="1:28" ht="14.4" hidden="1">
      <c r="A763" t="s">
        <v>182</v>
      </c>
      <c r="B763" s="1">
        <v>333</v>
      </c>
      <c r="C763" s="258" t="s">
        <v>2670</v>
      </c>
      <c r="D763" t="s">
        <v>1451</v>
      </c>
      <c r="E763" t="s">
        <v>2649</v>
      </c>
      <c r="F763"/>
      <c r="H763" s="1">
        <v>271.98</v>
      </c>
      <c r="I763" t="s">
        <v>2671</v>
      </c>
      <c r="J763" t="s">
        <v>2672</v>
      </c>
      <c r="K763" s="170">
        <v>45930</v>
      </c>
      <c r="M763" s="1">
        <v>45930</v>
      </c>
      <c r="Y763"/>
      <c r="Z763"/>
      <c r="AB763"/>
    </row>
    <row r="764" spans="1:28" ht="14.4" hidden="1">
      <c r="A764" t="s">
        <v>182</v>
      </c>
      <c r="B764" s="1">
        <v>334</v>
      </c>
      <c r="C764" s="258" t="s">
        <v>2673</v>
      </c>
      <c r="D764" t="s">
        <v>1451</v>
      </c>
      <c r="E764" t="s">
        <v>2649</v>
      </c>
      <c r="F764"/>
      <c r="H764" s="1">
        <v>271.98</v>
      </c>
      <c r="I764" t="s">
        <v>2674</v>
      </c>
      <c r="J764" t="s">
        <v>2675</v>
      </c>
      <c r="K764" s="170">
        <v>45930</v>
      </c>
      <c r="M764" s="1">
        <v>45930</v>
      </c>
      <c r="Y764"/>
      <c r="Z764"/>
      <c r="AB764"/>
    </row>
    <row r="765" spans="1:28" ht="14.4" hidden="1">
      <c r="A765" t="s">
        <v>182</v>
      </c>
      <c r="B765" s="1">
        <v>335</v>
      </c>
      <c r="C765" s="258" t="s">
        <v>2676</v>
      </c>
      <c r="D765" t="s">
        <v>1451</v>
      </c>
      <c r="E765" t="s">
        <v>2649</v>
      </c>
      <c r="F765"/>
      <c r="H765" s="1">
        <v>271.98</v>
      </c>
      <c r="I765" t="s">
        <v>2677</v>
      </c>
      <c r="J765" t="s">
        <v>2678</v>
      </c>
      <c r="K765" s="170">
        <v>45961</v>
      </c>
      <c r="M765" s="1">
        <v>45932</v>
      </c>
      <c r="Y765"/>
      <c r="Z765"/>
      <c r="AB765"/>
    </row>
    <row r="766" spans="1:28" ht="14.4" hidden="1">
      <c r="A766" t="s">
        <v>182</v>
      </c>
      <c r="B766" s="1">
        <v>336</v>
      </c>
      <c r="C766" s="258" t="s">
        <v>2679</v>
      </c>
      <c r="D766" t="s">
        <v>1451</v>
      </c>
      <c r="E766" t="s">
        <v>2680</v>
      </c>
      <c r="F766"/>
      <c r="H766" s="1">
        <v>12722.45</v>
      </c>
      <c r="I766" t="s">
        <v>2681</v>
      </c>
      <c r="J766" t="s">
        <v>2682</v>
      </c>
      <c r="K766" s="170">
        <v>45961</v>
      </c>
      <c r="M766" s="1">
        <v>45960</v>
      </c>
      <c r="Y766"/>
      <c r="Z766"/>
      <c r="AB766"/>
    </row>
    <row r="767" spans="1:28" ht="14.4" hidden="1">
      <c r="A767" t="s">
        <v>182</v>
      </c>
      <c r="B767" s="1">
        <v>337</v>
      </c>
      <c r="C767" s="258" t="s">
        <v>2683</v>
      </c>
      <c r="D767" t="s">
        <v>1451</v>
      </c>
      <c r="E767" t="s">
        <v>2680</v>
      </c>
      <c r="F767"/>
      <c r="H767" s="1">
        <v>14381.9</v>
      </c>
      <c r="I767" t="s">
        <v>2684</v>
      </c>
      <c r="J767" t="s">
        <v>2685</v>
      </c>
      <c r="K767" s="170">
        <v>45991</v>
      </c>
      <c r="M767" s="1">
        <v>46009</v>
      </c>
      <c r="Y767"/>
      <c r="Z767"/>
      <c r="AB767"/>
    </row>
    <row r="768" spans="1:28" ht="14.4" hidden="1">
      <c r="A768" t="s">
        <v>182</v>
      </c>
      <c r="B768" s="1">
        <v>338</v>
      </c>
      <c r="C768" s="258" t="s">
        <v>2686</v>
      </c>
      <c r="D768" t="s">
        <v>1451</v>
      </c>
      <c r="E768" t="s">
        <v>2680</v>
      </c>
      <c r="F768"/>
      <c r="H768" s="1">
        <v>9126.98</v>
      </c>
      <c r="I768"/>
      <c r="J768" t="s">
        <v>2687</v>
      </c>
      <c r="K768" s="170">
        <v>45991</v>
      </c>
      <c r="M768" s="1">
        <v>45995</v>
      </c>
      <c r="Y768"/>
      <c r="Z768"/>
      <c r="AB768"/>
    </row>
    <row r="769" spans="1:28" ht="14.4" hidden="1">
      <c r="A769" t="s">
        <v>182</v>
      </c>
      <c r="B769" s="1">
        <v>339</v>
      </c>
      <c r="C769" s="258" t="s">
        <v>2688</v>
      </c>
      <c r="D769" t="s">
        <v>1451</v>
      </c>
      <c r="E769" t="s">
        <v>2680</v>
      </c>
      <c r="F769"/>
      <c r="H769" s="1">
        <v>1936.03</v>
      </c>
      <c r="I769" t="s">
        <v>2689</v>
      </c>
      <c r="J769" t="s">
        <v>2690</v>
      </c>
      <c r="K769" s="170">
        <v>46053</v>
      </c>
      <c r="M769" s="1">
        <v>46051</v>
      </c>
      <c r="Y769"/>
      <c r="Z769"/>
      <c r="AB769"/>
    </row>
    <row r="770" spans="1:28" ht="14.4" hidden="1">
      <c r="A770" t="s">
        <v>182</v>
      </c>
      <c r="B770" s="1">
        <v>340</v>
      </c>
      <c r="C770" s="258" t="s">
        <v>2691</v>
      </c>
      <c r="D770" t="s">
        <v>1451</v>
      </c>
      <c r="E770" t="s">
        <v>2680</v>
      </c>
      <c r="F770"/>
      <c r="H770" s="1">
        <v>5215.6099999999997</v>
      </c>
      <c r="I770" t="s">
        <v>2692</v>
      </c>
      <c r="J770" t="s">
        <v>2693</v>
      </c>
      <c r="K770" s="170">
        <v>46081</v>
      </c>
      <c r="M770" s="1">
        <v>46081</v>
      </c>
      <c r="Y770"/>
      <c r="Z770"/>
      <c r="AB770"/>
    </row>
    <row r="771" spans="1:28" ht="14.4" hidden="1">
      <c r="A771" t="s">
        <v>182</v>
      </c>
      <c r="B771" s="1">
        <v>343</v>
      </c>
      <c r="C771" s="258" t="s">
        <v>2694</v>
      </c>
      <c r="D771" t="s">
        <v>1451</v>
      </c>
      <c r="E771" t="s">
        <v>2695</v>
      </c>
      <c r="F771"/>
      <c r="H771" s="1">
        <v>319.08999999999997</v>
      </c>
      <c r="I771"/>
      <c r="J771" t="s">
        <v>2696</v>
      </c>
      <c r="K771" s="170">
        <v>46022</v>
      </c>
      <c r="M771" s="1">
        <v>46051</v>
      </c>
      <c r="Y771"/>
      <c r="Z771"/>
      <c r="AB771"/>
    </row>
    <row r="772" spans="1:28" ht="14.4" hidden="1">
      <c r="A772" t="s">
        <v>182</v>
      </c>
      <c r="B772" s="1">
        <v>347</v>
      </c>
      <c r="C772" s="258" t="s">
        <v>2697</v>
      </c>
      <c r="D772" t="s">
        <v>1451</v>
      </c>
      <c r="E772" t="s">
        <v>853</v>
      </c>
      <c r="F772"/>
      <c r="H772" s="1">
        <v>160210.04999999999</v>
      </c>
      <c r="I772" t="s">
        <v>2698</v>
      </c>
      <c r="J772" t="s">
        <v>2699</v>
      </c>
      <c r="K772" s="170">
        <v>45991</v>
      </c>
      <c r="M772" s="1">
        <v>46003</v>
      </c>
      <c r="Y772"/>
      <c r="Z772"/>
      <c r="AB772"/>
    </row>
    <row r="773" spans="1:28" ht="14.4" hidden="1">
      <c r="A773" t="s">
        <v>182</v>
      </c>
      <c r="B773" s="1">
        <v>348</v>
      </c>
      <c r="C773" s="258" t="s">
        <v>2700</v>
      </c>
      <c r="D773" t="s">
        <v>1451</v>
      </c>
      <c r="E773" t="s">
        <v>2701</v>
      </c>
      <c r="F773"/>
      <c r="H773" s="1">
        <v>1200</v>
      </c>
      <c r="I773" t="s">
        <v>2702</v>
      </c>
      <c r="J773" t="s">
        <v>2703</v>
      </c>
      <c r="K773" s="170">
        <v>45961</v>
      </c>
      <c r="M773" s="1">
        <v>45946</v>
      </c>
      <c r="Y773"/>
      <c r="Z773"/>
      <c r="AB773"/>
    </row>
    <row r="774" spans="1:28" ht="14.4" hidden="1">
      <c r="A774" t="s">
        <v>182</v>
      </c>
      <c r="B774" s="1">
        <v>349</v>
      </c>
      <c r="C774" s="258" t="s">
        <v>2704</v>
      </c>
      <c r="D774" t="s">
        <v>1451</v>
      </c>
      <c r="E774" t="s">
        <v>2701</v>
      </c>
      <c r="F774"/>
      <c r="H774" s="1">
        <v>1200</v>
      </c>
      <c r="I774" t="s">
        <v>2705</v>
      </c>
      <c r="J774" t="s">
        <v>2706</v>
      </c>
      <c r="K774" s="170">
        <v>46022</v>
      </c>
      <c r="M774" s="1">
        <v>46003</v>
      </c>
      <c r="Y774"/>
      <c r="Z774"/>
      <c r="AB774"/>
    </row>
    <row r="775" spans="1:28" ht="14.4" hidden="1">
      <c r="A775" t="s">
        <v>182</v>
      </c>
      <c r="B775" s="1">
        <v>350</v>
      </c>
      <c r="C775" s="258" t="s">
        <v>2707</v>
      </c>
      <c r="D775" t="s">
        <v>1451</v>
      </c>
      <c r="E775" t="s">
        <v>2701</v>
      </c>
      <c r="F775"/>
      <c r="H775" s="1">
        <v>1200</v>
      </c>
      <c r="I775" t="s">
        <v>2708</v>
      </c>
      <c r="J775" t="s">
        <v>2709</v>
      </c>
      <c r="K775" s="170">
        <v>46053</v>
      </c>
      <c r="M775" s="1">
        <v>46051</v>
      </c>
      <c r="Y775"/>
      <c r="Z775"/>
      <c r="AB775"/>
    </row>
    <row r="776" spans="1:28" ht="14.4" hidden="1">
      <c r="A776" t="s">
        <v>182</v>
      </c>
      <c r="B776" s="1">
        <v>351</v>
      </c>
      <c r="C776" s="258" t="s">
        <v>2710</v>
      </c>
      <c r="D776" t="s">
        <v>1451</v>
      </c>
      <c r="E776" t="s">
        <v>2701</v>
      </c>
      <c r="F776"/>
      <c r="H776" s="1">
        <v>1200</v>
      </c>
      <c r="I776" t="s">
        <v>2711</v>
      </c>
      <c r="J776"/>
      <c r="K776" s="170">
        <v>46081</v>
      </c>
      <c r="M776" s="1">
        <v>46053</v>
      </c>
      <c r="Y776"/>
      <c r="Z776"/>
      <c r="AB776"/>
    </row>
    <row r="777" spans="1:28" ht="14.4" hidden="1">
      <c r="A777" t="s">
        <v>182</v>
      </c>
      <c r="B777" s="1">
        <v>352</v>
      </c>
      <c r="C777" s="258" t="s">
        <v>2712</v>
      </c>
      <c r="D777" t="s">
        <v>1451</v>
      </c>
      <c r="E777" t="s">
        <v>2701</v>
      </c>
      <c r="F777"/>
      <c r="H777" s="1">
        <v>1200</v>
      </c>
      <c r="I777" t="s">
        <v>2713</v>
      </c>
      <c r="J777"/>
      <c r="K777" s="170">
        <v>46081</v>
      </c>
      <c r="M777" s="1">
        <v>46067</v>
      </c>
      <c r="Y777"/>
      <c r="Z777"/>
      <c r="AB777"/>
    </row>
    <row r="778" spans="1:28" ht="14.4" hidden="1">
      <c r="A778" t="s">
        <v>182</v>
      </c>
      <c r="B778" s="1">
        <v>353</v>
      </c>
      <c r="C778" s="258" t="s">
        <v>2714</v>
      </c>
      <c r="D778" t="s">
        <v>1451</v>
      </c>
      <c r="E778" t="s">
        <v>2715</v>
      </c>
      <c r="F778">
        <v>270</v>
      </c>
      <c r="G778">
        <v>1005.8</v>
      </c>
      <c r="H778" s="1">
        <v>271566</v>
      </c>
      <c r="I778"/>
      <c r="J778"/>
      <c r="K778" s="170">
        <v>46112</v>
      </c>
      <c r="M778" s="1">
        <v>46112</v>
      </c>
      <c r="Y778"/>
      <c r="Z778"/>
      <c r="AB778"/>
    </row>
    <row r="779" spans="1:28" ht="14.4" hidden="1">
      <c r="A779" t="s">
        <v>182</v>
      </c>
      <c r="B779" s="1">
        <v>354</v>
      </c>
      <c r="C779" s="258" t="s">
        <v>2716</v>
      </c>
      <c r="D779" t="s">
        <v>1451</v>
      </c>
      <c r="E779" t="s">
        <v>2717</v>
      </c>
      <c r="F779">
        <v>85</v>
      </c>
      <c r="G779">
        <v>1005.8</v>
      </c>
      <c r="H779" s="1">
        <v>85493</v>
      </c>
      <c r="I779"/>
      <c r="J779"/>
      <c r="K779" s="170">
        <v>46112</v>
      </c>
      <c r="M779" s="1">
        <v>46112</v>
      </c>
      <c r="Y779"/>
      <c r="Z779"/>
      <c r="AB779"/>
    </row>
    <row r="780" spans="1:28" ht="14.4" hidden="1">
      <c r="A780" t="s">
        <v>182</v>
      </c>
      <c r="B780" s="1">
        <v>355</v>
      </c>
      <c r="C780" s="258" t="s">
        <v>2718</v>
      </c>
      <c r="D780" t="s">
        <v>1451</v>
      </c>
      <c r="E780" t="s">
        <v>2719</v>
      </c>
      <c r="F780"/>
      <c r="H780" s="1">
        <v>250000</v>
      </c>
      <c r="I780"/>
      <c r="J780"/>
      <c r="K780" s="170">
        <v>46112</v>
      </c>
      <c r="M780" s="1">
        <v>46112</v>
      </c>
      <c r="Y780"/>
      <c r="Z780"/>
      <c r="AB780"/>
    </row>
    <row r="781" spans="1:28" ht="14.4" hidden="1">
      <c r="A781" t="s">
        <v>182</v>
      </c>
      <c r="B781" s="1">
        <v>357</v>
      </c>
      <c r="C781" s="258" t="s">
        <v>2720</v>
      </c>
      <c r="D781" t="s">
        <v>1451</v>
      </c>
      <c r="E781" t="s">
        <v>2721</v>
      </c>
      <c r="F781"/>
      <c r="H781" s="1">
        <v>1151150.17</v>
      </c>
      <c r="I781"/>
      <c r="J781"/>
      <c r="K781" s="170">
        <v>46081</v>
      </c>
      <c r="M781" s="1">
        <v>46081</v>
      </c>
      <c r="Y781"/>
      <c r="Z781"/>
      <c r="AB781"/>
    </row>
    <row r="782" spans="1:28" ht="14.4" hidden="1">
      <c r="A782" t="s">
        <v>182</v>
      </c>
      <c r="B782" s="1">
        <v>358</v>
      </c>
      <c r="C782" s="258" t="s">
        <v>2722</v>
      </c>
      <c r="D782" t="s">
        <v>1451</v>
      </c>
      <c r="E782" t="s">
        <v>2723</v>
      </c>
      <c r="F782"/>
      <c r="H782" s="1">
        <v>271125.69</v>
      </c>
      <c r="I782"/>
      <c r="J782" t="s">
        <v>2724</v>
      </c>
      <c r="K782" s="170">
        <v>46053</v>
      </c>
      <c r="M782" s="1">
        <v>46051</v>
      </c>
      <c r="Y782"/>
      <c r="Z782"/>
      <c r="AB782"/>
    </row>
    <row r="783" spans="1:28" ht="14.4" hidden="1">
      <c r="A783" t="s">
        <v>182</v>
      </c>
      <c r="B783" s="1">
        <v>359</v>
      </c>
      <c r="C783" s="258" t="s">
        <v>2725</v>
      </c>
      <c r="D783" t="s">
        <v>1451</v>
      </c>
      <c r="E783" t="s">
        <v>2726</v>
      </c>
      <c r="F783"/>
      <c r="H783" s="1">
        <v>1129.28</v>
      </c>
      <c r="I783"/>
      <c r="J783" t="s">
        <v>2727</v>
      </c>
      <c r="K783" s="170">
        <v>46081</v>
      </c>
      <c r="M783" s="1">
        <v>46065</v>
      </c>
      <c r="Y783"/>
      <c r="Z783"/>
      <c r="AB783"/>
    </row>
    <row r="784" spans="1:28" ht="14.4" hidden="1">
      <c r="A784" t="s">
        <v>184</v>
      </c>
      <c r="B784" s="1">
        <v>6</v>
      </c>
      <c r="C784" s="258" t="s">
        <v>2728</v>
      </c>
      <c r="D784" t="s">
        <v>1146</v>
      </c>
      <c r="E784" t="s">
        <v>2729</v>
      </c>
      <c r="F784">
        <v>415</v>
      </c>
      <c r="G784">
        <v>1233.8</v>
      </c>
      <c r="H784" s="1">
        <v>512027</v>
      </c>
      <c r="I784" t="s">
        <v>2730</v>
      </c>
      <c r="J784" t="s">
        <v>2731</v>
      </c>
      <c r="K784" s="170">
        <v>45838</v>
      </c>
      <c r="L784" s="1">
        <v>637269.77272727271</v>
      </c>
      <c r="M784" s="1">
        <v>45867</v>
      </c>
      <c r="N784" s="1">
        <v>512827</v>
      </c>
      <c r="Y784"/>
      <c r="Z784"/>
      <c r="AB784"/>
    </row>
    <row r="785" spans="1:28" ht="14.4" hidden="1">
      <c r="A785" t="s">
        <v>184</v>
      </c>
      <c r="B785" s="1">
        <v>8</v>
      </c>
      <c r="C785" s="258" t="s">
        <v>2732</v>
      </c>
      <c r="D785" t="s">
        <v>1146</v>
      </c>
      <c r="F785"/>
      <c r="G785">
        <v>800</v>
      </c>
      <c r="H785" s="1">
        <v>800</v>
      </c>
      <c r="I785"/>
      <c r="J785" t="s">
        <v>2733</v>
      </c>
      <c r="K785" s="170">
        <v>45930</v>
      </c>
      <c r="L785" s="1">
        <v>0</v>
      </c>
      <c r="M785" s="1">
        <v>45967</v>
      </c>
      <c r="Y785"/>
      <c r="Z785"/>
      <c r="AB785"/>
    </row>
    <row r="786" spans="1:28" ht="14.4" hidden="1">
      <c r="A786" t="s">
        <v>184</v>
      </c>
      <c r="B786" s="1">
        <v>13</v>
      </c>
      <c r="C786" s="258" t="s">
        <v>2734</v>
      </c>
      <c r="D786" t="s">
        <v>1157</v>
      </c>
      <c r="E786" t="s">
        <v>1369</v>
      </c>
      <c r="F786">
        <v>2</v>
      </c>
      <c r="G786">
        <v>68870</v>
      </c>
      <c r="H786" s="1">
        <v>137740.70000000001</v>
      </c>
      <c r="I786" t="s">
        <v>2730</v>
      </c>
      <c r="J786" t="s">
        <v>2731</v>
      </c>
      <c r="K786" s="170">
        <v>45838</v>
      </c>
      <c r="L786" s="1">
        <v>181818.18181818185</v>
      </c>
      <c r="M786" s="1">
        <v>45867</v>
      </c>
      <c r="N786" s="1">
        <v>137740.70000000001</v>
      </c>
      <c r="Y786"/>
      <c r="Z786"/>
      <c r="AB786"/>
    </row>
    <row r="787" spans="1:28" ht="14.4" hidden="1">
      <c r="A787" t="s">
        <v>184</v>
      </c>
      <c r="B787" s="1">
        <v>21</v>
      </c>
      <c r="C787" s="258" t="s">
        <v>2735</v>
      </c>
      <c r="D787" t="s">
        <v>1160</v>
      </c>
      <c r="E787" t="s">
        <v>1161</v>
      </c>
      <c r="F787"/>
      <c r="H787" s="1">
        <v>82657.399999999994</v>
      </c>
      <c r="I787" t="s">
        <v>2736</v>
      </c>
      <c r="J787" t="s">
        <v>2737</v>
      </c>
      <c r="K787" s="170">
        <v>45838</v>
      </c>
      <c r="L787" s="1">
        <v>131624.99999999997</v>
      </c>
      <c r="M787" s="1">
        <v>45867</v>
      </c>
      <c r="N787" s="1">
        <v>82657.399999999994</v>
      </c>
      <c r="Y787"/>
      <c r="Z787"/>
      <c r="AB787"/>
    </row>
    <row r="788" spans="1:28" ht="14.4" hidden="1">
      <c r="A788" t="s">
        <v>184</v>
      </c>
      <c r="B788" s="1">
        <v>28</v>
      </c>
      <c r="C788" s="258" t="s">
        <v>2738</v>
      </c>
      <c r="D788" t="s">
        <v>1165</v>
      </c>
      <c r="E788" t="s">
        <v>1953</v>
      </c>
      <c r="F788">
        <v>6000</v>
      </c>
      <c r="G788">
        <v>13.4</v>
      </c>
      <c r="H788" s="1">
        <v>80400</v>
      </c>
      <c r="I788" t="s">
        <v>2730</v>
      </c>
      <c r="J788" t="s">
        <v>2731</v>
      </c>
      <c r="K788" s="170">
        <v>45838</v>
      </c>
      <c r="L788" s="1">
        <v>90168.327477242987</v>
      </c>
      <c r="M788" s="1">
        <v>45867</v>
      </c>
      <c r="N788" s="1">
        <v>206242.264</v>
      </c>
      <c r="Y788"/>
      <c r="Z788"/>
      <c r="AB788"/>
    </row>
    <row r="789" spans="1:28" ht="14.4" hidden="1">
      <c r="A789" t="s">
        <v>184</v>
      </c>
      <c r="B789" s="1">
        <v>32</v>
      </c>
      <c r="C789" s="258" t="s">
        <v>2739</v>
      </c>
      <c r="D789" t="s">
        <v>1165</v>
      </c>
      <c r="E789" t="s">
        <v>1169</v>
      </c>
      <c r="F789">
        <v>125842.26</v>
      </c>
      <c r="G789">
        <v>0.1</v>
      </c>
      <c r="H789" s="1">
        <v>11730.4</v>
      </c>
      <c r="I789"/>
      <c r="J789" t="s">
        <v>2740</v>
      </c>
      <c r="K789" s="170">
        <v>45838</v>
      </c>
      <c r="L789" s="1">
        <v>13155.603838794166</v>
      </c>
      <c r="M789" s="1">
        <v>45827</v>
      </c>
      <c r="Y789"/>
      <c r="Z789"/>
      <c r="AB789"/>
    </row>
    <row r="790" spans="1:28" ht="14.4" hidden="1">
      <c r="A790" t="s">
        <v>184</v>
      </c>
      <c r="B790" s="1">
        <v>33</v>
      </c>
      <c r="C790" s="258" t="s">
        <v>2741</v>
      </c>
      <c r="D790" t="s">
        <v>2742</v>
      </c>
      <c r="E790" t="s">
        <v>2743</v>
      </c>
      <c r="F790"/>
      <c r="H790" s="1">
        <v>853.83</v>
      </c>
      <c r="I790"/>
      <c r="J790" t="s">
        <v>2744</v>
      </c>
      <c r="K790" s="170">
        <v>45838</v>
      </c>
      <c r="L790" s="1">
        <v>957.56745086933302</v>
      </c>
      <c r="M790" s="1">
        <v>45834</v>
      </c>
      <c r="Y790"/>
      <c r="Z790"/>
      <c r="AB790"/>
    </row>
    <row r="791" spans="1:28" ht="14.4" hidden="1">
      <c r="A791" t="s">
        <v>184</v>
      </c>
      <c r="B791" s="1">
        <v>34</v>
      </c>
      <c r="C791" s="258" t="s">
        <v>2745</v>
      </c>
      <c r="D791" t="s">
        <v>1165</v>
      </c>
      <c r="E791" t="s">
        <v>558</v>
      </c>
      <c r="F791"/>
      <c r="G791">
        <v>0.15</v>
      </c>
      <c r="H791" s="1">
        <v>18876.339</v>
      </c>
      <c r="I791"/>
      <c r="J791" t="s">
        <v>2746</v>
      </c>
      <c r="K791" s="170">
        <v>45838</v>
      </c>
      <c r="L791" s="1">
        <v>21169.750205515586</v>
      </c>
      <c r="M791" s="1">
        <v>45834</v>
      </c>
      <c r="Y791"/>
      <c r="Z791"/>
      <c r="AB791"/>
    </row>
    <row r="792" spans="1:28" ht="14.4" hidden="1">
      <c r="A792" t="s">
        <v>184</v>
      </c>
      <c r="B792" s="1">
        <v>35</v>
      </c>
      <c r="C792" s="258" t="s">
        <v>2747</v>
      </c>
      <c r="D792" t="s">
        <v>1165</v>
      </c>
      <c r="E792" t="s">
        <v>1175</v>
      </c>
      <c r="F792"/>
      <c r="G792">
        <v>0.2</v>
      </c>
      <c r="H792" s="1">
        <v>25168.452000000001</v>
      </c>
      <c r="I792"/>
      <c r="J792" t="s">
        <v>2748</v>
      </c>
      <c r="K792" s="170">
        <v>45869</v>
      </c>
      <c r="L792" s="1">
        <v>28226.333607354121</v>
      </c>
      <c r="M792" s="1">
        <v>45925</v>
      </c>
      <c r="Y792"/>
      <c r="Z792"/>
      <c r="AB792"/>
    </row>
    <row r="793" spans="1:28" ht="14.4" hidden="1">
      <c r="A793" t="s">
        <v>184</v>
      </c>
      <c r="B793" s="1">
        <v>36</v>
      </c>
      <c r="C793" s="258" t="s">
        <v>2749</v>
      </c>
      <c r="D793" t="s">
        <v>1165</v>
      </c>
      <c r="E793" t="s">
        <v>1178</v>
      </c>
      <c r="F793"/>
      <c r="G793">
        <v>0.25</v>
      </c>
      <c r="H793" s="1">
        <v>31460.564999999999</v>
      </c>
      <c r="I793"/>
      <c r="J793" t="s">
        <v>2748</v>
      </c>
      <c r="K793" s="170">
        <v>45869</v>
      </c>
      <c r="L793" s="1">
        <v>35282.917009192643</v>
      </c>
      <c r="M793" s="1">
        <v>45925</v>
      </c>
      <c r="Y793"/>
      <c r="Z793"/>
      <c r="AB793"/>
    </row>
    <row r="794" spans="1:28" ht="14.4" hidden="1">
      <c r="A794" t="s">
        <v>184</v>
      </c>
      <c r="B794" s="1">
        <v>37</v>
      </c>
      <c r="C794" s="258" t="s">
        <v>2750</v>
      </c>
      <c r="D794" t="s">
        <v>1165</v>
      </c>
      <c r="E794" t="s">
        <v>1181</v>
      </c>
      <c r="F794"/>
      <c r="G794">
        <v>0.1</v>
      </c>
      <c r="H794" s="1">
        <v>12584.226000000001</v>
      </c>
      <c r="I794"/>
      <c r="J794" t="s">
        <v>2748</v>
      </c>
      <c r="K794" s="170">
        <v>45869</v>
      </c>
      <c r="L794" s="1">
        <v>14113.166803677061</v>
      </c>
      <c r="M794" s="1">
        <v>45925</v>
      </c>
      <c r="Y794"/>
      <c r="Z794"/>
      <c r="AB794"/>
    </row>
    <row r="795" spans="1:28" ht="14.4" hidden="1">
      <c r="A795" t="s">
        <v>184</v>
      </c>
      <c r="B795" s="1">
        <v>38</v>
      </c>
      <c r="C795" s="258" t="s">
        <v>2751</v>
      </c>
      <c r="D795" t="s">
        <v>1165</v>
      </c>
      <c r="E795" t="s">
        <v>1184</v>
      </c>
      <c r="F795"/>
      <c r="G795">
        <v>0.1</v>
      </c>
      <c r="H795" s="1">
        <v>12584.226000000001</v>
      </c>
      <c r="I795"/>
      <c r="J795" t="s">
        <v>2748</v>
      </c>
      <c r="K795" s="170">
        <v>45869</v>
      </c>
      <c r="L795" s="1">
        <v>14113.166803677061</v>
      </c>
      <c r="M795" s="1">
        <v>45925</v>
      </c>
      <c r="Y795"/>
      <c r="Z795"/>
      <c r="AB795"/>
    </row>
    <row r="796" spans="1:28" ht="14.4" hidden="1">
      <c r="A796" t="s">
        <v>184</v>
      </c>
      <c r="B796" s="1">
        <v>39</v>
      </c>
      <c r="C796" s="258" t="s">
        <v>2752</v>
      </c>
      <c r="D796" t="s">
        <v>1165</v>
      </c>
      <c r="E796" t="s">
        <v>1187</v>
      </c>
      <c r="F796"/>
      <c r="G796">
        <v>0.05</v>
      </c>
      <c r="H796" s="1">
        <v>6292.1130000000003</v>
      </c>
      <c r="I796"/>
      <c r="J796" t="s">
        <v>2748</v>
      </c>
      <c r="K796" s="170">
        <v>45869</v>
      </c>
      <c r="L796" s="1">
        <v>7056.5834018385294</v>
      </c>
      <c r="M796" s="1">
        <v>46037</v>
      </c>
      <c r="Y796"/>
      <c r="Z796"/>
      <c r="AB796"/>
    </row>
    <row r="797" spans="1:28" ht="14.4" hidden="1">
      <c r="A797" t="s">
        <v>184</v>
      </c>
      <c r="B797" s="1">
        <v>40</v>
      </c>
      <c r="C797" s="258" t="s">
        <v>2753</v>
      </c>
      <c r="D797" t="s">
        <v>1165</v>
      </c>
      <c r="E797" t="s">
        <v>1190</v>
      </c>
      <c r="F797"/>
      <c r="G797">
        <v>0.05</v>
      </c>
      <c r="H797" s="1">
        <v>6292.1130000000003</v>
      </c>
      <c r="I797"/>
      <c r="J797" t="s">
        <v>2748</v>
      </c>
      <c r="K797" s="170">
        <v>45869</v>
      </c>
      <c r="L797" s="1">
        <v>7056.5834018385294</v>
      </c>
      <c r="M797" s="1">
        <v>46037</v>
      </c>
      <c r="Y797"/>
      <c r="Z797"/>
      <c r="AB797"/>
    </row>
    <row r="798" spans="1:28" ht="14.4" hidden="1">
      <c r="A798" t="s">
        <v>184</v>
      </c>
      <c r="B798" s="1">
        <v>45</v>
      </c>
      <c r="C798" s="258" t="s">
        <v>2754</v>
      </c>
      <c r="D798" t="s">
        <v>1193</v>
      </c>
      <c r="E798" t="s">
        <v>2755</v>
      </c>
      <c r="F798"/>
      <c r="H798" s="1">
        <v>8598.35</v>
      </c>
      <c r="I798" t="s">
        <v>2730</v>
      </c>
      <c r="J798" t="s">
        <v>2756</v>
      </c>
      <c r="K798" s="170">
        <v>45808</v>
      </c>
      <c r="L798" s="1">
        <v>9244.4168858984049</v>
      </c>
      <c r="M798" s="1">
        <v>45855</v>
      </c>
      <c r="N798" s="1">
        <v>101514.84</v>
      </c>
      <c r="Y798"/>
      <c r="Z798"/>
      <c r="AB798"/>
    </row>
    <row r="799" spans="1:28" ht="14.4" hidden="1">
      <c r="A799" t="s">
        <v>184</v>
      </c>
      <c r="B799" s="1">
        <v>46</v>
      </c>
      <c r="C799" s="258" t="s">
        <v>2757</v>
      </c>
      <c r="D799" t="s">
        <v>1193</v>
      </c>
      <c r="F799"/>
      <c r="H799" s="1">
        <v>8598.34</v>
      </c>
      <c r="I799"/>
      <c r="J799" t="s">
        <v>2758</v>
      </c>
      <c r="K799" s="170">
        <v>45930</v>
      </c>
      <c r="L799" s="1">
        <v>0</v>
      </c>
      <c r="M799" s="1">
        <v>45967</v>
      </c>
      <c r="Y799"/>
      <c r="Z799"/>
      <c r="AB799"/>
    </row>
    <row r="800" spans="1:28" ht="14.4" hidden="1">
      <c r="A800" t="s">
        <v>184</v>
      </c>
      <c r="B800" s="1">
        <v>47</v>
      </c>
      <c r="C800" s="258" t="s">
        <v>2759</v>
      </c>
      <c r="D800" t="s">
        <v>1193</v>
      </c>
      <c r="E800" t="s">
        <v>2760</v>
      </c>
      <c r="F800"/>
      <c r="H800" s="1">
        <v>-8598.35</v>
      </c>
      <c r="I800"/>
      <c r="J800"/>
      <c r="K800" s="170"/>
      <c r="L800" s="1">
        <v>0</v>
      </c>
      <c r="Y800"/>
      <c r="Z800"/>
      <c r="AB800"/>
    </row>
    <row r="801" spans="1:28" ht="14.4" hidden="1">
      <c r="A801" t="s">
        <v>184</v>
      </c>
      <c r="B801" s="1">
        <v>48</v>
      </c>
      <c r="C801" s="258" t="s">
        <v>2761</v>
      </c>
      <c r="D801" t="s">
        <v>1193</v>
      </c>
      <c r="E801" t="s">
        <v>1196</v>
      </c>
      <c r="F801"/>
      <c r="H801" s="1">
        <v>27555</v>
      </c>
      <c r="I801" t="s">
        <v>2762</v>
      </c>
      <c r="J801" t="s">
        <v>2763</v>
      </c>
      <c r="K801" s="170">
        <v>45777</v>
      </c>
      <c r="L801" s="1">
        <v>10673.10702236444</v>
      </c>
      <c r="M801" s="1">
        <v>45808</v>
      </c>
      <c r="Y801"/>
      <c r="Z801"/>
      <c r="AB801"/>
    </row>
    <row r="802" spans="1:28" ht="14.4" hidden="1">
      <c r="A802" t="s">
        <v>184</v>
      </c>
      <c r="B802" s="1">
        <v>49</v>
      </c>
      <c r="C802" s="258" t="s">
        <v>2764</v>
      </c>
      <c r="D802" t="s">
        <v>1193</v>
      </c>
      <c r="F802"/>
      <c r="H802" s="1">
        <v>214.29</v>
      </c>
      <c r="I802"/>
      <c r="J802" t="s">
        <v>2765</v>
      </c>
      <c r="K802" s="170">
        <v>45838</v>
      </c>
      <c r="L802" s="1">
        <v>117.96083365230804</v>
      </c>
      <c r="M802" s="1">
        <v>45867</v>
      </c>
      <c r="Y802"/>
      <c r="Z802"/>
      <c r="AB802"/>
    </row>
    <row r="803" spans="1:28" ht="14.4" hidden="1">
      <c r="A803" t="s">
        <v>184</v>
      </c>
      <c r="B803" s="1">
        <v>50</v>
      </c>
      <c r="C803" s="258" t="s">
        <v>2766</v>
      </c>
      <c r="D803" t="s">
        <v>1193</v>
      </c>
      <c r="E803" t="s">
        <v>1200</v>
      </c>
      <c r="F803"/>
      <c r="H803" s="1">
        <v>11169</v>
      </c>
      <c r="I803"/>
      <c r="J803" t="s">
        <v>1691</v>
      </c>
      <c r="K803" s="170">
        <v>45900</v>
      </c>
      <c r="L803" s="1">
        <v>7650.3580467658412</v>
      </c>
      <c r="M803" s="1">
        <v>45930</v>
      </c>
      <c r="Y803"/>
      <c r="Z803"/>
      <c r="AB803"/>
    </row>
    <row r="804" spans="1:28" ht="14.4" hidden="1">
      <c r="A804" t="s">
        <v>184</v>
      </c>
      <c r="B804" s="1">
        <v>51</v>
      </c>
      <c r="C804" s="258" t="s">
        <v>2767</v>
      </c>
      <c r="D804" t="s">
        <v>1193</v>
      </c>
      <c r="E804" t="s">
        <v>2768</v>
      </c>
      <c r="F804"/>
      <c r="H804" s="1">
        <v>2250.5</v>
      </c>
      <c r="I804"/>
      <c r="J804" t="s">
        <v>2769</v>
      </c>
      <c r="K804" s="170">
        <v>45808</v>
      </c>
      <c r="L804" s="1">
        <v>1267.6392466245686</v>
      </c>
      <c r="M804" s="1">
        <v>45799</v>
      </c>
      <c r="Y804"/>
      <c r="Z804"/>
      <c r="AB804"/>
    </row>
    <row r="805" spans="1:28" ht="14.4" hidden="1">
      <c r="A805" t="s">
        <v>184</v>
      </c>
      <c r="B805" s="1">
        <v>52</v>
      </c>
      <c r="C805" s="258" t="s">
        <v>2770</v>
      </c>
      <c r="D805" t="s">
        <v>1193</v>
      </c>
      <c r="E805" t="s">
        <v>2771</v>
      </c>
      <c r="F805"/>
      <c r="H805" s="1">
        <v>44000</v>
      </c>
      <c r="I805" t="s">
        <v>2772</v>
      </c>
      <c r="J805" t="s">
        <v>2773</v>
      </c>
      <c r="K805" s="170">
        <v>45869</v>
      </c>
      <c r="L805" s="1">
        <v>22474.819277098901</v>
      </c>
      <c r="M805" s="1">
        <v>45900</v>
      </c>
      <c r="Y805"/>
      <c r="Z805"/>
      <c r="AB805"/>
    </row>
    <row r="806" spans="1:28" ht="14.4" hidden="1">
      <c r="A806" t="s">
        <v>184</v>
      </c>
      <c r="B806" s="1">
        <v>53</v>
      </c>
      <c r="C806" s="258" t="s">
        <v>2774</v>
      </c>
      <c r="D806" t="s">
        <v>1193</v>
      </c>
      <c r="E806" t="s">
        <v>2771</v>
      </c>
      <c r="F806"/>
      <c r="H806" s="1">
        <v>-44000</v>
      </c>
      <c r="I806"/>
      <c r="J806" t="s">
        <v>2775</v>
      </c>
      <c r="K806" s="170">
        <v>45961</v>
      </c>
      <c r="M806" s="1">
        <v>45961</v>
      </c>
      <c r="Y806"/>
      <c r="Z806"/>
      <c r="AB806"/>
    </row>
    <row r="807" spans="1:28" ht="14.4" hidden="1">
      <c r="A807" t="s">
        <v>184</v>
      </c>
      <c r="B807" s="1">
        <v>54</v>
      </c>
      <c r="C807" s="258" t="s">
        <v>2776</v>
      </c>
      <c r="D807" t="s">
        <v>1193</v>
      </c>
      <c r="E807" t="s">
        <v>2777</v>
      </c>
      <c r="F807"/>
      <c r="H807" s="1">
        <v>44000</v>
      </c>
      <c r="I807" t="s">
        <v>2778</v>
      </c>
      <c r="J807" t="s">
        <v>2779</v>
      </c>
      <c r="K807" s="170">
        <v>45961</v>
      </c>
      <c r="M807" s="1">
        <v>45961</v>
      </c>
      <c r="Y807"/>
      <c r="Z807"/>
      <c r="AB807"/>
    </row>
    <row r="808" spans="1:28" ht="14.4" hidden="1">
      <c r="A808" t="s">
        <v>184</v>
      </c>
      <c r="B808" s="1">
        <v>55</v>
      </c>
      <c r="C808" s="258" t="s">
        <v>2780</v>
      </c>
      <c r="D808" t="s">
        <v>1193</v>
      </c>
      <c r="E808" t="s">
        <v>2781</v>
      </c>
      <c r="F808"/>
      <c r="H808" s="1">
        <v>193.15</v>
      </c>
      <c r="I808"/>
      <c r="J808" t="s">
        <v>2782</v>
      </c>
      <c r="K808" s="170">
        <v>45900</v>
      </c>
      <c r="L808" s="1">
        <v>105.9445310889804</v>
      </c>
      <c r="M808" s="1">
        <v>45930</v>
      </c>
      <c r="Y808"/>
      <c r="Z808"/>
      <c r="AB808"/>
    </row>
    <row r="809" spans="1:28" ht="14.4" hidden="1">
      <c r="A809" t="s">
        <v>184</v>
      </c>
      <c r="B809" s="1">
        <v>56</v>
      </c>
      <c r="C809" s="258" t="s">
        <v>2783</v>
      </c>
      <c r="D809" t="s">
        <v>1193</v>
      </c>
      <c r="E809" t="s">
        <v>2784</v>
      </c>
      <c r="F809"/>
      <c r="H809" s="1">
        <v>7534.56</v>
      </c>
      <c r="I809" t="s">
        <v>2785</v>
      </c>
      <c r="J809" t="s">
        <v>2786</v>
      </c>
      <c r="K809" s="170">
        <v>45838</v>
      </c>
      <c r="L809" s="1">
        <v>4147.5709496632326</v>
      </c>
      <c r="M809" s="1">
        <v>45813</v>
      </c>
      <c r="Y809"/>
      <c r="Z809"/>
      <c r="AB809"/>
    </row>
    <row r="810" spans="1:28" ht="14.4" hidden="1">
      <c r="A810" t="s">
        <v>184</v>
      </c>
      <c r="B810" s="1">
        <v>60</v>
      </c>
      <c r="C810" s="258" t="s">
        <v>2787</v>
      </c>
      <c r="D810" t="s">
        <v>1211</v>
      </c>
      <c r="E810" t="s">
        <v>1212</v>
      </c>
      <c r="F810"/>
      <c r="H810" s="1">
        <v>99474.36</v>
      </c>
      <c r="I810" t="s">
        <v>2788</v>
      </c>
      <c r="J810" t="s">
        <v>2789</v>
      </c>
      <c r="K810" s="170">
        <v>45900</v>
      </c>
      <c r="L810" s="1">
        <v>165848.36050240585</v>
      </c>
      <c r="M810" s="1">
        <v>45930</v>
      </c>
      <c r="Y810"/>
      <c r="Z810"/>
      <c r="AB810"/>
    </row>
    <row r="811" spans="1:28" ht="14.4" hidden="1">
      <c r="A811" t="s">
        <v>184</v>
      </c>
      <c r="B811" s="1">
        <v>65</v>
      </c>
      <c r="C811" s="258" t="s">
        <v>2790</v>
      </c>
      <c r="D811" t="s">
        <v>1211</v>
      </c>
      <c r="E811" t="s">
        <v>1169</v>
      </c>
      <c r="F811">
        <v>108910.56</v>
      </c>
      <c r="G811">
        <v>0.1</v>
      </c>
      <c r="H811" s="1">
        <v>9472.6299999999992</v>
      </c>
      <c r="I811"/>
      <c r="J811" t="s">
        <v>2740</v>
      </c>
      <c r="K811" s="170">
        <v>45838</v>
      </c>
      <c r="L811" s="1">
        <v>16036.987228298114</v>
      </c>
      <c r="M811" s="1">
        <v>45827</v>
      </c>
      <c r="Y811"/>
      <c r="Z811"/>
      <c r="AB811"/>
    </row>
    <row r="812" spans="1:28" ht="14.4" hidden="1">
      <c r="A812" t="s">
        <v>184</v>
      </c>
      <c r="B812" s="1">
        <v>66</v>
      </c>
      <c r="C812" s="258" t="s">
        <v>2791</v>
      </c>
      <c r="D812" t="s">
        <v>1211</v>
      </c>
      <c r="E812" t="s">
        <v>2743</v>
      </c>
      <c r="F812"/>
      <c r="H812" s="1">
        <v>1418.43</v>
      </c>
      <c r="I812"/>
      <c r="J812" t="s">
        <v>2744</v>
      </c>
      <c r="K812" s="170">
        <v>45838</v>
      </c>
      <c r="L812" s="1">
        <v>2401.3757313686801</v>
      </c>
      <c r="M812" s="1">
        <v>45834</v>
      </c>
      <c r="Y812"/>
      <c r="Z812"/>
      <c r="AB812"/>
    </row>
    <row r="813" spans="1:28" ht="14.4" hidden="1">
      <c r="A813" t="s">
        <v>184</v>
      </c>
      <c r="B813" s="1">
        <v>67</v>
      </c>
      <c r="C813" s="258" t="s">
        <v>2792</v>
      </c>
      <c r="D813" t="s">
        <v>1211</v>
      </c>
      <c r="E813" t="s">
        <v>558</v>
      </c>
      <c r="F813"/>
      <c r="G813">
        <v>0.15</v>
      </c>
      <c r="H813" s="1">
        <v>16336.584000000001</v>
      </c>
      <c r="I813"/>
      <c r="J813" t="s">
        <v>2746</v>
      </c>
      <c r="K813" s="170">
        <v>45838</v>
      </c>
      <c r="L813" s="1">
        <v>27657.534281611268</v>
      </c>
      <c r="M813" s="1">
        <v>45834</v>
      </c>
      <c r="Y813"/>
      <c r="Z813"/>
      <c r="AB813"/>
    </row>
    <row r="814" spans="1:28" ht="14.4" hidden="1">
      <c r="A814" t="s">
        <v>184</v>
      </c>
      <c r="B814" s="1">
        <v>68</v>
      </c>
      <c r="C814" s="258" t="s">
        <v>2793</v>
      </c>
      <c r="D814" t="s">
        <v>1211</v>
      </c>
      <c r="E814" t="s">
        <v>1175</v>
      </c>
      <c r="F814"/>
      <c r="G814">
        <v>0.2</v>
      </c>
      <c r="H814" s="1">
        <v>21782.112000000001</v>
      </c>
      <c r="I814"/>
      <c r="J814" t="s">
        <v>2748</v>
      </c>
      <c r="K814" s="170">
        <v>45869</v>
      </c>
      <c r="L814" s="1">
        <v>36436.626695684194</v>
      </c>
      <c r="M814" s="1">
        <v>45925</v>
      </c>
      <c r="Y814"/>
      <c r="Z814"/>
      <c r="AB814"/>
    </row>
    <row r="815" spans="1:28" ht="14.4" hidden="1">
      <c r="A815" t="s">
        <v>184</v>
      </c>
      <c r="B815" s="1">
        <v>69</v>
      </c>
      <c r="C815" s="258" t="s">
        <v>2794</v>
      </c>
      <c r="D815" t="s">
        <v>1211</v>
      </c>
      <c r="E815" t="s">
        <v>1178</v>
      </c>
      <c r="F815"/>
      <c r="G815">
        <v>0.25</v>
      </c>
      <c r="H815" s="1">
        <v>27227.64</v>
      </c>
      <c r="I815"/>
      <c r="J815" t="s">
        <v>2748</v>
      </c>
      <c r="K815" s="170">
        <v>45869</v>
      </c>
      <c r="L815" s="1">
        <v>45545.783369605248</v>
      </c>
      <c r="M815" s="1">
        <v>45925</v>
      </c>
      <c r="Y815"/>
      <c r="Z815"/>
      <c r="AB815"/>
    </row>
    <row r="816" spans="1:28" ht="14.4" hidden="1">
      <c r="A816" t="s">
        <v>184</v>
      </c>
      <c r="B816" s="1">
        <v>70</v>
      </c>
      <c r="C816" s="258" t="s">
        <v>2795</v>
      </c>
      <c r="D816" t="s">
        <v>1211</v>
      </c>
      <c r="E816" t="s">
        <v>1181</v>
      </c>
      <c r="F816"/>
      <c r="G816">
        <v>0.1</v>
      </c>
      <c r="H816" s="1">
        <v>10891.056</v>
      </c>
      <c r="I816"/>
      <c r="J816" t="s">
        <v>2748</v>
      </c>
      <c r="K816" s="170">
        <v>45869</v>
      </c>
      <c r="L816" s="1">
        <v>18218.313347842097</v>
      </c>
      <c r="M816" s="1">
        <v>45925</v>
      </c>
      <c r="Y816"/>
      <c r="Z816"/>
      <c r="AB816"/>
    </row>
    <row r="817" spans="1:28" ht="14.4" hidden="1">
      <c r="A817" t="s">
        <v>184</v>
      </c>
      <c r="B817" s="1">
        <v>71</v>
      </c>
      <c r="C817" s="258" t="s">
        <v>2796</v>
      </c>
      <c r="D817" t="s">
        <v>1211</v>
      </c>
      <c r="E817" t="s">
        <v>1184</v>
      </c>
      <c r="F817"/>
      <c r="G817">
        <v>0.1</v>
      </c>
      <c r="H817" s="1">
        <v>10891.056</v>
      </c>
      <c r="I817"/>
      <c r="J817" t="s">
        <v>2748</v>
      </c>
      <c r="K817" s="170">
        <v>45869</v>
      </c>
      <c r="L817" s="1">
        <v>18218.313347842097</v>
      </c>
      <c r="M817" s="1">
        <v>45925</v>
      </c>
      <c r="Y817"/>
      <c r="Z817"/>
      <c r="AB817"/>
    </row>
    <row r="818" spans="1:28" ht="14.4" hidden="1">
      <c r="A818" t="s">
        <v>184</v>
      </c>
      <c r="B818" s="1">
        <v>72</v>
      </c>
      <c r="C818" s="258" t="s">
        <v>2797</v>
      </c>
      <c r="D818" t="s">
        <v>1211</v>
      </c>
      <c r="E818" t="s">
        <v>1187</v>
      </c>
      <c r="F818"/>
      <c r="G818">
        <v>0.05</v>
      </c>
      <c r="H818" s="1">
        <v>5445.5280000000002</v>
      </c>
      <c r="I818"/>
      <c r="J818" t="s">
        <v>2748</v>
      </c>
      <c r="K818" s="170">
        <v>45869</v>
      </c>
      <c r="L818" s="1">
        <v>9109.1566739210484</v>
      </c>
      <c r="M818" s="1">
        <v>46009</v>
      </c>
      <c r="Y818"/>
      <c r="Z818"/>
      <c r="AB818"/>
    </row>
    <row r="819" spans="1:28" ht="14.4" hidden="1">
      <c r="A819" t="s">
        <v>184</v>
      </c>
      <c r="B819" s="1">
        <v>73</v>
      </c>
      <c r="C819" s="258" t="s">
        <v>2798</v>
      </c>
      <c r="D819" t="s">
        <v>1211</v>
      </c>
      <c r="E819" t="s">
        <v>1190</v>
      </c>
      <c r="F819"/>
      <c r="G819">
        <v>0.05</v>
      </c>
      <c r="H819" s="1">
        <v>5445.5280000000002</v>
      </c>
      <c r="I819"/>
      <c r="J819" t="s">
        <v>2748</v>
      </c>
      <c r="K819" s="170">
        <v>45869</v>
      </c>
      <c r="L819" s="1">
        <v>9109.1566739210484</v>
      </c>
      <c r="M819" s="1">
        <v>46037</v>
      </c>
      <c r="Y819"/>
      <c r="Z819"/>
      <c r="AB819"/>
    </row>
    <row r="820" spans="1:28" ht="14.4" hidden="1">
      <c r="A820" t="s">
        <v>184</v>
      </c>
      <c r="B820" s="1">
        <v>89</v>
      </c>
      <c r="C820" s="258" t="s">
        <v>2799</v>
      </c>
      <c r="D820" t="s">
        <v>1224</v>
      </c>
      <c r="E820" t="s">
        <v>2800</v>
      </c>
      <c r="F820"/>
      <c r="H820" s="1">
        <v>5203</v>
      </c>
      <c r="I820" t="s">
        <v>2801</v>
      </c>
      <c r="J820" t="s">
        <v>2802</v>
      </c>
      <c r="K820" s="170">
        <v>45961</v>
      </c>
      <c r="L820" s="1">
        <v>16658.266861800592</v>
      </c>
      <c r="M820" s="1">
        <v>46065</v>
      </c>
      <c r="Y820"/>
      <c r="Z820"/>
      <c r="AB820"/>
    </row>
    <row r="821" spans="1:28" ht="14.4" hidden="1">
      <c r="A821" t="s">
        <v>184</v>
      </c>
      <c r="B821" s="1">
        <v>91</v>
      </c>
      <c r="C821" s="258" t="s">
        <v>2803</v>
      </c>
      <c r="D821" t="s">
        <v>1224</v>
      </c>
      <c r="E821" t="s">
        <v>2804</v>
      </c>
      <c r="F821">
        <v>0.75</v>
      </c>
      <c r="G821">
        <v>35400</v>
      </c>
      <c r="H821" s="1">
        <v>26550</v>
      </c>
      <c r="I821" t="s">
        <v>2805</v>
      </c>
      <c r="J821" t="s">
        <v>2806</v>
      </c>
      <c r="K821" s="170">
        <v>45991</v>
      </c>
      <c r="L821" s="1">
        <v>188952.71623262769</v>
      </c>
      <c r="M821" s="1">
        <v>45989</v>
      </c>
      <c r="Y821"/>
      <c r="Z821"/>
      <c r="AB821"/>
    </row>
    <row r="822" spans="1:28" ht="14.4" hidden="1">
      <c r="A822" t="s">
        <v>184</v>
      </c>
      <c r="B822" s="1">
        <v>92</v>
      </c>
      <c r="C822" s="258" t="s">
        <v>2807</v>
      </c>
      <c r="D822" t="s">
        <v>1224</v>
      </c>
      <c r="E822" t="s">
        <v>2808</v>
      </c>
      <c r="F822">
        <v>0.25</v>
      </c>
      <c r="H822" s="1">
        <v>8850</v>
      </c>
      <c r="I822"/>
      <c r="J822" t="s">
        <v>2809</v>
      </c>
      <c r="K822" s="170">
        <v>46022</v>
      </c>
      <c r="L822" s="1">
        <v>51172.215410875899</v>
      </c>
      <c r="M822" s="1">
        <v>46031</v>
      </c>
      <c r="Y822"/>
      <c r="Z822"/>
      <c r="AB822"/>
    </row>
    <row r="823" spans="1:28" ht="14.4" hidden="1">
      <c r="A823" t="s">
        <v>184</v>
      </c>
      <c r="B823" s="1">
        <v>93</v>
      </c>
      <c r="C823" s="258" t="s">
        <v>2810</v>
      </c>
      <c r="D823" t="s">
        <v>1224</v>
      </c>
      <c r="E823" t="s">
        <v>2811</v>
      </c>
      <c r="F823"/>
      <c r="H823" s="1">
        <v>8529.2199999999993</v>
      </c>
      <c r="I823"/>
      <c r="J823" t="s">
        <v>2812</v>
      </c>
      <c r="K823" s="170">
        <v>45961</v>
      </c>
      <c r="L823" s="1">
        <v>27307.711490103185</v>
      </c>
      <c r="M823" s="1">
        <v>45989</v>
      </c>
      <c r="Y823"/>
      <c r="Z823"/>
      <c r="AB823"/>
    </row>
    <row r="824" spans="1:28" ht="14.4" hidden="1">
      <c r="A824" t="s">
        <v>184</v>
      </c>
      <c r="B824" s="1">
        <v>98</v>
      </c>
      <c r="C824" s="258" t="s">
        <v>2813</v>
      </c>
      <c r="D824" t="s">
        <v>1246</v>
      </c>
      <c r="E824" t="s">
        <v>1169</v>
      </c>
      <c r="F824">
        <v>289124</v>
      </c>
      <c r="G824">
        <v>0.1</v>
      </c>
      <c r="H824" s="1">
        <v>21065</v>
      </c>
      <c r="I824"/>
      <c r="J824" t="s">
        <v>2740</v>
      </c>
      <c r="K824" s="170">
        <v>45838</v>
      </c>
      <c r="L824" s="1">
        <v>18055.929798490695</v>
      </c>
      <c r="M824" s="1">
        <v>45827</v>
      </c>
      <c r="Y824"/>
      <c r="Z824"/>
      <c r="AB824"/>
    </row>
    <row r="825" spans="1:28" ht="14.4" hidden="1">
      <c r="A825" t="s">
        <v>184</v>
      </c>
      <c r="B825" s="1">
        <v>99</v>
      </c>
      <c r="C825" s="258" t="s">
        <v>2814</v>
      </c>
      <c r="D825" t="s">
        <v>1246</v>
      </c>
      <c r="E825" t="s">
        <v>2743</v>
      </c>
      <c r="F825"/>
      <c r="H825" s="1">
        <v>7847.4</v>
      </c>
      <c r="I825"/>
      <c r="J825" t="s">
        <v>2744</v>
      </c>
      <c r="K825" s="170">
        <v>45838</v>
      </c>
      <c r="L825" s="1">
        <v>6726.4231426857759</v>
      </c>
      <c r="M825" s="1">
        <v>45834</v>
      </c>
      <c r="Y825"/>
      <c r="Z825"/>
      <c r="AB825"/>
    </row>
    <row r="826" spans="1:28" ht="14.4" hidden="1">
      <c r="A826" t="s">
        <v>184</v>
      </c>
      <c r="B826" s="1">
        <v>100</v>
      </c>
      <c r="C826" s="258" t="s">
        <v>2815</v>
      </c>
      <c r="D826" t="s">
        <v>1246</v>
      </c>
      <c r="E826" t="s">
        <v>558</v>
      </c>
      <c r="F826"/>
      <c r="G826">
        <v>0.15</v>
      </c>
      <c r="H826" s="1">
        <v>43368.6</v>
      </c>
      <c r="I826"/>
      <c r="J826" t="s">
        <v>2746</v>
      </c>
      <c r="K826" s="170">
        <v>45838</v>
      </c>
      <c r="L826" s="1">
        <v>37173.529411764706</v>
      </c>
      <c r="M826" s="1">
        <v>45834</v>
      </c>
      <c r="Y826"/>
      <c r="Z826"/>
      <c r="AB826"/>
    </row>
    <row r="827" spans="1:28" ht="14.4" hidden="1">
      <c r="A827" t="s">
        <v>184</v>
      </c>
      <c r="B827" s="1">
        <v>101</v>
      </c>
      <c r="C827" s="258" t="s">
        <v>2816</v>
      </c>
      <c r="D827" t="s">
        <v>1246</v>
      </c>
      <c r="E827" t="s">
        <v>1175</v>
      </c>
      <c r="F827"/>
      <c r="G827">
        <v>0.2</v>
      </c>
      <c r="H827" s="1">
        <v>57824.800000000003</v>
      </c>
      <c r="I827"/>
      <c r="J827" t="s">
        <v>2748</v>
      </c>
      <c r="K827" s="170">
        <v>45900</v>
      </c>
      <c r="L827" s="1">
        <v>49564.705882352944</v>
      </c>
      <c r="M827" s="1">
        <v>45925</v>
      </c>
      <c r="Y827"/>
      <c r="Z827"/>
      <c r="AB827"/>
    </row>
    <row r="828" spans="1:28" ht="14.4" hidden="1">
      <c r="A828" t="s">
        <v>184</v>
      </c>
      <c r="B828" s="1">
        <v>102</v>
      </c>
      <c r="C828" s="258" t="s">
        <v>2817</v>
      </c>
      <c r="D828" t="s">
        <v>1246</v>
      </c>
      <c r="E828" t="s">
        <v>1178</v>
      </c>
      <c r="F828"/>
      <c r="G828">
        <v>0.25</v>
      </c>
      <c r="H828" s="1">
        <v>72281</v>
      </c>
      <c r="I828"/>
      <c r="J828" t="s">
        <v>2748</v>
      </c>
      <c r="K828" s="170">
        <v>45900</v>
      </c>
      <c r="L828" s="1">
        <v>61955.882352941175</v>
      </c>
      <c r="M828" s="1">
        <v>45925</v>
      </c>
      <c r="Y828"/>
      <c r="Z828"/>
      <c r="AB828"/>
    </row>
    <row r="829" spans="1:28" ht="14.4" hidden="1">
      <c r="A829" t="s">
        <v>184</v>
      </c>
      <c r="B829" s="1">
        <v>103</v>
      </c>
      <c r="C829" s="258" t="s">
        <v>2818</v>
      </c>
      <c r="D829" t="s">
        <v>1246</v>
      </c>
      <c r="E829" t="s">
        <v>1181</v>
      </c>
      <c r="F829"/>
      <c r="G829">
        <v>0.1</v>
      </c>
      <c r="H829" s="1">
        <v>28912.400000000001</v>
      </c>
      <c r="I829"/>
      <c r="J829" t="s">
        <v>2748</v>
      </c>
      <c r="K829" s="170">
        <v>45900</v>
      </c>
      <c r="L829" s="1">
        <v>24782.352941176472</v>
      </c>
      <c r="M829" s="1">
        <v>45925</v>
      </c>
      <c r="Y829"/>
      <c r="Z829"/>
      <c r="AB829"/>
    </row>
    <row r="830" spans="1:28" ht="14.4" hidden="1">
      <c r="A830" t="s">
        <v>184</v>
      </c>
      <c r="B830" s="1">
        <v>104</v>
      </c>
      <c r="C830" s="258" t="s">
        <v>2819</v>
      </c>
      <c r="D830" t="s">
        <v>1246</v>
      </c>
      <c r="E830" t="s">
        <v>1184</v>
      </c>
      <c r="F830"/>
      <c r="G830">
        <v>0.1</v>
      </c>
      <c r="H830" s="1">
        <v>28912.400000000001</v>
      </c>
      <c r="I830"/>
      <c r="J830" t="s">
        <v>2748</v>
      </c>
      <c r="K830" s="170">
        <v>45900</v>
      </c>
      <c r="L830" s="1">
        <v>24782.352941176472</v>
      </c>
      <c r="M830" s="1">
        <v>45925</v>
      </c>
      <c r="Y830"/>
      <c r="Z830"/>
      <c r="AB830"/>
    </row>
    <row r="831" spans="1:28" ht="14.4" hidden="1">
      <c r="A831" t="s">
        <v>184</v>
      </c>
      <c r="B831" s="1">
        <v>105</v>
      </c>
      <c r="C831" s="258" t="s">
        <v>2820</v>
      </c>
      <c r="D831" t="s">
        <v>1246</v>
      </c>
      <c r="E831" t="s">
        <v>1187</v>
      </c>
      <c r="F831"/>
      <c r="G831">
        <v>0.05</v>
      </c>
      <c r="H831" s="1">
        <v>14456.2</v>
      </c>
      <c r="I831"/>
      <c r="J831" t="s">
        <v>2748</v>
      </c>
      <c r="K831" s="170">
        <v>45900</v>
      </c>
      <c r="L831" s="1">
        <v>12391.176470588236</v>
      </c>
      <c r="M831" s="1">
        <v>46009</v>
      </c>
      <c r="Y831"/>
      <c r="Z831"/>
      <c r="AB831"/>
    </row>
    <row r="832" spans="1:28" ht="14.4" hidden="1">
      <c r="A832" t="s">
        <v>184</v>
      </c>
      <c r="B832" s="1">
        <v>106</v>
      </c>
      <c r="C832" s="258" t="s">
        <v>2821</v>
      </c>
      <c r="D832" t="s">
        <v>1246</v>
      </c>
      <c r="E832" t="s">
        <v>1190</v>
      </c>
      <c r="F832"/>
      <c r="G832">
        <v>0.05</v>
      </c>
      <c r="H832" s="1">
        <v>14456.2</v>
      </c>
      <c r="I832"/>
      <c r="J832" t="s">
        <v>2748</v>
      </c>
      <c r="K832" s="170">
        <v>45900</v>
      </c>
      <c r="L832" s="1">
        <v>12391.176470588236</v>
      </c>
      <c r="M832" s="1">
        <v>46037</v>
      </c>
      <c r="Y832"/>
      <c r="Z832"/>
      <c r="AB832"/>
    </row>
    <row r="833" spans="1:28" ht="14.4" hidden="1">
      <c r="A833" t="s">
        <v>184</v>
      </c>
      <c r="B833" s="1">
        <v>115</v>
      </c>
      <c r="C833" s="258" t="s">
        <v>2822</v>
      </c>
      <c r="D833" t="s">
        <v>1255</v>
      </c>
      <c r="E833" t="s">
        <v>1169</v>
      </c>
      <c r="F833">
        <v>69585</v>
      </c>
      <c r="G833">
        <v>0.1</v>
      </c>
      <c r="H833" s="1">
        <v>3039.66</v>
      </c>
      <c r="I833"/>
      <c r="J833" t="s">
        <v>2740</v>
      </c>
      <c r="K833" s="170">
        <v>45838</v>
      </c>
      <c r="L833" s="1">
        <v>2064.1886201184029</v>
      </c>
      <c r="M833" s="1">
        <v>45827</v>
      </c>
      <c r="Y833"/>
      <c r="Z833"/>
      <c r="AB833"/>
    </row>
    <row r="834" spans="1:28" ht="14.4" hidden="1">
      <c r="A834" t="s">
        <v>184</v>
      </c>
      <c r="B834" s="1">
        <v>116</v>
      </c>
      <c r="C834" s="258" t="s">
        <v>2823</v>
      </c>
      <c r="D834" t="s">
        <v>1255</v>
      </c>
      <c r="E834" t="s">
        <v>2743</v>
      </c>
      <c r="F834"/>
      <c r="H834" s="1">
        <v>2196.44</v>
      </c>
      <c r="I834"/>
      <c r="J834" t="s">
        <v>2744</v>
      </c>
      <c r="K834" s="170">
        <v>45838</v>
      </c>
      <c r="L834" s="1">
        <v>1316.1557181757437</v>
      </c>
      <c r="M834" s="1">
        <v>45834</v>
      </c>
      <c r="Y834"/>
      <c r="Z834"/>
      <c r="AB834"/>
    </row>
    <row r="835" spans="1:28" ht="14.4" hidden="1">
      <c r="A835" t="s">
        <v>184</v>
      </c>
      <c r="B835" s="1">
        <v>117</v>
      </c>
      <c r="C835" s="258" t="s">
        <v>2824</v>
      </c>
      <c r="D835" t="s">
        <v>1255</v>
      </c>
      <c r="F835"/>
      <c r="H835" s="1">
        <v>2196.44</v>
      </c>
      <c r="I835"/>
      <c r="J835" t="s">
        <v>2744</v>
      </c>
      <c r="K835" s="170">
        <v>45900</v>
      </c>
      <c r="L835" s="1">
        <v>0</v>
      </c>
      <c r="M835" s="1">
        <v>45900</v>
      </c>
      <c r="Y835"/>
      <c r="Z835"/>
      <c r="AB835"/>
    </row>
    <row r="836" spans="1:28" ht="14.4" hidden="1">
      <c r="A836" t="s">
        <v>184</v>
      </c>
      <c r="B836" s="1">
        <v>118</v>
      </c>
      <c r="C836" s="258" t="s">
        <v>2825</v>
      </c>
      <c r="D836" t="s">
        <v>1255</v>
      </c>
      <c r="F836"/>
      <c r="H836" s="1">
        <v>-1938.13</v>
      </c>
      <c r="I836"/>
      <c r="J836" t="s">
        <v>2744</v>
      </c>
      <c r="K836" s="170">
        <v>45900</v>
      </c>
      <c r="M836" s="1">
        <v>45900</v>
      </c>
      <c r="Y836"/>
      <c r="Z836"/>
      <c r="AB836"/>
    </row>
    <row r="837" spans="1:28" ht="14.4" hidden="1">
      <c r="A837" t="s">
        <v>184</v>
      </c>
      <c r="B837" s="1">
        <v>119</v>
      </c>
      <c r="C837" s="258" t="s">
        <v>2826</v>
      </c>
      <c r="D837" t="s">
        <v>1255</v>
      </c>
      <c r="E837" t="s">
        <v>558</v>
      </c>
      <c r="F837"/>
      <c r="G837">
        <v>0.15</v>
      </c>
      <c r="H837" s="1">
        <v>7854.15</v>
      </c>
      <c r="I837"/>
      <c r="J837" t="s">
        <v>2746</v>
      </c>
      <c r="K837" s="170">
        <v>45838</v>
      </c>
      <c r="L837" s="1">
        <v>5070.526693721692</v>
      </c>
      <c r="M837" s="1">
        <v>45834</v>
      </c>
      <c r="Y837"/>
      <c r="Z837"/>
      <c r="AB837"/>
    </row>
    <row r="838" spans="1:28" ht="14.4" hidden="1">
      <c r="A838" t="s">
        <v>184</v>
      </c>
      <c r="B838" s="1">
        <v>120</v>
      </c>
      <c r="C838" s="258" t="s">
        <v>2827</v>
      </c>
      <c r="D838" t="s">
        <v>1255</v>
      </c>
      <c r="F838"/>
      <c r="H838" s="1">
        <v>-7466.7</v>
      </c>
      <c r="I838"/>
      <c r="J838" t="s">
        <v>2746</v>
      </c>
      <c r="K838" s="170">
        <v>45900</v>
      </c>
      <c r="L838" s="1">
        <v>0</v>
      </c>
      <c r="M838" s="1">
        <v>45900</v>
      </c>
      <c r="Y838"/>
      <c r="Z838"/>
      <c r="AB838"/>
    </row>
    <row r="839" spans="1:28" ht="14.4" hidden="1">
      <c r="A839" t="s">
        <v>184</v>
      </c>
      <c r="B839" s="1">
        <v>121</v>
      </c>
      <c r="C839" s="258" t="s">
        <v>2828</v>
      </c>
      <c r="D839" t="s">
        <v>1255</v>
      </c>
      <c r="F839"/>
      <c r="H839" s="1">
        <v>7854.15</v>
      </c>
      <c r="I839"/>
      <c r="J839" t="s">
        <v>2746</v>
      </c>
      <c r="K839" s="170">
        <v>45900</v>
      </c>
      <c r="L839" s="1">
        <v>0</v>
      </c>
      <c r="M839" s="1">
        <v>45900</v>
      </c>
      <c r="Y839"/>
      <c r="Z839"/>
      <c r="AB839"/>
    </row>
    <row r="840" spans="1:28" ht="14.4" hidden="1">
      <c r="A840" t="s">
        <v>184</v>
      </c>
      <c r="B840" s="1">
        <v>122</v>
      </c>
      <c r="C840" s="258" t="s">
        <v>2829</v>
      </c>
      <c r="D840" t="s">
        <v>1255</v>
      </c>
      <c r="E840" t="s">
        <v>1175</v>
      </c>
      <c r="F840"/>
      <c r="G840">
        <v>0.2</v>
      </c>
      <c r="H840" s="1">
        <v>13917</v>
      </c>
      <c r="I840"/>
      <c r="J840" t="s">
        <v>2748</v>
      </c>
      <c r="K840" s="170">
        <v>45869</v>
      </c>
      <c r="L840" s="1">
        <v>20529.779219643598</v>
      </c>
      <c r="M840" s="1">
        <v>45925</v>
      </c>
      <c r="Y840"/>
      <c r="Z840"/>
      <c r="AB840"/>
    </row>
    <row r="841" spans="1:28" ht="14.4" hidden="1">
      <c r="A841" t="s">
        <v>184</v>
      </c>
      <c r="B841" s="1">
        <v>123</v>
      </c>
      <c r="C841" s="258" t="s">
        <v>2830</v>
      </c>
      <c r="D841" t="s">
        <v>1255</v>
      </c>
      <c r="E841" t="s">
        <v>1178</v>
      </c>
      <c r="F841"/>
      <c r="G841">
        <v>0.25</v>
      </c>
      <c r="H841" s="1">
        <v>17396.25</v>
      </c>
      <c r="I841"/>
      <c r="J841" t="s">
        <v>2748</v>
      </c>
      <c r="K841" s="170">
        <v>45869</v>
      </c>
      <c r="L841" s="1">
        <v>19124.66152455446</v>
      </c>
      <c r="M841" s="1">
        <v>45925</v>
      </c>
      <c r="Y841"/>
      <c r="Z841"/>
      <c r="AB841"/>
    </row>
    <row r="842" spans="1:28" ht="14.4" hidden="1">
      <c r="A842" t="s">
        <v>184</v>
      </c>
      <c r="B842" s="1">
        <v>124</v>
      </c>
      <c r="C842" s="258" t="s">
        <v>2831</v>
      </c>
      <c r="D842" t="s">
        <v>1255</v>
      </c>
      <c r="E842" t="s">
        <v>1181</v>
      </c>
      <c r="F842"/>
      <c r="G842">
        <v>0.1</v>
      </c>
      <c r="H842" s="1">
        <v>6958.5</v>
      </c>
      <c r="I842"/>
      <c r="J842" t="s">
        <v>2748</v>
      </c>
      <c r="K842" s="170">
        <v>45869</v>
      </c>
      <c r="L842" s="1">
        <v>7649.8646098217841</v>
      </c>
      <c r="M842" s="1">
        <v>45925</v>
      </c>
      <c r="Y842"/>
      <c r="Z842"/>
      <c r="AB842"/>
    </row>
    <row r="843" spans="1:28" ht="14.4" hidden="1">
      <c r="A843" t="s">
        <v>184</v>
      </c>
      <c r="B843" s="1">
        <v>125</v>
      </c>
      <c r="C843" s="258" t="s">
        <v>2832</v>
      </c>
      <c r="D843" t="s">
        <v>1255</v>
      </c>
      <c r="F843"/>
      <c r="H843" s="1">
        <v>6958.49</v>
      </c>
      <c r="I843"/>
      <c r="J843" t="s">
        <v>2748</v>
      </c>
      <c r="K843" s="170">
        <v>45900</v>
      </c>
      <c r="L843" s="1">
        <v>0</v>
      </c>
      <c r="M843" s="1">
        <v>45900</v>
      </c>
      <c r="Y843"/>
      <c r="Z843"/>
      <c r="AB843"/>
    </row>
    <row r="844" spans="1:28" ht="14.4" hidden="1">
      <c r="A844" t="s">
        <v>184</v>
      </c>
      <c r="B844" s="1">
        <v>126</v>
      </c>
      <c r="C844" s="258" t="s">
        <v>2833</v>
      </c>
      <c r="D844" t="s">
        <v>1255</v>
      </c>
      <c r="F844"/>
      <c r="H844" s="1">
        <v>-6958.5</v>
      </c>
      <c r="I844"/>
      <c r="J844" t="s">
        <v>2748</v>
      </c>
      <c r="K844" s="170">
        <v>45900</v>
      </c>
      <c r="L844" s="1">
        <v>0</v>
      </c>
      <c r="M844" s="1">
        <v>45900</v>
      </c>
      <c r="Y844"/>
      <c r="Z844"/>
      <c r="AB844"/>
    </row>
    <row r="845" spans="1:28" ht="14.4" hidden="1">
      <c r="A845" t="s">
        <v>184</v>
      </c>
      <c r="B845" s="1">
        <v>127</v>
      </c>
      <c r="C845" s="258" t="s">
        <v>2834</v>
      </c>
      <c r="D845" t="s">
        <v>1255</v>
      </c>
      <c r="E845" t="s">
        <v>1184</v>
      </c>
      <c r="F845"/>
      <c r="G845">
        <v>0.1</v>
      </c>
      <c r="H845" s="1">
        <v>6958.5</v>
      </c>
      <c r="I845"/>
      <c r="J845" t="s">
        <v>2748</v>
      </c>
      <c r="K845" s="170">
        <v>45869</v>
      </c>
      <c r="L845" s="1">
        <v>7649.8646098217841</v>
      </c>
      <c r="M845" s="1">
        <v>45925</v>
      </c>
      <c r="Y845"/>
      <c r="Z845"/>
      <c r="AB845"/>
    </row>
    <row r="846" spans="1:28" ht="14.4" hidden="1">
      <c r="A846" t="s">
        <v>184</v>
      </c>
      <c r="B846" s="1">
        <v>128</v>
      </c>
      <c r="C846" s="258" t="s">
        <v>2835</v>
      </c>
      <c r="D846" t="s">
        <v>1255</v>
      </c>
      <c r="F846"/>
      <c r="H846" s="1">
        <v>-6958.5</v>
      </c>
      <c r="I846"/>
      <c r="J846" t="s">
        <v>2748</v>
      </c>
      <c r="K846" s="170">
        <v>45900</v>
      </c>
      <c r="L846" s="1">
        <v>0</v>
      </c>
      <c r="M846" s="1">
        <v>45900</v>
      </c>
      <c r="Y846"/>
      <c r="Z846"/>
      <c r="AB846"/>
    </row>
    <row r="847" spans="1:28" ht="14.4" hidden="1">
      <c r="A847" t="s">
        <v>184</v>
      </c>
      <c r="B847" s="1">
        <v>129</v>
      </c>
      <c r="C847" s="258" t="s">
        <v>2836</v>
      </c>
      <c r="D847" t="s">
        <v>1255</v>
      </c>
      <c r="F847"/>
      <c r="H847" s="1">
        <v>6958.49</v>
      </c>
      <c r="I847"/>
      <c r="J847" t="s">
        <v>2748</v>
      </c>
      <c r="K847" s="170">
        <v>45900</v>
      </c>
      <c r="L847" s="1">
        <v>0</v>
      </c>
      <c r="M847" s="1">
        <v>45900</v>
      </c>
      <c r="Y847"/>
      <c r="Z847"/>
      <c r="AB847"/>
    </row>
    <row r="848" spans="1:28" ht="14.4" hidden="1">
      <c r="A848" t="s">
        <v>184</v>
      </c>
      <c r="B848" s="1">
        <v>130</v>
      </c>
      <c r="C848" s="258" t="s">
        <v>2837</v>
      </c>
      <c r="D848" t="s">
        <v>1255</v>
      </c>
      <c r="E848" t="s">
        <v>1187</v>
      </c>
      <c r="F848"/>
      <c r="G848">
        <v>0.05</v>
      </c>
      <c r="H848" s="1">
        <v>3479.25</v>
      </c>
      <c r="I848"/>
      <c r="J848" t="s">
        <v>2748</v>
      </c>
      <c r="K848" s="170">
        <v>45869</v>
      </c>
      <c r="L848" s="1">
        <v>3824.9323049108921</v>
      </c>
      <c r="M848" s="1">
        <v>46009</v>
      </c>
      <c r="Y848"/>
      <c r="Z848"/>
      <c r="AB848"/>
    </row>
    <row r="849" spans="1:28" ht="14.4" hidden="1">
      <c r="A849" t="s">
        <v>184</v>
      </c>
      <c r="B849" s="1">
        <v>131</v>
      </c>
      <c r="C849" s="258" t="s">
        <v>2838</v>
      </c>
      <c r="D849" t="s">
        <v>1255</v>
      </c>
      <c r="E849" t="s">
        <v>1190</v>
      </c>
      <c r="F849"/>
      <c r="G849">
        <v>0.05</v>
      </c>
      <c r="H849" s="1">
        <v>3479.25</v>
      </c>
      <c r="I849"/>
      <c r="J849" t="s">
        <v>2748</v>
      </c>
      <c r="K849" s="170">
        <v>45869</v>
      </c>
      <c r="L849" s="1">
        <v>3824.9323049108921</v>
      </c>
      <c r="M849" s="1">
        <v>46037</v>
      </c>
      <c r="Y849"/>
      <c r="Z849"/>
      <c r="AB849"/>
    </row>
    <row r="850" spans="1:28" ht="14.4" hidden="1">
      <c r="A850" t="s">
        <v>184</v>
      </c>
      <c r="B850" s="1">
        <v>132</v>
      </c>
      <c r="C850" s="258" t="s">
        <v>2839</v>
      </c>
      <c r="D850" t="s">
        <v>1255</v>
      </c>
      <c r="E850" t="s">
        <v>2840</v>
      </c>
      <c r="F850"/>
      <c r="H850" s="1">
        <v>3479.24</v>
      </c>
      <c r="I850"/>
      <c r="J850" t="s">
        <v>2748</v>
      </c>
      <c r="K850" s="170">
        <v>45900</v>
      </c>
      <c r="L850" s="1">
        <v>0</v>
      </c>
      <c r="M850" s="1">
        <v>45900</v>
      </c>
      <c r="Y850"/>
      <c r="Z850"/>
      <c r="AB850"/>
    </row>
    <row r="851" spans="1:28" ht="14.4" hidden="1">
      <c r="A851" t="s">
        <v>184</v>
      </c>
      <c r="B851" s="1">
        <v>133</v>
      </c>
      <c r="C851" s="258" t="s">
        <v>2841</v>
      </c>
      <c r="D851" t="s">
        <v>1255</v>
      </c>
      <c r="F851"/>
      <c r="H851" s="1">
        <v>-3479.25</v>
      </c>
      <c r="I851"/>
      <c r="J851" t="s">
        <v>2748</v>
      </c>
      <c r="K851" s="170">
        <v>45900</v>
      </c>
      <c r="L851" s="1">
        <v>0</v>
      </c>
      <c r="M851" s="1">
        <v>45900</v>
      </c>
      <c r="Y851"/>
      <c r="Z851"/>
      <c r="AB851"/>
    </row>
    <row r="852" spans="1:28" ht="14.4" hidden="1">
      <c r="A852" t="s">
        <v>184</v>
      </c>
      <c r="B852" s="1">
        <v>136</v>
      </c>
      <c r="C852" s="258" t="s">
        <v>2842</v>
      </c>
      <c r="D852" t="s">
        <v>1264</v>
      </c>
      <c r="E852" t="s">
        <v>1265</v>
      </c>
      <c r="F852"/>
      <c r="H852" s="1">
        <v>7057.63</v>
      </c>
      <c r="I852"/>
      <c r="J852" t="s">
        <v>2843</v>
      </c>
      <c r="K852" s="170">
        <v>45869</v>
      </c>
      <c r="L852" s="1">
        <v>14423.516028188707</v>
      </c>
      <c r="M852" s="1">
        <v>45918</v>
      </c>
      <c r="N852" s="1">
        <v>22077.23</v>
      </c>
      <c r="Y852"/>
      <c r="Z852"/>
      <c r="AB852"/>
    </row>
    <row r="853" spans="1:28" ht="14.4" hidden="1">
      <c r="A853" t="s">
        <v>184</v>
      </c>
      <c r="B853" s="1">
        <v>137</v>
      </c>
      <c r="C853" s="258" t="s">
        <v>2844</v>
      </c>
      <c r="D853" t="s">
        <v>1264</v>
      </c>
      <c r="E853" t="s">
        <v>1268</v>
      </c>
      <c r="F853"/>
      <c r="H853" s="1">
        <v>9019.6</v>
      </c>
      <c r="I853" t="s">
        <v>2845</v>
      </c>
      <c r="J853" t="s">
        <v>2846</v>
      </c>
      <c r="K853" s="170">
        <v>45777</v>
      </c>
      <c r="L853" s="1">
        <v>11826.758651622806</v>
      </c>
      <c r="M853" s="1">
        <v>45757</v>
      </c>
      <c r="Y853"/>
      <c r="Z853"/>
      <c r="AB853"/>
    </row>
    <row r="854" spans="1:28" ht="14.4" hidden="1">
      <c r="A854" t="s">
        <v>184</v>
      </c>
      <c r="B854" s="1">
        <v>138</v>
      </c>
      <c r="C854" s="258" t="s">
        <v>2847</v>
      </c>
      <c r="D854" t="s">
        <v>1264</v>
      </c>
      <c r="E854" t="s">
        <v>808</v>
      </c>
      <c r="F854"/>
      <c r="H854" s="1">
        <v>6000</v>
      </c>
      <c r="I854"/>
      <c r="J854" t="s">
        <v>1899</v>
      </c>
      <c r="K854" s="170">
        <v>45900</v>
      </c>
      <c r="L854" s="1">
        <v>7867.3729765120524</v>
      </c>
      <c r="M854" s="1">
        <v>45900</v>
      </c>
      <c r="Y854"/>
      <c r="Z854"/>
      <c r="AB854"/>
    </row>
    <row r="855" spans="1:28" ht="14.4" hidden="1">
      <c r="A855" t="s">
        <v>184</v>
      </c>
      <c r="B855" s="1">
        <v>145</v>
      </c>
      <c r="C855" s="258" t="s">
        <v>2848</v>
      </c>
      <c r="D855" t="s">
        <v>1277</v>
      </c>
      <c r="E855" t="s">
        <v>1278</v>
      </c>
      <c r="F855"/>
      <c r="H855" s="1">
        <v>33198.828758288124</v>
      </c>
      <c r="I855"/>
      <c r="J855" t="s">
        <v>1901</v>
      </c>
      <c r="K855" s="170">
        <v>45900</v>
      </c>
      <c r="L855" s="1">
        <v>127395.87091803124</v>
      </c>
      <c r="M855" s="1">
        <v>45900</v>
      </c>
      <c r="N855" s="1">
        <v>33198.828758288124</v>
      </c>
      <c r="Y855"/>
      <c r="Z855"/>
      <c r="AB855"/>
    </row>
    <row r="856" spans="1:28" ht="14.4" hidden="1">
      <c r="A856" t="s">
        <v>184</v>
      </c>
      <c r="B856" s="1">
        <v>146</v>
      </c>
      <c r="C856" s="258" t="s">
        <v>2849</v>
      </c>
      <c r="D856" t="s">
        <v>1277</v>
      </c>
      <c r="E856" t="s">
        <v>1903</v>
      </c>
      <c r="F856"/>
      <c r="H856" s="1">
        <v>0</v>
      </c>
      <c r="I856"/>
      <c r="J856"/>
      <c r="K856" s="170"/>
      <c r="L856" s="1">
        <v>0</v>
      </c>
      <c r="Y856"/>
      <c r="Z856"/>
      <c r="AB856"/>
    </row>
    <row r="857" spans="1:28" ht="14.4" hidden="1">
      <c r="A857" t="s">
        <v>184</v>
      </c>
      <c r="B857" s="1">
        <v>147</v>
      </c>
      <c r="C857" s="258" t="s">
        <v>2850</v>
      </c>
      <c r="D857" t="s">
        <v>1277</v>
      </c>
      <c r="E857" t="s">
        <v>1905</v>
      </c>
      <c r="F857"/>
      <c r="H857" s="1">
        <v>0</v>
      </c>
      <c r="I857"/>
      <c r="J857"/>
      <c r="K857" s="170"/>
      <c r="L857" s="1">
        <v>0</v>
      </c>
      <c r="Y857"/>
      <c r="Z857"/>
      <c r="AB857"/>
    </row>
    <row r="858" spans="1:28" ht="14.4" hidden="1">
      <c r="A858" t="s">
        <v>184</v>
      </c>
      <c r="B858" s="1">
        <v>148</v>
      </c>
      <c r="C858" s="258" t="s">
        <v>2851</v>
      </c>
      <c r="D858" t="s">
        <v>1277</v>
      </c>
      <c r="E858" t="s">
        <v>1907</v>
      </c>
      <c r="F858"/>
      <c r="H858" s="1">
        <v>0</v>
      </c>
      <c r="I858"/>
      <c r="J858"/>
      <c r="K858" s="170"/>
      <c r="L858" s="1">
        <v>0</v>
      </c>
      <c r="Y858"/>
      <c r="Z858"/>
      <c r="AB858"/>
    </row>
    <row r="859" spans="1:28" ht="14.4" hidden="1">
      <c r="A859" t="s">
        <v>184</v>
      </c>
      <c r="B859" s="1">
        <v>149</v>
      </c>
      <c r="C859" s="258" t="s">
        <v>2852</v>
      </c>
      <c r="D859" t="s">
        <v>1277</v>
      </c>
      <c r="E859" t="s">
        <v>1909</v>
      </c>
      <c r="F859"/>
      <c r="H859" s="1">
        <v>0</v>
      </c>
      <c r="I859"/>
      <c r="J859"/>
      <c r="K859" s="170"/>
      <c r="L859" s="1">
        <v>0</v>
      </c>
      <c r="Y859"/>
      <c r="Z859"/>
      <c r="AB859"/>
    </row>
    <row r="860" spans="1:28" ht="14.4" hidden="1">
      <c r="A860" t="s">
        <v>184</v>
      </c>
      <c r="B860" s="1">
        <v>152</v>
      </c>
      <c r="C860" s="258" t="s">
        <v>2853</v>
      </c>
      <c r="D860" t="s">
        <v>1280</v>
      </c>
      <c r="E860" t="s">
        <v>1281</v>
      </c>
      <c r="F860"/>
      <c r="H860" s="1">
        <v>7750</v>
      </c>
      <c r="I860"/>
      <c r="J860" t="s">
        <v>2854</v>
      </c>
      <c r="K860" s="170">
        <v>45777</v>
      </c>
      <c r="L860" s="1">
        <v>3545.751633986928</v>
      </c>
      <c r="M860" s="1">
        <v>45785</v>
      </c>
      <c r="N860" s="1">
        <v>33819.85</v>
      </c>
      <c r="Y860"/>
      <c r="Z860"/>
      <c r="AB860"/>
    </row>
    <row r="861" spans="1:28" ht="14.4" hidden="1">
      <c r="A861" t="s">
        <v>184</v>
      </c>
      <c r="B861" s="1">
        <v>153</v>
      </c>
      <c r="C861" s="258" t="s">
        <v>2855</v>
      </c>
      <c r="D861" t="s">
        <v>1280</v>
      </c>
      <c r="E861" t="s">
        <v>1281</v>
      </c>
      <c r="F861"/>
      <c r="H861" s="1">
        <v>0</v>
      </c>
      <c r="I861"/>
      <c r="J861" t="s">
        <v>1282</v>
      </c>
      <c r="K861" s="170">
        <v>45777</v>
      </c>
      <c r="L861" s="1">
        <v>0</v>
      </c>
      <c r="M861" s="1">
        <v>45777</v>
      </c>
      <c r="Y861"/>
      <c r="Z861"/>
      <c r="AB861"/>
    </row>
    <row r="862" spans="1:28" ht="14.4" hidden="1">
      <c r="A862" t="s">
        <v>184</v>
      </c>
      <c r="B862" s="1">
        <v>154</v>
      </c>
      <c r="C862" s="258" t="s">
        <v>2856</v>
      </c>
      <c r="D862" t="s">
        <v>1280</v>
      </c>
      <c r="E862" t="s">
        <v>1281</v>
      </c>
      <c r="F862"/>
      <c r="H862" s="1">
        <v>7624.050000000002</v>
      </c>
      <c r="I862"/>
      <c r="J862" t="s">
        <v>1282</v>
      </c>
      <c r="K862" s="170">
        <v>45808</v>
      </c>
      <c r="L862" s="1">
        <v>1196.46047460556</v>
      </c>
      <c r="M862" s="1">
        <v>45817</v>
      </c>
      <c r="Y862"/>
      <c r="Z862"/>
      <c r="AB862"/>
    </row>
    <row r="863" spans="1:28" ht="14.4" hidden="1">
      <c r="A863" t="s">
        <v>184</v>
      </c>
      <c r="B863" s="1">
        <v>155</v>
      </c>
      <c r="C863" s="258" t="s">
        <v>2857</v>
      </c>
      <c r="D863" t="s">
        <v>1280</v>
      </c>
      <c r="E863" t="s">
        <v>1281</v>
      </c>
      <c r="F863"/>
      <c r="H863" s="1">
        <v>12174.8</v>
      </c>
      <c r="I863"/>
      <c r="J863" t="s">
        <v>1282</v>
      </c>
      <c r="K863" s="170">
        <v>45838</v>
      </c>
      <c r="L863" s="1">
        <v>287.34276381743746</v>
      </c>
      <c r="M863" s="1">
        <v>45842</v>
      </c>
      <c r="Y863"/>
      <c r="Z863"/>
      <c r="AB863"/>
    </row>
    <row r="864" spans="1:28" ht="14.4" hidden="1">
      <c r="A864" t="s">
        <v>184</v>
      </c>
      <c r="B864" s="1">
        <v>156</v>
      </c>
      <c r="C864" s="258" t="s">
        <v>2858</v>
      </c>
      <c r="D864" t="s">
        <v>1280</v>
      </c>
      <c r="E864" t="s">
        <v>1281</v>
      </c>
      <c r="F864"/>
      <c r="H864" s="1">
        <v>0</v>
      </c>
      <c r="I864"/>
      <c r="J864" t="s">
        <v>1282</v>
      </c>
      <c r="K864" s="170">
        <v>45869</v>
      </c>
      <c r="L864" s="1">
        <v>0</v>
      </c>
      <c r="M864" s="1">
        <v>45869</v>
      </c>
      <c r="Y864"/>
      <c r="Z864"/>
      <c r="AB864"/>
    </row>
    <row r="865" spans="1:28" ht="14.4" hidden="1">
      <c r="A865" t="s">
        <v>184</v>
      </c>
      <c r="B865" s="1">
        <v>157</v>
      </c>
      <c r="C865" s="258" t="s">
        <v>2859</v>
      </c>
      <c r="D865" t="s">
        <v>1280</v>
      </c>
      <c r="E865" t="s">
        <v>1281</v>
      </c>
      <c r="F865"/>
      <c r="H865" s="1">
        <v>3061.43</v>
      </c>
      <c r="I865"/>
      <c r="J865" t="s">
        <v>1282</v>
      </c>
      <c r="K865" s="170">
        <v>45900</v>
      </c>
      <c r="L865" s="1">
        <v>117.5</v>
      </c>
      <c r="M865" s="1">
        <v>45905</v>
      </c>
      <c r="Y865"/>
      <c r="Z865"/>
      <c r="AB865"/>
    </row>
    <row r="866" spans="1:28" ht="14.4" hidden="1">
      <c r="A866" t="s">
        <v>184</v>
      </c>
      <c r="B866" s="1">
        <v>158</v>
      </c>
      <c r="C866" s="258" t="s">
        <v>2860</v>
      </c>
      <c r="D866" t="s">
        <v>1280</v>
      </c>
      <c r="E866" t="s">
        <v>1281</v>
      </c>
      <c r="F866"/>
      <c r="H866" s="1">
        <v>1307.83</v>
      </c>
      <c r="I866"/>
      <c r="J866" t="s">
        <v>1282</v>
      </c>
      <c r="K866" s="170">
        <v>45930</v>
      </c>
      <c r="L866" s="1">
        <v>0</v>
      </c>
      <c r="M866" s="1">
        <v>45940</v>
      </c>
      <c r="Y866"/>
      <c r="Z866"/>
      <c r="AB866"/>
    </row>
    <row r="867" spans="1:28" ht="14.4" hidden="1">
      <c r="A867" t="s">
        <v>184</v>
      </c>
      <c r="B867" s="1">
        <v>159</v>
      </c>
      <c r="C867" s="258" t="s">
        <v>2861</v>
      </c>
      <c r="D867" t="s">
        <v>1280</v>
      </c>
      <c r="E867" t="s">
        <v>1281</v>
      </c>
      <c r="F867"/>
      <c r="H867" s="1">
        <v>1901.74</v>
      </c>
      <c r="I867"/>
      <c r="J867" t="s">
        <v>1282</v>
      </c>
      <c r="K867" s="170">
        <v>45961</v>
      </c>
      <c r="L867" s="1">
        <v>0</v>
      </c>
      <c r="M867" s="1">
        <v>45967</v>
      </c>
      <c r="Y867"/>
      <c r="Z867"/>
      <c r="AB867"/>
    </row>
    <row r="868" spans="1:28" ht="14.4" hidden="1">
      <c r="A868" t="s">
        <v>184</v>
      </c>
      <c r="B868" s="1">
        <v>160</v>
      </c>
      <c r="C868" s="258" t="s">
        <v>2862</v>
      </c>
      <c r="D868" t="s">
        <v>1280</v>
      </c>
      <c r="E868" t="s">
        <v>1281</v>
      </c>
      <c r="F868"/>
      <c r="H868" s="1">
        <v>0</v>
      </c>
      <c r="I868"/>
      <c r="J868"/>
      <c r="K868" s="170"/>
      <c r="L868" s="1">
        <v>0</v>
      </c>
      <c r="Y868"/>
      <c r="Z868"/>
      <c r="AB868"/>
    </row>
    <row r="869" spans="1:28" ht="14.4" hidden="1">
      <c r="A869" t="s">
        <v>184</v>
      </c>
      <c r="B869" s="1">
        <v>161</v>
      </c>
      <c r="C869" s="258" t="s">
        <v>2863</v>
      </c>
      <c r="D869" t="s">
        <v>1280</v>
      </c>
      <c r="E869" t="s">
        <v>1281</v>
      </c>
      <c r="F869"/>
      <c r="H869" s="1">
        <v>0</v>
      </c>
      <c r="I869"/>
      <c r="J869"/>
      <c r="K869" s="170"/>
      <c r="L869" s="1">
        <v>0</v>
      </c>
      <c r="Y869"/>
      <c r="Z869"/>
      <c r="AB869"/>
    </row>
    <row r="870" spans="1:28" ht="14.4" hidden="1">
      <c r="A870" t="s">
        <v>184</v>
      </c>
      <c r="B870" s="1">
        <v>165</v>
      </c>
      <c r="C870" s="258" t="s">
        <v>2864</v>
      </c>
      <c r="D870" t="s">
        <v>1451</v>
      </c>
      <c r="E870" t="s">
        <v>2865</v>
      </c>
      <c r="F870"/>
      <c r="H870" s="1">
        <v>199000</v>
      </c>
      <c r="I870"/>
      <c r="J870" t="s">
        <v>2866</v>
      </c>
      <c r="K870" s="170">
        <v>45838</v>
      </c>
      <c r="L870" s="1">
        <v>150000</v>
      </c>
      <c r="M870" s="1">
        <v>45849</v>
      </c>
      <c r="N870" s="1">
        <v>478107.1</v>
      </c>
      <c r="Y870"/>
      <c r="Z870"/>
      <c r="AB870"/>
    </row>
    <row r="871" spans="1:28" ht="14.4" hidden="1">
      <c r="A871" t="s">
        <v>184</v>
      </c>
      <c r="B871" s="1">
        <v>166</v>
      </c>
      <c r="C871" s="258" t="s">
        <v>2867</v>
      </c>
      <c r="D871" t="s">
        <v>1451</v>
      </c>
      <c r="E871" t="s">
        <v>2868</v>
      </c>
      <c r="F871"/>
      <c r="H871" s="1">
        <v>199000</v>
      </c>
      <c r="I871"/>
      <c r="J871" t="s">
        <v>2866</v>
      </c>
      <c r="K871" s="170">
        <v>45838</v>
      </c>
      <c r="L871" s="1">
        <v>150000</v>
      </c>
      <c r="M871" s="1">
        <v>45925</v>
      </c>
      <c r="Y871"/>
      <c r="Z871"/>
      <c r="AB871"/>
    </row>
    <row r="872" spans="1:28" ht="14.4" hidden="1">
      <c r="A872" t="s">
        <v>184</v>
      </c>
      <c r="B872" s="1">
        <v>168</v>
      </c>
      <c r="C872" s="258" t="s">
        <v>2869</v>
      </c>
      <c r="D872" t="s">
        <v>1451</v>
      </c>
      <c r="E872" t="s">
        <v>2870</v>
      </c>
      <c r="F872"/>
      <c r="H872" s="1">
        <v>237.1</v>
      </c>
      <c r="I872"/>
      <c r="J872" t="s">
        <v>2871</v>
      </c>
      <c r="K872" s="170">
        <v>45930</v>
      </c>
      <c r="L872" s="1">
        <v>0</v>
      </c>
      <c r="M872" s="1">
        <v>45961</v>
      </c>
      <c r="Y872"/>
      <c r="Z872"/>
      <c r="AB872"/>
    </row>
    <row r="873" spans="1:28" ht="14.4" hidden="1">
      <c r="A873" t="s">
        <v>184</v>
      </c>
      <c r="B873" s="1">
        <v>172</v>
      </c>
      <c r="C873" s="258" t="s">
        <v>2872</v>
      </c>
      <c r="D873" t="s">
        <v>1451</v>
      </c>
      <c r="E873" t="s">
        <v>2873</v>
      </c>
      <c r="F873">
        <v>0.5</v>
      </c>
      <c r="G873">
        <v>79870</v>
      </c>
      <c r="H873" s="1">
        <v>39935</v>
      </c>
      <c r="I873"/>
      <c r="J873" t="s">
        <v>2874</v>
      </c>
      <c r="K873" s="170">
        <v>45961</v>
      </c>
      <c r="M873" s="1">
        <v>45967</v>
      </c>
      <c r="Y873"/>
      <c r="Z873"/>
      <c r="AB873"/>
    </row>
    <row r="874" spans="1:28" ht="14.4" hidden="1">
      <c r="A874" t="s">
        <v>184</v>
      </c>
      <c r="B874" s="1">
        <v>173</v>
      </c>
      <c r="C874" s="258" t="s">
        <v>2875</v>
      </c>
      <c r="D874" t="s">
        <v>1451</v>
      </c>
      <c r="F874">
        <v>0.5</v>
      </c>
      <c r="H874" s="1">
        <v>39935</v>
      </c>
      <c r="I874"/>
      <c r="J874" t="s">
        <v>2874</v>
      </c>
      <c r="K874" s="170">
        <v>45961</v>
      </c>
      <c r="M874" s="1">
        <v>46058</v>
      </c>
      <c r="Y874"/>
      <c r="Z874"/>
      <c r="AB874"/>
    </row>
    <row r="875" spans="1:28" ht="14.4" hidden="1">
      <c r="A875" t="s">
        <v>514</v>
      </c>
      <c r="B875" s="1">
        <v>6</v>
      </c>
      <c r="C875" s="258" t="s">
        <v>2876</v>
      </c>
      <c r="D875" t="s">
        <v>1146</v>
      </c>
      <c r="E875" t="s">
        <v>2877</v>
      </c>
      <c r="F875">
        <v>1291</v>
      </c>
      <c r="G875">
        <v>1240</v>
      </c>
      <c r="H875" s="1">
        <v>1600840</v>
      </c>
      <c r="I875"/>
      <c r="J875"/>
      <c r="K875" s="170">
        <v>46142</v>
      </c>
      <c r="L875" s="1">
        <v>2183668.4235294121</v>
      </c>
      <c r="M875" s="1">
        <v>46178</v>
      </c>
      <c r="N875" s="1">
        <v>1600840</v>
      </c>
      <c r="Y875"/>
      <c r="Z875"/>
      <c r="AB875"/>
    </row>
    <row r="876" spans="1:28" ht="14.4" hidden="1">
      <c r="A876" t="s">
        <v>514</v>
      </c>
      <c r="B876" s="1">
        <v>14</v>
      </c>
      <c r="C876" s="258" t="s">
        <v>2878</v>
      </c>
      <c r="D876" t="s">
        <v>1157</v>
      </c>
      <c r="E876" t="s">
        <v>1369</v>
      </c>
      <c r="F876">
        <v>7</v>
      </c>
      <c r="G876">
        <v>68000</v>
      </c>
      <c r="H876" s="1">
        <v>476000</v>
      </c>
      <c r="I876"/>
      <c r="J876"/>
      <c r="K876" s="170">
        <v>46142</v>
      </c>
      <c r="L876" s="1">
        <v>576470.5882352941</v>
      </c>
      <c r="M876" s="1">
        <v>46178</v>
      </c>
      <c r="Y876"/>
      <c r="Z876"/>
      <c r="AB876"/>
    </row>
    <row r="877" spans="1:28" ht="14.4" hidden="1">
      <c r="A877" t="s">
        <v>514</v>
      </c>
      <c r="B877" s="1">
        <v>21</v>
      </c>
      <c r="C877" s="258" t="s">
        <v>2879</v>
      </c>
      <c r="D877" t="s">
        <v>1160</v>
      </c>
      <c r="E877" t="s">
        <v>1161</v>
      </c>
      <c r="F877"/>
      <c r="H877" s="1">
        <v>280000</v>
      </c>
      <c r="I877"/>
      <c r="J877"/>
      <c r="K877" s="170">
        <v>46142</v>
      </c>
      <c r="L877" s="1">
        <v>376621.17647058825</v>
      </c>
      <c r="M877" s="1">
        <v>46172</v>
      </c>
      <c r="N877" s="1">
        <v>280000</v>
      </c>
      <c r="Y877"/>
      <c r="Z877"/>
      <c r="AB877"/>
    </row>
    <row r="878" spans="1:28" ht="14.4" hidden="1">
      <c r="A878" t="s">
        <v>514</v>
      </c>
      <c r="B878" s="1">
        <v>28</v>
      </c>
      <c r="C878" s="258" t="s">
        <v>2880</v>
      </c>
      <c r="D878" t="s">
        <v>1165</v>
      </c>
      <c r="E878" t="s">
        <v>836</v>
      </c>
      <c r="F878">
        <v>20000</v>
      </c>
      <c r="G878">
        <v>14</v>
      </c>
      <c r="H878" s="1">
        <v>280000</v>
      </c>
      <c r="I878"/>
      <c r="J878"/>
      <c r="K878" s="170">
        <v>46142</v>
      </c>
      <c r="L878" s="1">
        <v>346477.97983260913</v>
      </c>
      <c r="M878" s="1">
        <v>46178</v>
      </c>
      <c r="N878" s="1">
        <v>604125.57000000007</v>
      </c>
      <c r="Y878"/>
      <c r="Z878"/>
      <c r="AB878"/>
    </row>
    <row r="879" spans="1:28" ht="14.4" hidden="1">
      <c r="A879" t="s">
        <v>514</v>
      </c>
      <c r="B879" s="1">
        <v>32</v>
      </c>
      <c r="C879" s="258" t="s">
        <v>2881</v>
      </c>
      <c r="D879" t="s">
        <v>1165</v>
      </c>
      <c r="E879" t="s">
        <v>1169</v>
      </c>
      <c r="F879">
        <v>324125.56999999995</v>
      </c>
      <c r="G879">
        <v>0.1</v>
      </c>
      <c r="H879" s="1">
        <v>32412.556999999997</v>
      </c>
      <c r="I879"/>
      <c r="J879"/>
      <c r="K879" s="170">
        <v>46112</v>
      </c>
      <c r="L879" s="1">
        <v>40107.990252033189</v>
      </c>
      <c r="M879" s="1">
        <v>46111</v>
      </c>
      <c r="Y879"/>
      <c r="Z879"/>
      <c r="AB879"/>
    </row>
    <row r="880" spans="1:28" ht="14.4" hidden="1">
      <c r="A880" t="s">
        <v>514</v>
      </c>
      <c r="B880" s="1">
        <v>33</v>
      </c>
      <c r="C880" s="258" t="s">
        <v>2882</v>
      </c>
      <c r="D880" t="s">
        <v>1165</v>
      </c>
      <c r="E880" t="s">
        <v>558</v>
      </c>
      <c r="F880"/>
      <c r="G880">
        <v>0.15</v>
      </c>
      <c r="H880" s="1">
        <v>48618.835499999994</v>
      </c>
      <c r="I880"/>
      <c r="J880"/>
      <c r="K880" s="170">
        <v>46142</v>
      </c>
      <c r="L880" s="1">
        <v>60161.985378049772</v>
      </c>
      <c r="M880" s="1">
        <v>46118</v>
      </c>
      <c r="Y880"/>
      <c r="Z880"/>
      <c r="AB880"/>
    </row>
    <row r="881" spans="1:28" ht="14.4" hidden="1">
      <c r="A881" t="s">
        <v>514</v>
      </c>
      <c r="B881" s="1">
        <v>34</v>
      </c>
      <c r="C881" s="258" t="s">
        <v>2883</v>
      </c>
      <c r="D881" t="s">
        <v>1165</v>
      </c>
      <c r="E881" t="s">
        <v>1175</v>
      </c>
      <c r="F881"/>
      <c r="G881">
        <v>0.2</v>
      </c>
      <c r="H881" s="1">
        <v>64825.113999999994</v>
      </c>
      <c r="I881"/>
      <c r="J881"/>
      <c r="K881" s="170">
        <v>46173</v>
      </c>
      <c r="L881" s="1">
        <v>80215.980504066378</v>
      </c>
      <c r="M881" s="1">
        <v>46148</v>
      </c>
      <c r="Y881"/>
      <c r="Z881"/>
      <c r="AB881"/>
    </row>
    <row r="882" spans="1:28" ht="14.4" hidden="1">
      <c r="A882" t="s">
        <v>514</v>
      </c>
      <c r="B882" s="1">
        <v>35</v>
      </c>
      <c r="C882" s="258" t="s">
        <v>2884</v>
      </c>
      <c r="D882" t="s">
        <v>1165</v>
      </c>
      <c r="E882" t="s">
        <v>1178</v>
      </c>
      <c r="F882"/>
      <c r="G882">
        <v>0.25</v>
      </c>
      <c r="H882" s="1">
        <v>81031.392499999987</v>
      </c>
      <c r="I882"/>
      <c r="J882"/>
      <c r="K882" s="170">
        <v>46203</v>
      </c>
      <c r="L882" s="1">
        <v>100269.97563008296</v>
      </c>
      <c r="M882" s="1">
        <v>46182</v>
      </c>
      <c r="Y882"/>
      <c r="Z882"/>
      <c r="AB882"/>
    </row>
    <row r="883" spans="1:28" ht="14.4" hidden="1">
      <c r="A883" t="s">
        <v>514</v>
      </c>
      <c r="B883" s="1">
        <v>36</v>
      </c>
      <c r="C883" s="258" t="s">
        <v>2885</v>
      </c>
      <c r="D883" t="s">
        <v>1165</v>
      </c>
      <c r="E883" t="s">
        <v>1181</v>
      </c>
      <c r="F883"/>
      <c r="G883">
        <v>0.1</v>
      </c>
      <c r="H883" s="1">
        <v>32412.556999999997</v>
      </c>
      <c r="I883"/>
      <c r="J883"/>
      <c r="K883" s="170">
        <v>46203</v>
      </c>
      <c r="L883" s="1">
        <v>40107.990252033189</v>
      </c>
      <c r="M883" s="1">
        <v>46197</v>
      </c>
      <c r="Y883"/>
      <c r="Z883"/>
      <c r="AB883"/>
    </row>
    <row r="884" spans="1:28" ht="14.4" hidden="1">
      <c r="A884" t="s">
        <v>514</v>
      </c>
      <c r="B884" s="1">
        <v>37</v>
      </c>
      <c r="C884" s="258" t="s">
        <v>2886</v>
      </c>
      <c r="D884" t="s">
        <v>1165</v>
      </c>
      <c r="E884" t="s">
        <v>1184</v>
      </c>
      <c r="F884"/>
      <c r="G884">
        <v>0.1</v>
      </c>
      <c r="H884" s="1">
        <v>32412.556999999997</v>
      </c>
      <c r="I884"/>
      <c r="J884"/>
      <c r="K884" s="170">
        <v>46203</v>
      </c>
      <c r="L884" s="1">
        <v>40107.990252033189</v>
      </c>
      <c r="M884" s="1">
        <v>46198</v>
      </c>
      <c r="Y884"/>
      <c r="Z884"/>
      <c r="AB884"/>
    </row>
    <row r="885" spans="1:28" ht="14.4" hidden="1">
      <c r="A885" t="s">
        <v>514</v>
      </c>
      <c r="B885" s="1">
        <v>38</v>
      </c>
      <c r="C885" s="258" t="s">
        <v>2887</v>
      </c>
      <c r="D885" t="s">
        <v>1165</v>
      </c>
      <c r="E885" t="s">
        <v>1187</v>
      </c>
      <c r="F885"/>
      <c r="G885">
        <v>0.05</v>
      </c>
      <c r="H885" s="1">
        <v>16206.2785</v>
      </c>
      <c r="I885"/>
      <c r="J885"/>
      <c r="K885" s="170">
        <v>46203</v>
      </c>
      <c r="L885" s="1">
        <v>20053.995126016591</v>
      </c>
      <c r="M885" s="1">
        <v>46198</v>
      </c>
      <c r="Y885"/>
      <c r="Z885"/>
      <c r="AB885"/>
    </row>
    <row r="886" spans="1:28" ht="14.4" hidden="1">
      <c r="A886" t="s">
        <v>514</v>
      </c>
      <c r="B886" s="1">
        <v>39</v>
      </c>
      <c r="C886" s="258" t="s">
        <v>2888</v>
      </c>
      <c r="D886" t="s">
        <v>1165</v>
      </c>
      <c r="E886" t="s">
        <v>1190</v>
      </c>
      <c r="F886"/>
      <c r="G886">
        <v>0.05</v>
      </c>
      <c r="H886" s="1">
        <v>16206.2785</v>
      </c>
      <c r="I886"/>
      <c r="J886"/>
      <c r="K886" s="170">
        <v>46234</v>
      </c>
      <c r="L886" s="1">
        <v>20053.995126016591</v>
      </c>
      <c r="M886" s="1">
        <v>46221</v>
      </c>
      <c r="Y886"/>
      <c r="Z886"/>
      <c r="AB886"/>
    </row>
    <row r="887" spans="1:28" ht="14.4" hidden="1">
      <c r="A887" t="s">
        <v>514</v>
      </c>
      <c r="B887" s="1">
        <v>44</v>
      </c>
      <c r="C887" s="258" t="s">
        <v>2889</v>
      </c>
      <c r="D887" t="s">
        <v>1193</v>
      </c>
      <c r="E887" t="s">
        <v>1302</v>
      </c>
      <c r="F887"/>
      <c r="H887" s="1">
        <v>8500</v>
      </c>
      <c r="I887"/>
      <c r="J887"/>
      <c r="K887" s="170">
        <v>46142</v>
      </c>
      <c r="L887" s="1">
        <v>35151.515151515152</v>
      </c>
      <c r="M887" s="1">
        <v>46178</v>
      </c>
      <c r="N887" s="1">
        <v>49500</v>
      </c>
      <c r="Y887"/>
      <c r="Z887"/>
      <c r="AB887"/>
    </row>
    <row r="888" spans="1:28" ht="14.4" hidden="1">
      <c r="A888" t="s">
        <v>514</v>
      </c>
      <c r="B888" s="1">
        <v>45</v>
      </c>
      <c r="C888" s="258" t="s">
        <v>2890</v>
      </c>
      <c r="D888" t="s">
        <v>1193</v>
      </c>
      <c r="E888" t="s">
        <v>1304</v>
      </c>
      <c r="F888"/>
      <c r="H888" s="1">
        <v>26000</v>
      </c>
      <c r="I888"/>
      <c r="J888"/>
      <c r="K888" s="170">
        <v>46142</v>
      </c>
      <c r="L888" s="1">
        <v>107522.28163992873</v>
      </c>
      <c r="M888" s="1">
        <v>46172</v>
      </c>
      <c r="Y888"/>
      <c r="Z888"/>
      <c r="AB888"/>
    </row>
    <row r="889" spans="1:28" ht="14.4" hidden="1">
      <c r="A889" t="s">
        <v>514</v>
      </c>
      <c r="B889" s="1">
        <v>46</v>
      </c>
      <c r="C889" s="258" t="s">
        <v>2891</v>
      </c>
      <c r="D889" t="s">
        <v>1193</v>
      </c>
      <c r="E889" t="s">
        <v>1306</v>
      </c>
      <c r="F889"/>
      <c r="H889" s="1">
        <v>15000</v>
      </c>
      <c r="I889"/>
      <c r="J889"/>
      <c r="K889" s="170">
        <v>46142</v>
      </c>
      <c r="L889" s="1">
        <v>62032.085561497326</v>
      </c>
      <c r="M889" s="1">
        <v>46172</v>
      </c>
      <c r="Y889"/>
      <c r="Z889"/>
      <c r="AB889"/>
    </row>
    <row r="890" spans="1:28" ht="14.4" hidden="1">
      <c r="A890" t="s">
        <v>514</v>
      </c>
      <c r="B890" s="1">
        <v>53</v>
      </c>
      <c r="C890" s="258" t="s">
        <v>2892</v>
      </c>
      <c r="D890" t="s">
        <v>1211</v>
      </c>
      <c r="E890" t="s">
        <v>1212</v>
      </c>
      <c r="F890"/>
      <c r="H890" s="1">
        <v>253044.65</v>
      </c>
      <c r="I890"/>
      <c r="J890"/>
      <c r="K890" s="170">
        <v>46112</v>
      </c>
      <c r="L890" s="1">
        <v>420494.87534405413</v>
      </c>
      <c r="M890" s="1">
        <v>46142</v>
      </c>
      <c r="Y890"/>
      <c r="Z890"/>
      <c r="AB890"/>
    </row>
    <row r="891" spans="1:28" ht="14.4" hidden="1">
      <c r="A891" t="s">
        <v>514</v>
      </c>
      <c r="B891" s="1">
        <v>58</v>
      </c>
      <c r="C891" s="258" t="s">
        <v>2893</v>
      </c>
      <c r="D891" t="s">
        <v>1211</v>
      </c>
      <c r="E891" t="s">
        <v>1169</v>
      </c>
      <c r="F891">
        <v>200000</v>
      </c>
      <c r="G891">
        <v>0.1</v>
      </c>
      <c r="H891" s="1">
        <v>20000</v>
      </c>
      <c r="I891"/>
      <c r="J891"/>
      <c r="K891" s="170">
        <v>46112</v>
      </c>
      <c r="L891" s="1">
        <v>33234.836250760825</v>
      </c>
      <c r="M891" s="1">
        <v>46111</v>
      </c>
      <c r="Y891"/>
      <c r="Z891"/>
      <c r="AB891"/>
    </row>
    <row r="892" spans="1:28" ht="14.4" hidden="1">
      <c r="A892" t="s">
        <v>514</v>
      </c>
      <c r="B892" s="1">
        <v>59</v>
      </c>
      <c r="C892" s="258" t="s">
        <v>2894</v>
      </c>
      <c r="D892" t="s">
        <v>1211</v>
      </c>
      <c r="E892" t="s">
        <v>558</v>
      </c>
      <c r="F892"/>
      <c r="G892">
        <v>0.15</v>
      </c>
      <c r="H892" s="1">
        <v>30000</v>
      </c>
      <c r="I892"/>
      <c r="J892"/>
      <c r="K892" s="170">
        <v>46142</v>
      </c>
      <c r="L892" s="1">
        <v>49852.254376141238</v>
      </c>
      <c r="M892" s="1">
        <v>46118</v>
      </c>
      <c r="Y892"/>
      <c r="Z892"/>
      <c r="AB892"/>
    </row>
    <row r="893" spans="1:28" ht="14.4" hidden="1">
      <c r="A893" t="s">
        <v>514</v>
      </c>
      <c r="B893" s="1">
        <v>60</v>
      </c>
      <c r="C893" s="258" t="s">
        <v>2895</v>
      </c>
      <c r="D893" t="s">
        <v>1211</v>
      </c>
      <c r="E893" t="s">
        <v>1175</v>
      </c>
      <c r="F893"/>
      <c r="G893">
        <v>0.2</v>
      </c>
      <c r="H893" s="1">
        <v>40000</v>
      </c>
      <c r="I893"/>
      <c r="J893"/>
      <c r="K893" s="170">
        <v>46173</v>
      </c>
      <c r="L893" s="1">
        <v>66469.672501521651</v>
      </c>
      <c r="M893" s="1">
        <v>46148</v>
      </c>
      <c r="Y893"/>
      <c r="Z893"/>
      <c r="AB893"/>
    </row>
    <row r="894" spans="1:28" ht="14.4" hidden="1">
      <c r="A894" t="s">
        <v>514</v>
      </c>
      <c r="B894" s="1">
        <v>61</v>
      </c>
      <c r="C894" s="258" t="s">
        <v>2896</v>
      </c>
      <c r="D894" t="s">
        <v>1211</v>
      </c>
      <c r="E894" t="s">
        <v>1178</v>
      </c>
      <c r="F894"/>
      <c r="G894">
        <v>0.25</v>
      </c>
      <c r="H894" s="1">
        <v>50000</v>
      </c>
      <c r="I894"/>
      <c r="J894"/>
      <c r="K894" s="170">
        <v>46203</v>
      </c>
      <c r="L894" s="1">
        <v>83087.090626902049</v>
      </c>
      <c r="M894" s="1">
        <v>46182</v>
      </c>
      <c r="Y894"/>
      <c r="Z894"/>
      <c r="AB894"/>
    </row>
    <row r="895" spans="1:28" ht="14.4" hidden="1">
      <c r="A895" t="s">
        <v>514</v>
      </c>
      <c r="B895" s="1">
        <v>62</v>
      </c>
      <c r="C895" s="258" t="s">
        <v>2897</v>
      </c>
      <c r="D895" t="s">
        <v>1211</v>
      </c>
      <c r="E895" t="s">
        <v>1181</v>
      </c>
      <c r="F895"/>
      <c r="G895">
        <v>0.1</v>
      </c>
      <c r="H895" s="1">
        <v>20000</v>
      </c>
      <c r="I895"/>
      <c r="J895"/>
      <c r="K895" s="170">
        <v>46203</v>
      </c>
      <c r="L895" s="1">
        <v>33234.836250760825</v>
      </c>
      <c r="M895" s="1">
        <v>46197</v>
      </c>
      <c r="Y895"/>
      <c r="Z895"/>
      <c r="AB895"/>
    </row>
    <row r="896" spans="1:28" ht="14.4" hidden="1">
      <c r="A896" t="s">
        <v>514</v>
      </c>
      <c r="B896" s="1">
        <v>63</v>
      </c>
      <c r="C896" s="258" t="s">
        <v>2898</v>
      </c>
      <c r="D896" t="s">
        <v>1211</v>
      </c>
      <c r="E896" t="s">
        <v>1184</v>
      </c>
      <c r="F896"/>
      <c r="G896">
        <v>0.1</v>
      </c>
      <c r="H896" s="1">
        <v>20000</v>
      </c>
      <c r="I896"/>
      <c r="J896"/>
      <c r="K896" s="170">
        <v>46203</v>
      </c>
      <c r="L896" s="1">
        <v>33234.836250760825</v>
      </c>
      <c r="M896" s="1">
        <v>46198</v>
      </c>
      <c r="Y896"/>
      <c r="Z896"/>
      <c r="AB896"/>
    </row>
    <row r="897" spans="1:28" ht="14.4" hidden="1">
      <c r="A897" t="s">
        <v>514</v>
      </c>
      <c r="B897" s="1">
        <v>64</v>
      </c>
      <c r="C897" s="258" t="s">
        <v>2899</v>
      </c>
      <c r="D897" t="s">
        <v>1211</v>
      </c>
      <c r="E897" t="s">
        <v>1187</v>
      </c>
      <c r="F897"/>
      <c r="G897">
        <v>0.05</v>
      </c>
      <c r="H897" s="1">
        <v>10000</v>
      </c>
      <c r="I897"/>
      <c r="J897"/>
      <c r="K897" s="170">
        <v>46203</v>
      </c>
      <c r="L897" s="1">
        <v>16617.418125380413</v>
      </c>
      <c r="M897" s="1">
        <v>46198</v>
      </c>
      <c r="Y897"/>
      <c r="Z897"/>
      <c r="AB897"/>
    </row>
    <row r="898" spans="1:28" ht="14.4" hidden="1">
      <c r="A898" t="s">
        <v>514</v>
      </c>
      <c r="B898" s="1">
        <v>65</v>
      </c>
      <c r="C898" s="258" t="s">
        <v>2900</v>
      </c>
      <c r="D898" t="s">
        <v>1211</v>
      </c>
      <c r="E898" t="s">
        <v>1190</v>
      </c>
      <c r="F898"/>
      <c r="G898">
        <v>0.05</v>
      </c>
      <c r="H898" s="1">
        <v>10000</v>
      </c>
      <c r="I898"/>
      <c r="J898"/>
      <c r="K898" s="170">
        <v>46234</v>
      </c>
      <c r="L898" s="1">
        <v>16617.418125380413</v>
      </c>
      <c r="M898" s="1">
        <v>46221</v>
      </c>
      <c r="Y898"/>
      <c r="Z898"/>
      <c r="AB898"/>
    </row>
    <row r="899" spans="1:28" ht="14.4" hidden="1">
      <c r="A899" t="s">
        <v>514</v>
      </c>
      <c r="B899" s="1">
        <v>90</v>
      </c>
      <c r="C899" s="258" t="s">
        <v>2901</v>
      </c>
      <c r="D899" t="s">
        <v>1246</v>
      </c>
      <c r="E899" t="s">
        <v>1169</v>
      </c>
      <c r="F899">
        <v>540872</v>
      </c>
      <c r="G899">
        <v>0.1</v>
      </c>
      <c r="H899" s="1">
        <v>54087.199999999997</v>
      </c>
      <c r="I899"/>
      <c r="J899"/>
      <c r="K899" s="170">
        <v>46112</v>
      </c>
      <c r="L899" s="1">
        <v>70702.222222222234</v>
      </c>
      <c r="M899" s="1">
        <v>46111</v>
      </c>
      <c r="Y899"/>
      <c r="Z899"/>
      <c r="AB899"/>
    </row>
    <row r="900" spans="1:28" ht="14.4" hidden="1">
      <c r="A900" t="s">
        <v>514</v>
      </c>
      <c r="B900" s="1">
        <v>91</v>
      </c>
      <c r="C900" s="258" t="s">
        <v>2902</v>
      </c>
      <c r="D900" t="s">
        <v>1246</v>
      </c>
      <c r="E900" t="s">
        <v>558</v>
      </c>
      <c r="F900"/>
      <c r="G900">
        <v>0.15</v>
      </c>
      <c r="H900" s="1">
        <v>81130.8</v>
      </c>
      <c r="I900"/>
      <c r="J900"/>
      <c r="K900" s="170">
        <v>46142</v>
      </c>
      <c r="L900" s="1">
        <v>106053.33333333331</v>
      </c>
      <c r="M900" s="1">
        <v>46118</v>
      </c>
      <c r="Y900"/>
      <c r="Z900"/>
      <c r="AB900"/>
    </row>
    <row r="901" spans="1:28" ht="14.4" hidden="1">
      <c r="A901" t="s">
        <v>514</v>
      </c>
      <c r="B901" s="1">
        <v>92</v>
      </c>
      <c r="C901" s="258" t="s">
        <v>2903</v>
      </c>
      <c r="D901" t="s">
        <v>1246</v>
      </c>
      <c r="E901" t="s">
        <v>1175</v>
      </c>
      <c r="F901"/>
      <c r="G901">
        <v>0.2</v>
      </c>
      <c r="H901" s="1">
        <v>108174.39999999999</v>
      </c>
      <c r="I901"/>
      <c r="J901"/>
      <c r="K901" s="170">
        <v>46173</v>
      </c>
      <c r="L901" s="1">
        <v>141404.44444444447</v>
      </c>
      <c r="M901" s="1">
        <v>46148</v>
      </c>
      <c r="Y901"/>
      <c r="Z901"/>
      <c r="AB901"/>
    </row>
    <row r="902" spans="1:28" ht="14.4" hidden="1">
      <c r="A902" t="s">
        <v>514</v>
      </c>
      <c r="B902" s="1">
        <v>93</v>
      </c>
      <c r="C902" s="258" t="s">
        <v>2904</v>
      </c>
      <c r="D902" t="s">
        <v>1246</v>
      </c>
      <c r="E902" t="s">
        <v>1178</v>
      </c>
      <c r="F902"/>
      <c r="G902">
        <v>0.25</v>
      </c>
      <c r="H902" s="1">
        <v>135218</v>
      </c>
      <c r="I902"/>
      <c r="J902"/>
      <c r="K902" s="170">
        <v>46203</v>
      </c>
      <c r="L902" s="1">
        <v>176755.55555555556</v>
      </c>
      <c r="M902" s="1">
        <v>46182</v>
      </c>
      <c r="Y902"/>
      <c r="Z902"/>
      <c r="AB902"/>
    </row>
    <row r="903" spans="1:28" ht="14.4" hidden="1">
      <c r="A903" t="s">
        <v>514</v>
      </c>
      <c r="B903" s="1">
        <v>94</v>
      </c>
      <c r="C903" s="258" t="s">
        <v>2905</v>
      </c>
      <c r="D903" t="s">
        <v>1246</v>
      </c>
      <c r="E903" t="s">
        <v>1181</v>
      </c>
      <c r="F903"/>
      <c r="G903">
        <v>0.1</v>
      </c>
      <c r="H903" s="1">
        <v>54087.199999999997</v>
      </c>
      <c r="I903"/>
      <c r="J903"/>
      <c r="K903" s="170">
        <v>46203</v>
      </c>
      <c r="L903" s="1">
        <v>70702.222222222234</v>
      </c>
      <c r="M903" s="1">
        <v>46197</v>
      </c>
      <c r="Y903"/>
      <c r="Z903"/>
      <c r="AB903"/>
    </row>
    <row r="904" spans="1:28" ht="14.4" hidden="1">
      <c r="A904" t="s">
        <v>514</v>
      </c>
      <c r="B904" s="1">
        <v>95</v>
      </c>
      <c r="C904" s="258" t="s">
        <v>2906</v>
      </c>
      <c r="D904" t="s">
        <v>1246</v>
      </c>
      <c r="E904" t="s">
        <v>1184</v>
      </c>
      <c r="F904"/>
      <c r="G904">
        <v>0.1</v>
      </c>
      <c r="H904" s="1">
        <v>54087.199999999997</v>
      </c>
      <c r="I904"/>
      <c r="J904"/>
      <c r="K904" s="170">
        <v>46203</v>
      </c>
      <c r="L904" s="1">
        <v>70702.222222222234</v>
      </c>
      <c r="M904" s="1">
        <v>46198</v>
      </c>
      <c r="Y904"/>
      <c r="Z904"/>
      <c r="AB904"/>
    </row>
    <row r="905" spans="1:28" ht="14.4" hidden="1">
      <c r="A905" t="s">
        <v>514</v>
      </c>
      <c r="B905" s="1">
        <v>96</v>
      </c>
      <c r="C905" s="258" t="s">
        <v>2907</v>
      </c>
      <c r="D905" t="s">
        <v>1246</v>
      </c>
      <c r="E905" t="s">
        <v>1187</v>
      </c>
      <c r="F905"/>
      <c r="G905">
        <v>0.05</v>
      </c>
      <c r="H905" s="1">
        <v>27043.599999999999</v>
      </c>
      <c r="I905"/>
      <c r="J905"/>
      <c r="K905" s="170">
        <v>46203</v>
      </c>
      <c r="L905" s="1">
        <v>35351.111111111117</v>
      </c>
      <c r="M905" s="1">
        <v>46198</v>
      </c>
      <c r="Y905"/>
      <c r="Z905"/>
      <c r="AB905"/>
    </row>
    <row r="906" spans="1:28" ht="14.4" hidden="1">
      <c r="A906" t="s">
        <v>514</v>
      </c>
      <c r="B906" s="1">
        <v>97</v>
      </c>
      <c r="C906" s="258" t="s">
        <v>2908</v>
      </c>
      <c r="D906" t="s">
        <v>1246</v>
      </c>
      <c r="E906" t="s">
        <v>1190</v>
      </c>
      <c r="F906"/>
      <c r="G906">
        <v>0.05</v>
      </c>
      <c r="H906" s="1">
        <v>27043.599999999999</v>
      </c>
      <c r="I906"/>
      <c r="J906"/>
      <c r="K906" s="170">
        <v>46234</v>
      </c>
      <c r="L906" s="1">
        <v>35351.111111111117</v>
      </c>
      <c r="M906" s="1">
        <v>46221</v>
      </c>
      <c r="Y906"/>
      <c r="Z906"/>
      <c r="AB906"/>
    </row>
    <row r="907" spans="1:28" ht="14.4" hidden="1">
      <c r="A907" t="s">
        <v>514</v>
      </c>
      <c r="B907" s="1">
        <v>102</v>
      </c>
      <c r="C907" s="258" t="s">
        <v>2909</v>
      </c>
      <c r="D907" t="s">
        <v>1255</v>
      </c>
      <c r="E907" t="s">
        <v>1343</v>
      </c>
      <c r="F907"/>
      <c r="H907" s="1">
        <v>96000</v>
      </c>
      <c r="I907"/>
      <c r="J907"/>
      <c r="K907" s="170">
        <v>46173</v>
      </c>
      <c r="L907" s="1">
        <v>113231.82195357134</v>
      </c>
      <c r="M907" s="1">
        <v>46148</v>
      </c>
      <c r="N907" s="1">
        <v>147414.23333333334</v>
      </c>
      <c r="Y907"/>
      <c r="Z907"/>
      <c r="AB907"/>
    </row>
    <row r="908" spans="1:28" ht="14.4" hidden="1">
      <c r="A908" t="s">
        <v>514</v>
      </c>
      <c r="B908" s="1">
        <v>106</v>
      </c>
      <c r="C908" s="258" t="s">
        <v>2910</v>
      </c>
      <c r="D908" t="s">
        <v>1255</v>
      </c>
      <c r="E908" t="s">
        <v>1169</v>
      </c>
      <c r="F908">
        <v>51414.23333333333</v>
      </c>
      <c r="G908">
        <v>0.1</v>
      </c>
      <c r="H908" s="1">
        <v>5141.4233333333332</v>
      </c>
      <c r="I908"/>
      <c r="J908"/>
      <c r="K908" s="170">
        <v>46112</v>
      </c>
      <c r="L908" s="1">
        <v>6064.2992861243456</v>
      </c>
      <c r="M908" s="1">
        <v>46111</v>
      </c>
      <c r="Y908"/>
      <c r="Z908"/>
      <c r="AB908"/>
    </row>
    <row r="909" spans="1:28" ht="14.4" hidden="1">
      <c r="A909" t="s">
        <v>514</v>
      </c>
      <c r="B909" s="1">
        <v>107</v>
      </c>
      <c r="C909" s="258" t="s">
        <v>2911</v>
      </c>
      <c r="D909" t="s">
        <v>1255</v>
      </c>
      <c r="E909" t="s">
        <v>558</v>
      </c>
      <c r="F909"/>
      <c r="G909">
        <v>0.15</v>
      </c>
      <c r="H909" s="1">
        <v>7712.1350000000002</v>
      </c>
      <c r="I909"/>
      <c r="J909"/>
      <c r="K909" s="170">
        <v>46142</v>
      </c>
      <c r="L909" s="1">
        <v>9096.4489291865193</v>
      </c>
      <c r="M909" s="1">
        <v>46118</v>
      </c>
      <c r="Y909"/>
      <c r="Z909"/>
      <c r="AB909"/>
    </row>
    <row r="910" spans="1:28" ht="14.4" hidden="1">
      <c r="A910" t="s">
        <v>514</v>
      </c>
      <c r="B910" s="1">
        <v>108</v>
      </c>
      <c r="C910" s="258" t="s">
        <v>2912</v>
      </c>
      <c r="D910" t="s">
        <v>1255</v>
      </c>
      <c r="E910" t="s">
        <v>1175</v>
      </c>
      <c r="F910"/>
      <c r="G910">
        <v>0.2</v>
      </c>
      <c r="H910" s="1">
        <v>10282.846666666666</v>
      </c>
      <c r="I910"/>
      <c r="J910"/>
      <c r="K910" s="170">
        <v>46173</v>
      </c>
      <c r="L910" s="1">
        <v>12128.598572248691</v>
      </c>
      <c r="M910" s="1">
        <v>46148</v>
      </c>
      <c r="Y910"/>
      <c r="Z910"/>
      <c r="AB910"/>
    </row>
    <row r="911" spans="1:28" ht="14.4" hidden="1">
      <c r="A911" t="s">
        <v>514</v>
      </c>
      <c r="B911" s="1">
        <v>109</v>
      </c>
      <c r="C911" s="258" t="s">
        <v>2913</v>
      </c>
      <c r="D911" t="s">
        <v>1255</v>
      </c>
      <c r="E911" t="s">
        <v>1178</v>
      </c>
      <c r="F911"/>
      <c r="G911">
        <v>0.25</v>
      </c>
      <c r="H911" s="1">
        <v>12853.558333333332</v>
      </c>
      <c r="I911"/>
      <c r="J911"/>
      <c r="K911" s="170">
        <v>46203</v>
      </c>
      <c r="L911" s="1">
        <v>15160.748215310865</v>
      </c>
      <c r="M911" s="1">
        <v>46182</v>
      </c>
      <c r="Y911"/>
      <c r="Z911"/>
      <c r="AB911"/>
    </row>
    <row r="912" spans="1:28" ht="14.4" hidden="1">
      <c r="A912" t="s">
        <v>514</v>
      </c>
      <c r="B912" s="1">
        <v>110</v>
      </c>
      <c r="C912" s="258" t="s">
        <v>2914</v>
      </c>
      <c r="D912" t="s">
        <v>1255</v>
      </c>
      <c r="E912" t="s">
        <v>1181</v>
      </c>
      <c r="F912"/>
      <c r="G912">
        <v>0.1</v>
      </c>
      <c r="H912" s="1">
        <v>5141.4233333333332</v>
      </c>
      <c r="I912"/>
      <c r="J912"/>
      <c r="K912" s="170">
        <v>46203</v>
      </c>
      <c r="L912" s="1">
        <v>6064.2992861243456</v>
      </c>
      <c r="M912" s="1">
        <v>46197</v>
      </c>
      <c r="Y912"/>
      <c r="Z912"/>
      <c r="AB912"/>
    </row>
    <row r="913" spans="1:28" ht="14.4" hidden="1">
      <c r="A913" t="s">
        <v>514</v>
      </c>
      <c r="B913" s="1">
        <v>111</v>
      </c>
      <c r="C913" s="258" t="s">
        <v>2915</v>
      </c>
      <c r="D913" t="s">
        <v>1255</v>
      </c>
      <c r="E913" t="s">
        <v>1184</v>
      </c>
      <c r="F913"/>
      <c r="G913">
        <v>0.1</v>
      </c>
      <c r="H913" s="1">
        <v>5141.4233333333332</v>
      </c>
      <c r="I913"/>
      <c r="J913"/>
      <c r="K913" s="170">
        <v>46203</v>
      </c>
      <c r="L913" s="1">
        <v>6064.2992861243456</v>
      </c>
      <c r="M913" s="1">
        <v>46198</v>
      </c>
      <c r="Y913"/>
      <c r="Z913"/>
      <c r="AB913"/>
    </row>
    <row r="914" spans="1:28" ht="14.4" hidden="1">
      <c r="A914" t="s">
        <v>514</v>
      </c>
      <c r="B914" s="1">
        <v>112</v>
      </c>
      <c r="C914" s="258" t="s">
        <v>2916</v>
      </c>
      <c r="D914" t="s">
        <v>1255</v>
      </c>
      <c r="E914" t="s">
        <v>1187</v>
      </c>
      <c r="F914"/>
      <c r="G914">
        <v>0.05</v>
      </c>
      <c r="H914" s="1">
        <v>2570.7116666666666</v>
      </c>
      <c r="I914"/>
      <c r="J914"/>
      <c r="K914" s="170">
        <v>46203</v>
      </c>
      <c r="L914" s="1">
        <v>3032.1496430621728</v>
      </c>
      <c r="M914" s="1">
        <v>46198</v>
      </c>
      <c r="Y914"/>
      <c r="Z914"/>
      <c r="AB914"/>
    </row>
    <row r="915" spans="1:28" ht="14.4" hidden="1">
      <c r="A915" t="s">
        <v>514</v>
      </c>
      <c r="B915" s="1">
        <v>113</v>
      </c>
      <c r="C915" s="258" t="s">
        <v>2917</v>
      </c>
      <c r="D915" t="s">
        <v>1255</v>
      </c>
      <c r="E915" t="s">
        <v>1190</v>
      </c>
      <c r="F915"/>
      <c r="G915">
        <v>0.05</v>
      </c>
      <c r="H915" s="1">
        <v>2570.7116666666666</v>
      </c>
      <c r="I915"/>
      <c r="J915"/>
      <c r="K915" s="170">
        <v>46234</v>
      </c>
      <c r="L915" s="1">
        <v>3032.1496430621728</v>
      </c>
      <c r="M915" s="1">
        <v>46221</v>
      </c>
      <c r="Y915"/>
      <c r="Z915"/>
      <c r="AB915"/>
    </row>
    <row r="916" spans="1:28" ht="14.4" hidden="1">
      <c r="A916" t="s">
        <v>514</v>
      </c>
      <c r="B916" s="1">
        <v>118</v>
      </c>
      <c r="C916" s="258" t="s">
        <v>2918</v>
      </c>
      <c r="D916" t="s">
        <v>1264</v>
      </c>
      <c r="E916" t="s">
        <v>1265</v>
      </c>
      <c r="F916"/>
      <c r="H916" s="1">
        <v>20008.000000000004</v>
      </c>
      <c r="I916"/>
      <c r="J916"/>
      <c r="K916" s="170">
        <v>46234</v>
      </c>
      <c r="L916" s="1">
        <v>29364.662121936293</v>
      </c>
      <c r="M916" s="1">
        <v>46204</v>
      </c>
      <c r="N916" s="1">
        <v>106008</v>
      </c>
      <c r="Y916"/>
      <c r="Z916"/>
      <c r="AB916"/>
    </row>
    <row r="917" spans="1:28" ht="14.4" hidden="1">
      <c r="A917" t="s">
        <v>514</v>
      </c>
      <c r="B917" s="1">
        <v>119</v>
      </c>
      <c r="C917" s="258" t="s">
        <v>2919</v>
      </c>
      <c r="D917" t="s">
        <v>1264</v>
      </c>
      <c r="E917" t="s">
        <v>1268</v>
      </c>
      <c r="F917"/>
      <c r="H917" s="1">
        <v>0</v>
      </c>
      <c r="I917"/>
      <c r="J917"/>
      <c r="K917" s="170" t="s">
        <v>51</v>
      </c>
      <c r="L917" s="1">
        <v>0</v>
      </c>
      <c r="Y917"/>
      <c r="Z917"/>
      <c r="AB917"/>
    </row>
    <row r="918" spans="1:28" ht="14.4" hidden="1">
      <c r="A918" t="s">
        <v>514</v>
      </c>
      <c r="B918" s="1">
        <v>120</v>
      </c>
      <c r="C918" s="258" t="s">
        <v>2920</v>
      </c>
      <c r="D918" t="s">
        <v>1264</v>
      </c>
      <c r="E918" t="s">
        <v>1271</v>
      </c>
      <c r="F918"/>
      <c r="H918" s="1">
        <v>80000</v>
      </c>
      <c r="I918"/>
      <c r="J918"/>
      <c r="K918" s="170">
        <v>46203</v>
      </c>
      <c r="L918" s="1">
        <v>117411.68381421948</v>
      </c>
      <c r="M918" s="1">
        <v>46233</v>
      </c>
      <c r="Y918"/>
      <c r="Z918"/>
      <c r="AB918"/>
    </row>
    <row r="919" spans="1:28" ht="14.4" hidden="1">
      <c r="A919" t="s">
        <v>514</v>
      </c>
      <c r="B919" s="1">
        <v>121</v>
      </c>
      <c r="C919" s="258" t="s">
        <v>2921</v>
      </c>
      <c r="D919" t="s">
        <v>1264</v>
      </c>
      <c r="E919" t="s">
        <v>808</v>
      </c>
      <c r="F919"/>
      <c r="H919" s="1">
        <v>6000</v>
      </c>
      <c r="I919"/>
      <c r="J919"/>
      <c r="K919" s="170">
        <v>46203</v>
      </c>
      <c r="L919" s="1">
        <v>8805.876286066461</v>
      </c>
      <c r="M919" s="1">
        <v>46190</v>
      </c>
      <c r="Y919"/>
      <c r="Z919"/>
      <c r="AB919"/>
    </row>
    <row r="920" spans="1:28" ht="14.4" hidden="1">
      <c r="A920" t="s">
        <v>514</v>
      </c>
      <c r="B920" s="1">
        <v>124</v>
      </c>
      <c r="C920" s="258" t="s">
        <v>2922</v>
      </c>
      <c r="D920" t="s">
        <v>1274</v>
      </c>
      <c r="E920" t="s">
        <v>1275</v>
      </c>
      <c r="F920"/>
      <c r="H920" s="1">
        <v>0</v>
      </c>
      <c r="I920"/>
      <c r="J920"/>
      <c r="K920" s="170" t="s">
        <v>51</v>
      </c>
      <c r="N920" s="1">
        <v>0</v>
      </c>
      <c r="Y920"/>
      <c r="Z920"/>
      <c r="AB920"/>
    </row>
    <row r="921" spans="1:28" ht="14.4" hidden="1">
      <c r="A921" t="s">
        <v>514</v>
      </c>
      <c r="B921" s="1">
        <v>127</v>
      </c>
      <c r="C921" s="258" t="s">
        <v>2923</v>
      </c>
      <c r="D921" t="s">
        <v>1277</v>
      </c>
      <c r="E921" t="s">
        <v>1278</v>
      </c>
      <c r="F921"/>
      <c r="H921" s="1">
        <v>74570.156186130349</v>
      </c>
      <c r="I921"/>
      <c r="J921"/>
      <c r="K921" s="170">
        <v>46203</v>
      </c>
      <c r="L921" s="1">
        <v>71710.4892827734</v>
      </c>
      <c r="M921" s="1">
        <v>46190</v>
      </c>
      <c r="N921" s="1">
        <v>74570.156186130349</v>
      </c>
      <c r="Y921"/>
      <c r="Z921"/>
      <c r="AB921"/>
    </row>
    <row r="922" spans="1:28" ht="14.4" hidden="1">
      <c r="A922" t="s">
        <v>514</v>
      </c>
      <c r="B922" s="1">
        <v>134</v>
      </c>
      <c r="C922" s="258" t="s">
        <v>2924</v>
      </c>
      <c r="D922" t="s">
        <v>1280</v>
      </c>
      <c r="E922" t="s">
        <v>1281</v>
      </c>
      <c r="F922"/>
      <c r="H922" s="1">
        <v>3500</v>
      </c>
      <c r="I922"/>
      <c r="J922"/>
      <c r="K922" s="170">
        <v>46081</v>
      </c>
      <c r="L922" s="1">
        <v>3888.8888888888887</v>
      </c>
      <c r="M922" s="1">
        <v>46088</v>
      </c>
      <c r="N922" s="1">
        <v>14000</v>
      </c>
      <c r="Y922"/>
      <c r="Z922"/>
      <c r="AB922"/>
    </row>
    <row r="923" spans="1:28" ht="14.4" hidden="1">
      <c r="A923" t="s">
        <v>514</v>
      </c>
      <c r="B923" s="1">
        <v>135</v>
      </c>
      <c r="C923" s="258" t="s">
        <v>2925</v>
      </c>
      <c r="D923" t="s">
        <v>1280</v>
      </c>
      <c r="E923" t="s">
        <v>1281</v>
      </c>
      <c r="F923"/>
      <c r="H923" s="1">
        <v>3500</v>
      </c>
      <c r="I923"/>
      <c r="J923"/>
      <c r="K923" s="170">
        <v>46112</v>
      </c>
      <c r="L923" s="1">
        <v>3888.8888888888887</v>
      </c>
      <c r="M923" s="1">
        <v>46119</v>
      </c>
      <c r="Y923"/>
      <c r="Z923"/>
      <c r="AB923"/>
    </row>
    <row r="924" spans="1:28" ht="14.4" hidden="1">
      <c r="A924" t="s">
        <v>514</v>
      </c>
      <c r="B924" s="1">
        <v>136</v>
      </c>
      <c r="C924" s="258" t="s">
        <v>2926</v>
      </c>
      <c r="D924" t="s">
        <v>1280</v>
      </c>
      <c r="E924" t="s">
        <v>1281</v>
      </c>
      <c r="F924"/>
      <c r="H924" s="1">
        <v>3500</v>
      </c>
      <c r="I924"/>
      <c r="J924"/>
      <c r="K924" s="170">
        <v>46142</v>
      </c>
      <c r="L924" s="1">
        <v>3888.8888888888887</v>
      </c>
      <c r="M924" s="1">
        <v>46149</v>
      </c>
      <c r="Y924"/>
      <c r="Z924"/>
      <c r="AB924"/>
    </row>
    <row r="925" spans="1:28" ht="14.4" hidden="1">
      <c r="A925" t="s">
        <v>514</v>
      </c>
      <c r="B925" s="1">
        <v>137</v>
      </c>
      <c r="C925" s="258" t="s">
        <v>2927</v>
      </c>
      <c r="D925" t="s">
        <v>1280</v>
      </c>
      <c r="E925" t="s">
        <v>1281</v>
      </c>
      <c r="F925"/>
      <c r="H925" s="1">
        <v>3500</v>
      </c>
      <c r="I925"/>
      <c r="J925"/>
      <c r="K925" s="170">
        <v>46173</v>
      </c>
      <c r="L925" s="1">
        <v>3888.8888888888887</v>
      </c>
      <c r="M925" s="1">
        <v>46180</v>
      </c>
      <c r="Y925"/>
      <c r="Z925"/>
      <c r="AB925"/>
    </row>
    <row r="926" spans="1:28" ht="14.4" hidden="1">
      <c r="A926" t="s">
        <v>187</v>
      </c>
      <c r="B926" s="1">
        <v>6</v>
      </c>
      <c r="C926" s="258" t="s">
        <v>2928</v>
      </c>
      <c r="D926" t="s">
        <v>1146</v>
      </c>
      <c r="E926" t="s">
        <v>2929</v>
      </c>
      <c r="F926">
        <v>681</v>
      </c>
      <c r="G926">
        <v>1233.8</v>
      </c>
      <c r="H926" s="1">
        <v>840217.8</v>
      </c>
      <c r="I926" t="s">
        <v>2930</v>
      </c>
      <c r="J926" t="s">
        <v>2931</v>
      </c>
      <c r="K926" s="170">
        <v>45808</v>
      </c>
      <c r="L926" s="1">
        <v>1388645.8633720933</v>
      </c>
      <c r="M926" s="1">
        <v>45866</v>
      </c>
      <c r="N926" s="1">
        <v>845752.99999999988</v>
      </c>
      <c r="Y926"/>
      <c r="Z926"/>
      <c r="AB926"/>
    </row>
    <row r="927" spans="1:28" ht="14.4" hidden="1">
      <c r="A927" t="s">
        <v>187</v>
      </c>
      <c r="B927" s="1">
        <v>8</v>
      </c>
      <c r="C927" s="258" t="s">
        <v>2932</v>
      </c>
      <c r="D927" t="s">
        <v>1146</v>
      </c>
      <c r="E927" t="s">
        <v>2933</v>
      </c>
      <c r="F927">
        <v>4</v>
      </c>
      <c r="H927" s="1">
        <v>4935.2</v>
      </c>
      <c r="I927"/>
      <c r="J927" t="s">
        <v>2934</v>
      </c>
      <c r="K927" s="170">
        <v>45991</v>
      </c>
      <c r="L927" s="1">
        <v>0</v>
      </c>
      <c r="M927" s="1">
        <v>46045</v>
      </c>
      <c r="Y927"/>
      <c r="Z927"/>
      <c r="AB927"/>
    </row>
    <row r="928" spans="1:28" ht="14.4" hidden="1">
      <c r="A928" t="s">
        <v>187</v>
      </c>
      <c r="B928" s="1">
        <v>9</v>
      </c>
      <c r="C928" s="258" t="s">
        <v>2935</v>
      </c>
      <c r="D928" t="s">
        <v>1146</v>
      </c>
      <c r="E928" t="s">
        <v>1461</v>
      </c>
      <c r="F928"/>
      <c r="H928" s="1">
        <v>600</v>
      </c>
      <c r="I928"/>
      <c r="J928" t="s">
        <v>2934</v>
      </c>
      <c r="K928" s="170">
        <v>45991</v>
      </c>
      <c r="L928" s="1">
        <v>0</v>
      </c>
      <c r="M928" s="1">
        <v>46045</v>
      </c>
      <c r="Y928"/>
      <c r="Z928"/>
      <c r="AB928"/>
    </row>
    <row r="929" spans="1:28" ht="14.4" hidden="1">
      <c r="A929" t="s">
        <v>187</v>
      </c>
      <c r="B929" s="1">
        <v>13</v>
      </c>
      <c r="C929" s="258" t="s">
        <v>2936</v>
      </c>
      <c r="D929" t="s">
        <v>1157</v>
      </c>
      <c r="E929" t="s">
        <v>2937</v>
      </c>
      <c r="F929">
        <v>4</v>
      </c>
      <c r="G929">
        <v>68870.350000000006</v>
      </c>
      <c r="H929" s="1">
        <v>275481.40000000002</v>
      </c>
      <c r="I929" t="s">
        <v>2930</v>
      </c>
      <c r="J929" t="s">
        <v>2938</v>
      </c>
      <c r="K929" s="170">
        <v>45808</v>
      </c>
      <c r="L929" s="1">
        <v>244186.04651162791</v>
      </c>
      <c r="M929" s="1">
        <v>45855</v>
      </c>
      <c r="N929" s="1">
        <v>275481.40000000002</v>
      </c>
      <c r="Y929"/>
      <c r="Z929"/>
      <c r="AB929"/>
    </row>
    <row r="930" spans="1:28" ht="14.4" hidden="1">
      <c r="A930" t="s">
        <v>187</v>
      </c>
      <c r="B930" s="1">
        <v>21</v>
      </c>
      <c r="C930" s="258" t="s">
        <v>2939</v>
      </c>
      <c r="D930" t="s">
        <v>1160</v>
      </c>
      <c r="E930" t="s">
        <v>1161</v>
      </c>
      <c r="F930"/>
      <c r="H930" s="1">
        <v>78183.600000000006</v>
      </c>
      <c r="I930" t="s">
        <v>2940</v>
      </c>
      <c r="J930" t="s">
        <v>2941</v>
      </c>
      <c r="K930" s="170">
        <v>45808</v>
      </c>
      <c r="L930" s="1">
        <v>143056.83313035389</v>
      </c>
      <c r="M930" s="1">
        <v>45835</v>
      </c>
      <c r="N930" s="1">
        <v>78183.600000000006</v>
      </c>
      <c r="Y930"/>
      <c r="Z930"/>
      <c r="AB930"/>
    </row>
    <row r="931" spans="1:28" ht="14.4" hidden="1">
      <c r="A931" t="s">
        <v>187</v>
      </c>
      <c r="B931" s="1">
        <v>28</v>
      </c>
      <c r="C931" s="258" t="s">
        <v>2942</v>
      </c>
      <c r="D931" t="s">
        <v>1165</v>
      </c>
      <c r="E931" t="s">
        <v>2943</v>
      </c>
      <c r="F931">
        <v>10000</v>
      </c>
      <c r="G931">
        <v>13.4</v>
      </c>
      <c r="H931" s="1">
        <v>134000</v>
      </c>
      <c r="I931" t="s">
        <v>2930</v>
      </c>
      <c r="J931" t="s">
        <v>2938</v>
      </c>
      <c r="K931" s="170">
        <v>45808</v>
      </c>
      <c r="L931" s="1">
        <v>143672.09359939193</v>
      </c>
      <c r="M931" s="1">
        <v>45855</v>
      </c>
      <c r="N931" s="1">
        <v>347949.70967156236</v>
      </c>
      <c r="Y931"/>
      <c r="Z931"/>
      <c r="AB931"/>
    </row>
    <row r="932" spans="1:28" ht="14.4" hidden="1">
      <c r="A932" t="s">
        <v>187</v>
      </c>
      <c r="B932" s="1">
        <v>32</v>
      </c>
      <c r="C932" s="258" t="s">
        <v>2944</v>
      </c>
      <c r="D932" t="s">
        <v>1165</v>
      </c>
      <c r="E932" t="s">
        <v>1169</v>
      </c>
      <c r="F932">
        <v>213949.70967156236</v>
      </c>
      <c r="G932">
        <v>0.1</v>
      </c>
      <c r="H932" s="1">
        <v>21394.970967156241</v>
      </c>
      <c r="I932" t="s">
        <v>2945</v>
      </c>
      <c r="J932" t="s">
        <v>2946</v>
      </c>
      <c r="K932" s="170">
        <v>45808</v>
      </c>
      <c r="L932" s="1">
        <v>22939.25575633988</v>
      </c>
      <c r="M932" s="1">
        <v>45792</v>
      </c>
      <c r="Y932"/>
      <c r="Z932"/>
      <c r="AB932"/>
    </row>
    <row r="933" spans="1:28" ht="14.4" hidden="1">
      <c r="A933" t="s">
        <v>187</v>
      </c>
      <c r="B933" s="1">
        <v>33</v>
      </c>
      <c r="C933" s="258" t="s">
        <v>2947</v>
      </c>
      <c r="D933" t="s">
        <v>1165</v>
      </c>
      <c r="E933" t="s">
        <v>558</v>
      </c>
      <c r="F933"/>
      <c r="G933">
        <v>0.15</v>
      </c>
      <c r="H933" s="1">
        <v>32092.456450734353</v>
      </c>
      <c r="I933"/>
      <c r="J933" t="s">
        <v>2946</v>
      </c>
      <c r="K933" s="170">
        <v>45808</v>
      </c>
      <c r="L933" s="1">
        <v>34408.883634509817</v>
      </c>
      <c r="M933" s="1">
        <v>45792</v>
      </c>
      <c r="Y933"/>
      <c r="Z933"/>
      <c r="AB933"/>
    </row>
    <row r="934" spans="1:28" ht="14.4" hidden="1">
      <c r="A934" t="s">
        <v>187</v>
      </c>
      <c r="B934" s="1">
        <v>34</v>
      </c>
      <c r="C934" s="258" t="s">
        <v>2948</v>
      </c>
      <c r="D934" t="s">
        <v>1165</v>
      </c>
      <c r="E934" t="s">
        <v>1175</v>
      </c>
      <c r="F934"/>
      <c r="G934">
        <v>0.2</v>
      </c>
      <c r="H934" s="1">
        <v>42789.941934312475</v>
      </c>
      <c r="I934"/>
      <c r="J934" t="s">
        <v>2949</v>
      </c>
      <c r="K934" s="170">
        <v>45869</v>
      </c>
      <c r="L934" s="1">
        <v>45878.511512679754</v>
      </c>
      <c r="M934" s="1">
        <v>45883</v>
      </c>
      <c r="Y934"/>
      <c r="Z934"/>
      <c r="AB934"/>
    </row>
    <row r="935" spans="1:28" ht="14.4" hidden="1">
      <c r="A935" t="s">
        <v>187</v>
      </c>
      <c r="B935" s="1">
        <v>35</v>
      </c>
      <c r="C935" s="258" t="s">
        <v>2950</v>
      </c>
      <c r="D935" t="s">
        <v>1165</v>
      </c>
      <c r="E935" t="s">
        <v>1178</v>
      </c>
      <c r="F935"/>
      <c r="G935">
        <v>0.17</v>
      </c>
      <c r="H935" s="1">
        <v>36371.450644165605</v>
      </c>
      <c r="I935"/>
      <c r="J935" t="s">
        <v>2951</v>
      </c>
      <c r="K935" s="170">
        <v>45869</v>
      </c>
      <c r="L935" s="1">
        <v>38996.734785777793</v>
      </c>
      <c r="M935" s="1">
        <v>45849</v>
      </c>
      <c r="Y935"/>
      <c r="Z935"/>
      <c r="AB935"/>
    </row>
    <row r="936" spans="1:28" ht="14.4" hidden="1">
      <c r="A936" t="s">
        <v>187</v>
      </c>
      <c r="B936" s="1">
        <v>36</v>
      </c>
      <c r="C936" s="258" t="s">
        <v>2952</v>
      </c>
      <c r="D936" t="s">
        <v>1165</v>
      </c>
      <c r="E936" t="s">
        <v>1178</v>
      </c>
      <c r="F936"/>
      <c r="G936">
        <v>0.08</v>
      </c>
      <c r="H936" s="1">
        <v>17115.976773724989</v>
      </c>
      <c r="I936"/>
      <c r="J936" t="s">
        <v>2953</v>
      </c>
      <c r="K936" s="170">
        <v>45900</v>
      </c>
      <c r="L936" s="1">
        <v>18351.404605071901</v>
      </c>
      <c r="M936" s="1">
        <v>46009</v>
      </c>
      <c r="Y936"/>
      <c r="Z936"/>
      <c r="AB936"/>
    </row>
    <row r="937" spans="1:28" ht="14.4" hidden="1">
      <c r="A937" t="s">
        <v>187</v>
      </c>
      <c r="B937" s="1">
        <v>37</v>
      </c>
      <c r="C937" s="258" t="s">
        <v>2954</v>
      </c>
      <c r="D937" t="s">
        <v>1165</v>
      </c>
      <c r="E937" t="s">
        <v>1181</v>
      </c>
      <c r="F937"/>
      <c r="G937">
        <v>0.1</v>
      </c>
      <c r="H937" s="1">
        <v>21394.970967156241</v>
      </c>
      <c r="I937"/>
      <c r="J937" t="s">
        <v>2955</v>
      </c>
      <c r="K937" s="170">
        <v>45900</v>
      </c>
      <c r="L937" s="1">
        <v>22939.255756339877</v>
      </c>
      <c r="M937" s="1">
        <v>46009</v>
      </c>
      <c r="Y937"/>
      <c r="Z937"/>
      <c r="AB937"/>
    </row>
    <row r="938" spans="1:28" ht="14.4" hidden="1">
      <c r="A938" t="s">
        <v>187</v>
      </c>
      <c r="B938" s="1">
        <v>38</v>
      </c>
      <c r="C938" s="258" t="s">
        <v>2956</v>
      </c>
      <c r="D938" t="s">
        <v>1165</v>
      </c>
      <c r="E938" t="s">
        <v>1184</v>
      </c>
      <c r="F938"/>
      <c r="G938">
        <v>0.1</v>
      </c>
      <c r="H938" s="1">
        <v>21394.970967156241</v>
      </c>
      <c r="I938"/>
      <c r="J938" t="s">
        <v>2957</v>
      </c>
      <c r="K938" s="170">
        <v>45991</v>
      </c>
      <c r="L938" s="1">
        <v>22939.255756339877</v>
      </c>
      <c r="M938" s="1">
        <v>46051</v>
      </c>
      <c r="Y938"/>
      <c r="Z938"/>
      <c r="AB938"/>
    </row>
    <row r="939" spans="1:28" ht="14.4" hidden="1">
      <c r="A939" t="s">
        <v>187</v>
      </c>
      <c r="B939" s="1">
        <v>39</v>
      </c>
      <c r="C939" s="258" t="s">
        <v>2958</v>
      </c>
      <c r="D939" t="s">
        <v>1165</v>
      </c>
      <c r="E939" t="s">
        <v>1187</v>
      </c>
      <c r="F939"/>
      <c r="G939">
        <v>0.05</v>
      </c>
      <c r="H939" s="1">
        <v>10697.485483578121</v>
      </c>
      <c r="I939"/>
      <c r="J939" t="s">
        <v>2959</v>
      </c>
      <c r="K939" s="170">
        <v>45991</v>
      </c>
      <c r="L939" s="1">
        <v>11469.627878169938</v>
      </c>
      <c r="M939" s="1">
        <v>46058</v>
      </c>
      <c r="Y939"/>
      <c r="Z939"/>
      <c r="AB939"/>
    </row>
    <row r="940" spans="1:28" ht="14.4" hidden="1">
      <c r="A940" t="s">
        <v>187</v>
      </c>
      <c r="B940" s="1">
        <v>40</v>
      </c>
      <c r="C940" s="258" t="s">
        <v>2960</v>
      </c>
      <c r="D940" t="s">
        <v>1165</v>
      </c>
      <c r="E940" t="s">
        <v>1190</v>
      </c>
      <c r="F940"/>
      <c r="G940">
        <v>0.05</v>
      </c>
      <c r="H940" s="1">
        <v>10697.485483578121</v>
      </c>
      <c r="I940"/>
      <c r="J940" t="s">
        <v>2961</v>
      </c>
      <c r="K940" s="170">
        <v>46053</v>
      </c>
      <c r="L940" s="1">
        <v>11469.627878169938</v>
      </c>
      <c r="M940" s="1">
        <v>46088</v>
      </c>
      <c r="Y940"/>
      <c r="Z940"/>
      <c r="AB940"/>
    </row>
    <row r="941" spans="1:28" ht="14.4" hidden="1">
      <c r="A941" t="s">
        <v>187</v>
      </c>
      <c r="B941" s="1">
        <v>45</v>
      </c>
      <c r="C941" s="258" t="s">
        <v>2962</v>
      </c>
      <c r="D941" t="s">
        <v>1193</v>
      </c>
      <c r="E941" t="s">
        <v>2963</v>
      </c>
      <c r="F941"/>
      <c r="H941" s="1">
        <v>8598.35</v>
      </c>
      <c r="I941" t="s">
        <v>2930</v>
      </c>
      <c r="J941" t="s">
        <v>2938</v>
      </c>
      <c r="K941" s="170">
        <v>45808</v>
      </c>
      <c r="L941" s="1">
        <v>12388.929969441344</v>
      </c>
      <c r="M941" s="1">
        <v>45855</v>
      </c>
      <c r="N941" s="1">
        <v>35927.14</v>
      </c>
      <c r="Y941"/>
      <c r="Z941"/>
      <c r="AB941"/>
    </row>
    <row r="942" spans="1:28" ht="14.4" hidden="1">
      <c r="A942" t="s">
        <v>187</v>
      </c>
      <c r="B942" s="1">
        <v>46</v>
      </c>
      <c r="C942" s="258" t="s">
        <v>2964</v>
      </c>
      <c r="D942" t="s">
        <v>1193</v>
      </c>
      <c r="E942" t="s">
        <v>1196</v>
      </c>
      <c r="F942"/>
      <c r="H942" s="1">
        <v>13695</v>
      </c>
      <c r="I942" t="s">
        <v>2965</v>
      </c>
      <c r="J942" t="s">
        <v>2966</v>
      </c>
      <c r="K942" s="170">
        <v>45777</v>
      </c>
      <c r="L942" s="1">
        <v>19558.754521316128</v>
      </c>
      <c r="M942" s="1">
        <v>45806</v>
      </c>
      <c r="Y942"/>
      <c r="Z942"/>
      <c r="AB942"/>
    </row>
    <row r="943" spans="1:28" ht="14.4" hidden="1">
      <c r="A943" t="s">
        <v>187</v>
      </c>
      <c r="B943" s="1">
        <v>47</v>
      </c>
      <c r="C943" s="258" t="s">
        <v>2967</v>
      </c>
      <c r="D943" t="s">
        <v>1193</v>
      </c>
      <c r="F943"/>
      <c r="H943" s="1">
        <v>214.29</v>
      </c>
      <c r="I943"/>
      <c r="J943" t="s">
        <v>2765</v>
      </c>
      <c r="K943" s="170">
        <v>45838</v>
      </c>
      <c r="L943" s="1">
        <v>339.84187195607296</v>
      </c>
      <c r="M943" s="1">
        <v>45867</v>
      </c>
      <c r="Y943"/>
      <c r="Z943"/>
      <c r="AB943"/>
    </row>
    <row r="944" spans="1:28" ht="14.4" hidden="1">
      <c r="A944" t="s">
        <v>187</v>
      </c>
      <c r="B944" s="1">
        <v>48</v>
      </c>
      <c r="C944" s="258" t="s">
        <v>2968</v>
      </c>
      <c r="D944" t="s">
        <v>1193</v>
      </c>
      <c r="E944" t="s">
        <v>1200</v>
      </c>
      <c r="F944"/>
      <c r="H944" s="1">
        <v>11169</v>
      </c>
      <c r="I944"/>
      <c r="J944" t="s">
        <v>2969</v>
      </c>
      <c r="K944" s="170">
        <v>45838</v>
      </c>
      <c r="L944" s="1">
        <v>21272.903792418587</v>
      </c>
      <c r="M944" s="1">
        <v>45838</v>
      </c>
      <c r="Y944"/>
      <c r="Z944"/>
      <c r="AB944"/>
    </row>
    <row r="945" spans="1:28" ht="14.4" hidden="1">
      <c r="A945" t="s">
        <v>187</v>
      </c>
      <c r="B945" s="1">
        <v>49</v>
      </c>
      <c r="C945" s="258" t="s">
        <v>2970</v>
      </c>
      <c r="D945" t="s">
        <v>1193</v>
      </c>
      <c r="E945" t="s">
        <v>2768</v>
      </c>
      <c r="F945"/>
      <c r="H945" s="1">
        <v>2250.5</v>
      </c>
      <c r="I945" t="s">
        <v>2971</v>
      </c>
      <c r="J945" t="s">
        <v>2769</v>
      </c>
      <c r="K945" s="170">
        <v>45808</v>
      </c>
      <c r="L945" s="1">
        <v>3416.3122371417471</v>
      </c>
      <c r="M945" s="1">
        <v>45799</v>
      </c>
      <c r="Y945"/>
      <c r="Z945"/>
      <c r="AB945"/>
    </row>
    <row r="946" spans="1:28" ht="14.4" hidden="1">
      <c r="A946" t="s">
        <v>187</v>
      </c>
      <c r="B946" s="1">
        <v>55</v>
      </c>
      <c r="C946" s="258" t="s">
        <v>2972</v>
      </c>
      <c r="D946" t="s">
        <v>1211</v>
      </c>
      <c r="E946" t="s">
        <v>1212</v>
      </c>
      <c r="F946"/>
      <c r="H946" s="1">
        <v>179609.37</v>
      </c>
      <c r="I946" t="s">
        <v>2973</v>
      </c>
      <c r="J946" t="s">
        <v>2974</v>
      </c>
      <c r="K946" s="170">
        <v>45838</v>
      </c>
      <c r="L946" s="1">
        <v>344664.90021891647</v>
      </c>
      <c r="M946" s="1">
        <v>45867</v>
      </c>
      <c r="Y946"/>
      <c r="Z946"/>
      <c r="AB946"/>
    </row>
    <row r="947" spans="1:28" ht="14.4" hidden="1">
      <c r="A947" t="s">
        <v>187</v>
      </c>
      <c r="B947" s="1">
        <v>60</v>
      </c>
      <c r="C947" s="258" t="s">
        <v>2975</v>
      </c>
      <c r="D947" t="s">
        <v>1211</v>
      </c>
      <c r="E947" t="s">
        <v>1169</v>
      </c>
      <c r="F947">
        <v>106823.26991226962</v>
      </c>
      <c r="G947">
        <v>0.1</v>
      </c>
      <c r="H947" s="1">
        <v>10682.326991226962</v>
      </c>
      <c r="I947" t="s">
        <v>2945</v>
      </c>
      <c r="J947" t="s">
        <v>2946</v>
      </c>
      <c r="K947" s="170">
        <v>45808</v>
      </c>
      <c r="L947" s="1">
        <v>20825.528648734518</v>
      </c>
      <c r="M947" s="1">
        <v>45792</v>
      </c>
      <c r="Y947"/>
      <c r="Z947"/>
      <c r="AB947"/>
    </row>
    <row r="948" spans="1:28" ht="14.4" hidden="1">
      <c r="A948" t="s">
        <v>187</v>
      </c>
      <c r="B948" s="1">
        <v>61</v>
      </c>
      <c r="C948" s="258" t="s">
        <v>2976</v>
      </c>
      <c r="D948" t="s">
        <v>1211</v>
      </c>
      <c r="E948" t="s">
        <v>558</v>
      </c>
      <c r="F948"/>
      <c r="G948">
        <v>0.15</v>
      </c>
      <c r="H948" s="1">
        <v>16023.490486840445</v>
      </c>
      <c r="I948"/>
      <c r="J948" t="s">
        <v>2946</v>
      </c>
      <c r="K948" s="170">
        <v>45808</v>
      </c>
      <c r="L948" s="1">
        <v>31238.292973101779</v>
      </c>
      <c r="M948" s="1">
        <v>45792</v>
      </c>
      <c r="Y948"/>
      <c r="Z948"/>
      <c r="AB948"/>
    </row>
    <row r="949" spans="1:28" ht="14.4" hidden="1">
      <c r="A949" t="s">
        <v>187</v>
      </c>
      <c r="B949" s="1">
        <v>62</v>
      </c>
      <c r="C949" s="258" t="s">
        <v>2977</v>
      </c>
      <c r="D949" t="s">
        <v>1211</v>
      </c>
      <c r="E949" t="s">
        <v>1175</v>
      </c>
      <c r="F949"/>
      <c r="G949">
        <v>0.2</v>
      </c>
      <c r="H949" s="1">
        <v>21364.653982453925</v>
      </c>
      <c r="I949"/>
      <c r="J949" t="s">
        <v>2949</v>
      </c>
      <c r="K949" s="170">
        <v>45869</v>
      </c>
      <c r="L949" s="1">
        <v>40181.949046206559</v>
      </c>
      <c r="M949" s="1">
        <v>45883</v>
      </c>
      <c r="Y949"/>
      <c r="Z949"/>
      <c r="AB949"/>
    </row>
    <row r="950" spans="1:28" ht="14.4" hidden="1">
      <c r="A950" t="s">
        <v>187</v>
      </c>
      <c r="B950" s="1">
        <v>63</v>
      </c>
      <c r="C950" s="258" t="s">
        <v>2978</v>
      </c>
      <c r="D950" t="s">
        <v>1211</v>
      </c>
      <c r="E950" t="s">
        <v>1178</v>
      </c>
      <c r="F950"/>
      <c r="G950">
        <v>0.17</v>
      </c>
      <c r="H950" s="1">
        <v>18159.955885085841</v>
      </c>
      <c r="I950"/>
      <c r="J950" t="s">
        <v>2951</v>
      </c>
      <c r="K950" s="170">
        <v>45869</v>
      </c>
      <c r="L950" s="1">
        <v>34848.401189275573</v>
      </c>
      <c r="M950" s="1">
        <v>45849</v>
      </c>
      <c r="Y950"/>
      <c r="Z950"/>
      <c r="AB950"/>
    </row>
    <row r="951" spans="1:28" ht="14.4" hidden="1">
      <c r="A951" t="s">
        <v>187</v>
      </c>
      <c r="B951" s="1">
        <v>64</v>
      </c>
      <c r="C951" s="258" t="s">
        <v>2979</v>
      </c>
      <c r="D951" t="s">
        <v>1211</v>
      </c>
      <c r="E951" t="s">
        <v>1178</v>
      </c>
      <c r="F951"/>
      <c r="G951">
        <v>0.08</v>
      </c>
      <c r="H951" s="1">
        <v>8545.8615929815696</v>
      </c>
      <c r="I951"/>
      <c r="J951" t="s">
        <v>2953</v>
      </c>
      <c r="K951" s="170">
        <v>45900</v>
      </c>
      <c r="L951" s="1">
        <v>16399.247618482619</v>
      </c>
      <c r="M951" s="1">
        <v>46009</v>
      </c>
      <c r="Y951"/>
      <c r="Z951"/>
      <c r="AB951"/>
    </row>
    <row r="952" spans="1:28" ht="14.4" hidden="1">
      <c r="A952" t="s">
        <v>187</v>
      </c>
      <c r="B952" s="1">
        <v>65</v>
      </c>
      <c r="C952" s="258" t="s">
        <v>2980</v>
      </c>
      <c r="D952" t="s">
        <v>1211</v>
      </c>
      <c r="E952" t="s">
        <v>1181</v>
      </c>
      <c r="F952"/>
      <c r="G952">
        <v>0.1</v>
      </c>
      <c r="H952" s="1">
        <v>10682.326991226962</v>
      </c>
      <c r="I952"/>
      <c r="J952" t="s">
        <v>2955</v>
      </c>
      <c r="K952" s="170">
        <v>45900</v>
      </c>
      <c r="L952" s="1">
        <v>20499.059523103278</v>
      </c>
      <c r="M952" s="1">
        <v>46009</v>
      </c>
      <c r="Y952"/>
      <c r="Z952"/>
      <c r="AB952"/>
    </row>
    <row r="953" spans="1:28" ht="14.4" hidden="1">
      <c r="A953" t="s">
        <v>187</v>
      </c>
      <c r="B953" s="1">
        <v>66</v>
      </c>
      <c r="C953" s="258" t="s">
        <v>2981</v>
      </c>
      <c r="D953" t="s">
        <v>1211</v>
      </c>
      <c r="E953" t="s">
        <v>1184</v>
      </c>
      <c r="F953"/>
      <c r="G953">
        <v>0.1</v>
      </c>
      <c r="H953" s="1">
        <v>10682.326991226962</v>
      </c>
      <c r="I953"/>
      <c r="J953" t="s">
        <v>2957</v>
      </c>
      <c r="K953" s="170">
        <v>45991</v>
      </c>
      <c r="L953" s="1">
        <v>20499.059523103278</v>
      </c>
      <c r="M953" s="1">
        <v>46051</v>
      </c>
      <c r="Y953"/>
      <c r="Z953"/>
      <c r="AB953"/>
    </row>
    <row r="954" spans="1:28" ht="14.4" hidden="1">
      <c r="A954" t="s">
        <v>187</v>
      </c>
      <c r="B954" s="1">
        <v>67</v>
      </c>
      <c r="C954" s="258" t="s">
        <v>2982</v>
      </c>
      <c r="D954" t="s">
        <v>1211</v>
      </c>
      <c r="E954" t="s">
        <v>1187</v>
      </c>
      <c r="F954"/>
      <c r="G954">
        <v>0.05</v>
      </c>
      <c r="H954" s="1">
        <v>5341.1634956134812</v>
      </c>
      <c r="I954"/>
      <c r="J954" t="s">
        <v>2959</v>
      </c>
      <c r="K954" s="170">
        <v>45991</v>
      </c>
      <c r="L954" s="1">
        <v>10249.529761551639</v>
      </c>
      <c r="M954" s="1">
        <v>46058</v>
      </c>
      <c r="Y954"/>
      <c r="Z954"/>
      <c r="AB954"/>
    </row>
    <row r="955" spans="1:28" ht="14.4" hidden="1">
      <c r="A955" t="s">
        <v>187</v>
      </c>
      <c r="B955" s="1">
        <v>68</v>
      </c>
      <c r="C955" s="258" t="s">
        <v>2983</v>
      </c>
      <c r="D955" t="s">
        <v>1211</v>
      </c>
      <c r="E955" t="s">
        <v>1190</v>
      </c>
      <c r="F955"/>
      <c r="G955">
        <v>0.05</v>
      </c>
      <c r="H955" s="1">
        <v>5341.1634956134812</v>
      </c>
      <c r="I955"/>
      <c r="J955" t="s">
        <v>2961</v>
      </c>
      <c r="K955" s="170">
        <v>46053</v>
      </c>
      <c r="L955" s="1">
        <v>10249.529761551639</v>
      </c>
      <c r="M955" s="1">
        <v>46088</v>
      </c>
      <c r="Y955"/>
      <c r="Z955"/>
      <c r="AB955"/>
    </row>
    <row r="956" spans="1:28" ht="14.4" hidden="1">
      <c r="A956" t="s">
        <v>187</v>
      </c>
      <c r="B956" s="1">
        <v>83</v>
      </c>
      <c r="C956" s="258" t="s">
        <v>2984</v>
      </c>
      <c r="D956" t="s">
        <v>1224</v>
      </c>
      <c r="E956" t="s">
        <v>2985</v>
      </c>
      <c r="F956"/>
      <c r="G956">
        <v>13400</v>
      </c>
      <c r="H956" s="1">
        <v>13400</v>
      </c>
      <c r="I956"/>
      <c r="J956" t="s">
        <v>2986</v>
      </c>
      <c r="K956" s="170">
        <v>45838</v>
      </c>
      <c r="M956" s="1">
        <v>45834</v>
      </c>
      <c r="Y956"/>
      <c r="Z956"/>
      <c r="AB956"/>
    </row>
    <row r="957" spans="1:28" ht="14.4" hidden="1">
      <c r="A957" t="s">
        <v>187</v>
      </c>
      <c r="B957" s="1">
        <v>84</v>
      </c>
      <c r="C957" s="258" t="s">
        <v>2987</v>
      </c>
      <c r="D957" t="s">
        <v>1224</v>
      </c>
      <c r="E957" t="s">
        <v>2988</v>
      </c>
      <c r="F957">
        <v>46480</v>
      </c>
      <c r="G957">
        <v>0.8</v>
      </c>
      <c r="H957" s="1">
        <v>37184</v>
      </c>
      <c r="I957" t="s">
        <v>2989</v>
      </c>
      <c r="J957" t="s">
        <v>2990</v>
      </c>
      <c r="K957" s="170">
        <v>45838</v>
      </c>
      <c r="M957" s="1">
        <v>45834</v>
      </c>
      <c r="Y957"/>
      <c r="Z957"/>
      <c r="AB957"/>
    </row>
    <row r="958" spans="1:28" ht="14.4" hidden="1">
      <c r="A958" t="s">
        <v>187</v>
      </c>
      <c r="B958" s="1">
        <v>85</v>
      </c>
      <c r="C958" s="258" t="s">
        <v>2991</v>
      </c>
      <c r="D958" t="s">
        <v>1224</v>
      </c>
      <c r="E958" t="s">
        <v>2992</v>
      </c>
      <c r="F958"/>
      <c r="G958">
        <v>0.2</v>
      </c>
      <c r="H958" s="1">
        <v>9296</v>
      </c>
      <c r="I958"/>
      <c r="J958" t="s">
        <v>2990</v>
      </c>
      <c r="K958" s="170">
        <v>45838</v>
      </c>
      <c r="M958" s="1">
        <v>45876</v>
      </c>
      <c r="Y958"/>
      <c r="Z958"/>
      <c r="AB958"/>
    </row>
    <row r="959" spans="1:28" ht="14.4" hidden="1">
      <c r="A959" t="s">
        <v>187</v>
      </c>
      <c r="B959" s="1">
        <v>86</v>
      </c>
      <c r="C959" s="258" t="s">
        <v>2993</v>
      </c>
      <c r="D959" t="s">
        <v>1224</v>
      </c>
      <c r="E959" t="s">
        <v>2994</v>
      </c>
      <c r="F959"/>
      <c r="G959">
        <v>1</v>
      </c>
      <c r="H959" s="1">
        <v>3900</v>
      </c>
      <c r="I959" t="s">
        <v>2995</v>
      </c>
      <c r="J959" t="s">
        <v>2996</v>
      </c>
      <c r="K959" s="170">
        <v>45900</v>
      </c>
      <c r="M959" s="1">
        <v>45890</v>
      </c>
      <c r="Y959"/>
      <c r="Z959"/>
      <c r="AB959"/>
    </row>
    <row r="960" spans="1:28" ht="14.4" hidden="1">
      <c r="A960" t="s">
        <v>187</v>
      </c>
      <c r="B960" s="1">
        <v>88</v>
      </c>
      <c r="C960" s="258" t="s">
        <v>2997</v>
      </c>
      <c r="D960" t="s">
        <v>1224</v>
      </c>
      <c r="E960" t="s">
        <v>2811</v>
      </c>
      <c r="F960"/>
      <c r="H960" s="1">
        <v>15220</v>
      </c>
      <c r="I960" t="s">
        <v>2998</v>
      </c>
      <c r="J960" t="s">
        <v>2999</v>
      </c>
      <c r="K960" s="170">
        <v>45930</v>
      </c>
      <c r="M960" s="1">
        <v>45939</v>
      </c>
      <c r="Y960"/>
      <c r="Z960"/>
      <c r="AB960"/>
    </row>
    <row r="961" spans="1:28" ht="14.4" hidden="1">
      <c r="A961" t="s">
        <v>187</v>
      </c>
      <c r="B961" s="1">
        <v>93</v>
      </c>
      <c r="C961" s="258" t="s">
        <v>3000</v>
      </c>
      <c r="D961" t="s">
        <v>1246</v>
      </c>
      <c r="E961" t="s">
        <v>1169</v>
      </c>
      <c r="F961">
        <v>558566.42209803406</v>
      </c>
      <c r="G961">
        <v>0.1</v>
      </c>
      <c r="H961" s="1">
        <v>55856.642209803409</v>
      </c>
      <c r="I961" t="s">
        <v>2945</v>
      </c>
      <c r="J961" t="s">
        <v>2946</v>
      </c>
      <c r="K961" s="170">
        <v>45808</v>
      </c>
      <c r="L961" s="1">
        <v>37707.352941176461</v>
      </c>
      <c r="M961" s="1">
        <v>45792</v>
      </c>
      <c r="Y961"/>
      <c r="Z961"/>
      <c r="AB961"/>
    </row>
    <row r="962" spans="1:28" ht="14.4" hidden="1">
      <c r="A962" t="s">
        <v>187</v>
      </c>
      <c r="B962" s="1">
        <v>94</v>
      </c>
      <c r="C962" s="258" t="s">
        <v>3001</v>
      </c>
      <c r="D962" t="s">
        <v>1246</v>
      </c>
      <c r="E962" t="s">
        <v>558</v>
      </c>
      <c r="F962"/>
      <c r="G962">
        <v>0.15</v>
      </c>
      <c r="H962" s="1">
        <v>83784.963314705106</v>
      </c>
      <c r="I962"/>
      <c r="J962" t="s">
        <v>2946</v>
      </c>
      <c r="K962" s="170">
        <v>45808</v>
      </c>
      <c r="L962" s="1">
        <v>56561.029411764706</v>
      </c>
      <c r="M962" s="1">
        <v>45792</v>
      </c>
      <c r="Y962"/>
      <c r="Z962"/>
      <c r="AB962"/>
    </row>
    <row r="963" spans="1:28" ht="14.4" hidden="1">
      <c r="A963" t="s">
        <v>187</v>
      </c>
      <c r="B963" s="1">
        <v>95</v>
      </c>
      <c r="C963" s="258" t="s">
        <v>3002</v>
      </c>
      <c r="D963" t="s">
        <v>1246</v>
      </c>
      <c r="E963" t="s">
        <v>1175</v>
      </c>
      <c r="F963"/>
      <c r="G963">
        <v>0.2</v>
      </c>
      <c r="H963" s="1">
        <v>111713.28441960682</v>
      </c>
      <c r="I963"/>
      <c r="J963" t="s">
        <v>2949</v>
      </c>
      <c r="K963" s="170">
        <v>45869</v>
      </c>
      <c r="L963" s="1">
        <v>75414.705882352937</v>
      </c>
      <c r="M963" s="1">
        <v>45883</v>
      </c>
      <c r="Y963"/>
      <c r="Z963"/>
      <c r="AB963"/>
    </row>
    <row r="964" spans="1:28" ht="14.4" hidden="1">
      <c r="A964" t="s">
        <v>187</v>
      </c>
      <c r="B964" s="1">
        <v>96</v>
      </c>
      <c r="C964" s="258" t="s">
        <v>3003</v>
      </c>
      <c r="D964" t="s">
        <v>1246</v>
      </c>
      <c r="E964" t="s">
        <v>1178</v>
      </c>
      <c r="F964"/>
      <c r="G964">
        <v>0.17</v>
      </c>
      <c r="H964" s="1">
        <v>94956.2917566658</v>
      </c>
      <c r="I964"/>
      <c r="J964" t="s">
        <v>3004</v>
      </c>
      <c r="K964" s="170">
        <v>45869</v>
      </c>
      <c r="L964" s="1">
        <v>64102.5</v>
      </c>
      <c r="M964" s="1">
        <v>45849</v>
      </c>
      <c r="Y964"/>
      <c r="Z964"/>
      <c r="AB964"/>
    </row>
    <row r="965" spans="1:28" ht="14.4" hidden="1">
      <c r="A965" t="s">
        <v>187</v>
      </c>
      <c r="B965" s="1">
        <v>97</v>
      </c>
      <c r="C965" s="258" t="s">
        <v>3005</v>
      </c>
      <c r="D965" t="s">
        <v>1246</v>
      </c>
      <c r="E965" t="s">
        <v>1178</v>
      </c>
      <c r="F965"/>
      <c r="G965">
        <v>0.08</v>
      </c>
      <c r="H965" s="1">
        <v>44685.313767842723</v>
      </c>
      <c r="I965"/>
      <c r="J965" t="s">
        <v>2953</v>
      </c>
      <c r="K965" s="170">
        <v>45900</v>
      </c>
      <c r="L965" s="1">
        <v>30165.882352941175</v>
      </c>
      <c r="M965" s="1">
        <v>46009</v>
      </c>
      <c r="Y965"/>
      <c r="Z965"/>
      <c r="AB965"/>
    </row>
    <row r="966" spans="1:28" ht="14.4" hidden="1">
      <c r="A966" t="s">
        <v>187</v>
      </c>
      <c r="B966" s="1">
        <v>98</v>
      </c>
      <c r="C966" s="258" t="s">
        <v>3006</v>
      </c>
      <c r="D966" t="s">
        <v>1246</v>
      </c>
      <c r="E966" t="s">
        <v>1181</v>
      </c>
      <c r="F966"/>
      <c r="G966">
        <v>0.1</v>
      </c>
      <c r="H966" s="1">
        <v>55856.642209803409</v>
      </c>
      <c r="I966"/>
      <c r="J966" t="s">
        <v>2955</v>
      </c>
      <c r="K966" s="170">
        <v>45991</v>
      </c>
      <c r="L966" s="1">
        <v>37707.352941176461</v>
      </c>
      <c r="M966" s="1">
        <v>46009</v>
      </c>
      <c r="Y966"/>
      <c r="Z966"/>
      <c r="AB966"/>
    </row>
    <row r="967" spans="1:28" ht="14.4" hidden="1">
      <c r="A967" t="s">
        <v>187</v>
      </c>
      <c r="B967" s="1">
        <v>99</v>
      </c>
      <c r="C967" s="258" t="s">
        <v>3007</v>
      </c>
      <c r="D967" t="s">
        <v>1246</v>
      </c>
      <c r="E967" t="s">
        <v>1184</v>
      </c>
      <c r="F967"/>
      <c r="G967">
        <v>0.1</v>
      </c>
      <c r="H967" s="1">
        <v>55856.642209803409</v>
      </c>
      <c r="I967"/>
      <c r="J967" t="s">
        <v>2957</v>
      </c>
      <c r="K967" s="170">
        <v>45991</v>
      </c>
      <c r="L967" s="1">
        <v>37707.352941176461</v>
      </c>
      <c r="M967" s="1">
        <v>46051</v>
      </c>
      <c r="Y967"/>
      <c r="Z967"/>
      <c r="AB967"/>
    </row>
    <row r="968" spans="1:28" ht="14.4" hidden="1">
      <c r="A968" t="s">
        <v>187</v>
      </c>
      <c r="B968" s="1">
        <v>100</v>
      </c>
      <c r="C968" s="258" t="s">
        <v>3008</v>
      </c>
      <c r="D968" t="s">
        <v>1246</v>
      </c>
      <c r="E968" t="s">
        <v>1187</v>
      </c>
      <c r="F968"/>
      <c r="G968">
        <v>0.05</v>
      </c>
      <c r="H968" s="1">
        <v>27928.321104901705</v>
      </c>
      <c r="I968"/>
      <c r="J968" t="s">
        <v>2959</v>
      </c>
      <c r="K968" s="170">
        <v>45991</v>
      </c>
      <c r="L968" s="1">
        <v>18853.676470588231</v>
      </c>
      <c r="M968" s="1">
        <v>46058</v>
      </c>
      <c r="Y968"/>
      <c r="Z968"/>
      <c r="AB968"/>
    </row>
    <row r="969" spans="1:28" ht="14.4" hidden="1">
      <c r="A969" t="s">
        <v>187</v>
      </c>
      <c r="B969" s="1">
        <v>101</v>
      </c>
      <c r="C969" s="258" t="s">
        <v>3009</v>
      </c>
      <c r="D969" t="s">
        <v>1246</v>
      </c>
      <c r="E969" t="s">
        <v>1190</v>
      </c>
      <c r="F969"/>
      <c r="G969">
        <v>0.05</v>
      </c>
      <c r="H969" s="1">
        <v>27928.321104901705</v>
      </c>
      <c r="I969"/>
      <c r="J969" t="s">
        <v>2961</v>
      </c>
      <c r="K969" s="170">
        <v>46053</v>
      </c>
      <c r="L969" s="1">
        <v>18853.676470588231</v>
      </c>
      <c r="M969" s="1">
        <v>46088</v>
      </c>
      <c r="Y969"/>
      <c r="Z969"/>
      <c r="AB969"/>
    </row>
    <row r="970" spans="1:28" ht="14.4" hidden="1">
      <c r="A970" t="s">
        <v>187</v>
      </c>
      <c r="B970" s="1">
        <v>107</v>
      </c>
      <c r="C970" s="258" t="s">
        <v>3010</v>
      </c>
      <c r="D970" t="s">
        <v>1255</v>
      </c>
      <c r="E970" t="s">
        <v>3011</v>
      </c>
      <c r="F970"/>
      <c r="H970" s="1">
        <v>25500</v>
      </c>
      <c r="I970" t="s">
        <v>3012</v>
      </c>
      <c r="J970" t="s">
        <v>3013</v>
      </c>
      <c r="K970" s="170">
        <v>45838</v>
      </c>
      <c r="L970" s="1">
        <v>6312.0266445819343</v>
      </c>
      <c r="M970" s="1">
        <v>45869</v>
      </c>
      <c r="Y970"/>
      <c r="Z970"/>
      <c r="AB970"/>
    </row>
    <row r="971" spans="1:28" ht="14.4" hidden="1">
      <c r="A971" t="s">
        <v>187</v>
      </c>
      <c r="B971" s="1">
        <v>109</v>
      </c>
      <c r="C971" s="258" t="s">
        <v>3014</v>
      </c>
      <c r="D971" t="s">
        <v>1255</v>
      </c>
      <c r="E971" t="s">
        <v>3015</v>
      </c>
      <c r="F971"/>
      <c r="H971" s="1">
        <v>25500</v>
      </c>
      <c r="I971"/>
      <c r="J971" t="s">
        <v>3016</v>
      </c>
      <c r="K971" s="170">
        <v>45838</v>
      </c>
      <c r="L971" s="1">
        <v>23548.366445819345</v>
      </c>
      <c r="M971" s="1">
        <v>45849</v>
      </c>
      <c r="Y971"/>
      <c r="Z971"/>
      <c r="AB971"/>
    </row>
    <row r="972" spans="1:28" ht="14.4" hidden="1">
      <c r="A972" t="s">
        <v>187</v>
      </c>
      <c r="B972" s="1">
        <v>110</v>
      </c>
      <c r="C972" s="258" t="s">
        <v>3017</v>
      </c>
      <c r="D972" t="s">
        <v>1255</v>
      </c>
      <c r="E972" t="s">
        <v>3018</v>
      </c>
      <c r="F972"/>
      <c r="H972" s="1">
        <v>26350</v>
      </c>
      <c r="I972"/>
      <c r="J972" t="s">
        <v>3019</v>
      </c>
      <c r="K972" s="170">
        <v>45869</v>
      </c>
      <c r="L972" s="1">
        <v>24039.748137468738</v>
      </c>
      <c r="M972" s="1">
        <v>45869</v>
      </c>
      <c r="Y972"/>
      <c r="Z972"/>
      <c r="AB972"/>
    </row>
    <row r="973" spans="1:28" ht="14.4" hidden="1">
      <c r="A973" t="s">
        <v>187</v>
      </c>
      <c r="B973" s="1">
        <v>111</v>
      </c>
      <c r="C973" s="258" t="s">
        <v>3020</v>
      </c>
      <c r="D973" t="s">
        <v>1255</v>
      </c>
      <c r="E973" t="s">
        <v>3021</v>
      </c>
      <c r="F973"/>
      <c r="H973" s="1">
        <v>26350</v>
      </c>
      <c r="I973"/>
      <c r="J973" t="s">
        <v>3022</v>
      </c>
      <c r="K973" s="170">
        <v>45900</v>
      </c>
      <c r="L973" s="1">
        <v>3799.4302206394041</v>
      </c>
      <c r="M973" s="1">
        <v>45901</v>
      </c>
      <c r="Y973"/>
      <c r="Z973"/>
      <c r="AB973"/>
    </row>
    <row r="974" spans="1:28" ht="14.4" hidden="1">
      <c r="A974" t="s">
        <v>187</v>
      </c>
      <c r="B974" s="1">
        <v>112</v>
      </c>
      <c r="C974" s="258" t="s">
        <v>3023</v>
      </c>
      <c r="D974" t="s">
        <v>1255</v>
      </c>
      <c r="E974" t="s">
        <v>3024</v>
      </c>
      <c r="F974"/>
      <c r="H974" s="1">
        <v>25500</v>
      </c>
      <c r="I974"/>
      <c r="J974" t="s">
        <v>3025</v>
      </c>
      <c r="K974" s="170">
        <v>45930</v>
      </c>
      <c r="L974" s="1">
        <v>2203.7703710075566</v>
      </c>
      <c r="M974" s="1">
        <v>45932</v>
      </c>
      <c r="Y974"/>
      <c r="Z974"/>
      <c r="AB974"/>
    </row>
    <row r="975" spans="1:28" ht="14.4" hidden="1">
      <c r="A975" t="s">
        <v>187</v>
      </c>
      <c r="B975" s="1">
        <v>113</v>
      </c>
      <c r="C975" s="258" t="s">
        <v>3026</v>
      </c>
      <c r="D975" t="s">
        <v>1255</v>
      </c>
      <c r="E975" t="s">
        <v>3027</v>
      </c>
      <c r="F975"/>
      <c r="H975" s="1">
        <v>26350</v>
      </c>
      <c r="I975"/>
      <c r="J975" t="s">
        <v>3028</v>
      </c>
      <c r="K975" s="170">
        <v>45961</v>
      </c>
      <c r="L975" s="1">
        <v>1384.28</v>
      </c>
      <c r="M975" s="1">
        <v>45967</v>
      </c>
      <c r="Y975"/>
      <c r="Z975"/>
      <c r="AB975"/>
    </row>
    <row r="976" spans="1:28" ht="14.4" hidden="1">
      <c r="A976" t="s">
        <v>187</v>
      </c>
      <c r="B976" s="1">
        <v>114</v>
      </c>
      <c r="C976" s="258" t="s">
        <v>3029</v>
      </c>
      <c r="D976" t="s">
        <v>1255</v>
      </c>
      <c r="E976" t="s">
        <v>3030</v>
      </c>
      <c r="F976"/>
      <c r="H976" s="1">
        <v>25500</v>
      </c>
      <c r="I976"/>
      <c r="J976" t="s">
        <v>3031</v>
      </c>
      <c r="K976" s="170">
        <v>45991</v>
      </c>
      <c r="L976" s="1">
        <v>0</v>
      </c>
      <c r="M976" s="1">
        <v>45989</v>
      </c>
      <c r="Y976"/>
      <c r="Z976"/>
      <c r="AB976"/>
    </row>
    <row r="977" spans="1:28" ht="14.4" hidden="1">
      <c r="A977" t="s">
        <v>187</v>
      </c>
      <c r="B977" s="1">
        <v>116</v>
      </c>
      <c r="C977" s="258" t="s">
        <v>3032</v>
      </c>
      <c r="D977" t="s">
        <v>1255</v>
      </c>
      <c r="E977" t="s">
        <v>1169</v>
      </c>
      <c r="F977">
        <v>57500.59831813402</v>
      </c>
      <c r="G977">
        <v>0.1</v>
      </c>
      <c r="H977" s="1">
        <v>5750.0598318134025</v>
      </c>
      <c r="I977" t="s">
        <v>2945</v>
      </c>
      <c r="J977" t="s">
        <v>2946</v>
      </c>
      <c r="K977" s="170">
        <v>45808</v>
      </c>
      <c r="L977" s="1">
        <v>3727.1069765159168</v>
      </c>
      <c r="M977" s="1">
        <v>45792</v>
      </c>
      <c r="Y977"/>
      <c r="Z977"/>
      <c r="AB977"/>
    </row>
    <row r="978" spans="1:28" ht="14.4" hidden="1">
      <c r="A978" t="s">
        <v>187</v>
      </c>
      <c r="B978" s="1">
        <v>117</v>
      </c>
      <c r="C978" s="258" t="s">
        <v>3033</v>
      </c>
      <c r="D978" t="s">
        <v>1255</v>
      </c>
      <c r="E978" t="s">
        <v>558</v>
      </c>
      <c r="F978"/>
      <c r="G978">
        <v>0.15</v>
      </c>
      <c r="H978" s="1">
        <v>8625.0897477201033</v>
      </c>
      <c r="I978"/>
      <c r="J978" t="s">
        <v>2946</v>
      </c>
      <c r="K978" s="170">
        <v>45808</v>
      </c>
      <c r="L978" s="1">
        <v>5590.660464773875</v>
      </c>
      <c r="M978" s="1">
        <v>45792</v>
      </c>
      <c r="Y978"/>
      <c r="Z978"/>
      <c r="AB978"/>
    </row>
    <row r="979" spans="1:28" ht="14.4" hidden="1">
      <c r="A979" t="s">
        <v>187</v>
      </c>
      <c r="B979" s="1">
        <v>118</v>
      </c>
      <c r="C979" s="258" t="s">
        <v>3034</v>
      </c>
      <c r="D979" t="s">
        <v>1255</v>
      </c>
      <c r="E979" t="s">
        <v>1175</v>
      </c>
      <c r="F979"/>
      <c r="G979">
        <v>0.2</v>
      </c>
      <c r="H979" s="1">
        <v>11500.119663626803</v>
      </c>
      <c r="I979"/>
      <c r="J979" t="s">
        <v>2949</v>
      </c>
      <c r="K979" s="170">
        <v>45869</v>
      </c>
      <c r="L979" s="1">
        <v>10019.179858229223</v>
      </c>
      <c r="M979" s="1">
        <v>45883</v>
      </c>
      <c r="Y979"/>
      <c r="Z979"/>
      <c r="AB979"/>
    </row>
    <row r="980" spans="1:28" ht="14.4" hidden="1">
      <c r="A980" t="s">
        <v>187</v>
      </c>
      <c r="B980" s="1">
        <v>119</v>
      </c>
      <c r="C980" s="258" t="s">
        <v>3035</v>
      </c>
      <c r="D980" t="s">
        <v>1255</v>
      </c>
      <c r="E980" t="s">
        <v>1178</v>
      </c>
      <c r="F980"/>
      <c r="G980">
        <v>0.17</v>
      </c>
      <c r="H980" s="1">
        <v>9775.1017140827844</v>
      </c>
      <c r="I980"/>
      <c r="J980" t="s">
        <v>3036</v>
      </c>
      <c r="K980" s="170">
        <v>45869</v>
      </c>
      <c r="L980" s="1">
        <v>8918.0638794948427</v>
      </c>
      <c r="M980" s="1">
        <v>45849</v>
      </c>
      <c r="Y980"/>
      <c r="Z980"/>
      <c r="AB980"/>
    </row>
    <row r="981" spans="1:28" ht="14.4" hidden="1">
      <c r="A981" t="s">
        <v>187</v>
      </c>
      <c r="B981" s="1">
        <v>120</v>
      </c>
      <c r="C981" s="258" t="s">
        <v>3037</v>
      </c>
      <c r="D981" t="s">
        <v>1255</v>
      </c>
      <c r="E981" t="s">
        <v>1178</v>
      </c>
      <c r="F981"/>
      <c r="G981">
        <v>0.08</v>
      </c>
      <c r="H981" s="1">
        <v>4600.0478654507215</v>
      </c>
      <c r="I981"/>
      <c r="J981" t="s">
        <v>2953</v>
      </c>
      <c r="K981" s="170">
        <v>45900</v>
      </c>
      <c r="L981" s="1">
        <v>3396.8551944846095</v>
      </c>
      <c r="M981" s="1">
        <v>46009</v>
      </c>
      <c r="Y981"/>
      <c r="Z981"/>
      <c r="AB981"/>
    </row>
    <row r="982" spans="1:28" ht="14.4" hidden="1">
      <c r="A982" t="s">
        <v>187</v>
      </c>
      <c r="B982" s="1">
        <v>121</v>
      </c>
      <c r="C982" s="258" t="s">
        <v>3038</v>
      </c>
      <c r="D982" t="s">
        <v>1255</v>
      </c>
      <c r="E982" t="s">
        <v>1181</v>
      </c>
      <c r="F982"/>
      <c r="G982">
        <v>0.1</v>
      </c>
      <c r="H982" s="1">
        <v>5750.0598318134025</v>
      </c>
      <c r="I982"/>
      <c r="J982" t="s">
        <v>2955</v>
      </c>
      <c r="K982" s="170">
        <v>45900</v>
      </c>
      <c r="L982" s="1">
        <v>4246.0689931057623</v>
      </c>
      <c r="M982" s="1">
        <v>46009</v>
      </c>
      <c r="Y982"/>
      <c r="Z982"/>
      <c r="AB982"/>
    </row>
    <row r="983" spans="1:28" ht="14.4" hidden="1">
      <c r="A983" t="s">
        <v>187</v>
      </c>
      <c r="B983" s="1">
        <v>122</v>
      </c>
      <c r="C983" s="258" t="s">
        <v>3039</v>
      </c>
      <c r="D983" t="s">
        <v>1255</v>
      </c>
      <c r="E983" t="s">
        <v>1184</v>
      </c>
      <c r="F983"/>
      <c r="G983">
        <v>0.1</v>
      </c>
      <c r="H983" s="1">
        <v>5750.0598318134025</v>
      </c>
      <c r="I983"/>
      <c r="J983" t="s">
        <v>2957</v>
      </c>
      <c r="K983" s="170">
        <v>45991</v>
      </c>
      <c r="L983" s="1">
        <v>2443.3043490465243</v>
      </c>
      <c r="M983" s="1">
        <v>46051</v>
      </c>
      <c r="Y983"/>
      <c r="Z983"/>
      <c r="AB983"/>
    </row>
    <row r="984" spans="1:28" ht="14.4" hidden="1">
      <c r="A984" t="s">
        <v>187</v>
      </c>
      <c r="B984" s="1">
        <v>123</v>
      </c>
      <c r="C984" s="258" t="s">
        <v>3040</v>
      </c>
      <c r="D984" t="s">
        <v>1255</v>
      </c>
      <c r="E984" t="s">
        <v>1187</v>
      </c>
      <c r="F984"/>
      <c r="G984">
        <v>0.05</v>
      </c>
      <c r="H984" s="1">
        <v>2875.0299159067013</v>
      </c>
      <c r="I984"/>
      <c r="J984" t="s">
        <v>2959</v>
      </c>
      <c r="K984" s="170">
        <v>45991</v>
      </c>
      <c r="L984" s="1">
        <v>1230.3921745232622</v>
      </c>
      <c r="M984" s="1">
        <v>46058</v>
      </c>
      <c r="Y984"/>
      <c r="Z984"/>
      <c r="AB984"/>
    </row>
    <row r="985" spans="1:28" ht="14.4" hidden="1">
      <c r="A985" t="s">
        <v>187</v>
      </c>
      <c r="B985" s="1">
        <v>124</v>
      </c>
      <c r="C985" s="258" t="s">
        <v>3041</v>
      </c>
      <c r="D985" t="s">
        <v>1255</v>
      </c>
      <c r="E985" t="s">
        <v>1190</v>
      </c>
      <c r="F985"/>
      <c r="G985">
        <v>0.05</v>
      </c>
      <c r="H985" s="1">
        <v>2875.0299159067013</v>
      </c>
      <c r="I985"/>
      <c r="J985" t="s">
        <v>2961</v>
      </c>
      <c r="K985" s="170">
        <v>46053</v>
      </c>
      <c r="L985" s="1">
        <v>1230.3921745232622</v>
      </c>
      <c r="M985" s="1">
        <v>46088</v>
      </c>
      <c r="Y985"/>
      <c r="Z985"/>
      <c r="AB985"/>
    </row>
    <row r="986" spans="1:28" ht="14.4" hidden="1">
      <c r="A986" t="s">
        <v>187</v>
      </c>
      <c r="B986" s="1">
        <v>129</v>
      </c>
      <c r="C986" s="258" t="s">
        <v>3042</v>
      </c>
      <c r="D986" t="s">
        <v>1264</v>
      </c>
      <c r="E986" t="s">
        <v>1265</v>
      </c>
      <c r="F986"/>
      <c r="H986" s="1">
        <v>11585.8</v>
      </c>
      <c r="I986"/>
      <c r="J986" t="s">
        <v>3043</v>
      </c>
      <c r="K986" s="170">
        <v>45869</v>
      </c>
      <c r="L986" s="1">
        <v>50818.155267871167</v>
      </c>
      <c r="M986" s="1">
        <v>46051</v>
      </c>
      <c r="N986" s="1">
        <v>30898.04</v>
      </c>
      <c r="Y986"/>
      <c r="Z986"/>
      <c r="AB986"/>
    </row>
    <row r="987" spans="1:28" ht="14.4" hidden="1">
      <c r="A987" t="s">
        <v>187</v>
      </c>
      <c r="B987" s="1">
        <v>130</v>
      </c>
      <c r="C987" s="258" t="s">
        <v>3044</v>
      </c>
      <c r="D987" t="s">
        <v>1264</v>
      </c>
      <c r="E987" t="s">
        <v>1268</v>
      </c>
      <c r="F987"/>
      <c r="H987" s="1">
        <v>8212.24</v>
      </c>
      <c r="I987" t="s">
        <v>2845</v>
      </c>
      <c r="J987" t="s">
        <v>3045</v>
      </c>
      <c r="K987" s="170">
        <v>45777</v>
      </c>
      <c r="L987" s="1">
        <v>37550.846757147687</v>
      </c>
      <c r="M987" s="1">
        <v>45757</v>
      </c>
      <c r="Y987"/>
      <c r="Z987"/>
      <c r="AB987"/>
    </row>
    <row r="988" spans="1:28" ht="14.4" hidden="1">
      <c r="A988" t="s">
        <v>187</v>
      </c>
      <c r="B988" s="1">
        <v>131</v>
      </c>
      <c r="C988" s="258" t="s">
        <v>3046</v>
      </c>
      <c r="D988" t="s">
        <v>1264</v>
      </c>
      <c r="E988" t="s">
        <v>808</v>
      </c>
      <c r="F988"/>
      <c r="H988" s="1">
        <v>6000</v>
      </c>
      <c r="I988"/>
      <c r="J988" t="s">
        <v>3047</v>
      </c>
      <c r="K988" s="170">
        <v>46022</v>
      </c>
      <c r="L988" s="1">
        <v>26915.12814024297</v>
      </c>
      <c r="M988" s="1">
        <v>46052</v>
      </c>
      <c r="Y988"/>
      <c r="Z988"/>
      <c r="AB988"/>
    </row>
    <row r="989" spans="1:28" ht="14.4" hidden="1">
      <c r="A989" t="s">
        <v>187</v>
      </c>
      <c r="B989" s="1">
        <v>132</v>
      </c>
      <c r="C989" s="258" t="s">
        <v>3048</v>
      </c>
      <c r="D989" t="s">
        <v>1264</v>
      </c>
      <c r="E989" t="s">
        <v>2094</v>
      </c>
      <c r="F989"/>
      <c r="H989" s="1">
        <v>5100</v>
      </c>
      <c r="I989" t="s">
        <v>3049</v>
      </c>
      <c r="J989" t="s">
        <v>3050</v>
      </c>
      <c r="K989" s="170">
        <v>45777</v>
      </c>
      <c r="L989" s="1">
        <v>23319.985589979493</v>
      </c>
      <c r="M989" s="1">
        <v>45834</v>
      </c>
      <c r="Y989"/>
      <c r="Z989"/>
      <c r="AB989"/>
    </row>
    <row r="990" spans="1:28" ht="14.4" hidden="1">
      <c r="A990" t="s">
        <v>187</v>
      </c>
      <c r="B990" s="1">
        <v>138</v>
      </c>
      <c r="C990" s="258" t="s">
        <v>3051</v>
      </c>
      <c r="D990" t="s">
        <v>1277</v>
      </c>
      <c r="E990" t="s">
        <v>1278</v>
      </c>
      <c r="F990"/>
      <c r="H990" s="1">
        <v>48677.596038628755</v>
      </c>
      <c r="I990"/>
      <c r="J990"/>
      <c r="K990" s="170">
        <v>46081</v>
      </c>
      <c r="L990" s="1">
        <v>198531.59513009069</v>
      </c>
      <c r="M990" s="1">
        <v>46079</v>
      </c>
      <c r="N990" s="1">
        <v>48677.596038628755</v>
      </c>
      <c r="Y990"/>
      <c r="Z990"/>
      <c r="AB990"/>
    </row>
    <row r="991" spans="1:28" ht="14.4" hidden="1">
      <c r="A991" t="s">
        <v>187</v>
      </c>
      <c r="B991" s="1">
        <v>139</v>
      </c>
      <c r="C991" s="258" t="s">
        <v>3052</v>
      </c>
      <c r="D991" t="s">
        <v>1277</v>
      </c>
      <c r="E991" t="s">
        <v>1903</v>
      </c>
      <c r="F991"/>
      <c r="H991" s="1">
        <v>0</v>
      </c>
      <c r="I991"/>
      <c r="J991"/>
      <c r="K991" s="170">
        <v>46081</v>
      </c>
      <c r="L991" s="1">
        <v>0</v>
      </c>
      <c r="M991" s="1">
        <v>46079</v>
      </c>
      <c r="Y991"/>
      <c r="Z991"/>
      <c r="AB991"/>
    </row>
    <row r="992" spans="1:28" ht="14.4" hidden="1">
      <c r="A992" t="s">
        <v>187</v>
      </c>
      <c r="B992" s="1">
        <v>140</v>
      </c>
      <c r="C992" s="258" t="s">
        <v>3053</v>
      </c>
      <c r="D992" t="s">
        <v>1277</v>
      </c>
      <c r="E992" t="s">
        <v>1905</v>
      </c>
      <c r="F992"/>
      <c r="H992" s="1">
        <v>0</v>
      </c>
      <c r="I992"/>
      <c r="J992"/>
      <c r="K992" s="170">
        <v>46081</v>
      </c>
      <c r="L992" s="1">
        <v>0</v>
      </c>
      <c r="M992" s="1">
        <v>46079</v>
      </c>
      <c r="Y992"/>
      <c r="Z992"/>
      <c r="AB992"/>
    </row>
    <row r="993" spans="1:28" ht="14.4" hidden="1">
      <c r="A993" t="s">
        <v>187</v>
      </c>
      <c r="B993" s="1">
        <v>141</v>
      </c>
      <c r="C993" s="258" t="s">
        <v>3054</v>
      </c>
      <c r="D993" t="s">
        <v>1277</v>
      </c>
      <c r="E993" t="s">
        <v>1907</v>
      </c>
      <c r="F993"/>
      <c r="H993" s="1">
        <v>0</v>
      </c>
      <c r="I993"/>
      <c r="J993"/>
      <c r="K993" s="170">
        <v>46081</v>
      </c>
      <c r="L993" s="1">
        <v>0</v>
      </c>
      <c r="M993" s="1">
        <v>46079</v>
      </c>
      <c r="Y993"/>
      <c r="Z993"/>
      <c r="AB993"/>
    </row>
    <row r="994" spans="1:28" ht="14.4" hidden="1">
      <c r="A994" t="s">
        <v>187</v>
      </c>
      <c r="B994" s="1">
        <v>142</v>
      </c>
      <c r="C994" s="258" t="s">
        <v>3055</v>
      </c>
      <c r="D994" t="s">
        <v>1277</v>
      </c>
      <c r="E994" t="s">
        <v>1909</v>
      </c>
      <c r="F994"/>
      <c r="H994" s="1">
        <v>0</v>
      </c>
      <c r="I994"/>
      <c r="J994"/>
      <c r="K994" s="170">
        <v>46081</v>
      </c>
      <c r="L994" s="1">
        <v>0</v>
      </c>
      <c r="M994" s="1">
        <v>46079</v>
      </c>
      <c r="Y994"/>
      <c r="Z994"/>
      <c r="AB994"/>
    </row>
    <row r="995" spans="1:28" ht="14.4" hidden="1">
      <c r="A995" t="s">
        <v>187</v>
      </c>
      <c r="B995" s="1">
        <v>145</v>
      </c>
      <c r="C995" s="258" t="s">
        <v>3056</v>
      </c>
      <c r="D995" t="s">
        <v>1280</v>
      </c>
      <c r="E995" t="s">
        <v>1281</v>
      </c>
      <c r="F995"/>
      <c r="H995" s="1">
        <v>0</v>
      </c>
      <c r="I995"/>
      <c r="J995"/>
      <c r="K995" s="170">
        <v>45777</v>
      </c>
      <c r="L995" s="1">
        <v>0</v>
      </c>
      <c r="M995" s="1">
        <v>45747</v>
      </c>
      <c r="N995" s="1">
        <v>8794.130000000001</v>
      </c>
      <c r="Y995"/>
      <c r="Z995"/>
      <c r="AB995"/>
    </row>
    <row r="996" spans="1:28" ht="14.4" hidden="1">
      <c r="A996" t="s">
        <v>187</v>
      </c>
      <c r="B996" s="1">
        <v>146</v>
      </c>
      <c r="C996" s="258" t="s">
        <v>3057</v>
      </c>
      <c r="D996" t="s">
        <v>1280</v>
      </c>
      <c r="E996" t="s">
        <v>1281</v>
      </c>
      <c r="F996"/>
      <c r="H996" s="1">
        <v>0</v>
      </c>
      <c r="I996"/>
      <c r="J996"/>
      <c r="K996" s="170">
        <v>45777</v>
      </c>
      <c r="L996" s="1">
        <v>0</v>
      </c>
      <c r="M996" s="1">
        <v>45777</v>
      </c>
      <c r="Y996"/>
      <c r="Z996"/>
      <c r="AB996"/>
    </row>
    <row r="997" spans="1:28" ht="14.4" hidden="1">
      <c r="A997" t="s">
        <v>187</v>
      </c>
      <c r="B997" s="1">
        <v>147</v>
      </c>
      <c r="C997" s="258" t="s">
        <v>3058</v>
      </c>
      <c r="D997" t="s">
        <v>1280</v>
      </c>
      <c r="E997" t="s">
        <v>1281</v>
      </c>
      <c r="F997"/>
      <c r="H997" s="1">
        <v>1399.4599999999998</v>
      </c>
      <c r="I997"/>
      <c r="J997" t="s">
        <v>1604</v>
      </c>
      <c r="K997" s="170">
        <v>45808</v>
      </c>
      <c r="L997" s="1">
        <v>1819.1538537136869</v>
      </c>
      <c r="M997" s="1">
        <v>45817</v>
      </c>
      <c r="Y997"/>
      <c r="Z997"/>
      <c r="AB997"/>
    </row>
    <row r="998" spans="1:28" ht="14.4" hidden="1">
      <c r="A998" t="s">
        <v>187</v>
      </c>
      <c r="B998" s="1">
        <v>148</v>
      </c>
      <c r="C998" s="258" t="s">
        <v>3059</v>
      </c>
      <c r="D998" t="s">
        <v>1280</v>
      </c>
      <c r="E998" t="s">
        <v>1281</v>
      </c>
      <c r="F998"/>
      <c r="H998" s="1">
        <v>1610.1</v>
      </c>
      <c r="I998"/>
      <c r="J998" t="s">
        <v>1604</v>
      </c>
      <c r="K998" s="170">
        <v>45838</v>
      </c>
      <c r="L998" s="1">
        <v>2264.064277996632</v>
      </c>
      <c r="M998" s="1">
        <v>45842</v>
      </c>
      <c r="Y998"/>
      <c r="Z998"/>
      <c r="AB998"/>
    </row>
    <row r="999" spans="1:28" ht="14.4" hidden="1">
      <c r="A999" t="s">
        <v>187</v>
      </c>
      <c r="B999" s="1">
        <v>149</v>
      </c>
      <c r="C999" s="258" t="s">
        <v>3060</v>
      </c>
      <c r="D999" t="s">
        <v>1280</v>
      </c>
      <c r="E999" t="s">
        <v>1281</v>
      </c>
      <c r="F999"/>
      <c r="H999" s="1">
        <v>2045.03</v>
      </c>
      <c r="I999"/>
      <c r="J999" t="s">
        <v>1604</v>
      </c>
      <c r="K999" s="170">
        <v>45869</v>
      </c>
      <c r="L999" s="1">
        <v>1130.3352501899867</v>
      </c>
      <c r="M999" s="1">
        <v>45876</v>
      </c>
      <c r="Y999"/>
      <c r="Z999"/>
      <c r="AB999"/>
    </row>
    <row r="1000" spans="1:28" ht="14.4" hidden="1">
      <c r="A1000" t="s">
        <v>187</v>
      </c>
      <c r="B1000" s="1">
        <v>150</v>
      </c>
      <c r="C1000" s="258" t="s">
        <v>3061</v>
      </c>
      <c r="D1000" t="s">
        <v>1280</v>
      </c>
      <c r="E1000" t="s">
        <v>1281</v>
      </c>
      <c r="F1000"/>
      <c r="H1000" s="1">
        <v>72.87</v>
      </c>
      <c r="I1000"/>
      <c r="J1000" t="s">
        <v>1604</v>
      </c>
      <c r="K1000" s="170">
        <v>45900</v>
      </c>
      <c r="L1000" s="1">
        <v>81.547943862281841</v>
      </c>
      <c r="M1000" s="1">
        <v>45905</v>
      </c>
      <c r="Y1000"/>
      <c r="Z1000"/>
      <c r="AB1000"/>
    </row>
    <row r="1001" spans="1:28" ht="14.4" hidden="1">
      <c r="A1001" t="s">
        <v>187</v>
      </c>
      <c r="B1001" s="1">
        <v>151</v>
      </c>
      <c r="C1001" s="258" t="s">
        <v>3062</v>
      </c>
      <c r="D1001" t="s">
        <v>1280</v>
      </c>
      <c r="E1001" t="s">
        <v>1281</v>
      </c>
      <c r="F1001"/>
      <c r="H1001" s="1">
        <v>0</v>
      </c>
      <c r="I1001"/>
      <c r="J1001" t="s">
        <v>1604</v>
      </c>
      <c r="K1001" s="170">
        <v>45930</v>
      </c>
      <c r="L1001" s="1">
        <v>0</v>
      </c>
      <c r="M1001" s="1">
        <v>45930</v>
      </c>
      <c r="Y1001"/>
      <c r="Z1001"/>
      <c r="AB1001"/>
    </row>
    <row r="1002" spans="1:28" ht="14.4" hidden="1">
      <c r="A1002" t="s">
        <v>187</v>
      </c>
      <c r="B1002" s="1">
        <v>152</v>
      </c>
      <c r="C1002" s="258" t="s">
        <v>3063</v>
      </c>
      <c r="D1002" t="s">
        <v>1280</v>
      </c>
      <c r="E1002" t="s">
        <v>1281</v>
      </c>
      <c r="F1002"/>
      <c r="H1002" s="1">
        <v>3363.46</v>
      </c>
      <c r="I1002"/>
      <c r="J1002" t="s">
        <v>1604</v>
      </c>
      <c r="K1002" s="170">
        <v>45961</v>
      </c>
      <c r="L1002" s="1">
        <v>1613.8361933409408</v>
      </c>
      <c r="M1002" s="1">
        <v>45967</v>
      </c>
      <c r="Y1002"/>
      <c r="Z1002"/>
      <c r="AB1002"/>
    </row>
    <row r="1003" spans="1:28" ht="14.4" hidden="1">
      <c r="A1003" t="s">
        <v>187</v>
      </c>
      <c r="B1003" s="1">
        <v>153</v>
      </c>
      <c r="C1003" s="258" t="s">
        <v>3064</v>
      </c>
      <c r="D1003" t="s">
        <v>1280</v>
      </c>
      <c r="E1003" t="s">
        <v>1281</v>
      </c>
      <c r="F1003"/>
      <c r="H1003" s="1">
        <v>59.5</v>
      </c>
      <c r="I1003"/>
      <c r="J1003" t="s">
        <v>1604</v>
      </c>
      <c r="K1003" s="170">
        <v>45991</v>
      </c>
      <c r="L1003" s="1">
        <v>676.87760543709578</v>
      </c>
      <c r="M1003" s="1">
        <v>45996</v>
      </c>
      <c r="Y1003"/>
      <c r="Z1003"/>
      <c r="AB1003"/>
    </row>
    <row r="1004" spans="1:28" ht="14.4" hidden="1">
      <c r="A1004" t="s">
        <v>187</v>
      </c>
      <c r="B1004" s="1">
        <v>154</v>
      </c>
      <c r="C1004" s="258" t="s">
        <v>3065</v>
      </c>
      <c r="D1004" t="s">
        <v>1280</v>
      </c>
      <c r="E1004" t="s">
        <v>1281</v>
      </c>
      <c r="F1004"/>
      <c r="H1004" s="1">
        <v>154.69999999999999</v>
      </c>
      <c r="I1004"/>
      <c r="J1004" t="s">
        <v>1604</v>
      </c>
      <c r="K1004" s="170">
        <v>46022</v>
      </c>
      <c r="L1004" s="1">
        <v>201.37717142497797</v>
      </c>
      <c r="M1004" s="1">
        <v>46030</v>
      </c>
      <c r="Y1004"/>
      <c r="Z1004"/>
      <c r="AB1004"/>
    </row>
    <row r="1005" spans="1:28" ht="14.4" hidden="1">
      <c r="A1005" t="s">
        <v>187</v>
      </c>
      <c r="B1005" s="1">
        <v>155</v>
      </c>
      <c r="C1005" s="258" t="s">
        <v>3066</v>
      </c>
      <c r="D1005" t="s">
        <v>1280</v>
      </c>
      <c r="E1005" t="s">
        <v>1281</v>
      </c>
      <c r="F1005"/>
      <c r="H1005" s="1">
        <v>89.01</v>
      </c>
      <c r="I1005"/>
      <c r="J1005" t="s">
        <v>1604</v>
      </c>
      <c r="K1005" s="170">
        <v>46053</v>
      </c>
      <c r="L1005" s="1">
        <v>242.21988584163191</v>
      </c>
      <c r="M1005" s="1">
        <v>46058</v>
      </c>
      <c r="Y1005"/>
      <c r="Z1005"/>
      <c r="AB1005"/>
    </row>
    <row r="1006" spans="1:28" ht="14.4" hidden="1">
      <c r="A1006" t="s">
        <v>187</v>
      </c>
      <c r="B1006" s="1">
        <v>161</v>
      </c>
      <c r="C1006" s="258" t="s">
        <v>3067</v>
      </c>
      <c r="D1006" t="s">
        <v>1451</v>
      </c>
      <c r="E1006" t="s">
        <v>3068</v>
      </c>
      <c r="F1006">
        <v>0.5</v>
      </c>
      <c r="G1006">
        <v>182949.13</v>
      </c>
      <c r="H1006" s="1">
        <v>91474.565000000002</v>
      </c>
      <c r="I1006"/>
      <c r="J1006" t="s">
        <v>3069</v>
      </c>
      <c r="K1006" s="170">
        <v>45930</v>
      </c>
      <c r="L1006" s="1">
        <v>125000</v>
      </c>
      <c r="M1006" s="1">
        <v>45911</v>
      </c>
      <c r="Y1006"/>
      <c r="Z1006"/>
      <c r="AB1006"/>
    </row>
    <row r="1007" spans="1:28" ht="14.4" hidden="1">
      <c r="A1007" t="s">
        <v>187</v>
      </c>
      <c r="B1007" s="1">
        <v>162</v>
      </c>
      <c r="C1007" s="258" t="s">
        <v>3070</v>
      </c>
      <c r="D1007" t="s">
        <v>1451</v>
      </c>
      <c r="F1007"/>
      <c r="H1007" s="1">
        <v>91474.565000000002</v>
      </c>
      <c r="I1007"/>
      <c r="J1007" t="s">
        <v>3069</v>
      </c>
      <c r="K1007" s="170">
        <v>45930</v>
      </c>
      <c r="L1007" s="1">
        <v>125000</v>
      </c>
      <c r="M1007" s="1">
        <v>46003</v>
      </c>
      <c r="Y1007"/>
      <c r="Z1007"/>
      <c r="AB1007"/>
    </row>
    <row r="1008" spans="1:28" ht="14.4" hidden="1">
      <c r="A1008" t="s">
        <v>9265</v>
      </c>
      <c r="B1008" s="1">
        <v>6</v>
      </c>
      <c r="C1008" s="258" t="s">
        <v>9269</v>
      </c>
      <c r="D1008" t="s">
        <v>9270</v>
      </c>
      <c r="E1008" t="s">
        <v>2149</v>
      </c>
      <c r="F1008"/>
      <c r="H1008" s="1">
        <v>2500</v>
      </c>
      <c r="I1008"/>
      <c r="J1008"/>
      <c r="K1008" s="170">
        <v>46081</v>
      </c>
      <c r="L1008" s="1">
        <v>3550</v>
      </c>
      <c r="M1008" s="1">
        <v>46112</v>
      </c>
      <c r="N1008" s="1">
        <v>2500</v>
      </c>
      <c r="Y1008"/>
      <c r="Z1008"/>
      <c r="AB1008"/>
    </row>
    <row r="1009" spans="1:28" ht="14.4" hidden="1">
      <c r="A1009" t="s">
        <v>9265</v>
      </c>
      <c r="B1009" s="1">
        <v>52</v>
      </c>
      <c r="C1009" s="258" t="s">
        <v>9271</v>
      </c>
      <c r="D1009" t="s">
        <v>9272</v>
      </c>
      <c r="E1009" t="s">
        <v>1281</v>
      </c>
      <c r="F1009"/>
      <c r="H1009" s="1">
        <v>2500</v>
      </c>
      <c r="I1009"/>
      <c r="J1009"/>
      <c r="K1009" s="170">
        <v>46053</v>
      </c>
      <c r="L1009" s="1">
        <v>3550</v>
      </c>
      <c r="M1009" s="1">
        <v>46039</v>
      </c>
      <c r="N1009" s="1">
        <v>2500</v>
      </c>
      <c r="Y1009"/>
      <c r="Z1009"/>
      <c r="AB1009"/>
    </row>
    <row r="1010" spans="1:28" ht="14.4" hidden="1">
      <c r="A1010" t="s">
        <v>192</v>
      </c>
      <c r="B1010" s="1">
        <v>6</v>
      </c>
      <c r="C1010" s="258" t="s">
        <v>3071</v>
      </c>
      <c r="D1010" t="s">
        <v>1146</v>
      </c>
      <c r="E1010" t="s">
        <v>2729</v>
      </c>
      <c r="F1010">
        <v>1539</v>
      </c>
      <c r="G1010">
        <v>1233.8</v>
      </c>
      <c r="H1010" s="1">
        <v>491874.5391304348</v>
      </c>
      <c r="I1010" t="s">
        <v>3072</v>
      </c>
      <c r="J1010" t="s">
        <v>3073</v>
      </c>
      <c r="K1010" s="170">
        <v>45838</v>
      </c>
      <c r="L1010" s="1">
        <v>2179513.4565217393</v>
      </c>
      <c r="M1010" s="1">
        <v>45867</v>
      </c>
      <c r="N1010" s="1">
        <v>1905787.2</v>
      </c>
      <c r="Y1010"/>
      <c r="Z1010"/>
      <c r="AB1010"/>
    </row>
    <row r="1011" spans="1:28" ht="14.4" hidden="1">
      <c r="A1011" t="s">
        <v>192</v>
      </c>
      <c r="B1011" s="1">
        <v>7</v>
      </c>
      <c r="C1011" s="258" t="s">
        <v>3074</v>
      </c>
      <c r="D1011" t="s">
        <v>1146</v>
      </c>
      <c r="F1011"/>
      <c r="H1011" s="1">
        <v>1406943.6608695651</v>
      </c>
      <c r="I1011"/>
      <c r="J1011" t="s">
        <v>3073</v>
      </c>
      <c r="K1011" s="170">
        <v>45838</v>
      </c>
      <c r="L1011" s="1">
        <v>0</v>
      </c>
      <c r="M1011" s="1">
        <v>45890</v>
      </c>
      <c r="Y1011"/>
      <c r="Z1011"/>
      <c r="AB1011"/>
    </row>
    <row r="1012" spans="1:28" ht="14.4" hidden="1">
      <c r="A1012" t="s">
        <v>192</v>
      </c>
      <c r="B1012" s="1">
        <v>9</v>
      </c>
      <c r="C1012" s="258" t="s">
        <v>3075</v>
      </c>
      <c r="D1012" t="s">
        <v>1146</v>
      </c>
      <c r="E1012" t="s">
        <v>2729</v>
      </c>
      <c r="F1012"/>
      <c r="H1012" s="1">
        <v>6169</v>
      </c>
      <c r="I1012"/>
      <c r="J1012" t="s">
        <v>3076</v>
      </c>
      <c r="K1012" s="170">
        <v>45991</v>
      </c>
      <c r="L1012" s="1">
        <v>0</v>
      </c>
      <c r="M1012" s="1">
        <v>46045</v>
      </c>
      <c r="Y1012"/>
      <c r="Z1012"/>
      <c r="AB1012"/>
    </row>
    <row r="1013" spans="1:28" ht="14.4" hidden="1">
      <c r="A1013" t="s">
        <v>192</v>
      </c>
      <c r="B1013" s="1">
        <v>10</v>
      </c>
      <c r="C1013" s="258" t="s">
        <v>3077</v>
      </c>
      <c r="D1013" t="s">
        <v>1146</v>
      </c>
      <c r="E1013" t="s">
        <v>1461</v>
      </c>
      <c r="F1013"/>
      <c r="H1013" s="1">
        <v>800</v>
      </c>
      <c r="I1013"/>
      <c r="J1013" t="s">
        <v>3076</v>
      </c>
      <c r="K1013" s="170">
        <v>45991</v>
      </c>
      <c r="L1013" s="1">
        <v>0</v>
      </c>
      <c r="M1013" s="1">
        <v>46045</v>
      </c>
      <c r="Y1013"/>
      <c r="Z1013"/>
      <c r="AB1013"/>
    </row>
    <row r="1014" spans="1:28" ht="14.4" hidden="1">
      <c r="A1014" t="s">
        <v>192</v>
      </c>
      <c r="B1014" s="1">
        <v>13</v>
      </c>
      <c r="C1014" s="258" t="s">
        <v>3078</v>
      </c>
      <c r="D1014" t="s">
        <v>1157</v>
      </c>
      <c r="E1014" t="s">
        <v>3079</v>
      </c>
      <c r="F1014">
        <v>8</v>
      </c>
      <c r="G1014">
        <v>68870</v>
      </c>
      <c r="H1014" s="1">
        <v>332186.77</v>
      </c>
      <c r="I1014" t="s">
        <v>3072</v>
      </c>
      <c r="J1014" t="s">
        <v>3073</v>
      </c>
      <c r="K1014" s="170">
        <v>45838</v>
      </c>
      <c r="L1014" s="1">
        <v>608695.65217391308</v>
      </c>
      <c r="M1014" s="1">
        <v>45890</v>
      </c>
      <c r="N1014" s="1">
        <v>332186.77</v>
      </c>
      <c r="Y1014"/>
      <c r="Z1014"/>
      <c r="AB1014"/>
    </row>
    <row r="1015" spans="1:28" ht="14.4" hidden="1">
      <c r="A1015" t="s">
        <v>192</v>
      </c>
      <c r="B1015" s="1">
        <v>21</v>
      </c>
      <c r="C1015" s="258" t="s">
        <v>3080</v>
      </c>
      <c r="D1015" t="s">
        <v>1160</v>
      </c>
      <c r="E1015" t="s">
        <v>1161</v>
      </c>
      <c r="F1015"/>
      <c r="H1015" s="1">
        <v>245639.2</v>
      </c>
      <c r="I1015" t="s">
        <v>3081</v>
      </c>
      <c r="J1015" t="s">
        <v>3082</v>
      </c>
      <c r="K1015" s="170">
        <v>45838</v>
      </c>
      <c r="L1015" s="1">
        <v>466816.30434782605</v>
      </c>
      <c r="M1015" s="1">
        <v>45867</v>
      </c>
      <c r="N1015" s="1">
        <v>252145.2</v>
      </c>
      <c r="Y1015"/>
      <c r="Z1015"/>
      <c r="AB1015"/>
    </row>
    <row r="1016" spans="1:28" ht="14.4" hidden="1">
      <c r="A1016" t="s">
        <v>192</v>
      </c>
      <c r="B1016" s="1">
        <v>22</v>
      </c>
      <c r="C1016" s="258" t="s">
        <v>3083</v>
      </c>
      <c r="D1016" t="s">
        <v>1160</v>
      </c>
      <c r="E1016" t="s">
        <v>3084</v>
      </c>
      <c r="F1016"/>
      <c r="H1016" s="1">
        <v>6506</v>
      </c>
      <c r="I1016" t="s">
        <v>3085</v>
      </c>
      <c r="J1016" t="s">
        <v>3086</v>
      </c>
      <c r="K1016" s="170">
        <v>45991</v>
      </c>
      <c r="L1016" s="1">
        <v>0</v>
      </c>
      <c r="M1016" s="1">
        <v>46021</v>
      </c>
      <c r="Y1016"/>
      <c r="Z1016"/>
      <c r="AB1016"/>
    </row>
    <row r="1017" spans="1:28" ht="14.4" hidden="1">
      <c r="A1017" t="s">
        <v>192</v>
      </c>
      <c r="B1017" s="1">
        <v>28</v>
      </c>
      <c r="C1017" s="258" t="s">
        <v>3087</v>
      </c>
      <c r="D1017" t="s">
        <v>1165</v>
      </c>
      <c r="E1017" t="s">
        <v>1953</v>
      </c>
      <c r="F1017">
        <v>25000</v>
      </c>
      <c r="G1017">
        <v>13.4</v>
      </c>
      <c r="H1017" s="1">
        <v>335000</v>
      </c>
      <c r="I1017" t="s">
        <v>3088</v>
      </c>
      <c r="J1017" t="s">
        <v>3073</v>
      </c>
      <c r="K1017" s="170">
        <v>45838</v>
      </c>
      <c r="L1017" s="1">
        <v>425683.80414522928</v>
      </c>
      <c r="M1017" s="1">
        <v>45891</v>
      </c>
      <c r="N1017" s="1">
        <v>788073.5</v>
      </c>
      <c r="Y1017"/>
      <c r="Z1017"/>
      <c r="AB1017"/>
    </row>
    <row r="1018" spans="1:28" ht="14.4" hidden="1">
      <c r="A1018" t="s">
        <v>192</v>
      </c>
      <c r="B1018" s="1">
        <v>29</v>
      </c>
      <c r="C1018" s="258" t="s">
        <v>3089</v>
      </c>
      <c r="D1018" t="s">
        <v>1165</v>
      </c>
      <c r="E1018" t="s">
        <v>1953</v>
      </c>
      <c r="F1018">
        <v>1000</v>
      </c>
      <c r="G1018">
        <v>13.4</v>
      </c>
      <c r="H1018" s="1">
        <v>13400</v>
      </c>
      <c r="I1018"/>
      <c r="J1018" t="s">
        <v>3073</v>
      </c>
      <c r="K1018" s="170">
        <v>45838</v>
      </c>
      <c r="L1018" s="1">
        <v>17021.347765809172</v>
      </c>
      <c r="M1018" s="1">
        <v>45891</v>
      </c>
      <c r="Y1018"/>
      <c r="Z1018"/>
      <c r="AB1018"/>
    </row>
    <row r="1019" spans="1:28" ht="14.4" hidden="1">
      <c r="A1019" t="s">
        <v>192</v>
      </c>
      <c r="B1019" s="1">
        <v>30</v>
      </c>
      <c r="C1019" s="258" t="s">
        <v>3090</v>
      </c>
      <c r="D1019" t="s">
        <v>1165</v>
      </c>
      <c r="E1019" t="s">
        <v>3091</v>
      </c>
      <c r="F1019">
        <v>6000</v>
      </c>
      <c r="H1019" s="1">
        <v>89700</v>
      </c>
      <c r="I1019" t="s">
        <v>3092</v>
      </c>
      <c r="J1019" t="s">
        <v>3093</v>
      </c>
      <c r="K1019" s="170">
        <v>46022</v>
      </c>
      <c r="L1019" s="1">
        <v>0</v>
      </c>
      <c r="M1019" s="1">
        <v>46052</v>
      </c>
      <c r="Y1019"/>
      <c r="Z1019"/>
      <c r="AB1019"/>
    </row>
    <row r="1020" spans="1:28" ht="14.4" hidden="1">
      <c r="A1020" t="s">
        <v>192</v>
      </c>
      <c r="B1020" s="1">
        <v>31</v>
      </c>
      <c r="C1020" s="258" t="s">
        <v>3094</v>
      </c>
      <c r="D1020" t="s">
        <v>1165</v>
      </c>
      <c r="E1020" t="s">
        <v>3095</v>
      </c>
      <c r="F1020">
        <v>4000</v>
      </c>
      <c r="H1020" s="1">
        <v>57500</v>
      </c>
      <c r="I1020"/>
      <c r="J1020" t="s">
        <v>3096</v>
      </c>
      <c r="K1020" s="170">
        <v>46022</v>
      </c>
      <c r="L1020" s="1">
        <v>0</v>
      </c>
      <c r="M1020" s="1">
        <v>46052</v>
      </c>
      <c r="Y1020"/>
      <c r="Z1020"/>
      <c r="AB1020"/>
    </row>
    <row r="1021" spans="1:28" ht="14.4" hidden="1">
      <c r="A1021" t="s">
        <v>192</v>
      </c>
      <c r="B1021" s="1">
        <v>32</v>
      </c>
      <c r="C1021" s="258" t="s">
        <v>3097</v>
      </c>
      <c r="D1021" t="s">
        <v>1165</v>
      </c>
      <c r="E1021" t="s">
        <v>1169</v>
      </c>
      <c r="F1021">
        <v>292473.5</v>
      </c>
      <c r="G1021">
        <v>0.1</v>
      </c>
      <c r="H1021" s="1">
        <v>29247.35</v>
      </c>
      <c r="I1021" t="s">
        <v>3098</v>
      </c>
      <c r="J1021" t="s">
        <v>3099</v>
      </c>
      <c r="K1021" s="170">
        <v>45808</v>
      </c>
      <c r="L1021" s="1">
        <v>37001.328445073632</v>
      </c>
      <c r="M1021" s="1">
        <v>45792</v>
      </c>
      <c r="Y1021"/>
      <c r="Z1021"/>
      <c r="AB1021"/>
    </row>
    <row r="1022" spans="1:28" ht="14.4" hidden="1">
      <c r="A1022" t="s">
        <v>192</v>
      </c>
      <c r="B1022" s="1">
        <v>33</v>
      </c>
      <c r="C1022" s="258" t="s">
        <v>3100</v>
      </c>
      <c r="D1022" t="s">
        <v>1165</v>
      </c>
      <c r="E1022" t="s">
        <v>558</v>
      </c>
      <c r="F1022"/>
      <c r="G1022">
        <v>0.15</v>
      </c>
      <c r="H1022" s="1">
        <v>43871.025000000001</v>
      </c>
      <c r="I1022"/>
      <c r="J1022" t="s">
        <v>3101</v>
      </c>
      <c r="K1022" s="170">
        <v>45838</v>
      </c>
      <c r="L1022" s="1">
        <v>55727.162191605101</v>
      </c>
      <c r="M1022" s="1">
        <v>45834</v>
      </c>
      <c r="Y1022"/>
      <c r="Z1022"/>
      <c r="AB1022"/>
    </row>
    <row r="1023" spans="1:28" ht="14.4" hidden="1">
      <c r="A1023" t="s">
        <v>192</v>
      </c>
      <c r="B1023" s="1">
        <v>34</v>
      </c>
      <c r="C1023" s="258" t="s">
        <v>3102</v>
      </c>
      <c r="D1023" t="s">
        <v>1165</v>
      </c>
      <c r="E1023" t="s">
        <v>1175</v>
      </c>
      <c r="F1023"/>
      <c r="G1023">
        <v>0.2</v>
      </c>
      <c r="H1023" s="1">
        <v>58494.7</v>
      </c>
      <c r="I1023"/>
      <c r="J1023" t="s">
        <v>3103</v>
      </c>
      <c r="K1023" s="170">
        <v>45900</v>
      </c>
      <c r="L1023" s="1">
        <v>74302.882922140139</v>
      </c>
      <c r="M1023" s="1">
        <v>45954</v>
      </c>
      <c r="Y1023"/>
      <c r="Z1023"/>
      <c r="AB1023"/>
    </row>
    <row r="1024" spans="1:28" ht="14.4" hidden="1">
      <c r="A1024" t="s">
        <v>192</v>
      </c>
      <c r="B1024" s="1">
        <v>35</v>
      </c>
      <c r="C1024" s="258" t="s">
        <v>3104</v>
      </c>
      <c r="D1024" t="s">
        <v>1165</v>
      </c>
      <c r="E1024" t="s">
        <v>1178</v>
      </c>
      <c r="F1024"/>
      <c r="G1024">
        <v>0.25</v>
      </c>
      <c r="H1024" s="1">
        <v>73118.375</v>
      </c>
      <c r="I1024"/>
      <c r="J1024" t="s">
        <v>3105</v>
      </c>
      <c r="K1024" s="170">
        <v>45900</v>
      </c>
      <c r="L1024" s="1">
        <v>92878.603652675156</v>
      </c>
      <c r="M1024" s="1">
        <v>46009</v>
      </c>
      <c r="Y1024"/>
      <c r="Z1024"/>
      <c r="AB1024"/>
    </row>
    <row r="1025" spans="1:28" ht="14.4" hidden="1">
      <c r="A1025" t="s">
        <v>192</v>
      </c>
      <c r="B1025" s="1">
        <v>36</v>
      </c>
      <c r="C1025" s="258" t="s">
        <v>3106</v>
      </c>
      <c r="D1025" t="s">
        <v>1165</v>
      </c>
      <c r="E1025" t="s">
        <v>1181</v>
      </c>
      <c r="F1025"/>
      <c r="G1025">
        <v>0.1</v>
      </c>
      <c r="H1025" s="1">
        <v>29247.35</v>
      </c>
      <c r="I1025"/>
      <c r="J1025" t="s">
        <v>3107</v>
      </c>
      <c r="K1025" s="170">
        <v>45900</v>
      </c>
      <c r="L1025" s="1">
        <v>37151.44146107007</v>
      </c>
      <c r="M1025" s="1">
        <v>46009</v>
      </c>
      <c r="Y1025"/>
      <c r="Z1025"/>
      <c r="AB1025"/>
    </row>
    <row r="1026" spans="1:28" ht="14.4" hidden="1">
      <c r="A1026" t="s">
        <v>192</v>
      </c>
      <c r="B1026" s="1">
        <v>37</v>
      </c>
      <c r="C1026" s="258" t="s">
        <v>3108</v>
      </c>
      <c r="D1026" t="s">
        <v>1165</v>
      </c>
      <c r="E1026" t="s">
        <v>1184</v>
      </c>
      <c r="F1026"/>
      <c r="G1026">
        <v>0.1</v>
      </c>
      <c r="H1026" s="1">
        <v>29247.35</v>
      </c>
      <c r="I1026"/>
      <c r="J1026" t="s">
        <v>3109</v>
      </c>
      <c r="K1026" s="170">
        <v>45900</v>
      </c>
      <c r="L1026" s="1">
        <v>37151.44146107007</v>
      </c>
      <c r="M1026" s="1">
        <v>46058</v>
      </c>
      <c r="Y1026"/>
      <c r="Z1026"/>
      <c r="AB1026"/>
    </row>
    <row r="1027" spans="1:28" ht="14.4" hidden="1">
      <c r="A1027" t="s">
        <v>192</v>
      </c>
      <c r="B1027" s="1">
        <v>38</v>
      </c>
      <c r="C1027" s="258" t="s">
        <v>3110</v>
      </c>
      <c r="D1027" t="s">
        <v>1165</v>
      </c>
      <c r="E1027" t="s">
        <v>1187</v>
      </c>
      <c r="F1027"/>
      <c r="G1027">
        <v>0.05</v>
      </c>
      <c r="H1027" s="1">
        <v>14623.674999999999</v>
      </c>
      <c r="I1027"/>
      <c r="J1027" t="s">
        <v>3111</v>
      </c>
      <c r="K1027" s="170">
        <v>45900</v>
      </c>
      <c r="L1027" s="1">
        <v>18575.720730535035</v>
      </c>
      <c r="M1027" s="1">
        <v>46065</v>
      </c>
      <c r="Y1027"/>
      <c r="Z1027"/>
      <c r="AB1027"/>
    </row>
    <row r="1028" spans="1:28" ht="14.4" hidden="1">
      <c r="A1028" t="s">
        <v>192</v>
      </c>
      <c r="B1028" s="1">
        <v>39</v>
      </c>
      <c r="C1028" s="258" t="s">
        <v>3112</v>
      </c>
      <c r="D1028" t="s">
        <v>1165</v>
      </c>
      <c r="E1028" t="s">
        <v>1190</v>
      </c>
      <c r="F1028"/>
      <c r="G1028">
        <v>0.05</v>
      </c>
      <c r="H1028" s="1">
        <v>14623.674999999999</v>
      </c>
      <c r="I1028"/>
      <c r="J1028" t="s">
        <v>3113</v>
      </c>
      <c r="K1028" s="170">
        <v>45900</v>
      </c>
      <c r="L1028" s="1">
        <v>18575.720730535035</v>
      </c>
      <c r="M1028" s="1">
        <v>46095</v>
      </c>
      <c r="Y1028"/>
      <c r="Z1028"/>
      <c r="AB1028"/>
    </row>
    <row r="1029" spans="1:28" ht="14.4" hidden="1">
      <c r="A1029" t="s">
        <v>192</v>
      </c>
      <c r="B1029" s="1">
        <v>44</v>
      </c>
      <c r="C1029" s="258" t="s">
        <v>3114</v>
      </c>
      <c r="D1029" t="s">
        <v>1193</v>
      </c>
      <c r="E1029" t="s">
        <v>2755</v>
      </c>
      <c r="F1029"/>
      <c r="H1029" s="1">
        <v>8598.35</v>
      </c>
      <c r="I1029" t="s">
        <v>3072</v>
      </c>
      <c r="J1029" t="s">
        <v>3115</v>
      </c>
      <c r="K1029" s="170">
        <v>45808</v>
      </c>
      <c r="L1029" s="1">
        <v>11430.85346925536</v>
      </c>
      <c r="M1029" s="1">
        <v>45855</v>
      </c>
      <c r="N1029" s="1">
        <v>40802.14</v>
      </c>
      <c r="Y1029"/>
      <c r="Z1029"/>
      <c r="AB1029"/>
    </row>
    <row r="1030" spans="1:28" ht="14.4" hidden="1">
      <c r="A1030" t="s">
        <v>192</v>
      </c>
      <c r="B1030" s="1">
        <v>45</v>
      </c>
      <c r="C1030" s="258" t="s">
        <v>3116</v>
      </c>
      <c r="D1030" t="s">
        <v>1193</v>
      </c>
      <c r="E1030" t="s">
        <v>1196</v>
      </c>
      <c r="F1030"/>
      <c r="H1030" s="1">
        <v>14805</v>
      </c>
      <c r="I1030" t="s">
        <v>3117</v>
      </c>
      <c r="J1030" t="s">
        <v>3118</v>
      </c>
      <c r="K1030" s="170">
        <v>45777</v>
      </c>
      <c r="L1030" s="1">
        <v>19230.024970443686</v>
      </c>
      <c r="M1030" s="1">
        <v>45806</v>
      </c>
      <c r="Y1030"/>
      <c r="Z1030"/>
      <c r="AB1030"/>
    </row>
    <row r="1031" spans="1:28" ht="14.4" hidden="1">
      <c r="A1031" t="s">
        <v>192</v>
      </c>
      <c r="B1031" s="1">
        <v>46</v>
      </c>
      <c r="C1031" s="258" t="s">
        <v>3119</v>
      </c>
      <c r="D1031" t="s">
        <v>1193</v>
      </c>
      <c r="F1031"/>
      <c r="H1031" s="1">
        <v>214.29</v>
      </c>
      <c r="I1031"/>
      <c r="J1031" t="s">
        <v>2765</v>
      </c>
      <c r="K1031" s="170">
        <v>45838</v>
      </c>
      <c r="L1031" s="1">
        <v>437.2923807165613</v>
      </c>
      <c r="M1031" s="1">
        <v>45867</v>
      </c>
      <c r="Y1031"/>
      <c r="Z1031"/>
      <c r="AB1031"/>
    </row>
    <row r="1032" spans="1:28" ht="14.4" hidden="1">
      <c r="A1032" t="s">
        <v>192</v>
      </c>
      <c r="B1032" s="1">
        <v>47</v>
      </c>
      <c r="C1032" s="258" t="s">
        <v>3120</v>
      </c>
      <c r="D1032" t="s">
        <v>1193</v>
      </c>
      <c r="E1032" t="s">
        <v>1200</v>
      </c>
      <c r="F1032"/>
      <c r="H1032" s="1">
        <v>14934</v>
      </c>
      <c r="I1032"/>
      <c r="J1032" t="s">
        <v>2969</v>
      </c>
      <c r="K1032" s="170">
        <v>45838</v>
      </c>
      <c r="L1032" s="1">
        <v>19214.302276453061</v>
      </c>
      <c r="M1032" s="1">
        <v>45838</v>
      </c>
      <c r="Y1032"/>
      <c r="Z1032"/>
      <c r="AB1032"/>
    </row>
    <row r="1033" spans="1:28" ht="14.4" hidden="1">
      <c r="A1033" t="s">
        <v>192</v>
      </c>
      <c r="B1033" s="1">
        <v>48</v>
      </c>
      <c r="C1033" s="258" t="s">
        <v>3121</v>
      </c>
      <c r="D1033" t="s">
        <v>1193</v>
      </c>
      <c r="E1033" t="s">
        <v>2768</v>
      </c>
      <c r="F1033"/>
      <c r="H1033" s="1">
        <v>2250.5</v>
      </c>
      <c r="I1033" t="s">
        <v>2971</v>
      </c>
      <c r="J1033" t="s">
        <v>3122</v>
      </c>
      <c r="K1033" s="170">
        <v>45808</v>
      </c>
      <c r="L1033" s="1">
        <v>2948.3944806339805</v>
      </c>
      <c r="M1033" s="1">
        <v>45799</v>
      </c>
      <c r="Y1033"/>
      <c r="Z1033"/>
      <c r="AB1033"/>
    </row>
    <row r="1034" spans="1:28" ht="14.4" hidden="1">
      <c r="A1034" t="s">
        <v>192</v>
      </c>
      <c r="B1034" s="1">
        <v>54</v>
      </c>
      <c r="C1034" s="258" t="s">
        <v>3123</v>
      </c>
      <c r="D1034" t="s">
        <v>1211</v>
      </c>
      <c r="E1034" t="s">
        <v>1212</v>
      </c>
      <c r="F1034"/>
      <c r="H1034" s="1">
        <v>247064.02</v>
      </c>
      <c r="I1034" t="s">
        <v>3124</v>
      </c>
      <c r="J1034" t="s">
        <v>3125</v>
      </c>
      <c r="K1034" s="170">
        <v>45838</v>
      </c>
      <c r="L1034" s="1">
        <v>606310.9163590211</v>
      </c>
      <c r="M1034" s="1">
        <v>45867</v>
      </c>
      <c r="Y1034"/>
      <c r="Z1034"/>
      <c r="AB1034"/>
    </row>
    <row r="1035" spans="1:28" ht="14.4" hidden="1">
      <c r="A1035" t="s">
        <v>192</v>
      </c>
      <c r="B1035" s="1">
        <v>59</v>
      </c>
      <c r="C1035" s="258" t="s">
        <v>3126</v>
      </c>
      <c r="D1035" t="s">
        <v>1211</v>
      </c>
      <c r="E1035" t="s">
        <v>1169</v>
      </c>
      <c r="F1035">
        <v>202590</v>
      </c>
      <c r="G1035">
        <v>0.1</v>
      </c>
      <c r="H1035" s="1">
        <v>20259</v>
      </c>
      <c r="I1035" t="s">
        <v>3098</v>
      </c>
      <c r="J1035" t="s">
        <v>3099</v>
      </c>
      <c r="K1035" s="170">
        <v>45808</v>
      </c>
      <c r="L1035" s="1">
        <v>50466.957904751558</v>
      </c>
      <c r="M1035" s="1">
        <v>45792</v>
      </c>
      <c r="Y1035"/>
      <c r="Z1035"/>
      <c r="AB1035"/>
    </row>
    <row r="1036" spans="1:28" ht="14.4" hidden="1">
      <c r="A1036" t="s">
        <v>192</v>
      </c>
      <c r="B1036" s="1">
        <v>60</v>
      </c>
      <c r="C1036" s="258" t="s">
        <v>3127</v>
      </c>
      <c r="D1036" t="s">
        <v>1211</v>
      </c>
      <c r="E1036" t="s">
        <v>558</v>
      </c>
      <c r="F1036"/>
      <c r="G1036">
        <v>0.15</v>
      </c>
      <c r="H1036" s="1">
        <v>30388.5</v>
      </c>
      <c r="I1036"/>
      <c r="J1036" t="s">
        <v>3101</v>
      </c>
      <c r="K1036" s="170">
        <v>45838</v>
      </c>
      <c r="L1036" s="1">
        <v>74660.590002668585</v>
      </c>
      <c r="M1036" s="1">
        <v>45834</v>
      </c>
      <c r="Y1036"/>
      <c r="Z1036"/>
      <c r="AB1036"/>
    </row>
    <row r="1037" spans="1:28" ht="14.4" hidden="1">
      <c r="A1037" t="s">
        <v>192</v>
      </c>
      <c r="B1037" s="1">
        <v>61</v>
      </c>
      <c r="C1037" s="258" t="s">
        <v>3128</v>
      </c>
      <c r="D1037" t="s">
        <v>1211</v>
      </c>
      <c r="E1037" t="s">
        <v>1175</v>
      </c>
      <c r="F1037"/>
      <c r="G1037">
        <v>0.2</v>
      </c>
      <c r="H1037" s="1">
        <v>40518</v>
      </c>
      <c r="I1037"/>
      <c r="J1037" t="s">
        <v>3103</v>
      </c>
      <c r="K1037" s="170">
        <v>45900</v>
      </c>
      <c r="L1037" s="1">
        <v>99547.453336891442</v>
      </c>
      <c r="M1037" s="1">
        <v>45954</v>
      </c>
      <c r="Y1037"/>
      <c r="Z1037"/>
      <c r="AB1037"/>
    </row>
    <row r="1038" spans="1:28" ht="14.4" hidden="1">
      <c r="A1038" t="s">
        <v>192</v>
      </c>
      <c r="B1038" s="1">
        <v>62</v>
      </c>
      <c r="C1038" s="258" t="s">
        <v>3129</v>
      </c>
      <c r="D1038" t="s">
        <v>1211</v>
      </c>
      <c r="E1038" t="s">
        <v>1178</v>
      </c>
      <c r="F1038"/>
      <c r="G1038">
        <v>0.25</v>
      </c>
      <c r="H1038" s="1">
        <v>50647.5</v>
      </c>
      <c r="I1038"/>
      <c r="J1038" t="s">
        <v>3105</v>
      </c>
      <c r="K1038" s="170">
        <v>45900</v>
      </c>
      <c r="L1038" s="1">
        <v>124434.3166711143</v>
      </c>
      <c r="M1038" s="1">
        <v>46009</v>
      </c>
      <c r="Y1038"/>
      <c r="Z1038"/>
      <c r="AB1038"/>
    </row>
    <row r="1039" spans="1:28" ht="14.4" hidden="1">
      <c r="A1039" t="s">
        <v>192</v>
      </c>
      <c r="B1039" s="1">
        <v>63</v>
      </c>
      <c r="C1039" s="258" t="s">
        <v>3130</v>
      </c>
      <c r="D1039" t="s">
        <v>1211</v>
      </c>
      <c r="E1039" t="s">
        <v>1181</v>
      </c>
      <c r="F1039"/>
      <c r="G1039">
        <v>0.1</v>
      </c>
      <c r="H1039" s="1">
        <v>20259</v>
      </c>
      <c r="I1039"/>
      <c r="J1039" t="s">
        <v>3107</v>
      </c>
      <c r="K1039" s="170">
        <v>45900</v>
      </c>
      <c r="L1039" s="1">
        <v>49773.726668445721</v>
      </c>
      <c r="M1039" s="1">
        <v>46009</v>
      </c>
      <c r="Y1039"/>
      <c r="Z1039"/>
      <c r="AB1039"/>
    </row>
    <row r="1040" spans="1:28" ht="14.4" hidden="1">
      <c r="A1040" t="s">
        <v>192</v>
      </c>
      <c r="B1040" s="1">
        <v>64</v>
      </c>
      <c r="C1040" s="258" t="s">
        <v>3131</v>
      </c>
      <c r="D1040" t="s">
        <v>1211</v>
      </c>
      <c r="E1040" t="s">
        <v>1184</v>
      </c>
      <c r="F1040"/>
      <c r="G1040">
        <v>0.1</v>
      </c>
      <c r="H1040" s="1">
        <v>20259</v>
      </c>
      <c r="I1040"/>
      <c r="J1040" t="s">
        <v>3109</v>
      </c>
      <c r="K1040" s="170">
        <v>45900</v>
      </c>
      <c r="L1040" s="1">
        <v>49773.726668445721</v>
      </c>
      <c r="M1040" s="1">
        <v>46058</v>
      </c>
      <c r="Y1040"/>
      <c r="Z1040"/>
      <c r="AB1040"/>
    </row>
    <row r="1041" spans="1:28" ht="14.4" hidden="1">
      <c r="A1041" t="s">
        <v>192</v>
      </c>
      <c r="B1041" s="1">
        <v>65</v>
      </c>
      <c r="C1041" s="258" t="s">
        <v>3132</v>
      </c>
      <c r="D1041" t="s">
        <v>1211</v>
      </c>
      <c r="E1041" t="s">
        <v>1187</v>
      </c>
      <c r="F1041"/>
      <c r="G1041">
        <v>0.05</v>
      </c>
      <c r="H1041" s="1">
        <v>10129.5</v>
      </c>
      <c r="I1041"/>
      <c r="J1041" t="s">
        <v>3111</v>
      </c>
      <c r="K1041" s="170">
        <v>45900</v>
      </c>
      <c r="L1041" s="1">
        <v>24886.86333422286</v>
      </c>
      <c r="M1041" s="1">
        <v>46065</v>
      </c>
      <c r="Y1041"/>
      <c r="Z1041"/>
      <c r="AB1041"/>
    </row>
    <row r="1042" spans="1:28" ht="14.4" hidden="1">
      <c r="A1042" t="s">
        <v>192</v>
      </c>
      <c r="B1042" s="1">
        <v>66</v>
      </c>
      <c r="C1042" s="258" t="s">
        <v>3133</v>
      </c>
      <c r="D1042" t="s">
        <v>1211</v>
      </c>
      <c r="E1042" t="s">
        <v>1190</v>
      </c>
      <c r="F1042"/>
      <c r="G1042">
        <v>0.05</v>
      </c>
      <c r="H1042" s="1">
        <v>10129.5</v>
      </c>
      <c r="I1042"/>
      <c r="J1042" t="s">
        <v>3113</v>
      </c>
      <c r="K1042" s="170">
        <v>45900</v>
      </c>
      <c r="L1042" s="1">
        <v>24886.86333422286</v>
      </c>
      <c r="M1042" s="1">
        <v>46095</v>
      </c>
      <c r="Y1042"/>
      <c r="Z1042"/>
      <c r="AB1042"/>
    </row>
    <row r="1043" spans="1:28" ht="14.4" hidden="1">
      <c r="A1043" t="s">
        <v>192</v>
      </c>
      <c r="B1043" s="1">
        <v>80</v>
      </c>
      <c r="C1043" s="258" t="s">
        <v>3134</v>
      </c>
      <c r="D1043" t="s">
        <v>1224</v>
      </c>
      <c r="E1043" t="s">
        <v>3135</v>
      </c>
      <c r="F1043"/>
      <c r="H1043" s="1">
        <v>6000</v>
      </c>
      <c r="I1043" t="s">
        <v>3136</v>
      </c>
      <c r="J1043" t="s">
        <v>3137</v>
      </c>
      <c r="K1043" s="170">
        <v>45991</v>
      </c>
      <c r="M1043" s="1">
        <v>45980</v>
      </c>
      <c r="N1043" s="1">
        <v>219758</v>
      </c>
      <c r="Y1043"/>
      <c r="Z1043"/>
      <c r="AB1043"/>
    </row>
    <row r="1044" spans="1:28" ht="14.4" hidden="1">
      <c r="A1044" t="s">
        <v>192</v>
      </c>
      <c r="B1044" s="1">
        <v>81</v>
      </c>
      <c r="C1044" s="258" t="s">
        <v>3138</v>
      </c>
      <c r="D1044" t="s">
        <v>1224</v>
      </c>
      <c r="E1044" t="s">
        <v>3139</v>
      </c>
      <c r="F1044"/>
      <c r="H1044" s="1">
        <v>1728.1</v>
      </c>
      <c r="I1044" t="s">
        <v>3140</v>
      </c>
      <c r="J1044" t="s">
        <v>3141</v>
      </c>
      <c r="K1044" s="170">
        <v>46053</v>
      </c>
      <c r="M1044" s="1">
        <v>46051</v>
      </c>
      <c r="Y1044"/>
      <c r="Z1044"/>
      <c r="AB1044"/>
    </row>
    <row r="1045" spans="1:28" ht="14.4" hidden="1">
      <c r="A1045" t="s">
        <v>192</v>
      </c>
      <c r="B1045" s="1">
        <v>82</v>
      </c>
      <c r="C1045" s="258" t="s">
        <v>3142</v>
      </c>
      <c r="D1045" t="s">
        <v>1224</v>
      </c>
      <c r="E1045" t="s">
        <v>3139</v>
      </c>
      <c r="F1045"/>
      <c r="H1045" s="1">
        <v>-1728.1</v>
      </c>
      <c r="I1045"/>
      <c r="J1045" t="s">
        <v>3143</v>
      </c>
      <c r="K1045" s="170">
        <v>46081</v>
      </c>
      <c r="M1045" s="1">
        <v>46081</v>
      </c>
      <c r="Y1045"/>
      <c r="Z1045"/>
      <c r="AB1045"/>
    </row>
    <row r="1046" spans="1:28" ht="14.4" hidden="1">
      <c r="A1046" t="s">
        <v>192</v>
      </c>
      <c r="B1046" s="1">
        <v>83</v>
      </c>
      <c r="C1046" s="258" t="s">
        <v>3144</v>
      </c>
      <c r="D1046" t="s">
        <v>1224</v>
      </c>
      <c r="E1046" t="s">
        <v>3145</v>
      </c>
      <c r="F1046"/>
      <c r="H1046" s="1">
        <v>95783</v>
      </c>
      <c r="I1046" t="s">
        <v>3146</v>
      </c>
      <c r="J1046" t="s">
        <v>3147</v>
      </c>
      <c r="K1046" s="170">
        <v>45838</v>
      </c>
      <c r="M1046" s="1">
        <v>45869</v>
      </c>
      <c r="Y1046"/>
      <c r="Z1046"/>
      <c r="AB1046"/>
    </row>
    <row r="1047" spans="1:28" ht="14.4" hidden="1">
      <c r="A1047" t="s">
        <v>192</v>
      </c>
      <c r="B1047" s="1">
        <v>86</v>
      </c>
      <c r="C1047" s="258" t="s">
        <v>3148</v>
      </c>
      <c r="D1047" t="s">
        <v>1224</v>
      </c>
      <c r="E1047" t="s">
        <v>2811</v>
      </c>
      <c r="F1047"/>
      <c r="H1047" s="1">
        <v>16488</v>
      </c>
      <c r="I1047" t="s">
        <v>3149</v>
      </c>
      <c r="J1047" t="s">
        <v>3150</v>
      </c>
      <c r="K1047" s="170">
        <v>45991</v>
      </c>
      <c r="M1047" s="1">
        <v>46003</v>
      </c>
      <c r="Y1047"/>
      <c r="Z1047"/>
      <c r="AB1047"/>
    </row>
    <row r="1048" spans="1:28" ht="14.4" hidden="1">
      <c r="A1048" t="s">
        <v>192</v>
      </c>
      <c r="B1048" s="1">
        <v>88</v>
      </c>
      <c r="C1048" s="258" t="s">
        <v>3151</v>
      </c>
      <c r="D1048" t="s">
        <v>1224</v>
      </c>
      <c r="E1048" t="s">
        <v>3152</v>
      </c>
      <c r="F1048"/>
      <c r="H1048" s="1">
        <v>15620</v>
      </c>
      <c r="I1048" t="s">
        <v>3153</v>
      </c>
      <c r="J1048" t="s">
        <v>3154</v>
      </c>
      <c r="K1048" s="170">
        <v>45961</v>
      </c>
      <c r="M1048" s="1">
        <v>45954</v>
      </c>
      <c r="Y1048"/>
      <c r="Z1048"/>
      <c r="AB1048"/>
    </row>
    <row r="1049" spans="1:28" ht="14.4" hidden="1">
      <c r="A1049" t="s">
        <v>192</v>
      </c>
      <c r="B1049" s="1">
        <v>89</v>
      </c>
      <c r="C1049" s="258" t="s">
        <v>3155</v>
      </c>
      <c r="D1049" t="s">
        <v>1224</v>
      </c>
      <c r="E1049" t="s">
        <v>3156</v>
      </c>
      <c r="F1049"/>
      <c r="H1049" s="1">
        <v>85867</v>
      </c>
      <c r="I1049" t="s">
        <v>3157</v>
      </c>
      <c r="J1049" t="s">
        <v>3158</v>
      </c>
      <c r="K1049" s="170">
        <v>46053</v>
      </c>
      <c r="M1049" s="1">
        <v>46081</v>
      </c>
      <c r="Y1049"/>
      <c r="Z1049"/>
      <c r="AB1049"/>
    </row>
    <row r="1050" spans="1:28" ht="14.4" hidden="1">
      <c r="A1050" t="s">
        <v>192</v>
      </c>
      <c r="B1050" s="1">
        <v>92</v>
      </c>
      <c r="C1050" s="258" t="s">
        <v>3159</v>
      </c>
      <c r="D1050" t="s">
        <v>1246</v>
      </c>
      <c r="E1050" t="s">
        <v>1169</v>
      </c>
      <c r="F1050">
        <v>954000</v>
      </c>
      <c r="G1050">
        <v>0.1</v>
      </c>
      <c r="H1050" s="1">
        <v>95400</v>
      </c>
      <c r="I1050" t="s">
        <v>3098</v>
      </c>
      <c r="J1050" t="s">
        <v>3099</v>
      </c>
      <c r="K1050" s="170">
        <v>45808</v>
      </c>
      <c r="L1050" s="1">
        <v>90814.705882352937</v>
      </c>
      <c r="M1050" s="1">
        <v>45792</v>
      </c>
      <c r="Y1050"/>
      <c r="Z1050"/>
      <c r="AB1050"/>
    </row>
    <row r="1051" spans="1:28" ht="14.4" hidden="1">
      <c r="A1051" t="s">
        <v>192</v>
      </c>
      <c r="B1051" s="1">
        <v>93</v>
      </c>
      <c r="C1051" s="258" t="s">
        <v>3160</v>
      </c>
      <c r="D1051" t="s">
        <v>1246</v>
      </c>
      <c r="E1051" t="s">
        <v>558</v>
      </c>
      <c r="F1051"/>
      <c r="G1051">
        <v>0.15</v>
      </c>
      <c r="H1051" s="1">
        <v>143100</v>
      </c>
      <c r="I1051"/>
      <c r="J1051" t="s">
        <v>3101</v>
      </c>
      <c r="K1051" s="170">
        <v>45838</v>
      </c>
      <c r="L1051" s="1">
        <v>136222.0588235294</v>
      </c>
      <c r="M1051" s="1">
        <v>45834</v>
      </c>
      <c r="Y1051"/>
      <c r="Z1051"/>
      <c r="AB1051"/>
    </row>
    <row r="1052" spans="1:28" ht="14.4" hidden="1">
      <c r="A1052" t="s">
        <v>192</v>
      </c>
      <c r="B1052" s="1">
        <v>94</v>
      </c>
      <c r="C1052" s="258" t="s">
        <v>3161</v>
      </c>
      <c r="D1052" t="s">
        <v>1246</v>
      </c>
      <c r="E1052" t="s">
        <v>1175</v>
      </c>
      <c r="F1052"/>
      <c r="G1052">
        <v>0.2</v>
      </c>
      <c r="H1052" s="1">
        <v>190800</v>
      </c>
      <c r="I1052"/>
      <c r="J1052" t="s">
        <v>3103</v>
      </c>
      <c r="K1052" s="170">
        <v>45900</v>
      </c>
      <c r="L1052" s="1">
        <v>181629.4117647059</v>
      </c>
      <c r="M1052" s="1">
        <v>45954</v>
      </c>
      <c r="Y1052"/>
      <c r="Z1052"/>
      <c r="AB1052"/>
    </row>
    <row r="1053" spans="1:28" ht="14.4" hidden="1">
      <c r="A1053" t="s">
        <v>192</v>
      </c>
      <c r="B1053" s="1">
        <v>95</v>
      </c>
      <c r="C1053" s="258" t="s">
        <v>3162</v>
      </c>
      <c r="D1053" t="s">
        <v>1246</v>
      </c>
      <c r="E1053" t="s">
        <v>1178</v>
      </c>
      <c r="F1053"/>
      <c r="G1053">
        <v>0.25</v>
      </c>
      <c r="H1053" s="1">
        <v>238500</v>
      </c>
      <c r="I1053"/>
      <c r="J1053" t="s">
        <v>3163</v>
      </c>
      <c r="K1053" s="170">
        <v>45991</v>
      </c>
      <c r="L1053" s="1">
        <v>227036.76470588235</v>
      </c>
      <c r="M1053" s="1">
        <v>46009</v>
      </c>
      <c r="Y1053"/>
      <c r="Z1053"/>
      <c r="AB1053"/>
    </row>
    <row r="1054" spans="1:28" ht="14.4" hidden="1">
      <c r="A1054" t="s">
        <v>192</v>
      </c>
      <c r="B1054" s="1">
        <v>96</v>
      </c>
      <c r="C1054" s="258" t="s">
        <v>3164</v>
      </c>
      <c r="D1054" t="s">
        <v>1246</v>
      </c>
      <c r="E1054" t="s">
        <v>1181</v>
      </c>
      <c r="F1054"/>
      <c r="G1054">
        <v>0.1</v>
      </c>
      <c r="H1054" s="1">
        <v>95400</v>
      </c>
      <c r="I1054"/>
      <c r="J1054" t="s">
        <v>3165</v>
      </c>
      <c r="K1054" s="170">
        <v>45991</v>
      </c>
      <c r="L1054" s="1">
        <v>90814.705882352937</v>
      </c>
      <c r="M1054" s="1">
        <v>46051</v>
      </c>
      <c r="Y1054"/>
      <c r="Z1054"/>
      <c r="AB1054"/>
    </row>
    <row r="1055" spans="1:28" ht="14.4" hidden="1">
      <c r="A1055" t="s">
        <v>192</v>
      </c>
      <c r="B1055" s="1">
        <v>97</v>
      </c>
      <c r="C1055" s="258" t="s">
        <v>3166</v>
      </c>
      <c r="D1055" t="s">
        <v>1246</v>
      </c>
      <c r="E1055" t="s">
        <v>1184</v>
      </c>
      <c r="F1055"/>
      <c r="G1055">
        <v>0.1</v>
      </c>
      <c r="H1055" s="1">
        <v>95400</v>
      </c>
      <c r="I1055"/>
      <c r="J1055" t="s">
        <v>3167</v>
      </c>
      <c r="K1055" s="170">
        <v>45991</v>
      </c>
      <c r="L1055" s="1">
        <v>90814.705882352937</v>
      </c>
      <c r="M1055" s="1">
        <v>46058</v>
      </c>
      <c r="Y1055"/>
      <c r="Z1055"/>
      <c r="AB1055"/>
    </row>
    <row r="1056" spans="1:28" ht="14.4" hidden="1">
      <c r="A1056" t="s">
        <v>192</v>
      </c>
      <c r="B1056" s="1">
        <v>98</v>
      </c>
      <c r="C1056" s="258" t="s">
        <v>3168</v>
      </c>
      <c r="D1056" t="s">
        <v>1246</v>
      </c>
      <c r="E1056" t="s">
        <v>1187</v>
      </c>
      <c r="F1056"/>
      <c r="G1056">
        <v>0.05</v>
      </c>
      <c r="H1056" s="1">
        <v>47700</v>
      </c>
      <c r="I1056"/>
      <c r="J1056" t="s">
        <v>3169</v>
      </c>
      <c r="K1056" s="170">
        <v>46022</v>
      </c>
      <c r="L1056" s="1">
        <v>45407.352941176483</v>
      </c>
      <c r="M1056" s="1">
        <v>46065</v>
      </c>
      <c r="Y1056"/>
      <c r="Z1056"/>
      <c r="AB1056"/>
    </row>
    <row r="1057" spans="1:28" ht="14.4" hidden="1">
      <c r="A1057" t="s">
        <v>192</v>
      </c>
      <c r="B1057" s="1">
        <v>99</v>
      </c>
      <c r="C1057" s="258" t="s">
        <v>3170</v>
      </c>
      <c r="D1057" t="s">
        <v>1246</v>
      </c>
      <c r="E1057" t="s">
        <v>1190</v>
      </c>
      <c r="F1057"/>
      <c r="G1057">
        <v>0.05</v>
      </c>
      <c r="H1057" s="1">
        <v>47700</v>
      </c>
      <c r="I1057"/>
      <c r="J1057" t="s">
        <v>3171</v>
      </c>
      <c r="K1057" s="170">
        <v>46022</v>
      </c>
      <c r="L1057" s="1">
        <v>45407.352941176483</v>
      </c>
      <c r="M1057" s="1">
        <v>46095</v>
      </c>
      <c r="Y1057"/>
      <c r="Z1057"/>
      <c r="AB1057"/>
    </row>
    <row r="1058" spans="1:28" ht="14.4" hidden="1">
      <c r="A1058" t="s">
        <v>192</v>
      </c>
      <c r="B1058" s="1">
        <v>106</v>
      </c>
      <c r="C1058" s="258" t="s">
        <v>3172</v>
      </c>
      <c r="D1058" t="s">
        <v>1255</v>
      </c>
      <c r="E1058" t="s">
        <v>3018</v>
      </c>
      <c r="F1058"/>
      <c r="H1058" s="1">
        <v>68600</v>
      </c>
      <c r="I1058" t="s">
        <v>3173</v>
      </c>
      <c r="J1058" t="s">
        <v>3174</v>
      </c>
      <c r="K1058" s="170">
        <v>45869</v>
      </c>
      <c r="L1058" s="1">
        <v>72467.863152348014</v>
      </c>
      <c r="M1058" s="1">
        <v>45901</v>
      </c>
      <c r="Y1058"/>
      <c r="Z1058"/>
      <c r="AB1058"/>
    </row>
    <row r="1059" spans="1:28" ht="14.4" hidden="1">
      <c r="A1059" t="s">
        <v>192</v>
      </c>
      <c r="B1059" s="1">
        <v>107</v>
      </c>
      <c r="C1059" s="258" t="s">
        <v>3175</v>
      </c>
      <c r="D1059" t="s">
        <v>1255</v>
      </c>
      <c r="E1059" t="s">
        <v>3021</v>
      </c>
      <c r="F1059"/>
      <c r="H1059" s="1">
        <v>59780</v>
      </c>
      <c r="I1059"/>
      <c r="J1059" t="s">
        <v>3176</v>
      </c>
      <c r="K1059" s="170">
        <v>45930</v>
      </c>
      <c r="L1059" s="1">
        <v>41618.083115730158</v>
      </c>
      <c r="M1059" s="1">
        <v>45961</v>
      </c>
      <c r="Y1059"/>
      <c r="Z1059"/>
      <c r="AB1059"/>
    </row>
    <row r="1060" spans="1:28" ht="14.4" hidden="1">
      <c r="A1060" t="s">
        <v>192</v>
      </c>
      <c r="B1060" s="1">
        <v>108</v>
      </c>
      <c r="C1060" s="258" t="s">
        <v>3177</v>
      </c>
      <c r="D1060" t="s">
        <v>1255</v>
      </c>
      <c r="E1060" t="s">
        <v>3024</v>
      </c>
      <c r="F1060"/>
      <c r="H1060" s="1">
        <v>59780</v>
      </c>
      <c r="I1060"/>
      <c r="J1060" t="s">
        <v>3178</v>
      </c>
      <c r="K1060" s="170">
        <v>45930</v>
      </c>
      <c r="L1060" s="1">
        <v>42250.303115730159</v>
      </c>
      <c r="M1060" s="1">
        <v>45939</v>
      </c>
      <c r="Y1060"/>
      <c r="Z1060"/>
      <c r="AB1060"/>
    </row>
    <row r="1061" spans="1:28" ht="14.4" hidden="1">
      <c r="A1061" t="s">
        <v>192</v>
      </c>
      <c r="B1061" s="1">
        <v>109</v>
      </c>
      <c r="C1061" s="258" t="s">
        <v>3179</v>
      </c>
      <c r="D1061" t="s">
        <v>1255</v>
      </c>
      <c r="E1061" t="s">
        <v>3027</v>
      </c>
      <c r="F1061"/>
      <c r="H1061" s="1">
        <v>60760</v>
      </c>
      <c r="I1061"/>
      <c r="J1061" t="s">
        <v>3180</v>
      </c>
      <c r="K1061" s="170">
        <v>45961</v>
      </c>
      <c r="L1061" s="1">
        <v>4428.63</v>
      </c>
      <c r="M1061" s="1">
        <v>45974</v>
      </c>
      <c r="Y1061"/>
      <c r="Z1061"/>
      <c r="AB1061"/>
    </row>
    <row r="1062" spans="1:28" ht="14.4" hidden="1">
      <c r="A1062" t="s">
        <v>192</v>
      </c>
      <c r="B1062" s="1">
        <v>110</v>
      </c>
      <c r="C1062" s="258" t="s">
        <v>3181</v>
      </c>
      <c r="D1062" t="s">
        <v>1255</v>
      </c>
      <c r="E1062" t="s">
        <v>3030</v>
      </c>
      <c r="F1062"/>
      <c r="H1062" s="1">
        <v>10780</v>
      </c>
      <c r="I1062"/>
      <c r="J1062" t="s">
        <v>3182</v>
      </c>
      <c r="K1062" s="170">
        <v>46022</v>
      </c>
      <c r="L1062" s="1">
        <v>4323.91</v>
      </c>
      <c r="M1062" s="1">
        <v>46037</v>
      </c>
      <c r="Y1062"/>
      <c r="Z1062"/>
      <c r="AB1062"/>
    </row>
    <row r="1063" spans="1:28" ht="14.4" hidden="1">
      <c r="A1063" t="s">
        <v>192</v>
      </c>
      <c r="B1063" s="1">
        <v>111</v>
      </c>
      <c r="C1063" s="258" t="s">
        <v>3183</v>
      </c>
      <c r="D1063" t="s">
        <v>1255</v>
      </c>
      <c r="E1063" t="s">
        <v>3184</v>
      </c>
      <c r="F1063"/>
      <c r="H1063" s="1">
        <v>35280</v>
      </c>
      <c r="I1063"/>
      <c r="J1063" t="s">
        <v>3185</v>
      </c>
      <c r="K1063" s="170">
        <v>46053</v>
      </c>
      <c r="L1063" s="1">
        <v>0</v>
      </c>
      <c r="M1063" s="1">
        <v>46058</v>
      </c>
      <c r="Y1063"/>
      <c r="Z1063"/>
      <c r="AB1063"/>
    </row>
    <row r="1064" spans="1:28" ht="14.4" hidden="1">
      <c r="A1064" t="s">
        <v>192</v>
      </c>
      <c r="B1064" s="1">
        <v>113</v>
      </c>
      <c r="C1064" s="258" t="s">
        <v>3186</v>
      </c>
      <c r="D1064" t="s">
        <v>1255</v>
      </c>
      <c r="E1064" t="s">
        <v>1169</v>
      </c>
      <c r="F1064">
        <v>69455</v>
      </c>
      <c r="G1064">
        <v>0.1</v>
      </c>
      <c r="H1064" s="1">
        <v>6945.5</v>
      </c>
      <c r="I1064" t="s">
        <v>3098</v>
      </c>
      <c r="J1064" t="s">
        <v>3099</v>
      </c>
      <c r="K1064" s="170">
        <v>45808</v>
      </c>
      <c r="L1064" s="1">
        <v>8551.1514315900513</v>
      </c>
      <c r="M1064" s="1">
        <v>45792</v>
      </c>
      <c r="Y1064"/>
      <c r="Z1064"/>
      <c r="AB1064"/>
    </row>
    <row r="1065" spans="1:28" ht="14.4" hidden="1">
      <c r="A1065" t="s">
        <v>192</v>
      </c>
      <c r="B1065" s="1">
        <v>114</v>
      </c>
      <c r="C1065" s="258" t="s">
        <v>3187</v>
      </c>
      <c r="D1065" t="s">
        <v>1255</v>
      </c>
      <c r="E1065" t="s">
        <v>558</v>
      </c>
      <c r="F1065"/>
      <c r="G1065">
        <v>0.15</v>
      </c>
      <c r="H1065" s="1">
        <v>10418.25</v>
      </c>
      <c r="I1065"/>
      <c r="J1065" t="s">
        <v>3101</v>
      </c>
      <c r="K1065" s="170">
        <v>45838</v>
      </c>
      <c r="L1065" s="1">
        <v>12303.803485541621</v>
      </c>
      <c r="M1065" s="1">
        <v>45834</v>
      </c>
      <c r="Y1065"/>
      <c r="Z1065"/>
      <c r="AB1065"/>
    </row>
    <row r="1066" spans="1:28" ht="14.4" hidden="1">
      <c r="A1066" t="s">
        <v>192</v>
      </c>
      <c r="B1066" s="1">
        <v>115</v>
      </c>
      <c r="C1066" s="258" t="s">
        <v>3188</v>
      </c>
      <c r="D1066" t="s">
        <v>1255</v>
      </c>
      <c r="E1066" t="s">
        <v>1175</v>
      </c>
      <c r="F1066"/>
      <c r="G1066">
        <v>0.2</v>
      </c>
      <c r="H1066" s="1">
        <v>13891</v>
      </c>
      <c r="I1066"/>
      <c r="J1066" t="s">
        <v>3103</v>
      </c>
      <c r="K1066" s="170">
        <v>45900</v>
      </c>
      <c r="L1066" s="1">
        <v>15182.323059034166</v>
      </c>
      <c r="M1066" s="1">
        <v>45954</v>
      </c>
      <c r="Y1066"/>
      <c r="Z1066"/>
      <c r="AB1066"/>
    </row>
    <row r="1067" spans="1:28" ht="14.4" hidden="1">
      <c r="A1067" t="s">
        <v>192</v>
      </c>
      <c r="B1067" s="1">
        <v>116</v>
      </c>
      <c r="C1067" s="258" t="s">
        <v>3189</v>
      </c>
      <c r="D1067" t="s">
        <v>1255</v>
      </c>
      <c r="E1067" t="s">
        <v>1178</v>
      </c>
      <c r="F1067"/>
      <c r="G1067">
        <v>0.25</v>
      </c>
      <c r="H1067" s="1">
        <v>17363.75</v>
      </c>
      <c r="I1067"/>
      <c r="J1067" t="s">
        <v>3163</v>
      </c>
      <c r="K1067" s="170">
        <v>45991</v>
      </c>
      <c r="L1067" s="1">
        <v>11245.369140817716</v>
      </c>
      <c r="M1067" s="1">
        <v>46009</v>
      </c>
      <c r="Y1067"/>
      <c r="Z1067"/>
      <c r="AB1067"/>
    </row>
    <row r="1068" spans="1:28" ht="14.4" hidden="1">
      <c r="A1068" t="s">
        <v>192</v>
      </c>
      <c r="B1068" s="1">
        <v>117</v>
      </c>
      <c r="C1068" s="258" t="s">
        <v>3190</v>
      </c>
      <c r="D1068" t="s">
        <v>1255</v>
      </c>
      <c r="E1068" t="s">
        <v>1181</v>
      </c>
      <c r="F1068"/>
      <c r="G1068">
        <v>0.1</v>
      </c>
      <c r="H1068" s="1">
        <v>6945.5</v>
      </c>
      <c r="I1068"/>
      <c r="J1068" t="s">
        <v>3165</v>
      </c>
      <c r="K1068" s="170">
        <v>45991</v>
      </c>
      <c r="L1068" s="1">
        <v>4498.1476563270862</v>
      </c>
      <c r="M1068" s="1">
        <v>46051</v>
      </c>
      <c r="Y1068"/>
      <c r="Z1068"/>
      <c r="AB1068"/>
    </row>
    <row r="1069" spans="1:28" ht="14.4" hidden="1">
      <c r="A1069" t="s">
        <v>192</v>
      </c>
      <c r="B1069" s="1">
        <v>118</v>
      </c>
      <c r="C1069" s="258" t="s">
        <v>3191</v>
      </c>
      <c r="D1069" t="s">
        <v>1255</v>
      </c>
      <c r="E1069" t="s">
        <v>1184</v>
      </c>
      <c r="F1069"/>
      <c r="G1069">
        <v>0.1</v>
      </c>
      <c r="H1069" s="1">
        <v>6945.5</v>
      </c>
      <c r="I1069"/>
      <c r="J1069" t="s">
        <v>3167</v>
      </c>
      <c r="K1069" s="170">
        <v>45991</v>
      </c>
      <c r="L1069" s="1">
        <v>4498.1476563270862</v>
      </c>
      <c r="M1069" s="1">
        <v>46058</v>
      </c>
      <c r="Y1069"/>
      <c r="Z1069"/>
      <c r="AB1069"/>
    </row>
    <row r="1070" spans="1:28" ht="14.4" hidden="1">
      <c r="A1070" t="s">
        <v>192</v>
      </c>
      <c r="B1070" s="1">
        <v>119</v>
      </c>
      <c r="C1070" s="258" t="s">
        <v>3192</v>
      </c>
      <c r="D1070" t="s">
        <v>1255</v>
      </c>
      <c r="E1070" t="s">
        <v>1187</v>
      </c>
      <c r="F1070"/>
      <c r="G1070">
        <v>0.05</v>
      </c>
      <c r="H1070" s="1">
        <v>3472.75</v>
      </c>
      <c r="I1070"/>
      <c r="J1070" t="s">
        <v>3169</v>
      </c>
      <c r="K1070" s="170">
        <v>46022</v>
      </c>
      <c r="L1070" s="1">
        <v>2249.0681101340601</v>
      </c>
      <c r="M1070" s="1">
        <v>46065</v>
      </c>
      <c r="Y1070"/>
      <c r="Z1070"/>
      <c r="AB1070"/>
    </row>
    <row r="1071" spans="1:28" ht="14.4" hidden="1">
      <c r="A1071" t="s">
        <v>192</v>
      </c>
      <c r="B1071" s="1">
        <v>120</v>
      </c>
      <c r="C1071" s="258" t="s">
        <v>3193</v>
      </c>
      <c r="D1071" t="s">
        <v>1255</v>
      </c>
      <c r="E1071" t="s">
        <v>1190</v>
      </c>
      <c r="F1071"/>
      <c r="G1071">
        <v>0.05</v>
      </c>
      <c r="H1071" s="1">
        <v>3472.75</v>
      </c>
      <c r="I1071"/>
      <c r="J1071" t="s">
        <v>3171</v>
      </c>
      <c r="K1071" s="170">
        <v>46022</v>
      </c>
      <c r="L1071" s="1">
        <v>2249.0781101340599</v>
      </c>
      <c r="M1071" s="1">
        <v>46095</v>
      </c>
      <c r="Y1071"/>
      <c r="Z1071"/>
      <c r="AB1071"/>
    </row>
    <row r="1072" spans="1:28" ht="14.4" hidden="1">
      <c r="A1072" t="s">
        <v>192</v>
      </c>
      <c r="B1072" s="1">
        <v>125</v>
      </c>
      <c r="C1072" s="258" t="s">
        <v>3194</v>
      </c>
      <c r="D1072" t="s">
        <v>1264</v>
      </c>
      <c r="E1072" t="s">
        <v>1265</v>
      </c>
      <c r="F1072"/>
      <c r="H1072" s="1">
        <v>26198.38</v>
      </c>
      <c r="I1072"/>
      <c r="J1072" t="s">
        <v>3043</v>
      </c>
      <c r="K1072" s="170">
        <v>45869</v>
      </c>
      <c r="L1072" s="1">
        <v>38186.091434939968</v>
      </c>
      <c r="M1072" s="1">
        <v>46051</v>
      </c>
      <c r="N1072" s="1">
        <v>126810.13</v>
      </c>
      <c r="Y1072"/>
      <c r="Z1072"/>
      <c r="AB1072"/>
    </row>
    <row r="1073" spans="1:28" ht="14.4" hidden="1">
      <c r="A1073" t="s">
        <v>192</v>
      </c>
      <c r="B1073" s="1">
        <v>126</v>
      </c>
      <c r="C1073" s="258" t="s">
        <v>3195</v>
      </c>
      <c r="D1073" t="s">
        <v>1264</v>
      </c>
      <c r="E1073" t="s">
        <v>3196</v>
      </c>
      <c r="F1073"/>
      <c r="H1073" s="1">
        <v>7811.75</v>
      </c>
      <c r="I1073" t="s">
        <v>2845</v>
      </c>
      <c r="J1073" t="s">
        <v>3197</v>
      </c>
      <c r="K1073" s="170">
        <v>45777</v>
      </c>
      <c r="L1073" s="1">
        <v>32551.761582160296</v>
      </c>
      <c r="M1073" s="1">
        <v>45757</v>
      </c>
      <c r="Y1073"/>
      <c r="Z1073"/>
      <c r="AB1073"/>
    </row>
    <row r="1074" spans="1:28" ht="14.4" hidden="1">
      <c r="A1074" t="s">
        <v>192</v>
      </c>
      <c r="B1074" s="1">
        <v>127</v>
      </c>
      <c r="C1074" s="258" t="s">
        <v>3198</v>
      </c>
      <c r="D1074" t="s">
        <v>1264</v>
      </c>
      <c r="E1074" t="s">
        <v>1271</v>
      </c>
      <c r="F1074"/>
      <c r="H1074" s="1">
        <v>79700</v>
      </c>
      <c r="I1074" t="s">
        <v>3199</v>
      </c>
      <c r="J1074" t="s">
        <v>3200</v>
      </c>
      <c r="K1074" s="170">
        <v>45869</v>
      </c>
      <c r="L1074" s="1">
        <v>82803.663273176266</v>
      </c>
      <c r="M1074" s="1">
        <v>46112</v>
      </c>
      <c r="Y1074"/>
      <c r="Z1074"/>
      <c r="AB1074"/>
    </row>
    <row r="1075" spans="1:28" ht="14.4" hidden="1">
      <c r="A1075" t="s">
        <v>192</v>
      </c>
      <c r="B1075" s="1">
        <v>128</v>
      </c>
      <c r="C1075" s="258" t="s">
        <v>3201</v>
      </c>
      <c r="D1075" t="s">
        <v>1264</v>
      </c>
      <c r="E1075" t="s">
        <v>2094</v>
      </c>
      <c r="F1075"/>
      <c r="H1075" s="1">
        <v>5100</v>
      </c>
      <c r="I1075" t="s">
        <v>3049</v>
      </c>
      <c r="J1075" t="s">
        <v>3050</v>
      </c>
      <c r="K1075" s="170">
        <v>45777</v>
      </c>
      <c r="L1075" s="1">
        <v>21251.830136527347</v>
      </c>
      <c r="M1075" s="1">
        <v>45834</v>
      </c>
      <c r="Y1075"/>
      <c r="Z1075"/>
      <c r="AB1075"/>
    </row>
    <row r="1076" spans="1:28" ht="14.4" hidden="1">
      <c r="A1076" t="s">
        <v>192</v>
      </c>
      <c r="B1076" s="1">
        <v>129</v>
      </c>
      <c r="C1076" s="258" t="s">
        <v>3202</v>
      </c>
      <c r="D1076" t="s">
        <v>1264</v>
      </c>
      <c r="E1076" t="s">
        <v>808</v>
      </c>
      <c r="F1076"/>
      <c r="H1076" s="1">
        <v>8000</v>
      </c>
      <c r="I1076"/>
      <c r="J1076"/>
      <c r="K1076" s="170">
        <v>46081</v>
      </c>
      <c r="L1076" s="1">
        <v>11769.592298436764</v>
      </c>
      <c r="M1076" s="1">
        <v>46112</v>
      </c>
      <c r="Y1076"/>
      <c r="Z1076"/>
      <c r="AB1076"/>
    </row>
    <row r="1077" spans="1:28" ht="14.4" hidden="1">
      <c r="A1077" t="s">
        <v>192</v>
      </c>
      <c r="B1077" s="1">
        <v>134</v>
      </c>
      <c r="C1077" s="258" t="s">
        <v>3203</v>
      </c>
      <c r="D1077" t="s">
        <v>1277</v>
      </c>
      <c r="E1077" t="s">
        <v>1278</v>
      </c>
      <c r="F1077"/>
      <c r="H1077" s="1">
        <v>108660.607625</v>
      </c>
      <c r="I1077"/>
      <c r="J1077"/>
      <c r="K1077" s="170">
        <v>46081</v>
      </c>
      <c r="L1077" s="1">
        <v>325616.74545454548</v>
      </c>
      <c r="M1077" s="1">
        <v>46112</v>
      </c>
      <c r="N1077" s="1">
        <v>108660.607625</v>
      </c>
      <c r="Y1077"/>
      <c r="Z1077"/>
      <c r="AB1077"/>
    </row>
    <row r="1078" spans="1:28" ht="14.4" hidden="1">
      <c r="A1078" t="s">
        <v>192</v>
      </c>
      <c r="B1078" s="1">
        <v>135</v>
      </c>
      <c r="C1078" s="258" t="s">
        <v>3204</v>
      </c>
      <c r="D1078" t="s">
        <v>1277</v>
      </c>
      <c r="E1078" t="s">
        <v>1903</v>
      </c>
      <c r="F1078"/>
      <c r="H1078" s="1">
        <v>0</v>
      </c>
      <c r="I1078"/>
      <c r="J1078"/>
      <c r="K1078" s="170"/>
      <c r="L1078" s="1">
        <v>0</v>
      </c>
      <c r="Y1078"/>
      <c r="Z1078"/>
      <c r="AB1078"/>
    </row>
    <row r="1079" spans="1:28" ht="14.4" hidden="1">
      <c r="A1079" t="s">
        <v>192</v>
      </c>
      <c r="B1079" s="1">
        <v>136</v>
      </c>
      <c r="C1079" s="258" t="s">
        <v>3205</v>
      </c>
      <c r="D1079" t="s">
        <v>1277</v>
      </c>
      <c r="E1079" t="s">
        <v>1905</v>
      </c>
      <c r="F1079"/>
      <c r="H1079" s="1">
        <v>0</v>
      </c>
      <c r="I1079"/>
      <c r="J1079"/>
      <c r="K1079" s="170"/>
      <c r="L1079" s="1">
        <v>0</v>
      </c>
      <c r="Y1079"/>
      <c r="Z1079"/>
      <c r="AB1079"/>
    </row>
    <row r="1080" spans="1:28" ht="14.4" hidden="1">
      <c r="A1080" t="s">
        <v>192</v>
      </c>
      <c r="B1080" s="1">
        <v>137</v>
      </c>
      <c r="C1080" s="258" t="s">
        <v>3206</v>
      </c>
      <c r="D1080" t="s">
        <v>1277</v>
      </c>
      <c r="E1080" t="s">
        <v>1907</v>
      </c>
      <c r="F1080"/>
      <c r="H1080" s="1">
        <v>0</v>
      </c>
      <c r="I1080"/>
      <c r="J1080"/>
      <c r="K1080" s="170"/>
      <c r="L1080" s="1">
        <v>0</v>
      </c>
      <c r="Y1080"/>
      <c r="Z1080"/>
      <c r="AB1080"/>
    </row>
    <row r="1081" spans="1:28" ht="14.4" hidden="1">
      <c r="A1081" t="s">
        <v>192</v>
      </c>
      <c r="B1081" s="1">
        <v>138</v>
      </c>
      <c r="C1081" s="258" t="s">
        <v>3207</v>
      </c>
      <c r="D1081" t="s">
        <v>1277</v>
      </c>
      <c r="E1081" t="s">
        <v>1909</v>
      </c>
      <c r="F1081"/>
      <c r="H1081" s="1">
        <v>0</v>
      </c>
      <c r="I1081"/>
      <c r="J1081"/>
      <c r="K1081" s="170"/>
      <c r="L1081" s="1">
        <v>0</v>
      </c>
      <c r="Y1081"/>
      <c r="Z1081"/>
      <c r="AB1081"/>
    </row>
    <row r="1082" spans="1:28" ht="14.4" hidden="1">
      <c r="A1082" t="s">
        <v>192</v>
      </c>
      <c r="B1082" s="1">
        <v>141</v>
      </c>
      <c r="C1082" s="258" t="s">
        <v>3208</v>
      </c>
      <c r="D1082" t="s">
        <v>1280</v>
      </c>
      <c r="E1082" t="s">
        <v>1281</v>
      </c>
      <c r="F1082"/>
      <c r="H1082" s="1">
        <v>2022.74</v>
      </c>
      <c r="I1082"/>
      <c r="J1082" t="s">
        <v>2854</v>
      </c>
      <c r="K1082" s="170">
        <v>45777</v>
      </c>
      <c r="L1082" s="1">
        <v>2581.9412654578982</v>
      </c>
      <c r="M1082" s="1">
        <v>45785</v>
      </c>
      <c r="N1082" s="1">
        <v>14988.86</v>
      </c>
      <c r="Y1082"/>
      <c r="Z1082"/>
      <c r="AB1082"/>
    </row>
    <row r="1083" spans="1:28" ht="14.4" hidden="1">
      <c r="A1083" t="s">
        <v>192</v>
      </c>
      <c r="B1083" s="1">
        <v>142</v>
      </c>
      <c r="C1083" s="258" t="s">
        <v>3209</v>
      </c>
      <c r="D1083" t="s">
        <v>1280</v>
      </c>
      <c r="E1083" t="s">
        <v>1281</v>
      </c>
      <c r="F1083"/>
      <c r="H1083" s="1">
        <v>0</v>
      </c>
      <c r="I1083"/>
      <c r="J1083" t="s">
        <v>1604</v>
      </c>
      <c r="K1083" s="170">
        <v>45777</v>
      </c>
      <c r="L1083" s="1">
        <v>0</v>
      </c>
      <c r="M1083" s="1">
        <v>45777</v>
      </c>
      <c r="Y1083"/>
      <c r="Z1083"/>
      <c r="AB1083"/>
    </row>
    <row r="1084" spans="1:28" ht="14.4" hidden="1">
      <c r="A1084" t="s">
        <v>192</v>
      </c>
      <c r="B1084" s="1">
        <v>143</v>
      </c>
      <c r="C1084" s="258" t="s">
        <v>3210</v>
      </c>
      <c r="D1084" t="s">
        <v>1280</v>
      </c>
      <c r="E1084" t="s">
        <v>1281</v>
      </c>
      <c r="F1084"/>
      <c r="H1084" s="1">
        <v>1399.4599999999998</v>
      </c>
      <c r="I1084"/>
      <c r="J1084" t="s">
        <v>1604</v>
      </c>
      <c r="K1084" s="170">
        <v>45808</v>
      </c>
      <c r="L1084" s="1">
        <v>3254.7880633638042</v>
      </c>
      <c r="M1084" s="1">
        <v>45817</v>
      </c>
      <c r="Y1084"/>
      <c r="Z1084"/>
      <c r="AB1084"/>
    </row>
    <row r="1085" spans="1:28" ht="14.4" hidden="1">
      <c r="A1085" t="s">
        <v>192</v>
      </c>
      <c r="B1085" s="1">
        <v>144</v>
      </c>
      <c r="C1085" s="258" t="s">
        <v>3211</v>
      </c>
      <c r="D1085" t="s">
        <v>1280</v>
      </c>
      <c r="E1085" t="s">
        <v>1281</v>
      </c>
      <c r="F1085"/>
      <c r="H1085" s="1">
        <v>3154.74</v>
      </c>
      <c r="I1085"/>
      <c r="J1085" t="s">
        <v>1604</v>
      </c>
      <c r="K1085" s="170">
        <v>45838</v>
      </c>
      <c r="L1085" s="1">
        <v>5031.9454560193735</v>
      </c>
      <c r="M1085" s="1">
        <v>45842</v>
      </c>
      <c r="Y1085"/>
      <c r="Z1085"/>
      <c r="AB1085"/>
    </row>
    <row r="1086" spans="1:28" ht="14.4" hidden="1">
      <c r="A1086" t="s">
        <v>192</v>
      </c>
      <c r="B1086" s="1">
        <v>145</v>
      </c>
      <c r="C1086" s="258" t="s">
        <v>3212</v>
      </c>
      <c r="D1086" t="s">
        <v>1280</v>
      </c>
      <c r="E1086" t="s">
        <v>1281</v>
      </c>
      <c r="F1086"/>
      <c r="H1086" s="1">
        <v>0</v>
      </c>
      <c r="I1086"/>
      <c r="J1086" t="s">
        <v>1604</v>
      </c>
      <c r="K1086" s="170">
        <v>45869</v>
      </c>
      <c r="L1086" s="1">
        <v>0</v>
      </c>
      <c r="M1086" s="1">
        <v>45869</v>
      </c>
      <c r="Y1086"/>
      <c r="Z1086"/>
      <c r="AB1086"/>
    </row>
    <row r="1087" spans="1:28" ht="14.4" hidden="1">
      <c r="A1087" t="s">
        <v>192</v>
      </c>
      <c r="B1087" s="1">
        <v>146</v>
      </c>
      <c r="C1087" s="258" t="s">
        <v>3213</v>
      </c>
      <c r="D1087" t="s">
        <v>1280</v>
      </c>
      <c r="E1087" t="s">
        <v>1281</v>
      </c>
      <c r="F1087"/>
      <c r="H1087" s="1">
        <v>0</v>
      </c>
      <c r="I1087"/>
      <c r="J1087" t="s">
        <v>1604</v>
      </c>
      <c r="K1087" s="170">
        <v>45900</v>
      </c>
      <c r="L1087" s="1">
        <v>0</v>
      </c>
      <c r="M1087" s="1">
        <v>45900</v>
      </c>
      <c r="Y1087"/>
      <c r="Z1087"/>
      <c r="AB1087"/>
    </row>
    <row r="1088" spans="1:28" ht="14.4" hidden="1">
      <c r="A1088" t="s">
        <v>192</v>
      </c>
      <c r="B1088" s="1">
        <v>147</v>
      </c>
      <c r="C1088" s="258" t="s">
        <v>3214</v>
      </c>
      <c r="D1088" t="s">
        <v>1280</v>
      </c>
      <c r="E1088" t="s">
        <v>1281</v>
      </c>
      <c r="F1088"/>
      <c r="H1088" s="1">
        <v>980.56</v>
      </c>
      <c r="I1088"/>
      <c r="J1088" t="s">
        <v>1604</v>
      </c>
      <c r="K1088" s="170">
        <v>45930</v>
      </c>
      <c r="L1088" s="1">
        <v>2071.1253658536589</v>
      </c>
      <c r="M1088" s="1">
        <v>45940</v>
      </c>
      <c r="Y1088"/>
      <c r="Z1088"/>
      <c r="AB1088"/>
    </row>
    <row r="1089" spans="1:28" ht="14.4" hidden="1">
      <c r="A1089" t="s">
        <v>192</v>
      </c>
      <c r="B1089" s="1">
        <v>148</v>
      </c>
      <c r="C1089" s="258" t="s">
        <v>3215</v>
      </c>
      <c r="D1089" t="s">
        <v>1280</v>
      </c>
      <c r="E1089" t="s">
        <v>1281</v>
      </c>
      <c r="F1089"/>
      <c r="H1089" s="1">
        <v>3618.49</v>
      </c>
      <c r="I1089"/>
      <c r="J1089" t="s">
        <v>1604</v>
      </c>
      <c r="K1089" s="170">
        <v>45961</v>
      </c>
      <c r="L1089" s="1">
        <v>3650.1620056816359</v>
      </c>
      <c r="M1089" s="1">
        <v>45967</v>
      </c>
      <c r="Y1089"/>
      <c r="Z1089"/>
      <c r="AB1089"/>
    </row>
    <row r="1090" spans="1:28" ht="14.4" hidden="1">
      <c r="A1090" t="s">
        <v>192</v>
      </c>
      <c r="B1090" s="1">
        <v>149</v>
      </c>
      <c r="C1090" s="258" t="s">
        <v>3216</v>
      </c>
      <c r="D1090" t="s">
        <v>1280</v>
      </c>
      <c r="E1090" t="s">
        <v>1281</v>
      </c>
      <c r="F1090"/>
      <c r="H1090" s="1">
        <v>1827.75</v>
      </c>
      <c r="I1090"/>
      <c r="J1090" t="s">
        <v>1604</v>
      </c>
      <c r="K1090" s="170">
        <v>45991</v>
      </c>
      <c r="L1090" s="1">
        <v>1572.1723044759729</v>
      </c>
      <c r="M1090" s="1">
        <v>45996</v>
      </c>
      <c r="Y1090"/>
      <c r="Z1090"/>
      <c r="AB1090"/>
    </row>
    <row r="1091" spans="1:28" ht="14.4" hidden="1">
      <c r="A1091" t="s">
        <v>192</v>
      </c>
      <c r="B1091" s="1">
        <v>150</v>
      </c>
      <c r="C1091" s="258" t="s">
        <v>3217</v>
      </c>
      <c r="D1091" t="s">
        <v>1280</v>
      </c>
      <c r="E1091" t="s">
        <v>1281</v>
      </c>
      <c r="F1091"/>
      <c r="H1091" s="1">
        <v>495.04</v>
      </c>
      <c r="I1091"/>
      <c r="J1091" t="s">
        <v>1604</v>
      </c>
      <c r="K1091" s="170">
        <v>46022</v>
      </c>
      <c r="L1091" s="1">
        <v>698.10027325238354</v>
      </c>
      <c r="M1091" s="1">
        <v>46030</v>
      </c>
      <c r="Y1091"/>
      <c r="Z1091"/>
      <c r="AB1091"/>
    </row>
    <row r="1092" spans="1:28" ht="14.4" hidden="1">
      <c r="A1092" t="s">
        <v>192</v>
      </c>
      <c r="B1092" s="1">
        <v>151</v>
      </c>
      <c r="C1092" s="258" t="s">
        <v>3218</v>
      </c>
      <c r="D1092" t="s">
        <v>1280</v>
      </c>
      <c r="E1092" t="s">
        <v>1281</v>
      </c>
      <c r="F1092"/>
      <c r="H1092" s="1">
        <v>990.08</v>
      </c>
      <c r="I1092"/>
      <c r="J1092" t="s">
        <v>1604</v>
      </c>
      <c r="K1092" s="170">
        <v>46053</v>
      </c>
      <c r="L1092" s="1">
        <v>349.29500000000002</v>
      </c>
      <c r="M1092" s="1">
        <v>46058</v>
      </c>
      <c r="Y1092"/>
      <c r="Z1092"/>
      <c r="AB1092"/>
    </row>
    <row r="1093" spans="1:28" ht="14.4" hidden="1">
      <c r="A1093" t="s">
        <v>192</v>
      </c>
      <c r="B1093" s="1">
        <v>152</v>
      </c>
      <c r="C1093" s="258" t="s">
        <v>3219</v>
      </c>
      <c r="D1093" t="s">
        <v>1280</v>
      </c>
      <c r="E1093" t="s">
        <v>1281</v>
      </c>
      <c r="F1093"/>
      <c r="H1093" s="1">
        <v>500</v>
      </c>
      <c r="I1093"/>
      <c r="J1093"/>
      <c r="K1093" s="170">
        <v>46081</v>
      </c>
      <c r="L1093" s="1">
        <v>349.29500000000002</v>
      </c>
      <c r="M1093" s="1">
        <v>46086</v>
      </c>
      <c r="Y1093"/>
      <c r="Z1093"/>
      <c r="AB1093"/>
    </row>
    <row r="1094" spans="1:28" ht="14.4" hidden="1">
      <c r="A1094" t="s">
        <v>192</v>
      </c>
      <c r="B1094" s="1">
        <v>155</v>
      </c>
      <c r="C1094" s="258" t="s">
        <v>3220</v>
      </c>
      <c r="D1094" t="s">
        <v>1451</v>
      </c>
      <c r="E1094" t="s">
        <v>3221</v>
      </c>
      <c r="F1094"/>
      <c r="H1094" s="1">
        <v>752000</v>
      </c>
      <c r="I1094"/>
      <c r="J1094" t="s">
        <v>3222</v>
      </c>
      <c r="K1094" s="170">
        <v>45838</v>
      </c>
      <c r="L1094" s="1">
        <v>865473.14578005124</v>
      </c>
      <c r="M1094" s="1">
        <v>45849</v>
      </c>
      <c r="N1094" s="1">
        <v>1528350</v>
      </c>
      <c r="Y1094"/>
      <c r="Z1094"/>
      <c r="AB1094"/>
    </row>
    <row r="1095" spans="1:28" ht="14.4" hidden="1">
      <c r="A1095" t="s">
        <v>192</v>
      </c>
      <c r="B1095" s="1">
        <v>156</v>
      </c>
      <c r="C1095" s="258" t="s">
        <v>3223</v>
      </c>
      <c r="D1095" t="s">
        <v>1451</v>
      </c>
      <c r="E1095" t="s">
        <v>3224</v>
      </c>
      <c r="F1095"/>
      <c r="H1095" s="1">
        <v>752000</v>
      </c>
      <c r="I1095"/>
      <c r="J1095" t="s">
        <v>3222</v>
      </c>
      <c r="K1095" s="170">
        <v>45838</v>
      </c>
      <c r="L1095" s="1">
        <v>865473.14578005124</v>
      </c>
      <c r="M1095" s="1">
        <v>46037</v>
      </c>
      <c r="Y1095"/>
      <c r="Z1095"/>
      <c r="AB1095"/>
    </row>
    <row r="1096" spans="1:28" ht="14.4" hidden="1">
      <c r="A1096" t="s">
        <v>192</v>
      </c>
      <c r="B1096" s="1">
        <v>158</v>
      </c>
      <c r="C1096" s="258" t="s">
        <v>3225</v>
      </c>
      <c r="D1096" t="s">
        <v>1451</v>
      </c>
      <c r="E1096" t="s">
        <v>3226</v>
      </c>
      <c r="F1096"/>
      <c r="H1096" s="1">
        <v>0</v>
      </c>
      <c r="I1096"/>
      <c r="J1096"/>
      <c r="K1096" s="170">
        <v>45900</v>
      </c>
      <c r="L1096" s="1">
        <v>69053.709999999963</v>
      </c>
      <c r="M1096" s="1">
        <v>45900</v>
      </c>
      <c r="Y1096"/>
      <c r="Z1096"/>
      <c r="AB1096"/>
    </row>
    <row r="1097" spans="1:28" ht="14.4" hidden="1">
      <c r="A1097" t="s">
        <v>192</v>
      </c>
      <c r="B1097" s="1">
        <v>160</v>
      </c>
      <c r="C1097" s="258" t="s">
        <v>3227</v>
      </c>
      <c r="D1097" t="s">
        <v>1451</v>
      </c>
      <c r="E1097" t="s">
        <v>3228</v>
      </c>
      <c r="F1097"/>
      <c r="H1097" s="1">
        <v>19400</v>
      </c>
      <c r="I1097"/>
      <c r="J1097" t="s">
        <v>3229</v>
      </c>
      <c r="K1097" s="170">
        <v>45930</v>
      </c>
      <c r="L1097" s="1">
        <v>0</v>
      </c>
      <c r="M1097" s="1">
        <v>45954</v>
      </c>
      <c r="Y1097"/>
      <c r="Z1097"/>
      <c r="AB1097"/>
    </row>
    <row r="1098" spans="1:28" ht="14.4" hidden="1">
      <c r="A1098" t="s">
        <v>192</v>
      </c>
      <c r="B1098" s="1">
        <v>162</v>
      </c>
      <c r="C1098" s="258" t="s">
        <v>3230</v>
      </c>
      <c r="D1098" t="s">
        <v>1451</v>
      </c>
      <c r="E1098" t="s">
        <v>3231</v>
      </c>
      <c r="F1098"/>
      <c r="H1098" s="1">
        <v>4950</v>
      </c>
      <c r="I1098" t="s">
        <v>3232</v>
      </c>
      <c r="J1098" t="s">
        <v>3233</v>
      </c>
      <c r="K1098" s="170">
        <v>45991</v>
      </c>
      <c r="L1098" s="1">
        <v>0</v>
      </c>
      <c r="M1098" s="1">
        <v>45989</v>
      </c>
      <c r="Y1098"/>
      <c r="Z1098"/>
      <c r="AB1098"/>
    </row>
    <row r="1099" spans="1:28" ht="14.4" hidden="1">
      <c r="A1099" t="s">
        <v>197</v>
      </c>
      <c r="B1099" s="1">
        <v>6</v>
      </c>
      <c r="C1099" s="258" t="s">
        <v>3234</v>
      </c>
      <c r="D1099" t="s">
        <v>1146</v>
      </c>
      <c r="E1099" t="s">
        <v>3235</v>
      </c>
      <c r="F1099">
        <v>1724</v>
      </c>
      <c r="G1099">
        <v>1175.95</v>
      </c>
      <c r="H1099" s="1">
        <v>2027345.73</v>
      </c>
      <c r="I1099" t="s">
        <v>3236</v>
      </c>
      <c r="J1099" t="s">
        <v>3237</v>
      </c>
      <c r="K1099" s="170">
        <v>45808</v>
      </c>
      <c r="L1099" s="1">
        <v>2277667.0782100316</v>
      </c>
      <c r="M1099" s="1">
        <v>45867</v>
      </c>
      <c r="N1099" s="1">
        <v>2067265.53</v>
      </c>
      <c r="Y1099"/>
      <c r="Z1099"/>
      <c r="AB1099"/>
    </row>
    <row r="1100" spans="1:28" ht="14.4" hidden="1">
      <c r="A1100" t="s">
        <v>197</v>
      </c>
      <c r="B1100" s="1">
        <v>7</v>
      </c>
      <c r="C1100" s="258" t="s">
        <v>3238</v>
      </c>
      <c r="D1100" t="s">
        <v>1146</v>
      </c>
      <c r="E1100" t="s">
        <v>3239</v>
      </c>
      <c r="F1100"/>
      <c r="H1100" s="1">
        <v>34393.800000000003</v>
      </c>
      <c r="I1100"/>
      <c r="J1100" t="s">
        <v>3237</v>
      </c>
      <c r="K1100" s="170">
        <v>45808</v>
      </c>
      <c r="L1100" s="1">
        <v>38640.486817480407</v>
      </c>
      <c r="M1100" s="1">
        <v>45867</v>
      </c>
      <c r="Y1100"/>
      <c r="Z1100"/>
      <c r="AB1100"/>
    </row>
    <row r="1101" spans="1:28" ht="14.4" hidden="1">
      <c r="A1101" t="s">
        <v>197</v>
      </c>
      <c r="B1101" s="1">
        <v>8</v>
      </c>
      <c r="C1101" s="258" t="s">
        <v>3240</v>
      </c>
      <c r="D1101" t="s">
        <v>1146</v>
      </c>
      <c r="E1101" t="s">
        <v>3241</v>
      </c>
      <c r="F1101"/>
      <c r="H1101" s="1">
        <v>5526</v>
      </c>
      <c r="I1101"/>
      <c r="J1101" t="s">
        <v>3237</v>
      </c>
      <c r="K1101" s="170">
        <v>45808</v>
      </c>
      <c r="L1101" s="1">
        <v>6208.308769411834</v>
      </c>
      <c r="M1101" s="1">
        <v>45867</v>
      </c>
      <c r="Y1101"/>
      <c r="Z1101"/>
      <c r="AB1101"/>
    </row>
    <row r="1102" spans="1:28" ht="14.4" hidden="1">
      <c r="A1102" t="s">
        <v>197</v>
      </c>
      <c r="B1102" s="1">
        <v>13</v>
      </c>
      <c r="C1102" s="258" t="s">
        <v>3242</v>
      </c>
      <c r="D1102" t="s">
        <v>1157</v>
      </c>
      <c r="E1102" t="s">
        <v>1158</v>
      </c>
      <c r="F1102">
        <v>8</v>
      </c>
      <c r="G1102">
        <v>68870</v>
      </c>
      <c r="H1102" s="1">
        <v>550960</v>
      </c>
      <c r="I1102" t="s">
        <v>3236</v>
      </c>
      <c r="J1102" t="s">
        <v>3243</v>
      </c>
      <c r="K1102" s="170">
        <v>45808</v>
      </c>
      <c r="L1102" s="1">
        <v>614505.01752447942</v>
      </c>
      <c r="M1102" s="1">
        <v>45862</v>
      </c>
      <c r="N1102" s="1">
        <v>551748.64</v>
      </c>
      <c r="Y1102"/>
      <c r="Z1102"/>
      <c r="AB1102"/>
    </row>
    <row r="1103" spans="1:28" ht="14.4" hidden="1">
      <c r="A1103" t="s">
        <v>197</v>
      </c>
      <c r="B1103" s="1">
        <v>14</v>
      </c>
      <c r="C1103" s="258" t="s">
        <v>3244</v>
      </c>
      <c r="D1103" t="s">
        <v>1157</v>
      </c>
      <c r="E1103" t="s">
        <v>1150</v>
      </c>
      <c r="F1103"/>
      <c r="H1103" s="1">
        <v>788.64</v>
      </c>
      <c r="I1103"/>
      <c r="J1103" t="s">
        <v>3243</v>
      </c>
      <c r="K1103" s="170">
        <v>45808</v>
      </c>
      <c r="L1103" s="1">
        <v>879.59786013595442</v>
      </c>
      <c r="M1103" s="1">
        <v>45862</v>
      </c>
      <c r="Y1103"/>
      <c r="Z1103"/>
      <c r="AB1103"/>
    </row>
    <row r="1104" spans="1:28" ht="14.4" hidden="1">
      <c r="A1104" t="s">
        <v>197</v>
      </c>
      <c r="B1104" s="1">
        <v>21</v>
      </c>
      <c r="C1104" s="258" t="s">
        <v>3245</v>
      </c>
      <c r="D1104" t="s">
        <v>1160</v>
      </c>
      <c r="E1104" t="s">
        <v>1161</v>
      </c>
      <c r="F1104"/>
      <c r="G1104">
        <v>0.19018519230769232</v>
      </c>
      <c r="H1104" s="1">
        <v>197792.6</v>
      </c>
      <c r="I1104" t="s">
        <v>3246</v>
      </c>
      <c r="J1104" t="s">
        <v>3247</v>
      </c>
      <c r="K1104" s="170">
        <v>45808</v>
      </c>
      <c r="L1104" s="1">
        <v>775603.64934643509</v>
      </c>
      <c r="M1104" s="1">
        <v>45835</v>
      </c>
      <c r="N1104" s="1">
        <v>205256.6</v>
      </c>
      <c r="Y1104"/>
      <c r="Z1104"/>
      <c r="AB1104"/>
    </row>
    <row r="1105" spans="1:28" ht="14.4" hidden="1">
      <c r="A1105" t="s">
        <v>197</v>
      </c>
      <c r="B1105" s="1">
        <v>22</v>
      </c>
      <c r="C1105" s="258" t="s">
        <v>3248</v>
      </c>
      <c r="D1105" t="s">
        <v>1160</v>
      </c>
      <c r="E1105" t="s">
        <v>3249</v>
      </c>
      <c r="F1105">
        <v>300</v>
      </c>
      <c r="G1105">
        <v>24.88</v>
      </c>
      <c r="H1105" s="1">
        <v>7464</v>
      </c>
      <c r="I1105"/>
      <c r="J1105" t="s">
        <v>3250</v>
      </c>
      <c r="K1105" s="170">
        <v>45808</v>
      </c>
      <c r="L1105" s="1">
        <v>29268.565349369943</v>
      </c>
      <c r="M1105" s="1">
        <v>45808</v>
      </c>
      <c r="Y1105"/>
      <c r="Z1105"/>
      <c r="AB1105"/>
    </row>
    <row r="1106" spans="1:28" ht="14.4" hidden="1">
      <c r="A1106" t="s">
        <v>197</v>
      </c>
      <c r="B1106" s="1">
        <v>23</v>
      </c>
      <c r="C1106" s="258" t="s">
        <v>3251</v>
      </c>
      <c r="D1106" t="s">
        <v>1160</v>
      </c>
      <c r="E1106" t="s">
        <v>3252</v>
      </c>
      <c r="F1106"/>
      <c r="H1106" s="1">
        <v>0</v>
      </c>
      <c r="I1106"/>
      <c r="J1106"/>
      <c r="K1106" s="170">
        <v>45900</v>
      </c>
      <c r="L1106" s="1">
        <v>126450.55</v>
      </c>
      <c r="Y1106"/>
      <c r="Z1106"/>
      <c r="AB1106"/>
    </row>
    <row r="1107" spans="1:28" ht="14.4" hidden="1">
      <c r="A1107" t="s">
        <v>197</v>
      </c>
      <c r="B1107" s="1">
        <v>28</v>
      </c>
      <c r="C1107" s="258" t="s">
        <v>3253</v>
      </c>
      <c r="D1107" t="s">
        <v>1165</v>
      </c>
      <c r="E1107" t="s">
        <v>3254</v>
      </c>
      <c r="F1107">
        <v>28000</v>
      </c>
      <c r="G1107">
        <v>13.89</v>
      </c>
      <c r="H1107" s="1">
        <v>388920</v>
      </c>
      <c r="I1107" t="s">
        <v>3236</v>
      </c>
      <c r="J1107" t="s">
        <v>3255</v>
      </c>
      <c r="K1107" s="170">
        <v>45808</v>
      </c>
      <c r="L1107" s="1">
        <v>443450.47461226251</v>
      </c>
      <c r="M1107" s="1">
        <v>45855</v>
      </c>
      <c r="N1107" s="1">
        <v>1327973.5000000002</v>
      </c>
      <c r="Y1107"/>
      <c r="Z1107"/>
      <c r="AB1107"/>
    </row>
    <row r="1108" spans="1:28" ht="14.4" hidden="1">
      <c r="A1108" t="s">
        <v>197</v>
      </c>
      <c r="B1108" s="1">
        <v>29</v>
      </c>
      <c r="C1108" s="258" t="s">
        <v>3256</v>
      </c>
      <c r="D1108" t="s">
        <v>1165</v>
      </c>
      <c r="E1108" t="s">
        <v>3257</v>
      </c>
      <c r="F1108"/>
      <c r="H1108" s="1">
        <v>75000</v>
      </c>
      <c r="I1108"/>
      <c r="J1108" t="s">
        <v>3255</v>
      </c>
      <c r="K1108" s="170">
        <v>45808</v>
      </c>
      <c r="L1108" s="1">
        <v>85515.75027234311</v>
      </c>
      <c r="M1108" s="1">
        <v>45855</v>
      </c>
      <c r="Y1108"/>
      <c r="Z1108"/>
      <c r="AB1108"/>
    </row>
    <row r="1109" spans="1:28" ht="14.4" hidden="1">
      <c r="A1109" t="s">
        <v>197</v>
      </c>
      <c r="B1109" s="1">
        <v>30</v>
      </c>
      <c r="C1109" s="258" t="s">
        <v>3258</v>
      </c>
      <c r="D1109" t="s">
        <v>1165</v>
      </c>
      <c r="E1109" t="s">
        <v>3259</v>
      </c>
      <c r="F1109">
        <v>40000</v>
      </c>
      <c r="G1109">
        <v>13.8</v>
      </c>
      <c r="H1109" s="1">
        <v>552000</v>
      </c>
      <c r="I1109" t="s">
        <v>3260</v>
      </c>
      <c r="J1109" t="s">
        <v>3261</v>
      </c>
      <c r="K1109" s="170">
        <v>45838</v>
      </c>
      <c r="L1109" s="1">
        <v>110923.82417402638</v>
      </c>
      <c r="M1109" s="1">
        <v>45867</v>
      </c>
      <c r="Y1109"/>
      <c r="Z1109"/>
      <c r="AB1109"/>
    </row>
    <row r="1110" spans="1:28" ht="14.4" hidden="1">
      <c r="A1110" t="s">
        <v>197</v>
      </c>
      <c r="B1110" s="1">
        <v>32</v>
      </c>
      <c r="C1110" s="258" t="s">
        <v>3262</v>
      </c>
      <c r="D1110" t="s">
        <v>1165</v>
      </c>
      <c r="E1110" t="s">
        <v>1169</v>
      </c>
      <c r="F1110">
        <v>312053.5</v>
      </c>
      <c r="G1110">
        <v>0.1</v>
      </c>
      <c r="H1110" s="1">
        <v>31205.35</v>
      </c>
      <c r="I1110" t="s">
        <v>3263</v>
      </c>
      <c r="J1110" t="s">
        <v>3264</v>
      </c>
      <c r="K1110" s="170">
        <v>45808</v>
      </c>
      <c r="L1110" s="1">
        <v>35580.652236814167</v>
      </c>
      <c r="M1110" s="1">
        <v>45792</v>
      </c>
      <c r="Y1110"/>
      <c r="Z1110"/>
      <c r="AB1110"/>
    </row>
    <row r="1111" spans="1:28" ht="14.4" hidden="1">
      <c r="A1111" t="s">
        <v>197</v>
      </c>
      <c r="B1111" s="1">
        <v>33</v>
      </c>
      <c r="C1111" s="258" t="s">
        <v>3265</v>
      </c>
      <c r="D1111" t="s">
        <v>1165</v>
      </c>
      <c r="E1111" t="s">
        <v>558</v>
      </c>
      <c r="F1111"/>
      <c r="G1111">
        <v>0.15</v>
      </c>
      <c r="H1111" s="1">
        <v>46808.025000000001</v>
      </c>
      <c r="I1111"/>
      <c r="J1111" t="s">
        <v>3266</v>
      </c>
      <c r="K1111" s="170">
        <v>45808</v>
      </c>
      <c r="L1111" s="1">
        <v>53370.978355221247</v>
      </c>
      <c r="M1111" s="1">
        <v>45806</v>
      </c>
      <c r="Y1111"/>
      <c r="Z1111"/>
      <c r="AB1111"/>
    </row>
    <row r="1112" spans="1:28" ht="14.4" hidden="1">
      <c r="A1112" t="s">
        <v>197</v>
      </c>
      <c r="B1112" s="1">
        <v>34</v>
      </c>
      <c r="C1112" s="258" t="s">
        <v>3267</v>
      </c>
      <c r="D1112" t="s">
        <v>1165</v>
      </c>
      <c r="E1112" t="s">
        <v>1175</v>
      </c>
      <c r="F1112"/>
      <c r="G1112">
        <v>0.2</v>
      </c>
      <c r="H1112" s="1">
        <v>62410.7</v>
      </c>
      <c r="I1112"/>
      <c r="J1112" t="s">
        <v>3268</v>
      </c>
      <c r="K1112" s="170">
        <v>45838</v>
      </c>
      <c r="L1112" s="1">
        <v>41581.617778492589</v>
      </c>
      <c r="M1112" s="1">
        <v>45876</v>
      </c>
      <c r="Y1112"/>
      <c r="Z1112"/>
      <c r="AB1112"/>
    </row>
    <row r="1113" spans="1:28" ht="14.4" hidden="1">
      <c r="A1113" t="s">
        <v>197</v>
      </c>
      <c r="B1113" s="1">
        <v>35</v>
      </c>
      <c r="C1113" s="258" t="s">
        <v>3269</v>
      </c>
      <c r="D1113" t="s">
        <v>1165</v>
      </c>
      <c r="E1113" t="s">
        <v>1178</v>
      </c>
      <c r="F1113"/>
      <c r="G1113">
        <v>0.25</v>
      </c>
      <c r="H1113" s="1">
        <v>78013.375</v>
      </c>
      <c r="I1113"/>
      <c r="J1113" t="s">
        <v>3270</v>
      </c>
      <c r="K1113" s="170">
        <v>45838</v>
      </c>
      <c r="L1113" s="1">
        <v>51977.022223115731</v>
      </c>
      <c r="M1113" s="1">
        <v>45939</v>
      </c>
      <c r="Y1113"/>
      <c r="Z1113"/>
      <c r="AB1113"/>
    </row>
    <row r="1114" spans="1:28" ht="14.4" hidden="1">
      <c r="A1114" t="s">
        <v>197</v>
      </c>
      <c r="B1114" s="1">
        <v>36</v>
      </c>
      <c r="C1114" s="258" t="s">
        <v>3271</v>
      </c>
      <c r="D1114" t="s">
        <v>1165</v>
      </c>
      <c r="E1114" t="s">
        <v>1181</v>
      </c>
      <c r="F1114">
        <v>158696.95000000001</v>
      </c>
      <c r="G1114">
        <v>0.1</v>
      </c>
      <c r="H1114" s="1">
        <v>31205.35</v>
      </c>
      <c r="I1114"/>
      <c r="J1114" t="s">
        <v>3272</v>
      </c>
      <c r="K1114" s="170">
        <v>45900</v>
      </c>
      <c r="L1114" s="1">
        <v>20790.808889246295</v>
      </c>
      <c r="M1114" s="1">
        <v>45946</v>
      </c>
      <c r="Y1114"/>
      <c r="Z1114"/>
      <c r="AB1114"/>
    </row>
    <row r="1115" spans="1:28" ht="14.4" hidden="1">
      <c r="A1115" t="s">
        <v>197</v>
      </c>
      <c r="B1115" s="1">
        <v>37</v>
      </c>
      <c r="C1115" s="258" t="s">
        <v>3273</v>
      </c>
      <c r="D1115" t="s">
        <v>1165</v>
      </c>
      <c r="E1115" t="s">
        <v>1184</v>
      </c>
      <c r="F1115"/>
      <c r="G1115">
        <v>0.1</v>
      </c>
      <c r="H1115" s="1">
        <v>31205.35</v>
      </c>
      <c r="I1115"/>
      <c r="J1115" t="s">
        <v>3274</v>
      </c>
      <c r="K1115" s="170">
        <v>45900</v>
      </c>
      <c r="L1115" s="1">
        <v>20790.808889246295</v>
      </c>
      <c r="M1115" s="1">
        <v>45954</v>
      </c>
      <c r="Y1115"/>
      <c r="Z1115"/>
      <c r="AB1115"/>
    </row>
    <row r="1116" spans="1:28" ht="14.4" hidden="1">
      <c r="A1116" t="s">
        <v>197</v>
      </c>
      <c r="B1116" s="1">
        <v>38</v>
      </c>
      <c r="C1116" s="258" t="s">
        <v>3275</v>
      </c>
      <c r="D1116" t="s">
        <v>1165</v>
      </c>
      <c r="E1116" t="s">
        <v>1187</v>
      </c>
      <c r="F1116"/>
      <c r="G1116">
        <v>0.05</v>
      </c>
      <c r="H1116" s="1">
        <v>15602.674999999999</v>
      </c>
      <c r="I1116"/>
      <c r="J1116" t="s">
        <v>3276</v>
      </c>
      <c r="K1116" s="170">
        <v>45900</v>
      </c>
      <c r="L1116" s="1">
        <v>10395.404444623147</v>
      </c>
      <c r="M1116" s="1">
        <v>45954</v>
      </c>
      <c r="Y1116"/>
      <c r="Z1116"/>
      <c r="AB1116"/>
    </row>
    <row r="1117" spans="1:28" ht="14.4" hidden="1">
      <c r="A1117" t="s">
        <v>197</v>
      </c>
      <c r="B1117" s="1">
        <v>39</v>
      </c>
      <c r="C1117" s="258" t="s">
        <v>3277</v>
      </c>
      <c r="D1117" t="s">
        <v>1165</v>
      </c>
      <c r="E1117" t="s">
        <v>1190</v>
      </c>
      <c r="F1117"/>
      <c r="G1117">
        <v>0.05</v>
      </c>
      <c r="H1117" s="1">
        <v>15602.674999999999</v>
      </c>
      <c r="I1117"/>
      <c r="J1117" t="s">
        <v>3278</v>
      </c>
      <c r="K1117" s="170">
        <v>45900</v>
      </c>
      <c r="L1117" s="1">
        <v>10395.404444623147</v>
      </c>
      <c r="M1117" s="1">
        <v>46009</v>
      </c>
      <c r="Y1117"/>
      <c r="Z1117"/>
      <c r="AB1117"/>
    </row>
    <row r="1118" spans="1:28" ht="14.4" hidden="1">
      <c r="A1118" t="s">
        <v>197</v>
      </c>
      <c r="B1118" s="1">
        <v>44</v>
      </c>
      <c r="C1118" s="258" t="s">
        <v>3279</v>
      </c>
      <c r="D1118" t="s">
        <v>1193</v>
      </c>
      <c r="E1118" t="s">
        <v>3280</v>
      </c>
      <c r="F1118"/>
      <c r="H1118" s="1">
        <v>8333.33</v>
      </c>
      <c r="I1118" t="s">
        <v>3236</v>
      </c>
      <c r="J1118" t="s">
        <v>3243</v>
      </c>
      <c r="K1118" s="170">
        <v>45808</v>
      </c>
      <c r="L1118" s="1">
        <v>10483.100340471805</v>
      </c>
      <c r="M1118" s="1">
        <v>45862</v>
      </c>
      <c r="N1118" s="1">
        <v>98397.119999999995</v>
      </c>
      <c r="Y1118"/>
      <c r="Z1118"/>
      <c r="AB1118"/>
    </row>
    <row r="1119" spans="1:28" ht="14.4" hidden="1">
      <c r="A1119" t="s">
        <v>197</v>
      </c>
      <c r="B1119" s="1">
        <v>45</v>
      </c>
      <c r="C1119" s="258" t="s">
        <v>3281</v>
      </c>
      <c r="D1119" t="s">
        <v>1193</v>
      </c>
      <c r="E1119" t="s">
        <v>3282</v>
      </c>
      <c r="F1119"/>
      <c r="H1119" s="1">
        <v>28665</v>
      </c>
      <c r="I1119" t="s">
        <v>3283</v>
      </c>
      <c r="J1119" t="s">
        <v>3284</v>
      </c>
      <c r="K1119" s="170">
        <v>45777</v>
      </c>
      <c r="L1119" s="1">
        <v>10654.747523556414</v>
      </c>
      <c r="M1119" s="1">
        <v>45806</v>
      </c>
      <c r="Y1119"/>
      <c r="Z1119"/>
      <c r="AB1119"/>
    </row>
    <row r="1120" spans="1:28" ht="14.4" hidden="1">
      <c r="A1120" t="s">
        <v>197</v>
      </c>
      <c r="B1120" s="1">
        <v>46</v>
      </c>
      <c r="C1120" s="258" t="s">
        <v>3285</v>
      </c>
      <c r="D1120" t="s">
        <v>1193</v>
      </c>
      <c r="F1120"/>
      <c r="H1120" s="1">
        <v>214.29</v>
      </c>
      <c r="I1120"/>
      <c r="J1120" t="s">
        <v>3286</v>
      </c>
      <c r="K1120" s="170">
        <v>45838</v>
      </c>
      <c r="L1120" s="1">
        <v>164.14656540041324</v>
      </c>
      <c r="M1120" s="1">
        <v>45867</v>
      </c>
      <c r="Y1120"/>
      <c r="Z1120"/>
      <c r="AB1120"/>
    </row>
    <row r="1121" spans="1:28" ht="14.4" hidden="1">
      <c r="A1121" t="s">
        <v>197</v>
      </c>
      <c r="B1121" s="1">
        <v>47</v>
      </c>
      <c r="C1121" s="258" t="s">
        <v>3287</v>
      </c>
      <c r="D1121" t="s">
        <v>1193</v>
      </c>
      <c r="E1121" t="s">
        <v>1200</v>
      </c>
      <c r="F1121"/>
      <c r="H1121" s="1">
        <v>14934</v>
      </c>
      <c r="I1121"/>
      <c r="J1121" t="s">
        <v>2969</v>
      </c>
      <c r="K1121" s="170">
        <v>45838</v>
      </c>
      <c r="L1121" s="1">
        <v>8172.3780283250317</v>
      </c>
      <c r="M1121" s="1">
        <v>45838</v>
      </c>
      <c r="Y1121"/>
      <c r="Z1121"/>
      <c r="AB1121"/>
    </row>
    <row r="1122" spans="1:28" ht="14.4" hidden="1">
      <c r="A1122" t="s">
        <v>197</v>
      </c>
      <c r="B1122" s="1">
        <v>48</v>
      </c>
      <c r="C1122" s="258" t="s">
        <v>3288</v>
      </c>
      <c r="D1122" t="s">
        <v>1193</v>
      </c>
      <c r="E1122" t="s">
        <v>3289</v>
      </c>
      <c r="F1122"/>
      <c r="H1122" s="1">
        <v>4000</v>
      </c>
      <c r="I1122" t="s">
        <v>3290</v>
      </c>
      <c r="J1122" t="s">
        <v>3291</v>
      </c>
      <c r="K1122" s="170">
        <v>45838</v>
      </c>
      <c r="L1122" s="1">
        <v>2188.9321088322035</v>
      </c>
      <c r="M1122" s="1">
        <v>45867</v>
      </c>
      <c r="Y1122"/>
      <c r="Z1122"/>
      <c r="AB1122"/>
    </row>
    <row r="1123" spans="1:28" ht="14.4" hidden="1">
      <c r="A1123" t="s">
        <v>197</v>
      </c>
      <c r="B1123" s="1">
        <v>49</v>
      </c>
      <c r="C1123" s="258" t="s">
        <v>3292</v>
      </c>
      <c r="D1123" t="s">
        <v>1193</v>
      </c>
      <c r="E1123" t="s">
        <v>2768</v>
      </c>
      <c r="F1123"/>
      <c r="H1123" s="1">
        <v>2250.5</v>
      </c>
      <c r="I1123" t="s">
        <v>2971</v>
      </c>
      <c r="J1123" t="s">
        <v>2769</v>
      </c>
      <c r="K1123" s="170">
        <v>45808</v>
      </c>
      <c r="L1123" s="1">
        <v>1285.7535656492416</v>
      </c>
      <c r="M1123" s="1">
        <v>45799</v>
      </c>
      <c r="Y1123"/>
      <c r="Z1123"/>
      <c r="AB1123"/>
    </row>
    <row r="1124" spans="1:28" ht="14.4" hidden="1">
      <c r="A1124" t="s">
        <v>197</v>
      </c>
      <c r="B1124" s="1">
        <v>50</v>
      </c>
      <c r="C1124" s="258" t="s">
        <v>3293</v>
      </c>
      <c r="D1124" t="s">
        <v>1193</v>
      </c>
      <c r="E1124" t="s">
        <v>3294</v>
      </c>
      <c r="F1124"/>
      <c r="H1124" s="1">
        <v>40000</v>
      </c>
      <c r="I1124" t="s">
        <v>3295</v>
      </c>
      <c r="J1124" t="s">
        <v>3296</v>
      </c>
      <c r="K1124" s="170">
        <v>45838</v>
      </c>
      <c r="L1124" s="1">
        <v>20897.091088322039</v>
      </c>
      <c r="M1124" s="1">
        <v>45867</v>
      </c>
      <c r="Y1124"/>
      <c r="Z1124"/>
      <c r="AB1124"/>
    </row>
    <row r="1125" spans="1:28" ht="14.4" hidden="1">
      <c r="A1125" t="s">
        <v>197</v>
      </c>
      <c r="B1125" s="1">
        <v>54</v>
      </c>
      <c r="C1125" s="258" t="s">
        <v>3297</v>
      </c>
      <c r="D1125" t="s">
        <v>1211</v>
      </c>
      <c r="E1125" t="s">
        <v>1212</v>
      </c>
      <c r="F1125"/>
      <c r="H1125" s="1">
        <v>249808.58</v>
      </c>
      <c r="I1125" t="s">
        <v>3298</v>
      </c>
      <c r="J1125" t="s">
        <v>3299</v>
      </c>
      <c r="K1125" s="170">
        <v>45838</v>
      </c>
      <c r="L1125" s="1">
        <v>798171.50647274894</v>
      </c>
      <c r="M1125" s="1">
        <v>45899</v>
      </c>
      <c r="Y1125"/>
      <c r="Z1125"/>
      <c r="AB1125"/>
    </row>
    <row r="1126" spans="1:28" ht="14.4" hidden="1">
      <c r="A1126" t="s">
        <v>197</v>
      </c>
      <c r="B1126" s="1">
        <v>59</v>
      </c>
      <c r="C1126" s="258" t="s">
        <v>3300</v>
      </c>
      <c r="D1126" t="s">
        <v>1211</v>
      </c>
      <c r="E1126" t="s">
        <v>1169</v>
      </c>
      <c r="F1126">
        <v>162066</v>
      </c>
      <c r="G1126">
        <v>0.1</v>
      </c>
      <c r="H1126" s="1">
        <v>16206.6</v>
      </c>
      <c r="I1126" t="s">
        <v>3263</v>
      </c>
      <c r="J1126" t="s">
        <v>3264</v>
      </c>
      <c r="K1126" s="170">
        <v>45808</v>
      </c>
      <c r="L1126" s="1">
        <v>52579.491142559338</v>
      </c>
      <c r="M1126" s="1">
        <v>45792</v>
      </c>
      <c r="Y1126"/>
      <c r="Z1126"/>
      <c r="AB1126"/>
    </row>
    <row r="1127" spans="1:28" ht="14.4" hidden="1">
      <c r="A1127" t="s">
        <v>197</v>
      </c>
      <c r="B1127" s="1">
        <v>60</v>
      </c>
      <c r="C1127" s="258" t="s">
        <v>3301</v>
      </c>
      <c r="D1127" t="s">
        <v>1211</v>
      </c>
      <c r="E1127" t="s">
        <v>558</v>
      </c>
      <c r="F1127"/>
      <c r="G1127">
        <v>0.15</v>
      </c>
      <c r="H1127" s="1">
        <v>24309.9</v>
      </c>
      <c r="I1127"/>
      <c r="J1127" t="s">
        <v>3266</v>
      </c>
      <c r="K1127" s="170">
        <v>45808</v>
      </c>
      <c r="L1127" s="1">
        <v>78869.236713838996</v>
      </c>
      <c r="M1127" s="1">
        <v>45806</v>
      </c>
      <c r="Y1127"/>
      <c r="Z1127"/>
      <c r="AB1127"/>
    </row>
    <row r="1128" spans="1:28" ht="14.4" hidden="1">
      <c r="A1128" t="s">
        <v>197</v>
      </c>
      <c r="B1128" s="1">
        <v>61</v>
      </c>
      <c r="C1128" s="258" t="s">
        <v>3302</v>
      </c>
      <c r="D1128" t="s">
        <v>1211</v>
      </c>
      <c r="E1128" t="s">
        <v>1175</v>
      </c>
      <c r="F1128"/>
      <c r="G1128">
        <v>0.2</v>
      </c>
      <c r="H1128" s="1">
        <v>32413.200000000001</v>
      </c>
      <c r="I1128"/>
      <c r="J1128" t="s">
        <v>3268</v>
      </c>
      <c r="K1128" s="170">
        <v>45838</v>
      </c>
      <c r="L1128" s="1">
        <v>101571.32793621944</v>
      </c>
      <c r="M1128" s="1">
        <v>45876</v>
      </c>
      <c r="Y1128"/>
      <c r="Z1128"/>
      <c r="AB1128"/>
    </row>
    <row r="1129" spans="1:28" ht="14.4" hidden="1">
      <c r="A1129" t="s">
        <v>197</v>
      </c>
      <c r="B1129" s="1">
        <v>62</v>
      </c>
      <c r="C1129" s="258" t="s">
        <v>3303</v>
      </c>
      <c r="D1129" t="s">
        <v>1211</v>
      </c>
      <c r="E1129" t="s">
        <v>1178</v>
      </c>
      <c r="F1129"/>
      <c r="G1129">
        <v>0.25</v>
      </c>
      <c r="H1129" s="1">
        <v>40516.5</v>
      </c>
      <c r="I1129"/>
      <c r="J1129" t="s">
        <v>3270</v>
      </c>
      <c r="K1129" s="170">
        <v>45838</v>
      </c>
      <c r="L1129" s="1">
        <v>129455.5849202743</v>
      </c>
      <c r="M1129" s="1">
        <v>45939</v>
      </c>
      <c r="Y1129"/>
      <c r="Z1129"/>
      <c r="AB1129"/>
    </row>
    <row r="1130" spans="1:28" ht="14.4" hidden="1">
      <c r="A1130" t="s">
        <v>197</v>
      </c>
      <c r="B1130" s="1">
        <v>63</v>
      </c>
      <c r="C1130" s="258" t="s">
        <v>3304</v>
      </c>
      <c r="D1130" t="s">
        <v>1211</v>
      </c>
      <c r="E1130" t="s">
        <v>1181</v>
      </c>
      <c r="F1130"/>
      <c r="G1130">
        <v>0.1</v>
      </c>
      <c r="H1130" s="1">
        <v>16206.6</v>
      </c>
      <c r="I1130"/>
      <c r="J1130" t="s">
        <v>3272</v>
      </c>
      <c r="K1130" s="170">
        <v>45900</v>
      </c>
      <c r="L1130" s="1">
        <v>51782.233968109722</v>
      </c>
      <c r="M1130" s="1">
        <v>45946</v>
      </c>
      <c r="Y1130"/>
      <c r="Z1130"/>
      <c r="AB1130"/>
    </row>
    <row r="1131" spans="1:28" ht="14.4" hidden="1">
      <c r="A1131" t="s">
        <v>197</v>
      </c>
      <c r="B1131" s="1">
        <v>64</v>
      </c>
      <c r="C1131" s="258" t="s">
        <v>3305</v>
      </c>
      <c r="D1131" t="s">
        <v>1211</v>
      </c>
      <c r="E1131" t="s">
        <v>1184</v>
      </c>
      <c r="F1131"/>
      <c r="G1131">
        <v>0.1</v>
      </c>
      <c r="H1131" s="1">
        <v>16206.6</v>
      </c>
      <c r="I1131"/>
      <c r="J1131" t="s">
        <v>3274</v>
      </c>
      <c r="K1131" s="170">
        <v>45900</v>
      </c>
      <c r="L1131" s="1">
        <v>51782.233968109722</v>
      </c>
      <c r="M1131" s="1">
        <v>45954</v>
      </c>
      <c r="Y1131"/>
      <c r="Z1131"/>
      <c r="AB1131"/>
    </row>
    <row r="1132" spans="1:28" ht="14.4" hidden="1">
      <c r="A1132" t="s">
        <v>197</v>
      </c>
      <c r="B1132" s="1">
        <v>65</v>
      </c>
      <c r="C1132" s="258" t="s">
        <v>3306</v>
      </c>
      <c r="D1132" t="s">
        <v>1211</v>
      </c>
      <c r="E1132" t="s">
        <v>1187</v>
      </c>
      <c r="F1132"/>
      <c r="G1132">
        <v>0.05</v>
      </c>
      <c r="H1132" s="1">
        <v>8103.3</v>
      </c>
      <c r="I1132"/>
      <c r="J1132" t="s">
        <v>3276</v>
      </c>
      <c r="K1132" s="170">
        <v>45900</v>
      </c>
      <c r="L1132" s="1">
        <v>25891.116984054861</v>
      </c>
      <c r="M1132" s="1">
        <v>45954</v>
      </c>
      <c r="Y1132"/>
      <c r="Z1132"/>
      <c r="AB1132"/>
    </row>
    <row r="1133" spans="1:28" ht="14.4" hidden="1">
      <c r="A1133" t="s">
        <v>197</v>
      </c>
      <c r="B1133" s="1">
        <v>66</v>
      </c>
      <c r="C1133" s="258" t="s">
        <v>3307</v>
      </c>
      <c r="D1133" t="s">
        <v>1211</v>
      </c>
      <c r="E1133" t="s">
        <v>1190</v>
      </c>
      <c r="F1133"/>
      <c r="G1133">
        <v>0.05</v>
      </c>
      <c r="H1133" s="1">
        <v>8103.3</v>
      </c>
      <c r="I1133"/>
      <c r="J1133" t="s">
        <v>3278</v>
      </c>
      <c r="K1133" s="170">
        <v>45900</v>
      </c>
      <c r="L1133" s="1">
        <v>25891.116984054861</v>
      </c>
      <c r="M1133" s="1">
        <v>46009</v>
      </c>
      <c r="Y1133"/>
      <c r="Z1133"/>
      <c r="AB1133"/>
    </row>
    <row r="1134" spans="1:28" ht="14.4" hidden="1">
      <c r="A1134" t="s">
        <v>197</v>
      </c>
      <c r="B1134" s="1">
        <v>80</v>
      </c>
      <c r="C1134" s="258" t="s">
        <v>3308</v>
      </c>
      <c r="D1134" t="s">
        <v>1224</v>
      </c>
      <c r="E1134" t="s">
        <v>3135</v>
      </c>
      <c r="F1134"/>
      <c r="H1134" s="1">
        <v>12500</v>
      </c>
      <c r="I1134" t="s">
        <v>3309</v>
      </c>
      <c r="J1134" t="s">
        <v>3310</v>
      </c>
      <c r="K1134" s="170">
        <v>45991</v>
      </c>
      <c r="M1134" s="1">
        <v>45988</v>
      </c>
      <c r="N1134" s="1">
        <v>191728.57</v>
      </c>
      <c r="Y1134"/>
      <c r="Z1134"/>
      <c r="AB1134"/>
    </row>
    <row r="1135" spans="1:28" ht="14.4" hidden="1">
      <c r="A1135" t="s">
        <v>197</v>
      </c>
      <c r="B1135" s="1">
        <v>82</v>
      </c>
      <c r="C1135" s="258" t="s">
        <v>3311</v>
      </c>
      <c r="D1135" t="s">
        <v>1224</v>
      </c>
      <c r="E1135" t="s">
        <v>2811</v>
      </c>
      <c r="F1135"/>
      <c r="H1135" s="1">
        <v>12930</v>
      </c>
      <c r="I1135" t="s">
        <v>3312</v>
      </c>
      <c r="J1135" t="s">
        <v>3313</v>
      </c>
      <c r="K1135" s="170">
        <v>45930</v>
      </c>
      <c r="M1135" s="1">
        <v>45930</v>
      </c>
      <c r="Y1135"/>
      <c r="Z1135"/>
      <c r="AB1135"/>
    </row>
    <row r="1136" spans="1:28" ht="14.4" hidden="1">
      <c r="A1136" t="s">
        <v>197</v>
      </c>
      <c r="B1136" s="1">
        <v>84</v>
      </c>
      <c r="C1136" s="258" t="s">
        <v>3314</v>
      </c>
      <c r="D1136" t="s">
        <v>1224</v>
      </c>
      <c r="E1136" t="s">
        <v>3315</v>
      </c>
      <c r="F1136"/>
      <c r="H1136" s="1">
        <v>36463</v>
      </c>
      <c r="I1136" t="s">
        <v>3316</v>
      </c>
      <c r="J1136" t="s">
        <v>3317</v>
      </c>
      <c r="K1136" s="170">
        <v>46053</v>
      </c>
      <c r="M1136" s="1">
        <v>46081</v>
      </c>
      <c r="Y1136"/>
      <c r="Z1136"/>
      <c r="AB1136"/>
    </row>
    <row r="1137" spans="1:28" ht="14.4" hidden="1">
      <c r="A1137" t="s">
        <v>197</v>
      </c>
      <c r="B1137" s="1">
        <v>85</v>
      </c>
      <c r="C1137" s="258" t="s">
        <v>3318</v>
      </c>
      <c r="D1137" t="s">
        <v>1224</v>
      </c>
      <c r="E1137" t="s">
        <v>3319</v>
      </c>
      <c r="F1137"/>
      <c r="H1137" s="1">
        <v>92203</v>
      </c>
      <c r="I1137" t="s">
        <v>3320</v>
      </c>
      <c r="J1137" t="s">
        <v>3321</v>
      </c>
      <c r="K1137" s="170">
        <v>45838</v>
      </c>
      <c r="M1137" s="1">
        <v>45869</v>
      </c>
      <c r="Y1137"/>
      <c r="Z1137"/>
      <c r="AB1137"/>
    </row>
    <row r="1138" spans="1:28" ht="14.4" hidden="1">
      <c r="A1138" t="s">
        <v>197</v>
      </c>
      <c r="B1138" s="1">
        <v>86</v>
      </c>
      <c r="C1138" s="258" t="s">
        <v>3322</v>
      </c>
      <c r="D1138" t="s">
        <v>1224</v>
      </c>
      <c r="E1138" t="s">
        <v>3323</v>
      </c>
      <c r="F1138"/>
      <c r="H1138" s="1">
        <v>97632.57</v>
      </c>
      <c r="I1138"/>
      <c r="J1138" t="s">
        <v>3324</v>
      </c>
      <c r="K1138" s="170">
        <v>45930</v>
      </c>
      <c r="L1138" s="1">
        <v>0</v>
      </c>
      <c r="M1138" s="1">
        <v>45989</v>
      </c>
      <c r="Y1138"/>
      <c r="Z1138"/>
      <c r="AB1138"/>
    </row>
    <row r="1139" spans="1:28" ht="14.4" hidden="1">
      <c r="A1139" t="s">
        <v>197</v>
      </c>
      <c r="B1139" s="1">
        <v>87</v>
      </c>
      <c r="C1139" s="258" t="s">
        <v>3325</v>
      </c>
      <c r="D1139" t="s">
        <v>1224</v>
      </c>
      <c r="E1139" t="s">
        <v>3326</v>
      </c>
      <c r="F1139"/>
      <c r="H1139" s="1">
        <v>-60000</v>
      </c>
      <c r="I1139"/>
      <c r="J1139" t="s">
        <v>3327</v>
      </c>
      <c r="K1139" s="170">
        <v>46053</v>
      </c>
      <c r="M1139" s="1">
        <v>46051</v>
      </c>
      <c r="Y1139"/>
      <c r="Z1139"/>
      <c r="AB1139"/>
    </row>
    <row r="1140" spans="1:28" ht="14.4" hidden="1">
      <c r="A1140" t="s">
        <v>197</v>
      </c>
      <c r="B1140" s="1">
        <v>90</v>
      </c>
      <c r="C1140" s="258" t="s">
        <v>3328</v>
      </c>
      <c r="D1140" t="s">
        <v>1246</v>
      </c>
      <c r="E1140" t="s">
        <v>1169</v>
      </c>
      <c r="F1140">
        <v>1095150</v>
      </c>
      <c r="G1140">
        <v>0.1</v>
      </c>
      <c r="H1140" s="1">
        <v>109515</v>
      </c>
      <c r="I1140" t="s">
        <v>3263</v>
      </c>
      <c r="J1140" t="s">
        <v>3264</v>
      </c>
      <c r="K1140" s="170">
        <v>45808</v>
      </c>
      <c r="L1140" s="1">
        <v>95587.058823529413</v>
      </c>
      <c r="M1140" s="1">
        <v>45792</v>
      </c>
      <c r="Y1140"/>
      <c r="Z1140"/>
      <c r="AB1140"/>
    </row>
    <row r="1141" spans="1:28" ht="14.4" hidden="1">
      <c r="A1141" t="s">
        <v>197</v>
      </c>
      <c r="B1141" s="1">
        <v>91</v>
      </c>
      <c r="C1141" s="258" t="s">
        <v>3329</v>
      </c>
      <c r="D1141" t="s">
        <v>1246</v>
      </c>
      <c r="E1141" t="s">
        <v>558</v>
      </c>
      <c r="F1141"/>
      <c r="G1141">
        <v>0.15</v>
      </c>
      <c r="H1141" s="1">
        <v>164272.5</v>
      </c>
      <c r="I1141"/>
      <c r="J1141" t="s">
        <v>3266</v>
      </c>
      <c r="K1141" s="170">
        <v>45808</v>
      </c>
      <c r="L1141" s="1">
        <v>143380.5882352941</v>
      </c>
      <c r="M1141" s="1">
        <v>45806</v>
      </c>
      <c r="Y1141"/>
      <c r="Z1141"/>
      <c r="AB1141"/>
    </row>
    <row r="1142" spans="1:28" ht="14.4" hidden="1">
      <c r="A1142" t="s">
        <v>197</v>
      </c>
      <c r="B1142" s="1">
        <v>92</v>
      </c>
      <c r="C1142" s="258" t="s">
        <v>3330</v>
      </c>
      <c r="D1142" t="s">
        <v>1246</v>
      </c>
      <c r="E1142" t="s">
        <v>1175</v>
      </c>
      <c r="F1142"/>
      <c r="G1142">
        <v>0.2</v>
      </c>
      <c r="H1142" s="1">
        <v>219030</v>
      </c>
      <c r="I1142"/>
      <c r="J1142" t="s">
        <v>3268</v>
      </c>
      <c r="K1142" s="170">
        <v>45838</v>
      </c>
      <c r="L1142" s="1">
        <v>191174.11764705885</v>
      </c>
      <c r="M1142" s="1">
        <v>45876</v>
      </c>
      <c r="Y1142"/>
      <c r="Z1142"/>
      <c r="AB1142"/>
    </row>
    <row r="1143" spans="1:28" ht="14.4" hidden="1">
      <c r="A1143" t="s">
        <v>197</v>
      </c>
      <c r="B1143" s="1">
        <v>93</v>
      </c>
      <c r="C1143" s="258" t="s">
        <v>3331</v>
      </c>
      <c r="D1143" t="s">
        <v>1246</v>
      </c>
      <c r="E1143" t="s">
        <v>1178</v>
      </c>
      <c r="F1143"/>
      <c r="G1143">
        <v>0.25</v>
      </c>
      <c r="H1143" s="1">
        <v>273787.5</v>
      </c>
      <c r="I1143"/>
      <c r="J1143" t="s">
        <v>3270</v>
      </c>
      <c r="K1143" s="170">
        <v>45838</v>
      </c>
      <c r="L1143" s="1">
        <v>238967.64705882352</v>
      </c>
      <c r="M1143" s="1">
        <v>45939</v>
      </c>
      <c r="Y1143"/>
      <c r="Z1143"/>
      <c r="AB1143"/>
    </row>
    <row r="1144" spans="1:28" ht="14.4" hidden="1">
      <c r="A1144" t="s">
        <v>197</v>
      </c>
      <c r="B1144" s="1">
        <v>94</v>
      </c>
      <c r="C1144" s="258" t="s">
        <v>3332</v>
      </c>
      <c r="D1144" t="s">
        <v>1246</v>
      </c>
      <c r="E1144" t="s">
        <v>1181</v>
      </c>
      <c r="F1144"/>
      <c r="G1144">
        <v>0.1</v>
      </c>
      <c r="H1144" s="1">
        <v>109515</v>
      </c>
      <c r="I1144"/>
      <c r="J1144" t="s">
        <v>3272</v>
      </c>
      <c r="K1144" s="170">
        <v>45900</v>
      </c>
      <c r="L1144" s="1">
        <v>95587.058823529413</v>
      </c>
      <c r="M1144" s="1">
        <v>45946</v>
      </c>
      <c r="Y1144"/>
      <c r="Z1144"/>
      <c r="AB1144"/>
    </row>
    <row r="1145" spans="1:28" ht="14.4" hidden="1">
      <c r="A1145" t="s">
        <v>197</v>
      </c>
      <c r="B1145" s="1">
        <v>95</v>
      </c>
      <c r="C1145" s="258" t="s">
        <v>3333</v>
      </c>
      <c r="D1145" t="s">
        <v>1246</v>
      </c>
      <c r="E1145" t="s">
        <v>1184</v>
      </c>
      <c r="F1145"/>
      <c r="G1145">
        <v>0.1</v>
      </c>
      <c r="H1145" s="1">
        <v>109515</v>
      </c>
      <c r="I1145"/>
      <c r="J1145" t="s">
        <v>3274</v>
      </c>
      <c r="K1145" s="170">
        <v>45900</v>
      </c>
      <c r="L1145" s="1">
        <v>95587.058823529413</v>
      </c>
      <c r="M1145" s="1">
        <v>45954</v>
      </c>
      <c r="Y1145"/>
      <c r="Z1145"/>
      <c r="AB1145"/>
    </row>
    <row r="1146" spans="1:28" ht="14.4" hidden="1">
      <c r="A1146" t="s">
        <v>197</v>
      </c>
      <c r="B1146" s="1">
        <v>96</v>
      </c>
      <c r="C1146" s="258" t="s">
        <v>3334</v>
      </c>
      <c r="D1146" t="s">
        <v>1246</v>
      </c>
      <c r="E1146" t="s">
        <v>1187</v>
      </c>
      <c r="F1146"/>
      <c r="G1146">
        <v>0.05</v>
      </c>
      <c r="H1146" s="1">
        <v>54757.5</v>
      </c>
      <c r="I1146"/>
      <c r="J1146" t="s">
        <v>3276</v>
      </c>
      <c r="K1146" s="170">
        <v>45900</v>
      </c>
      <c r="L1146" s="1">
        <v>47793.529411764706</v>
      </c>
      <c r="M1146" s="1">
        <v>45954</v>
      </c>
      <c r="Y1146"/>
      <c r="Z1146"/>
      <c r="AB1146"/>
    </row>
    <row r="1147" spans="1:28" ht="14.4" hidden="1">
      <c r="A1147" t="s">
        <v>197</v>
      </c>
      <c r="B1147" s="1">
        <v>97</v>
      </c>
      <c r="C1147" s="258" t="s">
        <v>3335</v>
      </c>
      <c r="D1147" t="s">
        <v>1246</v>
      </c>
      <c r="E1147" t="s">
        <v>1190</v>
      </c>
      <c r="F1147"/>
      <c r="G1147">
        <v>0.05</v>
      </c>
      <c r="H1147" s="1">
        <v>54757.5</v>
      </c>
      <c r="I1147"/>
      <c r="J1147" t="s">
        <v>3278</v>
      </c>
      <c r="K1147" s="170">
        <v>45900</v>
      </c>
      <c r="L1147" s="1">
        <v>47793.529411764706</v>
      </c>
      <c r="M1147" s="1">
        <v>46009</v>
      </c>
      <c r="Y1147"/>
      <c r="Z1147"/>
      <c r="AB1147"/>
    </row>
    <row r="1148" spans="1:28" ht="14.4" hidden="1">
      <c r="A1148" t="s">
        <v>197</v>
      </c>
      <c r="B1148" s="1">
        <v>106</v>
      </c>
      <c r="C1148" s="258" t="s">
        <v>3336</v>
      </c>
      <c r="D1148" t="s">
        <v>1255</v>
      </c>
      <c r="E1148" t="s">
        <v>1169</v>
      </c>
      <c r="F1148">
        <v>17700</v>
      </c>
      <c r="G1148">
        <v>0.1</v>
      </c>
      <c r="H1148" s="1">
        <v>1770</v>
      </c>
      <c r="I1148" t="s">
        <v>3263</v>
      </c>
      <c r="J1148" t="s">
        <v>3264</v>
      </c>
      <c r="K1148" s="170">
        <v>45808</v>
      </c>
      <c r="L1148" s="1">
        <v>3140.6490319917439</v>
      </c>
      <c r="M1148" s="1">
        <v>45792</v>
      </c>
      <c r="Y1148"/>
      <c r="Z1148"/>
      <c r="AB1148"/>
    </row>
    <row r="1149" spans="1:28" ht="14.4" hidden="1">
      <c r="A1149" t="s">
        <v>197</v>
      </c>
      <c r="B1149" s="1">
        <v>107</v>
      </c>
      <c r="C1149" s="258" t="s">
        <v>3337</v>
      </c>
      <c r="D1149" t="s">
        <v>1255</v>
      </c>
      <c r="E1149" t="s">
        <v>558</v>
      </c>
      <c r="F1149"/>
      <c r="G1149">
        <v>0.15</v>
      </c>
      <c r="H1149" s="1">
        <v>2655</v>
      </c>
      <c r="I1149"/>
      <c r="J1149" t="s">
        <v>3266</v>
      </c>
      <c r="K1149" s="170">
        <v>45808</v>
      </c>
      <c r="L1149" s="1">
        <v>4710.9735479876163</v>
      </c>
      <c r="M1149" s="1">
        <v>45806</v>
      </c>
      <c r="Y1149"/>
      <c r="Z1149"/>
      <c r="AB1149"/>
    </row>
    <row r="1150" spans="1:28" ht="14.4" hidden="1">
      <c r="A1150" t="s">
        <v>197</v>
      </c>
      <c r="B1150" s="1">
        <v>108</v>
      </c>
      <c r="C1150" s="258" t="s">
        <v>3338</v>
      </c>
      <c r="D1150" t="s">
        <v>1255</v>
      </c>
      <c r="E1150" t="s">
        <v>1175</v>
      </c>
      <c r="F1150"/>
      <c r="G1150">
        <v>0.2</v>
      </c>
      <c r="H1150" s="1">
        <v>3540</v>
      </c>
      <c r="I1150"/>
      <c r="J1150" t="s">
        <v>3268</v>
      </c>
      <c r="K1150" s="170">
        <v>45838</v>
      </c>
      <c r="L1150" s="1">
        <v>50569.77254901961</v>
      </c>
      <c r="M1150" s="1">
        <v>45876</v>
      </c>
      <c r="Y1150"/>
      <c r="Z1150"/>
      <c r="AB1150"/>
    </row>
    <row r="1151" spans="1:28" ht="14.4" hidden="1">
      <c r="A1151" t="s">
        <v>197</v>
      </c>
      <c r="B1151" s="1">
        <v>109</v>
      </c>
      <c r="C1151" s="258" t="s">
        <v>3339</v>
      </c>
      <c r="D1151" t="s">
        <v>1255</v>
      </c>
      <c r="E1151" t="s">
        <v>1178</v>
      </c>
      <c r="F1151"/>
      <c r="G1151">
        <v>0.25</v>
      </c>
      <c r="H1151" s="1">
        <v>4425</v>
      </c>
      <c r="I1151"/>
      <c r="J1151" t="s">
        <v>3270</v>
      </c>
      <c r="K1151" s="170">
        <v>45838</v>
      </c>
      <c r="L1151" s="1">
        <v>118572.8056862745</v>
      </c>
      <c r="M1151" s="1">
        <v>45939</v>
      </c>
      <c r="Y1151"/>
      <c r="Z1151"/>
      <c r="AB1151"/>
    </row>
    <row r="1152" spans="1:28" ht="14.4" hidden="1">
      <c r="A1152" t="s">
        <v>197</v>
      </c>
      <c r="B1152" s="1">
        <v>110</v>
      </c>
      <c r="C1152" s="258" t="s">
        <v>3340</v>
      </c>
      <c r="D1152" t="s">
        <v>1255</v>
      </c>
      <c r="E1152" t="s">
        <v>1181</v>
      </c>
      <c r="F1152"/>
      <c r="G1152">
        <v>0.1</v>
      </c>
      <c r="H1152" s="1">
        <v>1770</v>
      </c>
      <c r="I1152"/>
      <c r="J1152" t="s">
        <v>3272</v>
      </c>
      <c r="K1152" s="170">
        <v>45900</v>
      </c>
      <c r="L1152" s="1">
        <v>25284.886274509805</v>
      </c>
      <c r="M1152" s="1">
        <v>45946</v>
      </c>
      <c r="Y1152"/>
      <c r="Z1152"/>
      <c r="AB1152"/>
    </row>
    <row r="1153" spans="1:28" ht="14.4" hidden="1">
      <c r="A1153" t="s">
        <v>197</v>
      </c>
      <c r="B1153" s="1">
        <v>111</v>
      </c>
      <c r="C1153" s="258" t="s">
        <v>3341</v>
      </c>
      <c r="D1153" t="s">
        <v>1255</v>
      </c>
      <c r="E1153" t="s">
        <v>1184</v>
      </c>
      <c r="F1153"/>
      <c r="G1153">
        <v>0.1</v>
      </c>
      <c r="H1153" s="1">
        <v>1770</v>
      </c>
      <c r="I1153"/>
      <c r="J1153" t="s">
        <v>3274</v>
      </c>
      <c r="K1153" s="170">
        <v>45900</v>
      </c>
      <c r="L1153" s="1">
        <v>25284.886274509805</v>
      </c>
      <c r="M1153" s="1">
        <v>45954</v>
      </c>
      <c r="Y1153"/>
      <c r="Z1153"/>
      <c r="AB1153"/>
    </row>
    <row r="1154" spans="1:28" ht="14.4" hidden="1">
      <c r="A1154" t="s">
        <v>197</v>
      </c>
      <c r="B1154" s="1">
        <v>112</v>
      </c>
      <c r="C1154" s="258" t="s">
        <v>3342</v>
      </c>
      <c r="D1154" t="s">
        <v>1255</v>
      </c>
      <c r="E1154" t="s">
        <v>1187</v>
      </c>
      <c r="F1154"/>
      <c r="G1154">
        <v>0.05</v>
      </c>
      <c r="H1154" s="1">
        <v>885</v>
      </c>
      <c r="I1154"/>
      <c r="J1154" t="s">
        <v>3276</v>
      </c>
      <c r="K1154" s="170">
        <v>45900</v>
      </c>
      <c r="L1154" s="1">
        <v>12642.443137254902</v>
      </c>
      <c r="M1154" s="1">
        <v>45954</v>
      </c>
      <c r="Y1154"/>
      <c r="Z1154"/>
      <c r="AB1154"/>
    </row>
    <row r="1155" spans="1:28" ht="14.4" hidden="1">
      <c r="A1155" t="s">
        <v>197</v>
      </c>
      <c r="B1155" s="1">
        <v>113</v>
      </c>
      <c r="C1155" s="258" t="s">
        <v>3343</v>
      </c>
      <c r="D1155" t="s">
        <v>1255</v>
      </c>
      <c r="E1155" t="s">
        <v>1190</v>
      </c>
      <c r="F1155"/>
      <c r="G1155">
        <v>0.05</v>
      </c>
      <c r="H1155" s="1">
        <v>885</v>
      </c>
      <c r="I1155"/>
      <c r="J1155" t="s">
        <v>3278</v>
      </c>
      <c r="K1155" s="170">
        <v>45900</v>
      </c>
      <c r="L1155" s="1">
        <v>12642.443137254902</v>
      </c>
      <c r="M1155" s="1">
        <v>46009</v>
      </c>
      <c r="Y1155"/>
      <c r="Z1155"/>
      <c r="AB1155"/>
    </row>
    <row r="1156" spans="1:28" ht="14.4" hidden="1">
      <c r="A1156" t="s">
        <v>197</v>
      </c>
      <c r="B1156" s="1">
        <v>118</v>
      </c>
      <c r="C1156" s="258" t="s">
        <v>3344</v>
      </c>
      <c r="D1156" t="s">
        <v>1264</v>
      </c>
      <c r="E1156" t="s">
        <v>1265</v>
      </c>
      <c r="F1156"/>
      <c r="H1156" s="1">
        <v>28642.46</v>
      </c>
      <c r="I1156"/>
      <c r="J1156" t="s">
        <v>3345</v>
      </c>
      <c r="K1156" s="170">
        <v>45869</v>
      </c>
      <c r="L1156" s="1">
        <v>42577.503365863282</v>
      </c>
      <c r="M1156" s="1">
        <v>45989</v>
      </c>
      <c r="N1156" s="1">
        <v>111542.46</v>
      </c>
      <c r="Y1156"/>
      <c r="Z1156"/>
      <c r="AB1156"/>
    </row>
    <row r="1157" spans="1:28" ht="14.4" hidden="1">
      <c r="A1157" t="s">
        <v>197</v>
      </c>
      <c r="B1157" s="1">
        <v>119</v>
      </c>
      <c r="C1157" s="258" t="s">
        <v>3346</v>
      </c>
      <c r="D1157" t="s">
        <v>1264</v>
      </c>
      <c r="E1157" t="s">
        <v>1268</v>
      </c>
      <c r="F1157"/>
      <c r="H1157" s="1">
        <v>9700</v>
      </c>
      <c r="I1157" t="s">
        <v>2845</v>
      </c>
      <c r="J1157" t="s">
        <v>3045</v>
      </c>
      <c r="K1157" s="170">
        <v>45777</v>
      </c>
      <c r="L1157" s="1">
        <v>16876.685674877648</v>
      </c>
      <c r="M1157" s="1">
        <v>45757</v>
      </c>
      <c r="Y1157"/>
      <c r="Z1157"/>
      <c r="AB1157"/>
    </row>
    <row r="1158" spans="1:28" ht="14.4" hidden="1">
      <c r="A1158" t="s">
        <v>197</v>
      </c>
      <c r="B1158" s="1">
        <v>120</v>
      </c>
      <c r="C1158" s="258" t="s">
        <v>3347</v>
      </c>
      <c r="D1158" t="s">
        <v>1264</v>
      </c>
      <c r="E1158" t="s">
        <v>1271</v>
      </c>
      <c r="F1158"/>
      <c r="H1158" s="1">
        <v>63200</v>
      </c>
      <c r="I1158" t="s">
        <v>3348</v>
      </c>
      <c r="J1158" t="s">
        <v>3349</v>
      </c>
      <c r="K1158" s="170">
        <v>45777</v>
      </c>
      <c r="L1158" s="1">
        <v>109959.43656208942</v>
      </c>
      <c r="M1158" s="1">
        <v>46112</v>
      </c>
      <c r="Y1158"/>
      <c r="Z1158"/>
      <c r="AB1158"/>
    </row>
    <row r="1159" spans="1:28" ht="14.4" hidden="1">
      <c r="A1159" t="s">
        <v>197</v>
      </c>
      <c r="B1159" s="1">
        <v>121</v>
      </c>
      <c r="C1159" s="258" t="s">
        <v>3350</v>
      </c>
      <c r="D1159" t="s">
        <v>1264</v>
      </c>
      <c r="E1159" t="s">
        <v>808</v>
      </c>
      <c r="F1159"/>
      <c r="H1159" s="1">
        <v>10000</v>
      </c>
      <c r="I1159"/>
      <c r="J1159" t="s">
        <v>1899</v>
      </c>
      <c r="K1159" s="170">
        <v>45900</v>
      </c>
      <c r="L1159" s="1">
        <v>16684.018539560948</v>
      </c>
      <c r="M1159" s="1">
        <v>45900</v>
      </c>
      <c r="Y1159"/>
      <c r="Z1159"/>
      <c r="AB1159"/>
    </row>
    <row r="1160" spans="1:28" ht="14.4" hidden="1">
      <c r="A1160" t="s">
        <v>197</v>
      </c>
      <c r="B1160" s="1">
        <v>127</v>
      </c>
      <c r="C1160" s="258" t="s">
        <v>3351</v>
      </c>
      <c r="D1160" t="s">
        <v>1277</v>
      </c>
      <c r="E1160" t="s">
        <v>1278</v>
      </c>
      <c r="F1160"/>
      <c r="H1160" s="1">
        <v>119583.61157237989</v>
      </c>
      <c r="I1160"/>
      <c r="J1160" t="s">
        <v>1899</v>
      </c>
      <c r="K1160" s="170">
        <v>45900</v>
      </c>
      <c r="L1160" s="1">
        <v>342363.62348484847</v>
      </c>
      <c r="M1160" s="1">
        <v>45900</v>
      </c>
      <c r="N1160" s="1">
        <v>119583.61157237989</v>
      </c>
      <c r="Y1160"/>
      <c r="Z1160"/>
      <c r="AB1160"/>
    </row>
    <row r="1161" spans="1:28" ht="14.4" hidden="1">
      <c r="A1161" t="s">
        <v>197</v>
      </c>
      <c r="B1161" s="1">
        <v>128</v>
      </c>
      <c r="C1161" s="258" t="s">
        <v>3352</v>
      </c>
      <c r="D1161" t="s">
        <v>1277</v>
      </c>
      <c r="E1161" t="s">
        <v>1903</v>
      </c>
      <c r="F1161"/>
      <c r="H1161" s="1">
        <v>0</v>
      </c>
      <c r="I1161"/>
      <c r="J1161"/>
      <c r="K1161" s="170"/>
      <c r="L1161" s="1">
        <v>0</v>
      </c>
      <c r="Y1161"/>
      <c r="Z1161"/>
      <c r="AB1161"/>
    </row>
    <row r="1162" spans="1:28" ht="14.4" hidden="1">
      <c r="A1162" t="s">
        <v>197</v>
      </c>
      <c r="B1162" s="1">
        <v>129</v>
      </c>
      <c r="C1162" s="258" t="s">
        <v>3353</v>
      </c>
      <c r="D1162" t="s">
        <v>1277</v>
      </c>
      <c r="E1162" t="s">
        <v>1905</v>
      </c>
      <c r="F1162"/>
      <c r="H1162" s="1">
        <v>0</v>
      </c>
      <c r="I1162"/>
      <c r="J1162"/>
      <c r="K1162" s="170"/>
      <c r="L1162" s="1">
        <v>0</v>
      </c>
      <c r="Y1162"/>
      <c r="Z1162"/>
      <c r="AB1162"/>
    </row>
    <row r="1163" spans="1:28" ht="14.4" hidden="1">
      <c r="A1163" t="s">
        <v>197</v>
      </c>
      <c r="B1163" s="1">
        <v>130</v>
      </c>
      <c r="C1163" s="258" t="s">
        <v>3354</v>
      </c>
      <c r="D1163" t="s">
        <v>1277</v>
      </c>
      <c r="E1163" t="s">
        <v>1907</v>
      </c>
      <c r="F1163"/>
      <c r="H1163" s="1">
        <v>0</v>
      </c>
      <c r="I1163"/>
      <c r="J1163"/>
      <c r="K1163" s="170"/>
      <c r="L1163" s="1">
        <v>0</v>
      </c>
      <c r="Y1163"/>
      <c r="Z1163"/>
      <c r="AB1163"/>
    </row>
    <row r="1164" spans="1:28" ht="14.4" hidden="1">
      <c r="A1164" t="s">
        <v>197</v>
      </c>
      <c r="B1164" s="1">
        <v>131</v>
      </c>
      <c r="C1164" s="258" t="s">
        <v>3355</v>
      </c>
      <c r="D1164" t="s">
        <v>1277</v>
      </c>
      <c r="E1164" t="s">
        <v>1909</v>
      </c>
      <c r="F1164"/>
      <c r="H1164" s="1">
        <v>0</v>
      </c>
      <c r="I1164"/>
      <c r="J1164"/>
      <c r="K1164" s="170"/>
      <c r="L1164" s="1">
        <v>0</v>
      </c>
      <c r="Y1164"/>
      <c r="Z1164"/>
      <c r="AB1164"/>
    </row>
    <row r="1165" spans="1:28" ht="14.4" hidden="1">
      <c r="A1165" t="s">
        <v>197</v>
      </c>
      <c r="B1165" s="1">
        <v>134</v>
      </c>
      <c r="C1165" s="258" t="s">
        <v>3356</v>
      </c>
      <c r="D1165" t="s">
        <v>1280</v>
      </c>
      <c r="E1165" t="s">
        <v>1281</v>
      </c>
      <c r="F1165"/>
      <c r="H1165" s="1">
        <v>0</v>
      </c>
      <c r="I1165"/>
      <c r="J1165"/>
      <c r="K1165" s="170">
        <v>45777</v>
      </c>
      <c r="L1165" s="1">
        <v>0</v>
      </c>
      <c r="M1165" s="1">
        <v>45747</v>
      </c>
      <c r="N1165" s="1">
        <v>21560.81</v>
      </c>
      <c r="Y1165"/>
      <c r="Z1165"/>
      <c r="AB1165"/>
    </row>
    <row r="1166" spans="1:28" ht="14.4" hidden="1">
      <c r="A1166" t="s">
        <v>197</v>
      </c>
      <c r="B1166" s="1">
        <v>135</v>
      </c>
      <c r="C1166" s="258" t="s">
        <v>3357</v>
      </c>
      <c r="D1166" t="s">
        <v>1280</v>
      </c>
      <c r="E1166" t="s">
        <v>1281</v>
      </c>
      <c r="F1166"/>
      <c r="H1166" s="1">
        <v>0</v>
      </c>
      <c r="I1166"/>
      <c r="J1166"/>
      <c r="K1166" s="170">
        <v>45777</v>
      </c>
      <c r="L1166" s="1">
        <v>0</v>
      </c>
      <c r="M1166" s="1">
        <v>45777</v>
      </c>
      <c r="Y1166"/>
      <c r="Z1166"/>
      <c r="AB1166"/>
    </row>
    <row r="1167" spans="1:28" ht="14.4" hidden="1">
      <c r="A1167" t="s">
        <v>197</v>
      </c>
      <c r="B1167" s="1">
        <v>136</v>
      </c>
      <c r="C1167" s="258" t="s">
        <v>3358</v>
      </c>
      <c r="D1167" t="s">
        <v>1280</v>
      </c>
      <c r="E1167" t="s">
        <v>1281</v>
      </c>
      <c r="F1167"/>
      <c r="H1167" s="1">
        <v>3116.87</v>
      </c>
      <c r="I1167"/>
      <c r="J1167" t="s">
        <v>1604</v>
      </c>
      <c r="K1167" s="170">
        <v>45808</v>
      </c>
      <c r="L1167" s="1">
        <v>7781.1237734538972</v>
      </c>
      <c r="M1167" s="1">
        <v>45817</v>
      </c>
      <c r="Y1167"/>
      <c r="Z1167"/>
      <c r="AB1167"/>
    </row>
    <row r="1168" spans="1:28" ht="14.4" hidden="1">
      <c r="A1168" t="s">
        <v>197</v>
      </c>
      <c r="B1168" s="1">
        <v>137</v>
      </c>
      <c r="C1168" s="258" t="s">
        <v>3359</v>
      </c>
      <c r="D1168" t="s">
        <v>1280</v>
      </c>
      <c r="E1168" t="s">
        <v>1281</v>
      </c>
      <c r="F1168"/>
      <c r="H1168" s="1">
        <v>7517.79</v>
      </c>
      <c r="I1168"/>
      <c r="J1168" t="s">
        <v>1604</v>
      </c>
      <c r="K1168" s="170">
        <v>45838</v>
      </c>
      <c r="L1168" s="1">
        <v>8170.6963482167212</v>
      </c>
      <c r="M1168" s="1">
        <v>45842</v>
      </c>
      <c r="Y1168"/>
      <c r="Z1168"/>
      <c r="AB1168"/>
    </row>
    <row r="1169" spans="1:28" ht="14.4" hidden="1">
      <c r="A1169" t="s">
        <v>197</v>
      </c>
      <c r="B1169" s="1">
        <v>138</v>
      </c>
      <c r="C1169" s="258" t="s">
        <v>3360</v>
      </c>
      <c r="D1169" t="s">
        <v>1280</v>
      </c>
      <c r="E1169" t="s">
        <v>1281</v>
      </c>
      <c r="F1169"/>
      <c r="H1169" s="1">
        <v>0</v>
      </c>
      <c r="I1169"/>
      <c r="J1169" t="s">
        <v>1604</v>
      </c>
      <c r="K1169" s="170">
        <v>45869</v>
      </c>
      <c r="L1169" s="1">
        <v>0</v>
      </c>
      <c r="M1169" s="1">
        <v>45869</v>
      </c>
      <c r="Y1169"/>
      <c r="Z1169"/>
      <c r="AB1169"/>
    </row>
    <row r="1170" spans="1:28" ht="14.4" hidden="1">
      <c r="A1170" t="s">
        <v>197</v>
      </c>
      <c r="B1170" s="1">
        <v>139</v>
      </c>
      <c r="C1170" s="258" t="s">
        <v>3361</v>
      </c>
      <c r="D1170" t="s">
        <v>1280</v>
      </c>
      <c r="E1170" t="s">
        <v>1281</v>
      </c>
      <c r="F1170"/>
      <c r="H1170" s="1">
        <v>5923.1900000000005</v>
      </c>
      <c r="I1170"/>
      <c r="J1170" t="s">
        <v>1604</v>
      </c>
      <c r="K1170" s="170">
        <v>45900</v>
      </c>
      <c r="L1170" s="1">
        <v>1216.1400000000001</v>
      </c>
      <c r="M1170" s="1">
        <v>45905</v>
      </c>
      <c r="Y1170"/>
      <c r="Z1170"/>
      <c r="AB1170"/>
    </row>
    <row r="1171" spans="1:28" ht="14.4" hidden="1">
      <c r="A1171" t="s">
        <v>197</v>
      </c>
      <c r="B1171" s="1">
        <v>140</v>
      </c>
      <c r="C1171" s="258" t="s">
        <v>3362</v>
      </c>
      <c r="D1171" t="s">
        <v>1280</v>
      </c>
      <c r="E1171" t="s">
        <v>1281</v>
      </c>
      <c r="F1171"/>
      <c r="H1171" s="1">
        <v>5002.96</v>
      </c>
      <c r="I1171"/>
      <c r="J1171" t="s">
        <v>1604</v>
      </c>
      <c r="K1171" s="170">
        <v>45930</v>
      </c>
      <c r="L1171" s="1">
        <v>1151.0944146811621</v>
      </c>
      <c r="M1171" s="1">
        <v>45940</v>
      </c>
      <c r="Y1171"/>
      <c r="Z1171"/>
      <c r="AB1171"/>
    </row>
    <row r="1172" spans="1:28" ht="14.4" hidden="1">
      <c r="A1172" t="s">
        <v>197</v>
      </c>
      <c r="B1172" s="1">
        <v>141</v>
      </c>
      <c r="C1172" s="258" t="s">
        <v>3363</v>
      </c>
      <c r="D1172" t="s">
        <v>1280</v>
      </c>
      <c r="E1172" t="s">
        <v>1281</v>
      </c>
      <c r="F1172"/>
      <c r="H1172" s="1">
        <v>0</v>
      </c>
      <c r="I1172"/>
      <c r="J1172" t="s">
        <v>1604</v>
      </c>
      <c r="K1172" s="170">
        <v>45961</v>
      </c>
      <c r="L1172" s="1">
        <v>0</v>
      </c>
      <c r="M1172" s="1">
        <v>45961</v>
      </c>
      <c r="Y1172"/>
      <c r="Z1172"/>
      <c r="AB1172"/>
    </row>
    <row r="1173" spans="1:28" ht="14.4" hidden="1">
      <c r="A1173" t="s">
        <v>197</v>
      </c>
      <c r="B1173" s="1">
        <v>142</v>
      </c>
      <c r="C1173" s="258" t="s">
        <v>3364</v>
      </c>
      <c r="D1173" t="s">
        <v>1280</v>
      </c>
      <c r="E1173" t="s">
        <v>1281</v>
      </c>
      <c r="F1173"/>
      <c r="H1173" s="1">
        <v>0</v>
      </c>
      <c r="I1173"/>
      <c r="J1173" t="s">
        <v>1604</v>
      </c>
      <c r="K1173" s="170">
        <v>45991</v>
      </c>
      <c r="L1173" s="1">
        <v>3092.71</v>
      </c>
      <c r="M1173" s="1">
        <v>45991</v>
      </c>
      <c r="Y1173"/>
      <c r="Z1173"/>
      <c r="AB1173"/>
    </row>
    <row r="1174" spans="1:28" ht="14.4" hidden="1">
      <c r="A1174" t="s">
        <v>197</v>
      </c>
      <c r="B1174" s="1">
        <v>143</v>
      </c>
      <c r="C1174" s="258" t="s">
        <v>3365</v>
      </c>
      <c r="D1174" t="s">
        <v>1280</v>
      </c>
      <c r="E1174" t="s">
        <v>1281</v>
      </c>
      <c r="F1174"/>
      <c r="H1174" s="1">
        <v>0</v>
      </c>
      <c r="I1174"/>
      <c r="J1174"/>
      <c r="K1174" s="170"/>
      <c r="L1174" s="1">
        <v>0</v>
      </c>
      <c r="Y1174"/>
      <c r="Z1174"/>
      <c r="AB1174"/>
    </row>
    <row r="1175" spans="1:28" ht="14.4" hidden="1">
      <c r="A1175" t="s">
        <v>197</v>
      </c>
      <c r="B1175" s="1">
        <v>147</v>
      </c>
      <c r="C1175" s="258" t="s">
        <v>3366</v>
      </c>
      <c r="D1175" t="s">
        <v>1451</v>
      </c>
      <c r="E1175" t="s">
        <v>2865</v>
      </c>
      <c r="F1175"/>
      <c r="H1175" s="1">
        <v>717500</v>
      </c>
      <c r="I1175"/>
      <c r="J1175" t="s">
        <v>3367</v>
      </c>
      <c r="K1175" s="170">
        <v>45838</v>
      </c>
      <c r="L1175" s="1">
        <v>767500</v>
      </c>
      <c r="M1175" s="1">
        <v>45834</v>
      </c>
      <c r="N1175" s="1">
        <v>1492750</v>
      </c>
      <c r="Y1175"/>
      <c r="Z1175"/>
      <c r="AB1175"/>
    </row>
    <row r="1176" spans="1:28" ht="14.4" hidden="1">
      <c r="A1176" t="s">
        <v>197</v>
      </c>
      <c r="B1176" s="1">
        <v>148</v>
      </c>
      <c r="C1176" s="258" t="s">
        <v>3368</v>
      </c>
      <c r="D1176" t="s">
        <v>1451</v>
      </c>
      <c r="E1176" t="s">
        <v>3369</v>
      </c>
      <c r="F1176"/>
      <c r="H1176" s="1">
        <v>717500</v>
      </c>
      <c r="I1176"/>
      <c r="J1176" t="s">
        <v>3367</v>
      </c>
      <c r="K1176" s="170">
        <v>45838</v>
      </c>
      <c r="L1176" s="1">
        <v>767500</v>
      </c>
      <c r="M1176" s="1">
        <v>45960</v>
      </c>
      <c r="Y1176"/>
      <c r="Z1176"/>
      <c r="AB1176"/>
    </row>
    <row r="1177" spans="1:28" ht="14.4" hidden="1">
      <c r="A1177" t="s">
        <v>197</v>
      </c>
      <c r="B1177" s="1">
        <v>150</v>
      </c>
      <c r="C1177" s="258" t="s">
        <v>3370</v>
      </c>
      <c r="D1177" t="s">
        <v>1451</v>
      </c>
      <c r="E1177" t="s">
        <v>3226</v>
      </c>
      <c r="F1177"/>
      <c r="H1177" s="1">
        <v>0</v>
      </c>
      <c r="I1177"/>
      <c r="J1177"/>
      <c r="K1177" s="170"/>
      <c r="L1177" s="1">
        <v>0</v>
      </c>
      <c r="Y1177"/>
      <c r="Z1177"/>
      <c r="AB1177"/>
    </row>
    <row r="1178" spans="1:28" ht="14.4" hidden="1">
      <c r="A1178" t="s">
        <v>197</v>
      </c>
      <c r="B1178" s="1">
        <v>151</v>
      </c>
      <c r="C1178" s="258" t="s">
        <v>3371</v>
      </c>
      <c r="D1178" t="s">
        <v>1451</v>
      </c>
      <c r="E1178" t="s">
        <v>3372</v>
      </c>
      <c r="F1178"/>
      <c r="H1178" s="1">
        <v>57750</v>
      </c>
      <c r="I1178"/>
      <c r="J1178" t="s">
        <v>3373</v>
      </c>
      <c r="K1178" s="170">
        <v>45930</v>
      </c>
      <c r="L1178" s="1">
        <v>0</v>
      </c>
      <c r="M1178" s="1">
        <v>45932</v>
      </c>
      <c r="Y1178"/>
      <c r="Z1178"/>
      <c r="AB1178"/>
    </row>
    <row r="1179" spans="1:28" ht="14.4" hidden="1">
      <c r="A1179" t="s">
        <v>200</v>
      </c>
      <c r="B1179" s="1">
        <v>6</v>
      </c>
      <c r="C1179" s="258" t="s">
        <v>3374</v>
      </c>
      <c r="D1179" t="s">
        <v>1146</v>
      </c>
      <c r="E1179" t="s">
        <v>3375</v>
      </c>
      <c r="F1179">
        <v>213</v>
      </c>
      <c r="G1179">
        <v>1128.5</v>
      </c>
      <c r="H1179" s="1">
        <v>240370.5</v>
      </c>
      <c r="I1179"/>
      <c r="J1179" t="s">
        <v>3376</v>
      </c>
      <c r="K1179" s="170">
        <v>45961</v>
      </c>
      <c r="L1179" s="1">
        <v>447965.60033721745</v>
      </c>
      <c r="M1179" s="1">
        <v>46009</v>
      </c>
      <c r="N1179" s="1">
        <v>237358.05</v>
      </c>
      <c r="Y1179"/>
      <c r="Z1179"/>
      <c r="AB1179"/>
    </row>
    <row r="1180" spans="1:28" ht="14.4" hidden="1">
      <c r="A1180" t="s">
        <v>200</v>
      </c>
      <c r="B1180" s="1">
        <v>7</v>
      </c>
      <c r="C1180" s="258" t="s">
        <v>3377</v>
      </c>
      <c r="D1180" t="s">
        <v>1146</v>
      </c>
      <c r="F1180"/>
      <c r="H1180" s="1">
        <v>0</v>
      </c>
      <c r="I1180"/>
      <c r="J1180"/>
      <c r="K1180" s="170"/>
      <c r="L1180" s="1">
        <v>0</v>
      </c>
      <c r="Y1180"/>
      <c r="Z1180"/>
      <c r="AB1180"/>
    </row>
    <row r="1181" spans="1:28" ht="14.4" hidden="1">
      <c r="A1181" t="s">
        <v>200</v>
      </c>
      <c r="B1181" s="1">
        <v>8</v>
      </c>
      <c r="C1181" s="258" t="s">
        <v>3378</v>
      </c>
      <c r="D1181" t="s">
        <v>1146</v>
      </c>
      <c r="E1181" t="s">
        <v>1150</v>
      </c>
      <c r="F1181"/>
      <c r="H1181" s="1">
        <v>5093.43</v>
      </c>
      <c r="I1181"/>
      <c r="J1181" t="s">
        <v>3376</v>
      </c>
      <c r="K1181" s="170">
        <v>45961</v>
      </c>
      <c r="L1181" s="1">
        <v>9823.6288742445249</v>
      </c>
      <c r="M1181" s="1">
        <v>46009</v>
      </c>
      <c r="Y1181"/>
      <c r="Z1181"/>
      <c r="AB1181"/>
    </row>
    <row r="1182" spans="1:28" ht="14.4" hidden="1">
      <c r="A1182" t="s">
        <v>200</v>
      </c>
      <c r="B1182" s="1">
        <v>9</v>
      </c>
      <c r="C1182" s="258" t="s">
        <v>3379</v>
      </c>
      <c r="D1182" t="s">
        <v>1146</v>
      </c>
      <c r="E1182" t="s">
        <v>3380</v>
      </c>
      <c r="F1182">
        <v>-12</v>
      </c>
      <c r="G1182">
        <v>1128.5</v>
      </c>
      <c r="H1182" s="1">
        <v>-13542</v>
      </c>
      <c r="I1182"/>
      <c r="J1182" t="s">
        <v>3381</v>
      </c>
      <c r="K1182" s="170">
        <v>45991</v>
      </c>
      <c r="M1182" s="1">
        <v>45991</v>
      </c>
      <c r="Y1182"/>
      <c r="Z1182"/>
      <c r="AB1182"/>
    </row>
    <row r="1183" spans="1:28" ht="14.4" hidden="1">
      <c r="A1183" t="s">
        <v>200</v>
      </c>
      <c r="B1183" s="1">
        <v>10</v>
      </c>
      <c r="C1183" s="258" t="s">
        <v>3382</v>
      </c>
      <c r="D1183" t="s">
        <v>1146</v>
      </c>
      <c r="E1183" t="s">
        <v>3257</v>
      </c>
      <c r="F1183"/>
      <c r="H1183" s="1">
        <v>5436.12</v>
      </c>
      <c r="I1183"/>
      <c r="J1183" t="s">
        <v>3383</v>
      </c>
      <c r="K1183" s="170">
        <v>45991</v>
      </c>
      <c r="L1183" s="1">
        <v>0</v>
      </c>
      <c r="M1183" s="1">
        <v>46009</v>
      </c>
      <c r="Y1183"/>
      <c r="Z1183"/>
      <c r="AB1183"/>
    </row>
    <row r="1184" spans="1:28" ht="14.4" hidden="1">
      <c r="A1184" t="s">
        <v>200</v>
      </c>
      <c r="B1184" s="1">
        <v>14</v>
      </c>
      <c r="C1184" s="258" t="s">
        <v>3384</v>
      </c>
      <c r="D1184" t="s">
        <v>1157</v>
      </c>
      <c r="E1184" t="s">
        <v>1369</v>
      </c>
      <c r="F1184">
        <v>1</v>
      </c>
      <c r="G1184">
        <v>65246</v>
      </c>
      <c r="H1184" s="1">
        <v>65246</v>
      </c>
      <c r="I1184"/>
      <c r="J1184" t="s">
        <v>3376</v>
      </c>
      <c r="K1184" s="170">
        <v>45961</v>
      </c>
      <c r="L1184" s="1">
        <v>97222.222222222219</v>
      </c>
      <c r="M1184" s="1">
        <v>46009</v>
      </c>
      <c r="N1184" s="1">
        <v>65246</v>
      </c>
      <c r="Y1184"/>
      <c r="Z1184"/>
      <c r="AB1184"/>
    </row>
    <row r="1185" spans="1:28" ht="14.4" hidden="1">
      <c r="A1185" t="s">
        <v>200</v>
      </c>
      <c r="B1185" s="1">
        <v>22</v>
      </c>
      <c r="C1185" s="258" t="s">
        <v>3385</v>
      </c>
      <c r="D1185" t="s">
        <v>1160</v>
      </c>
      <c r="E1185" t="s">
        <v>1161</v>
      </c>
      <c r="F1185"/>
      <c r="H1185" s="1">
        <v>27460</v>
      </c>
      <c r="I1185"/>
      <c r="J1185" t="s">
        <v>3386</v>
      </c>
      <c r="K1185" s="170">
        <v>45991</v>
      </c>
      <c r="L1185" s="1">
        <v>58665.534149007894</v>
      </c>
      <c r="M1185" s="1">
        <v>46021</v>
      </c>
      <c r="N1185" s="1">
        <v>33946</v>
      </c>
      <c r="Y1185"/>
      <c r="Z1185"/>
      <c r="AB1185"/>
    </row>
    <row r="1186" spans="1:28" ht="14.4" hidden="1">
      <c r="A1186" t="s">
        <v>200</v>
      </c>
      <c r="B1186" s="1">
        <v>23</v>
      </c>
      <c r="C1186" s="258" t="s">
        <v>3387</v>
      </c>
      <c r="D1186" t="s">
        <v>1160</v>
      </c>
      <c r="E1186" t="s">
        <v>3388</v>
      </c>
      <c r="F1186"/>
      <c r="H1186" s="1">
        <v>6486</v>
      </c>
      <c r="I1186"/>
      <c r="J1186" t="s">
        <v>3386</v>
      </c>
      <c r="K1186" s="170">
        <v>45991</v>
      </c>
      <c r="L1186" s="1">
        <v>13856.688073214322</v>
      </c>
      <c r="M1186" s="1">
        <v>46021</v>
      </c>
      <c r="Y1186"/>
      <c r="Z1186"/>
      <c r="AB1186"/>
    </row>
    <row r="1187" spans="1:28" ht="14.4" hidden="1">
      <c r="A1187" t="s">
        <v>200</v>
      </c>
      <c r="B1187" s="1">
        <v>30</v>
      </c>
      <c r="C1187" s="258" t="s">
        <v>3389</v>
      </c>
      <c r="D1187" t="s">
        <v>1165</v>
      </c>
      <c r="E1187" t="s">
        <v>3390</v>
      </c>
      <c r="F1187">
        <v>2000</v>
      </c>
      <c r="G1187">
        <v>13.5</v>
      </c>
      <c r="H1187" s="1">
        <v>27000</v>
      </c>
      <c r="I1187"/>
      <c r="J1187" t="s">
        <v>1155</v>
      </c>
      <c r="K1187" s="170">
        <v>45961</v>
      </c>
      <c r="L1187" s="1">
        <v>50199.698824675856</v>
      </c>
      <c r="M1187" s="1">
        <v>45961</v>
      </c>
      <c r="N1187" s="1">
        <v>83728.549999999988</v>
      </c>
      <c r="Y1187"/>
      <c r="Z1187"/>
      <c r="AB1187"/>
    </row>
    <row r="1188" spans="1:28" ht="14.4" hidden="1">
      <c r="A1188" t="s">
        <v>200</v>
      </c>
      <c r="B1188" s="1">
        <v>31</v>
      </c>
      <c r="C1188" s="258" t="s">
        <v>3391</v>
      </c>
      <c r="D1188" t="s">
        <v>1165</v>
      </c>
      <c r="E1188" t="s">
        <v>3392</v>
      </c>
      <c r="F1188">
        <v>2000</v>
      </c>
      <c r="G1188">
        <v>13.5</v>
      </c>
      <c r="H1188" s="1">
        <v>27000</v>
      </c>
      <c r="I1188"/>
      <c r="J1188" t="s">
        <v>1155</v>
      </c>
      <c r="K1188" s="170">
        <v>45961</v>
      </c>
      <c r="L1188" s="1">
        <v>50199.698824675856</v>
      </c>
      <c r="M1188" s="1">
        <v>45961</v>
      </c>
      <c r="Y1188"/>
      <c r="Z1188"/>
      <c r="AB1188"/>
    </row>
    <row r="1189" spans="1:28" ht="14.4" hidden="1">
      <c r="A1189" t="s">
        <v>200</v>
      </c>
      <c r="B1189" s="1">
        <v>34</v>
      </c>
      <c r="C1189" s="258" t="s">
        <v>3393</v>
      </c>
      <c r="D1189" t="s">
        <v>1165</v>
      </c>
      <c r="E1189" t="s">
        <v>1169</v>
      </c>
      <c r="F1189">
        <v>29738.6</v>
      </c>
      <c r="G1189">
        <v>0.1</v>
      </c>
      <c r="H1189" s="1">
        <v>2973.86</v>
      </c>
      <c r="I1189" t="s">
        <v>3394</v>
      </c>
      <c r="J1189" t="s">
        <v>3395</v>
      </c>
      <c r="K1189" s="170">
        <v>45961</v>
      </c>
      <c r="L1189" s="1">
        <v>5529.1435683981681</v>
      </c>
      <c r="M1189" s="1">
        <v>45967</v>
      </c>
      <c r="Y1189"/>
      <c r="Z1189"/>
      <c r="AB1189"/>
    </row>
    <row r="1190" spans="1:28" ht="14.4" hidden="1">
      <c r="A1190" t="s">
        <v>200</v>
      </c>
      <c r="B1190" s="1">
        <v>35</v>
      </c>
      <c r="C1190" s="258" t="s">
        <v>3396</v>
      </c>
      <c r="D1190" t="s">
        <v>1165</v>
      </c>
      <c r="E1190" t="s">
        <v>558</v>
      </c>
      <c r="F1190"/>
      <c r="G1190">
        <v>0.15</v>
      </c>
      <c r="H1190" s="1">
        <v>4460.79</v>
      </c>
      <c r="I1190"/>
      <c r="J1190" t="s">
        <v>3397</v>
      </c>
      <c r="K1190" s="170">
        <v>45991</v>
      </c>
      <c r="L1190" s="1">
        <v>8307.4208534066347</v>
      </c>
      <c r="M1190" s="1">
        <v>45995</v>
      </c>
      <c r="Y1190"/>
      <c r="Z1190"/>
      <c r="AB1190"/>
    </row>
    <row r="1191" spans="1:28" ht="14.4" hidden="1">
      <c r="A1191" t="s">
        <v>200</v>
      </c>
      <c r="B1191" s="1">
        <v>36</v>
      </c>
      <c r="C1191" s="258" t="s">
        <v>3398</v>
      </c>
      <c r="D1191" t="s">
        <v>1165</v>
      </c>
      <c r="E1191" t="s">
        <v>1175</v>
      </c>
      <c r="F1191"/>
      <c r="G1191">
        <v>0.1</v>
      </c>
      <c r="H1191" s="1">
        <v>2973.86</v>
      </c>
      <c r="I1191"/>
      <c r="J1191" t="s">
        <v>3399</v>
      </c>
      <c r="K1191" s="170">
        <v>45991</v>
      </c>
      <c r="L1191" s="1">
        <v>5529.807235604424</v>
      </c>
      <c r="M1191" s="1">
        <v>45995</v>
      </c>
      <c r="Y1191"/>
      <c r="Z1191"/>
      <c r="AB1191"/>
    </row>
    <row r="1192" spans="1:28" ht="14.4" hidden="1">
      <c r="A1192" t="s">
        <v>200</v>
      </c>
      <c r="B1192" s="1">
        <v>37</v>
      </c>
      <c r="C1192" s="258" t="s">
        <v>3400</v>
      </c>
      <c r="D1192" t="s">
        <v>1165</v>
      </c>
      <c r="E1192" t="s">
        <v>1175</v>
      </c>
      <c r="F1192"/>
      <c r="G1192">
        <v>0.1</v>
      </c>
      <c r="H1192" s="1">
        <v>2973.82</v>
      </c>
      <c r="I1192"/>
      <c r="J1192" t="s">
        <v>3401</v>
      </c>
      <c r="K1192" s="170">
        <v>46022</v>
      </c>
      <c r="L1192" s="1">
        <v>5529.7328567535615</v>
      </c>
      <c r="M1192" s="1">
        <v>46009</v>
      </c>
      <c r="Y1192"/>
      <c r="Z1192"/>
      <c r="AB1192"/>
    </row>
    <row r="1193" spans="1:28" ht="14.4" hidden="1">
      <c r="A1193" t="s">
        <v>200</v>
      </c>
      <c r="B1193" s="1">
        <v>38</v>
      </c>
      <c r="C1193" s="258" t="s">
        <v>3402</v>
      </c>
      <c r="D1193" t="s">
        <v>1165</v>
      </c>
      <c r="E1193" t="s">
        <v>1178</v>
      </c>
      <c r="F1193"/>
      <c r="G1193">
        <v>0.2</v>
      </c>
      <c r="H1193" s="1">
        <v>5947.72</v>
      </c>
      <c r="I1193"/>
      <c r="J1193" t="s">
        <v>3399</v>
      </c>
      <c r="K1193" s="170">
        <v>45991</v>
      </c>
      <c r="L1193" s="1">
        <v>11059.614471208848</v>
      </c>
      <c r="M1193" s="1">
        <v>46009</v>
      </c>
      <c r="Y1193"/>
      <c r="Z1193"/>
      <c r="AB1193"/>
    </row>
    <row r="1194" spans="1:28" ht="14.4" hidden="1">
      <c r="A1194" t="s">
        <v>200</v>
      </c>
      <c r="B1194" s="1">
        <v>39</v>
      </c>
      <c r="C1194" s="258" t="s">
        <v>3403</v>
      </c>
      <c r="D1194" t="s">
        <v>1165</v>
      </c>
      <c r="E1194" t="s">
        <v>1178</v>
      </c>
      <c r="F1194"/>
      <c r="G1194">
        <v>0.05</v>
      </c>
      <c r="H1194" s="1">
        <v>1486.93</v>
      </c>
      <c r="I1194"/>
      <c r="J1194" t="s">
        <v>3404</v>
      </c>
      <c r="K1194" s="170">
        <v>45991</v>
      </c>
      <c r="L1194" s="1">
        <v>2764.903617802212</v>
      </c>
      <c r="M1194" s="1">
        <v>46031</v>
      </c>
      <c r="Y1194"/>
      <c r="Z1194"/>
      <c r="AB1194"/>
    </row>
    <row r="1195" spans="1:28" ht="14.4" hidden="1">
      <c r="A1195" t="s">
        <v>200</v>
      </c>
      <c r="B1195" s="1">
        <v>40</v>
      </c>
      <c r="C1195" s="258" t="s">
        <v>3405</v>
      </c>
      <c r="D1195" t="s">
        <v>1165</v>
      </c>
      <c r="E1195" t="s">
        <v>1181</v>
      </c>
      <c r="F1195"/>
      <c r="G1195">
        <v>0.1</v>
      </c>
      <c r="H1195" s="1">
        <v>2973.86</v>
      </c>
      <c r="I1195"/>
      <c r="J1195" t="s">
        <v>3406</v>
      </c>
      <c r="K1195" s="170">
        <v>45991</v>
      </c>
      <c r="L1195" s="1">
        <v>5529.807235604424</v>
      </c>
      <c r="M1195" s="1">
        <v>46051</v>
      </c>
      <c r="Y1195"/>
      <c r="Z1195"/>
      <c r="AB1195"/>
    </row>
    <row r="1196" spans="1:28" ht="14.4" hidden="1">
      <c r="A1196" t="s">
        <v>200</v>
      </c>
      <c r="B1196" s="1">
        <v>41</v>
      </c>
      <c r="C1196" s="258" t="s">
        <v>3407</v>
      </c>
      <c r="D1196" t="s">
        <v>1165</v>
      </c>
      <c r="E1196" t="s">
        <v>1184</v>
      </c>
      <c r="F1196"/>
      <c r="G1196">
        <v>0.1</v>
      </c>
      <c r="H1196" s="1">
        <v>2973.86</v>
      </c>
      <c r="I1196"/>
      <c r="J1196" t="s">
        <v>3408</v>
      </c>
      <c r="K1196" s="170">
        <v>45991</v>
      </c>
      <c r="L1196" s="1">
        <v>5529.807235604424</v>
      </c>
      <c r="M1196" s="1">
        <v>46058</v>
      </c>
      <c r="Y1196"/>
      <c r="Z1196"/>
      <c r="AB1196"/>
    </row>
    <row r="1197" spans="1:28" ht="14.4" hidden="1">
      <c r="A1197" t="s">
        <v>200</v>
      </c>
      <c r="B1197" s="1">
        <v>42</v>
      </c>
      <c r="C1197" s="258" t="s">
        <v>3409</v>
      </c>
      <c r="D1197" t="s">
        <v>1165</v>
      </c>
      <c r="E1197" t="s">
        <v>1187</v>
      </c>
      <c r="F1197"/>
      <c r="G1197">
        <v>0.05</v>
      </c>
      <c r="H1197" s="1">
        <v>1486.93</v>
      </c>
      <c r="I1197"/>
      <c r="J1197" t="s">
        <v>3410</v>
      </c>
      <c r="K1197" s="170">
        <v>45991</v>
      </c>
      <c r="L1197" s="1">
        <v>2764.903617802212</v>
      </c>
      <c r="M1197" s="1">
        <v>46058</v>
      </c>
      <c r="Y1197"/>
      <c r="Z1197"/>
      <c r="AB1197"/>
    </row>
    <row r="1198" spans="1:28" ht="14.4" hidden="1">
      <c r="A1198" t="s">
        <v>200</v>
      </c>
      <c r="B1198" s="1">
        <v>43</v>
      </c>
      <c r="C1198" s="258" t="s">
        <v>3411</v>
      </c>
      <c r="D1198" t="s">
        <v>1165</v>
      </c>
      <c r="E1198" t="s">
        <v>1190</v>
      </c>
      <c r="F1198"/>
      <c r="G1198">
        <v>0.05</v>
      </c>
      <c r="H1198" s="1">
        <v>1476.92</v>
      </c>
      <c r="I1198"/>
      <c r="J1198" t="s">
        <v>3412</v>
      </c>
      <c r="K1198" s="170">
        <v>45991</v>
      </c>
      <c r="L1198" s="1">
        <v>2746.2903103740209</v>
      </c>
      <c r="M1198" s="1">
        <v>46088</v>
      </c>
      <c r="Y1198"/>
      <c r="Z1198"/>
      <c r="AB1198"/>
    </row>
    <row r="1199" spans="1:28" ht="14.4" hidden="1">
      <c r="A1199" t="s">
        <v>200</v>
      </c>
      <c r="B1199" s="1">
        <v>48</v>
      </c>
      <c r="C1199" s="258" t="s">
        <v>3413</v>
      </c>
      <c r="D1199" t="s">
        <v>1193</v>
      </c>
      <c r="E1199" t="s">
        <v>1489</v>
      </c>
      <c r="F1199"/>
      <c r="H1199" s="1">
        <v>8598.34</v>
      </c>
      <c r="I1199"/>
      <c r="J1199" t="s">
        <v>3414</v>
      </c>
      <c r="K1199" s="170">
        <v>45991</v>
      </c>
      <c r="L1199" s="1">
        <v>10016.003084972368</v>
      </c>
      <c r="M1199" s="1">
        <v>46031</v>
      </c>
      <c r="N1199" s="1">
        <v>58278</v>
      </c>
      <c r="Y1199"/>
      <c r="Z1199"/>
      <c r="AB1199"/>
    </row>
    <row r="1200" spans="1:28" ht="14.4" hidden="1">
      <c r="A1200" t="s">
        <v>200</v>
      </c>
      <c r="B1200" s="1">
        <v>49</v>
      </c>
      <c r="C1200" s="258" t="s">
        <v>3415</v>
      </c>
      <c r="D1200" t="s">
        <v>1193</v>
      </c>
      <c r="E1200" t="s">
        <v>1461</v>
      </c>
      <c r="F1200"/>
      <c r="H1200" s="1">
        <v>100</v>
      </c>
      <c r="I1200"/>
      <c r="J1200" t="s">
        <v>3414</v>
      </c>
      <c r="K1200" s="170">
        <v>45991</v>
      </c>
      <c r="L1200" s="1">
        <v>119.44181184940776</v>
      </c>
      <c r="M1200" s="1">
        <v>46031</v>
      </c>
      <c r="Y1200"/>
      <c r="Z1200"/>
      <c r="AB1200"/>
    </row>
    <row r="1201" spans="1:28" ht="14.4" hidden="1">
      <c r="A1201" t="s">
        <v>200</v>
      </c>
      <c r="B1201" s="1">
        <v>50</v>
      </c>
      <c r="C1201" s="258" t="s">
        <v>3416</v>
      </c>
      <c r="D1201" t="s">
        <v>1193</v>
      </c>
      <c r="E1201" t="s">
        <v>1196</v>
      </c>
      <c r="F1201"/>
      <c r="H1201" s="1">
        <v>24561</v>
      </c>
      <c r="I1201" t="s">
        <v>3417</v>
      </c>
      <c r="J1201" t="s">
        <v>3418</v>
      </c>
      <c r="K1201" s="170">
        <v>45961</v>
      </c>
      <c r="L1201" s="1">
        <v>29559.1702255249</v>
      </c>
      <c r="M1201" s="1">
        <v>45991</v>
      </c>
      <c r="Y1201"/>
      <c r="Z1201"/>
      <c r="AB1201"/>
    </row>
    <row r="1202" spans="1:28" ht="14.4" hidden="1">
      <c r="A1202" t="s">
        <v>200</v>
      </c>
      <c r="B1202" s="1">
        <v>51</v>
      </c>
      <c r="C1202" s="258" t="s">
        <v>3419</v>
      </c>
      <c r="D1202" t="s">
        <v>1193</v>
      </c>
      <c r="E1202" t="s">
        <v>1200</v>
      </c>
      <c r="F1202"/>
      <c r="H1202" s="1">
        <v>22338</v>
      </c>
      <c r="I1202"/>
      <c r="J1202" t="s">
        <v>3420</v>
      </c>
      <c r="K1202" s="170">
        <v>45961</v>
      </c>
      <c r="L1202" s="1">
        <v>26710.130970961076</v>
      </c>
      <c r="M1202" s="1">
        <v>45991</v>
      </c>
      <c r="Y1202"/>
      <c r="Z1202"/>
      <c r="AB1202"/>
    </row>
    <row r="1203" spans="1:28" ht="14.4" hidden="1">
      <c r="A1203" t="s">
        <v>200</v>
      </c>
      <c r="B1203" s="1">
        <v>52</v>
      </c>
      <c r="C1203" s="258" t="s">
        <v>3421</v>
      </c>
      <c r="D1203" t="s">
        <v>1193</v>
      </c>
      <c r="E1203" t="s">
        <v>3422</v>
      </c>
      <c r="F1203"/>
      <c r="H1203" s="1">
        <v>343.33</v>
      </c>
      <c r="I1203"/>
      <c r="J1203" t="s">
        <v>3423</v>
      </c>
      <c r="K1203" s="170">
        <v>45961</v>
      </c>
      <c r="L1203" s="1">
        <v>410.52866264930014</v>
      </c>
      <c r="M1203" s="1">
        <v>45991</v>
      </c>
      <c r="Y1203"/>
      <c r="Z1203"/>
      <c r="AB1203"/>
    </row>
    <row r="1204" spans="1:28" ht="14.4" hidden="1">
      <c r="A1204" t="s">
        <v>200</v>
      </c>
      <c r="B1204" s="1">
        <v>53</v>
      </c>
      <c r="C1204" s="258" t="s">
        <v>3424</v>
      </c>
      <c r="D1204" t="s">
        <v>1193</v>
      </c>
      <c r="E1204" t="s">
        <v>1503</v>
      </c>
      <c r="F1204"/>
      <c r="H1204" s="1">
        <v>975</v>
      </c>
      <c r="I1204"/>
      <c r="J1204" t="s">
        <v>1207</v>
      </c>
      <c r="K1204" s="170">
        <v>45961</v>
      </c>
      <c r="L1204" s="1">
        <v>1165.8330063876376</v>
      </c>
      <c r="M1204" s="1">
        <v>45968</v>
      </c>
      <c r="Y1204"/>
      <c r="Z1204"/>
      <c r="AB1204"/>
    </row>
    <row r="1205" spans="1:28" ht="14.4" hidden="1">
      <c r="A1205" t="s">
        <v>200</v>
      </c>
      <c r="B1205" s="1">
        <v>54</v>
      </c>
      <c r="C1205" s="258" t="s">
        <v>3425</v>
      </c>
      <c r="D1205" t="s">
        <v>1193</v>
      </c>
      <c r="E1205" t="s">
        <v>3426</v>
      </c>
      <c r="F1205"/>
      <c r="H1205" s="1">
        <v>21.33</v>
      </c>
      <c r="I1205"/>
      <c r="J1205" t="s">
        <v>3427</v>
      </c>
      <c r="K1205" s="170">
        <v>45991</v>
      </c>
      <c r="L1205" s="1">
        <v>25.476938467478679</v>
      </c>
      <c r="M1205" s="1">
        <v>45973</v>
      </c>
      <c r="Y1205"/>
      <c r="Z1205"/>
      <c r="AB1205"/>
    </row>
    <row r="1206" spans="1:28" ht="14.4" hidden="1">
      <c r="A1206" t="s">
        <v>200</v>
      </c>
      <c r="B1206" s="1">
        <v>55</v>
      </c>
      <c r="C1206" s="258" t="s">
        <v>3428</v>
      </c>
      <c r="D1206" t="s">
        <v>1193</v>
      </c>
      <c r="F1206"/>
      <c r="H1206" s="1">
        <v>41</v>
      </c>
      <c r="I1206"/>
      <c r="J1206" t="s">
        <v>3427</v>
      </c>
      <c r="K1206" s="170">
        <v>45991</v>
      </c>
      <c r="L1206" s="1">
        <v>48.971142858257181</v>
      </c>
      <c r="M1206" s="1">
        <v>45990</v>
      </c>
      <c r="Y1206"/>
      <c r="Z1206"/>
      <c r="AB1206"/>
    </row>
    <row r="1207" spans="1:28" ht="14.4" hidden="1">
      <c r="A1207" t="s">
        <v>200</v>
      </c>
      <c r="B1207" s="1">
        <v>56</v>
      </c>
      <c r="C1207" s="258" t="s">
        <v>3429</v>
      </c>
      <c r="D1207" t="s">
        <v>1193</v>
      </c>
      <c r="E1207" t="s">
        <v>1209</v>
      </c>
      <c r="F1207"/>
      <c r="H1207" s="1">
        <v>1300</v>
      </c>
      <c r="I1207"/>
      <c r="J1207" t="s">
        <v>1155</v>
      </c>
      <c r="K1207" s="170">
        <v>46022</v>
      </c>
      <c r="M1207" s="1">
        <v>46022</v>
      </c>
      <c r="Y1207"/>
      <c r="Z1207"/>
      <c r="AB1207"/>
    </row>
    <row r="1208" spans="1:28" ht="14.4" hidden="1">
      <c r="A1208" t="s">
        <v>200</v>
      </c>
      <c r="B1208" s="1">
        <v>60</v>
      </c>
      <c r="C1208" s="258" t="s">
        <v>3430</v>
      </c>
      <c r="D1208" t="s">
        <v>1211</v>
      </c>
      <c r="E1208" t="s">
        <v>1212</v>
      </c>
      <c r="F1208"/>
      <c r="H1208" s="1">
        <v>60403.57</v>
      </c>
      <c r="I1208" t="s">
        <v>3431</v>
      </c>
      <c r="J1208" t="s">
        <v>3432</v>
      </c>
      <c r="K1208" s="170">
        <v>45991</v>
      </c>
      <c r="L1208" s="1">
        <v>136435.66124022947</v>
      </c>
      <c r="M1208" s="1">
        <v>46021</v>
      </c>
      <c r="Y1208"/>
      <c r="Z1208"/>
      <c r="AB1208"/>
    </row>
    <row r="1209" spans="1:28" ht="14.4" hidden="1">
      <c r="A1209" t="s">
        <v>200</v>
      </c>
      <c r="B1209" s="1">
        <v>65</v>
      </c>
      <c r="C1209" s="258" t="s">
        <v>3433</v>
      </c>
      <c r="D1209" t="s">
        <v>1211</v>
      </c>
      <c r="E1209" t="s">
        <v>1169</v>
      </c>
      <c r="F1209">
        <v>34122.6</v>
      </c>
      <c r="G1209">
        <v>0.1</v>
      </c>
      <c r="H1209" s="1">
        <v>3412.26</v>
      </c>
      <c r="I1209" t="s">
        <v>3394</v>
      </c>
      <c r="J1209" t="s">
        <v>3395</v>
      </c>
      <c r="K1209" s="170">
        <v>45961</v>
      </c>
      <c r="L1209" s="1">
        <v>7707.3896612555773</v>
      </c>
      <c r="M1209" s="1">
        <v>45967</v>
      </c>
      <c r="Y1209"/>
      <c r="Z1209"/>
      <c r="AB1209"/>
    </row>
    <row r="1210" spans="1:28" ht="14.4" hidden="1">
      <c r="A1210" t="s">
        <v>200</v>
      </c>
      <c r="B1210" s="1">
        <v>66</v>
      </c>
      <c r="C1210" s="258" t="s">
        <v>3434</v>
      </c>
      <c r="D1210" t="s">
        <v>1211</v>
      </c>
      <c r="E1210" t="s">
        <v>558</v>
      </c>
      <c r="F1210"/>
      <c r="G1210">
        <v>0.15</v>
      </c>
      <c r="H1210" s="1">
        <v>5118.3899999999994</v>
      </c>
      <c r="I1210"/>
      <c r="J1210" t="s">
        <v>3397</v>
      </c>
      <c r="K1210" s="170">
        <v>45991</v>
      </c>
      <c r="L1210" s="1">
        <v>11561.086937996844</v>
      </c>
      <c r="M1210" s="1">
        <v>45995</v>
      </c>
      <c r="Y1210"/>
      <c r="Z1210"/>
      <c r="AB1210"/>
    </row>
    <row r="1211" spans="1:28" ht="14.4" hidden="1">
      <c r="A1211" t="s">
        <v>200</v>
      </c>
      <c r="B1211" s="1">
        <v>67</v>
      </c>
      <c r="C1211" s="258" t="s">
        <v>3435</v>
      </c>
      <c r="D1211" t="s">
        <v>1211</v>
      </c>
      <c r="E1211" t="s">
        <v>1175</v>
      </c>
      <c r="F1211"/>
      <c r="G1211">
        <v>0.1</v>
      </c>
      <c r="H1211" s="1">
        <v>3412.26</v>
      </c>
      <c r="I1211"/>
      <c r="J1211" t="s">
        <v>3399</v>
      </c>
      <c r="K1211" s="170">
        <v>45991</v>
      </c>
      <c r="L1211" s="1">
        <v>7707.3912919978957</v>
      </c>
      <c r="M1211" s="1">
        <v>45995</v>
      </c>
      <c r="Y1211"/>
      <c r="Z1211"/>
      <c r="AB1211"/>
    </row>
    <row r="1212" spans="1:28" ht="14.4" hidden="1">
      <c r="A1212" t="s">
        <v>200</v>
      </c>
      <c r="B1212" s="1">
        <v>68</v>
      </c>
      <c r="C1212" s="258" t="s">
        <v>3436</v>
      </c>
      <c r="D1212" t="s">
        <v>1211</v>
      </c>
      <c r="E1212" t="s">
        <v>1175</v>
      </c>
      <c r="F1212"/>
      <c r="G1212">
        <v>0.1</v>
      </c>
      <c r="H1212" s="1">
        <v>3412.24</v>
      </c>
      <c r="I1212"/>
      <c r="J1212" t="s">
        <v>3401</v>
      </c>
      <c r="K1212" s="170">
        <v>46022</v>
      </c>
      <c r="L1212" s="1">
        <v>7707.3461172967181</v>
      </c>
      <c r="M1212" s="1">
        <v>46009</v>
      </c>
      <c r="Y1212"/>
      <c r="Z1212"/>
      <c r="AB1212"/>
    </row>
    <row r="1213" spans="1:28" ht="14.4" hidden="1">
      <c r="A1213" t="s">
        <v>200</v>
      </c>
      <c r="B1213" s="1">
        <v>69</v>
      </c>
      <c r="C1213" s="258" t="s">
        <v>3437</v>
      </c>
      <c r="D1213" t="s">
        <v>1211</v>
      </c>
      <c r="E1213" t="s">
        <v>1178</v>
      </c>
      <c r="F1213"/>
      <c r="G1213">
        <v>0.2</v>
      </c>
      <c r="H1213" s="1">
        <v>6824.52</v>
      </c>
      <c r="I1213"/>
      <c r="J1213" t="s">
        <v>3399</v>
      </c>
      <c r="K1213" s="170">
        <v>45991</v>
      </c>
      <c r="L1213" s="1">
        <v>15414.782583995791</v>
      </c>
      <c r="M1213" s="1">
        <v>46009</v>
      </c>
      <c r="Y1213"/>
      <c r="Z1213"/>
      <c r="AB1213"/>
    </row>
    <row r="1214" spans="1:28" ht="14.4" hidden="1">
      <c r="A1214" t="s">
        <v>200</v>
      </c>
      <c r="B1214" s="1">
        <v>70</v>
      </c>
      <c r="C1214" s="258" t="s">
        <v>3438</v>
      </c>
      <c r="D1214" t="s">
        <v>1211</v>
      </c>
      <c r="E1214" t="s">
        <v>1178</v>
      </c>
      <c r="F1214"/>
      <c r="G1214">
        <v>0.05</v>
      </c>
      <c r="H1214" s="1">
        <v>1706.13</v>
      </c>
      <c r="I1214"/>
      <c r="J1214" t="s">
        <v>3404</v>
      </c>
      <c r="K1214" s="170">
        <v>45991</v>
      </c>
      <c r="L1214" s="1">
        <v>3853.6956459989478</v>
      </c>
      <c r="M1214" s="1">
        <v>46031</v>
      </c>
      <c r="Y1214"/>
      <c r="Z1214"/>
      <c r="AB1214"/>
    </row>
    <row r="1215" spans="1:28" ht="14.4" hidden="1">
      <c r="A1215" t="s">
        <v>200</v>
      </c>
      <c r="B1215" s="1">
        <v>71</v>
      </c>
      <c r="C1215" s="258" t="s">
        <v>3439</v>
      </c>
      <c r="D1215" t="s">
        <v>1211</v>
      </c>
      <c r="E1215" t="s">
        <v>1181</v>
      </c>
      <c r="F1215"/>
      <c r="G1215">
        <v>0.1</v>
      </c>
      <c r="H1215" s="1">
        <v>3412.26</v>
      </c>
      <c r="I1215"/>
      <c r="J1215" t="s">
        <v>3406</v>
      </c>
      <c r="K1215" s="170">
        <v>45991</v>
      </c>
      <c r="L1215" s="1">
        <v>7707.3912919978957</v>
      </c>
      <c r="M1215" s="1">
        <v>46051</v>
      </c>
      <c r="Y1215"/>
      <c r="Z1215"/>
      <c r="AB1215"/>
    </row>
    <row r="1216" spans="1:28" ht="14.4" hidden="1">
      <c r="A1216" t="s">
        <v>200</v>
      </c>
      <c r="B1216" s="1">
        <v>72</v>
      </c>
      <c r="C1216" s="258" t="s">
        <v>3440</v>
      </c>
      <c r="D1216" t="s">
        <v>1211</v>
      </c>
      <c r="E1216" t="s">
        <v>1184</v>
      </c>
      <c r="F1216"/>
      <c r="G1216">
        <v>0.1</v>
      </c>
      <c r="H1216" s="1">
        <v>3412.26</v>
      </c>
      <c r="I1216"/>
      <c r="J1216" t="s">
        <v>3408</v>
      </c>
      <c r="K1216" s="170">
        <v>45991</v>
      </c>
      <c r="L1216" s="1">
        <v>7707.3912919978957</v>
      </c>
      <c r="M1216" s="1">
        <v>46058</v>
      </c>
      <c r="Y1216"/>
      <c r="Z1216"/>
      <c r="AB1216"/>
    </row>
    <row r="1217" spans="1:28" ht="14.4" hidden="1">
      <c r="A1217" t="s">
        <v>200</v>
      </c>
      <c r="B1217" s="1">
        <v>73</v>
      </c>
      <c r="C1217" s="258" t="s">
        <v>3441</v>
      </c>
      <c r="D1217" t="s">
        <v>1211</v>
      </c>
      <c r="E1217" t="s">
        <v>1187</v>
      </c>
      <c r="F1217"/>
      <c r="G1217">
        <v>0.05</v>
      </c>
      <c r="H1217" s="1">
        <v>1706.13</v>
      </c>
      <c r="I1217"/>
      <c r="J1217" t="s">
        <v>3410</v>
      </c>
      <c r="K1217" s="170">
        <v>45991</v>
      </c>
      <c r="L1217" s="1">
        <v>3853.6956459989478</v>
      </c>
      <c r="M1217" s="1">
        <v>46058</v>
      </c>
      <c r="Y1217"/>
      <c r="Z1217"/>
      <c r="AB1217"/>
    </row>
    <row r="1218" spans="1:28" ht="14.4" hidden="1">
      <c r="A1218" t="s">
        <v>200</v>
      </c>
      <c r="B1218" s="1">
        <v>74</v>
      </c>
      <c r="C1218" s="258" t="s">
        <v>3442</v>
      </c>
      <c r="D1218" t="s">
        <v>1211</v>
      </c>
      <c r="E1218" t="s">
        <v>1190</v>
      </c>
      <c r="F1218"/>
      <c r="G1218">
        <v>0.05</v>
      </c>
      <c r="H1218" s="1">
        <v>1706.13</v>
      </c>
      <c r="I1218"/>
      <c r="J1218" t="s">
        <v>3412</v>
      </c>
      <c r="K1218" s="170">
        <v>45991</v>
      </c>
      <c r="L1218" s="1">
        <v>3853.6956459989478</v>
      </c>
      <c r="M1218" s="1">
        <v>46088</v>
      </c>
      <c r="Y1218"/>
      <c r="Z1218"/>
      <c r="AB1218"/>
    </row>
    <row r="1219" spans="1:28" ht="14.4" hidden="1">
      <c r="A1219" t="s">
        <v>200</v>
      </c>
      <c r="B1219" s="1">
        <v>89</v>
      </c>
      <c r="C1219" s="258" t="s">
        <v>3443</v>
      </c>
      <c r="D1219" t="s">
        <v>1224</v>
      </c>
      <c r="E1219" t="s">
        <v>3319</v>
      </c>
      <c r="F1219">
        <v>16450</v>
      </c>
      <c r="G1219">
        <v>0.7</v>
      </c>
      <c r="H1219" s="1">
        <v>11515</v>
      </c>
      <c r="I1219" t="s">
        <v>3444</v>
      </c>
      <c r="J1219" t="s">
        <v>3445</v>
      </c>
      <c r="K1219" s="170">
        <v>45961</v>
      </c>
      <c r="L1219" s="1">
        <v>31111.111111111109</v>
      </c>
      <c r="M1219" s="1">
        <v>45954</v>
      </c>
      <c r="Y1219"/>
      <c r="Z1219"/>
      <c r="AB1219"/>
    </row>
    <row r="1220" spans="1:28" ht="14.4" hidden="1">
      <c r="A1220" t="s">
        <v>200</v>
      </c>
      <c r="B1220" s="1">
        <v>90</v>
      </c>
      <c r="C1220" s="258" t="s">
        <v>3446</v>
      </c>
      <c r="D1220" t="s">
        <v>1224</v>
      </c>
      <c r="F1220"/>
      <c r="G1220">
        <v>0.3</v>
      </c>
      <c r="H1220" s="1">
        <v>4935</v>
      </c>
      <c r="I1220"/>
      <c r="J1220" t="s">
        <v>3445</v>
      </c>
      <c r="K1220" s="170">
        <v>45961</v>
      </c>
      <c r="L1220" s="1">
        <v>13333.333333333334</v>
      </c>
      <c r="M1220" s="1">
        <v>45995</v>
      </c>
      <c r="Y1220"/>
      <c r="Z1220"/>
      <c r="AB1220"/>
    </row>
    <row r="1221" spans="1:28" ht="14.4" hidden="1">
      <c r="A1221" t="s">
        <v>200</v>
      </c>
      <c r="B1221" s="1">
        <v>91</v>
      </c>
      <c r="C1221" s="258" t="s">
        <v>3447</v>
      </c>
      <c r="D1221" t="s">
        <v>1224</v>
      </c>
      <c r="F1221"/>
      <c r="H1221" s="1">
        <v>-16450</v>
      </c>
      <c r="I1221"/>
      <c r="J1221" t="s">
        <v>3448</v>
      </c>
      <c r="K1221" s="170">
        <v>45991</v>
      </c>
      <c r="L1221" s="1">
        <v>0</v>
      </c>
      <c r="M1221" s="1">
        <v>45995</v>
      </c>
      <c r="Y1221"/>
      <c r="Z1221"/>
      <c r="AB1221"/>
    </row>
    <row r="1222" spans="1:28" ht="14.4" hidden="1">
      <c r="A1222" t="s">
        <v>200</v>
      </c>
      <c r="B1222" s="1">
        <v>92</v>
      </c>
      <c r="C1222" s="258" t="s">
        <v>3449</v>
      </c>
      <c r="D1222" t="s">
        <v>1224</v>
      </c>
      <c r="F1222"/>
      <c r="H1222" s="1">
        <v>24900</v>
      </c>
      <c r="I1222"/>
      <c r="J1222" t="s">
        <v>3445</v>
      </c>
      <c r="K1222" s="170">
        <v>45991</v>
      </c>
      <c r="L1222" s="1">
        <v>0</v>
      </c>
      <c r="M1222" s="1">
        <v>45995</v>
      </c>
      <c r="Y1222"/>
      <c r="Z1222"/>
      <c r="AB1222"/>
    </row>
    <row r="1223" spans="1:28" ht="14.4" hidden="1">
      <c r="A1223" t="s">
        <v>200</v>
      </c>
      <c r="B1223" s="1">
        <v>99</v>
      </c>
      <c r="C1223" s="258" t="s">
        <v>3450</v>
      </c>
      <c r="D1223" t="s">
        <v>1246</v>
      </c>
      <c r="E1223" t="s">
        <v>1169</v>
      </c>
      <c r="F1223">
        <v>185986.21</v>
      </c>
      <c r="G1223">
        <v>0.1</v>
      </c>
      <c r="H1223" s="1">
        <v>18598.620999999999</v>
      </c>
      <c r="I1223" t="s">
        <v>3394</v>
      </c>
      <c r="J1223" t="s">
        <v>3395</v>
      </c>
      <c r="K1223" s="170">
        <v>45961</v>
      </c>
      <c r="L1223" s="1">
        <v>11532.222222222224</v>
      </c>
      <c r="M1223" s="1">
        <v>45967</v>
      </c>
      <c r="Y1223"/>
      <c r="Z1223"/>
      <c r="AB1223"/>
    </row>
    <row r="1224" spans="1:28" ht="14.4" hidden="1">
      <c r="A1224" t="s">
        <v>200</v>
      </c>
      <c r="B1224" s="1">
        <v>100</v>
      </c>
      <c r="C1224" s="258" t="s">
        <v>3451</v>
      </c>
      <c r="D1224" t="s">
        <v>1246</v>
      </c>
      <c r="E1224" t="s">
        <v>558</v>
      </c>
      <c r="F1224"/>
      <c r="G1224">
        <v>0.15</v>
      </c>
      <c r="H1224" s="1">
        <v>27897.931499999999</v>
      </c>
      <c r="I1224"/>
      <c r="J1224" t="s">
        <v>3397</v>
      </c>
      <c r="K1224" s="170">
        <v>45991</v>
      </c>
      <c r="L1224" s="1">
        <v>17306.088135734488</v>
      </c>
      <c r="M1224" s="1">
        <v>45995</v>
      </c>
      <c r="Y1224"/>
      <c r="Z1224"/>
      <c r="AB1224"/>
    </row>
    <row r="1225" spans="1:28" ht="14.4" hidden="1">
      <c r="A1225" t="s">
        <v>200</v>
      </c>
      <c r="B1225" s="1">
        <v>101</v>
      </c>
      <c r="C1225" s="258" t="s">
        <v>3452</v>
      </c>
      <c r="D1225" t="s">
        <v>1246</v>
      </c>
      <c r="E1225" t="s">
        <v>1175</v>
      </c>
      <c r="F1225"/>
      <c r="G1225">
        <v>0.1</v>
      </c>
      <c r="H1225" s="1">
        <v>18598.599999999999</v>
      </c>
      <c r="I1225"/>
      <c r="J1225" t="s">
        <v>3399</v>
      </c>
      <c r="K1225" s="170">
        <v>45991</v>
      </c>
      <c r="L1225" s="1">
        <v>11535.312399102831</v>
      </c>
      <c r="M1225" s="1">
        <v>45995</v>
      </c>
      <c r="Y1225"/>
      <c r="Z1225"/>
      <c r="AB1225"/>
    </row>
    <row r="1226" spans="1:28" ht="14.4" hidden="1">
      <c r="A1226" t="s">
        <v>200</v>
      </c>
      <c r="B1226" s="1">
        <v>102</v>
      </c>
      <c r="C1226" s="258" t="s">
        <v>3453</v>
      </c>
      <c r="D1226" t="s">
        <v>1246</v>
      </c>
      <c r="E1226" t="s">
        <v>1175</v>
      </c>
      <c r="F1226"/>
      <c r="G1226">
        <v>0.1</v>
      </c>
      <c r="H1226" s="1">
        <v>18598.599999999999</v>
      </c>
      <c r="I1226"/>
      <c r="J1226" t="s">
        <v>3401</v>
      </c>
      <c r="K1226" s="170">
        <v>46022</v>
      </c>
      <c r="L1226" s="1">
        <v>11535.325423822993</v>
      </c>
      <c r="M1226" s="1">
        <v>46009</v>
      </c>
      <c r="Y1226"/>
      <c r="Z1226"/>
      <c r="AB1226"/>
    </row>
    <row r="1227" spans="1:28" ht="14.4" hidden="1">
      <c r="A1227" t="s">
        <v>200</v>
      </c>
      <c r="B1227" s="1">
        <v>103</v>
      </c>
      <c r="C1227" s="258" t="s">
        <v>3454</v>
      </c>
      <c r="D1227" t="s">
        <v>1246</v>
      </c>
      <c r="E1227" t="s">
        <v>1178</v>
      </c>
      <c r="F1227"/>
      <c r="G1227">
        <v>0.2</v>
      </c>
      <c r="H1227" s="1">
        <v>37197.241999999998</v>
      </c>
      <c r="I1227"/>
      <c r="J1227" t="s">
        <v>3399</v>
      </c>
      <c r="K1227" s="170">
        <v>45991</v>
      </c>
      <c r="L1227" s="1">
        <v>23070.650847645986</v>
      </c>
      <c r="M1227" s="1">
        <v>46009</v>
      </c>
      <c r="Y1227"/>
      <c r="Z1227"/>
      <c r="AB1227"/>
    </row>
    <row r="1228" spans="1:28" ht="14.4" hidden="1">
      <c r="A1228" t="s">
        <v>200</v>
      </c>
      <c r="B1228" s="1">
        <v>104</v>
      </c>
      <c r="C1228" s="258" t="s">
        <v>3455</v>
      </c>
      <c r="D1228" t="s">
        <v>1246</v>
      </c>
      <c r="E1228" t="s">
        <v>1178</v>
      </c>
      <c r="F1228"/>
      <c r="G1228">
        <v>0.05</v>
      </c>
      <c r="H1228" s="1">
        <v>9299.3104999999996</v>
      </c>
      <c r="I1228"/>
      <c r="J1228" t="s">
        <v>3404</v>
      </c>
      <c r="K1228" s="170">
        <v>45991</v>
      </c>
      <c r="L1228" s="1">
        <v>5767.6627119114964</v>
      </c>
      <c r="M1228" s="1">
        <v>46031</v>
      </c>
      <c r="Y1228"/>
      <c r="Z1228"/>
      <c r="AB1228"/>
    </row>
    <row r="1229" spans="1:28" ht="14.4" hidden="1">
      <c r="A1229" t="s">
        <v>200</v>
      </c>
      <c r="B1229" s="1">
        <v>105</v>
      </c>
      <c r="C1229" s="258" t="s">
        <v>3456</v>
      </c>
      <c r="D1229" t="s">
        <v>1246</v>
      </c>
      <c r="E1229" t="s">
        <v>1181</v>
      </c>
      <c r="F1229"/>
      <c r="G1229">
        <v>0.1</v>
      </c>
      <c r="H1229" s="1">
        <v>18578.62</v>
      </c>
      <c r="I1229"/>
      <c r="J1229" t="s">
        <v>3406</v>
      </c>
      <c r="K1229" s="170">
        <v>45991</v>
      </c>
      <c r="L1229" s="1">
        <v>11522.920308207062</v>
      </c>
      <c r="M1229" s="1">
        <v>46051</v>
      </c>
      <c r="Y1229"/>
      <c r="Z1229"/>
      <c r="AB1229"/>
    </row>
    <row r="1230" spans="1:28" ht="14.4" hidden="1">
      <c r="A1230" t="s">
        <v>200</v>
      </c>
      <c r="B1230" s="1">
        <v>106</v>
      </c>
      <c r="C1230" s="258" t="s">
        <v>3457</v>
      </c>
      <c r="D1230" t="s">
        <v>1246</v>
      </c>
      <c r="E1230" t="s">
        <v>1184</v>
      </c>
      <c r="F1230"/>
      <c r="G1230">
        <v>0.1</v>
      </c>
      <c r="H1230" s="1">
        <v>18578.62</v>
      </c>
      <c r="I1230"/>
      <c r="J1230" t="s">
        <v>3408</v>
      </c>
      <c r="K1230" s="170">
        <v>45991</v>
      </c>
      <c r="L1230" s="1">
        <v>11522.920308207062</v>
      </c>
      <c r="M1230" s="1">
        <v>46058</v>
      </c>
      <c r="Y1230"/>
      <c r="Z1230"/>
      <c r="AB1230"/>
    </row>
    <row r="1231" spans="1:28" ht="14.4" hidden="1">
      <c r="A1231" t="s">
        <v>200</v>
      </c>
      <c r="B1231" s="1">
        <v>107</v>
      </c>
      <c r="C1231" s="258" t="s">
        <v>3458</v>
      </c>
      <c r="D1231" t="s">
        <v>1246</v>
      </c>
      <c r="E1231" t="s">
        <v>1187</v>
      </c>
      <c r="F1231"/>
      <c r="G1231">
        <v>0.05</v>
      </c>
      <c r="H1231" s="1">
        <v>9289.2999999999993</v>
      </c>
      <c r="I1231"/>
      <c r="J1231" t="s">
        <v>3410</v>
      </c>
      <c r="K1231" s="170">
        <v>45991</v>
      </c>
      <c r="L1231" s="1">
        <v>5761.453951855834</v>
      </c>
      <c r="M1231" s="1">
        <v>46058</v>
      </c>
      <c r="Y1231"/>
      <c r="Z1231"/>
      <c r="AB1231"/>
    </row>
    <row r="1232" spans="1:28" ht="14.4" hidden="1">
      <c r="A1232" t="s">
        <v>200</v>
      </c>
      <c r="B1232" s="1">
        <v>108</v>
      </c>
      <c r="C1232" s="258" t="s">
        <v>3459</v>
      </c>
      <c r="D1232" t="s">
        <v>1246</v>
      </c>
      <c r="E1232" t="s">
        <v>1190</v>
      </c>
      <c r="F1232"/>
      <c r="G1232">
        <v>0.05</v>
      </c>
      <c r="H1232" s="1">
        <v>9299.3104999999996</v>
      </c>
      <c r="I1232"/>
      <c r="J1232" t="s">
        <v>3412</v>
      </c>
      <c r="K1232" s="170">
        <v>45991</v>
      </c>
      <c r="L1232" s="1">
        <v>5767.6627119114964</v>
      </c>
      <c r="M1232" s="1">
        <v>46088</v>
      </c>
      <c r="Y1232"/>
      <c r="Z1232"/>
      <c r="AB1232"/>
    </row>
    <row r="1233" spans="1:28" ht="14.4" hidden="1">
      <c r="A1233" t="s">
        <v>200</v>
      </c>
      <c r="B1233" s="1">
        <v>113</v>
      </c>
      <c r="C1233" s="258" t="s">
        <v>3460</v>
      </c>
      <c r="D1233" t="s">
        <v>1255</v>
      </c>
      <c r="E1233" t="s">
        <v>1343</v>
      </c>
      <c r="F1233"/>
      <c r="H1233" s="1">
        <v>1533.06</v>
      </c>
      <c r="I1233" t="s">
        <v>3461</v>
      </c>
      <c r="J1233" t="s">
        <v>3462</v>
      </c>
      <c r="K1233" s="170">
        <v>45991</v>
      </c>
      <c r="L1233" s="1">
        <v>894.68140860162669</v>
      </c>
      <c r="M1233" s="1">
        <v>45989</v>
      </c>
      <c r="N1233" s="1">
        <v>68573.540000000008</v>
      </c>
      <c r="Y1233"/>
      <c r="Z1233"/>
      <c r="AB1233"/>
    </row>
    <row r="1234" spans="1:28" ht="14.4" hidden="1">
      <c r="A1234" t="s">
        <v>200</v>
      </c>
      <c r="B1234" s="1">
        <v>117</v>
      </c>
      <c r="C1234" s="258" t="s">
        <v>3463</v>
      </c>
      <c r="D1234" t="s">
        <v>1255</v>
      </c>
      <c r="E1234" t="s">
        <v>1169</v>
      </c>
      <c r="F1234">
        <v>67040.5</v>
      </c>
      <c r="G1234">
        <v>0.1</v>
      </c>
      <c r="H1234" s="1">
        <v>6704.05</v>
      </c>
      <c r="I1234" t="s">
        <v>3394</v>
      </c>
      <c r="J1234" t="s">
        <v>3395</v>
      </c>
      <c r="K1234" s="170">
        <v>45961</v>
      </c>
      <c r="L1234" s="1">
        <v>3912.429322619947</v>
      </c>
      <c r="M1234" s="1">
        <v>45967</v>
      </c>
      <c r="Y1234"/>
      <c r="Z1234"/>
      <c r="AB1234"/>
    </row>
    <row r="1235" spans="1:28" ht="14.4" hidden="1">
      <c r="A1235" t="s">
        <v>200</v>
      </c>
      <c r="B1235" s="1">
        <v>118</v>
      </c>
      <c r="C1235" s="258" t="s">
        <v>3464</v>
      </c>
      <c r="D1235" t="s">
        <v>1255</v>
      </c>
      <c r="E1235" t="s">
        <v>558</v>
      </c>
      <c r="F1235"/>
      <c r="G1235">
        <v>0.15</v>
      </c>
      <c r="H1235" s="1">
        <v>10056.075000000001</v>
      </c>
      <c r="I1235"/>
      <c r="J1235" t="s">
        <v>3397</v>
      </c>
      <c r="K1235" s="170">
        <v>45991</v>
      </c>
      <c r="L1235" s="1">
        <v>5868.6439839299192</v>
      </c>
      <c r="M1235" s="1">
        <v>45995</v>
      </c>
      <c r="Y1235"/>
      <c r="Z1235"/>
      <c r="AB1235"/>
    </row>
    <row r="1236" spans="1:28" ht="14.4" hidden="1">
      <c r="A1236" t="s">
        <v>200</v>
      </c>
      <c r="B1236" s="1">
        <v>119</v>
      </c>
      <c r="C1236" s="258" t="s">
        <v>3465</v>
      </c>
      <c r="D1236" t="s">
        <v>1255</v>
      </c>
      <c r="E1236" t="s">
        <v>1175</v>
      </c>
      <c r="F1236"/>
      <c r="G1236">
        <v>0.1</v>
      </c>
      <c r="H1236" s="1">
        <v>6704.05</v>
      </c>
      <c r="I1236"/>
      <c r="J1236" t="s">
        <v>3399</v>
      </c>
      <c r="K1236" s="170">
        <v>45991</v>
      </c>
      <c r="L1236" s="1">
        <v>3912.429322619947</v>
      </c>
      <c r="M1236" s="1">
        <v>45995</v>
      </c>
      <c r="Y1236"/>
      <c r="Z1236"/>
      <c r="AB1236"/>
    </row>
    <row r="1237" spans="1:28" ht="14.4" hidden="1">
      <c r="A1237" t="s">
        <v>200</v>
      </c>
      <c r="B1237" s="1">
        <v>120</v>
      </c>
      <c r="C1237" s="258" t="s">
        <v>3466</v>
      </c>
      <c r="D1237" t="s">
        <v>1255</v>
      </c>
      <c r="E1237" t="s">
        <v>1175</v>
      </c>
      <c r="F1237"/>
      <c r="G1237">
        <v>0.1</v>
      </c>
      <c r="H1237" s="1">
        <v>6704.03</v>
      </c>
      <c r="I1237"/>
      <c r="J1237" t="s">
        <v>3401</v>
      </c>
      <c r="K1237" s="170">
        <v>46022</v>
      </c>
      <c r="L1237" s="1">
        <v>3912.4176507818111</v>
      </c>
      <c r="M1237" s="1">
        <v>46009</v>
      </c>
      <c r="Y1237"/>
      <c r="Z1237"/>
      <c r="AB1237"/>
    </row>
    <row r="1238" spans="1:28" ht="14.4" hidden="1">
      <c r="A1238" t="s">
        <v>200</v>
      </c>
      <c r="B1238" s="1">
        <v>121</v>
      </c>
      <c r="C1238" s="258" t="s">
        <v>3467</v>
      </c>
      <c r="D1238" t="s">
        <v>1255</v>
      </c>
      <c r="E1238" t="s">
        <v>1178</v>
      </c>
      <c r="F1238"/>
      <c r="G1238">
        <v>0.2</v>
      </c>
      <c r="H1238" s="1">
        <v>13408.1</v>
      </c>
      <c r="I1238"/>
      <c r="J1238" t="s">
        <v>3399</v>
      </c>
      <c r="K1238" s="170">
        <v>45991</v>
      </c>
      <c r="L1238" s="1">
        <v>7824.858645239894</v>
      </c>
      <c r="M1238" s="1">
        <v>46009</v>
      </c>
      <c r="Y1238"/>
      <c r="Z1238"/>
      <c r="AB1238"/>
    </row>
    <row r="1239" spans="1:28" ht="14.4" hidden="1">
      <c r="A1239" t="s">
        <v>200</v>
      </c>
      <c r="B1239" s="1">
        <v>122</v>
      </c>
      <c r="C1239" s="258" t="s">
        <v>3468</v>
      </c>
      <c r="D1239" t="s">
        <v>1255</v>
      </c>
      <c r="E1239" t="s">
        <v>1178</v>
      </c>
      <c r="F1239"/>
      <c r="G1239">
        <v>0.05</v>
      </c>
      <c r="H1239" s="1">
        <v>3352.0250000000001</v>
      </c>
      <c r="I1239"/>
      <c r="J1239" t="s">
        <v>3404</v>
      </c>
      <c r="K1239" s="170">
        <v>45991</v>
      </c>
      <c r="L1239" s="1">
        <v>1956.2146613099735</v>
      </c>
      <c r="M1239" s="1">
        <v>46031</v>
      </c>
      <c r="Y1239"/>
      <c r="Z1239"/>
      <c r="AB1239"/>
    </row>
    <row r="1240" spans="1:28" ht="14.4" hidden="1">
      <c r="A1240" t="s">
        <v>200</v>
      </c>
      <c r="B1240" s="1">
        <v>123</v>
      </c>
      <c r="C1240" s="258" t="s">
        <v>3469</v>
      </c>
      <c r="D1240" t="s">
        <v>1255</v>
      </c>
      <c r="E1240" t="s">
        <v>1181</v>
      </c>
      <c r="F1240"/>
      <c r="G1240">
        <v>0.1</v>
      </c>
      <c r="H1240" s="1">
        <v>6704.05</v>
      </c>
      <c r="I1240"/>
      <c r="J1240" t="s">
        <v>3406</v>
      </c>
      <c r="K1240" s="170">
        <v>45991</v>
      </c>
      <c r="L1240" s="1">
        <v>3912.429322619947</v>
      </c>
      <c r="M1240" s="1">
        <v>46051</v>
      </c>
      <c r="Y1240"/>
      <c r="Z1240"/>
      <c r="AB1240"/>
    </row>
    <row r="1241" spans="1:28" ht="14.4" hidden="1">
      <c r="A1241" t="s">
        <v>200</v>
      </c>
      <c r="B1241" s="1">
        <v>124</v>
      </c>
      <c r="C1241" s="258" t="s">
        <v>3470</v>
      </c>
      <c r="D1241" t="s">
        <v>1255</v>
      </c>
      <c r="E1241" t="s">
        <v>1184</v>
      </c>
      <c r="F1241"/>
      <c r="G1241">
        <v>0.1</v>
      </c>
      <c r="H1241" s="1">
        <v>6704.05</v>
      </c>
      <c r="I1241"/>
      <c r="J1241" t="s">
        <v>3408</v>
      </c>
      <c r="K1241" s="170">
        <v>45991</v>
      </c>
      <c r="L1241" s="1">
        <v>3912.429322619947</v>
      </c>
      <c r="M1241" s="1">
        <v>46058</v>
      </c>
      <c r="Y1241"/>
      <c r="Z1241"/>
      <c r="AB1241"/>
    </row>
    <row r="1242" spans="1:28" ht="14.4" hidden="1">
      <c r="A1242" t="s">
        <v>200</v>
      </c>
      <c r="B1242" s="1">
        <v>125</v>
      </c>
      <c r="C1242" s="258" t="s">
        <v>3471</v>
      </c>
      <c r="D1242" t="s">
        <v>1255</v>
      </c>
      <c r="E1242" t="s">
        <v>1187</v>
      </c>
      <c r="F1242"/>
      <c r="G1242">
        <v>0.05</v>
      </c>
      <c r="H1242" s="1">
        <v>3352.0250000000001</v>
      </c>
      <c r="I1242"/>
      <c r="J1242" t="s">
        <v>3410</v>
      </c>
      <c r="K1242" s="170">
        <v>45991</v>
      </c>
      <c r="L1242" s="1">
        <v>1956.2146613099735</v>
      </c>
      <c r="M1242" s="1">
        <v>46058</v>
      </c>
      <c r="Y1242"/>
      <c r="Z1242"/>
      <c r="AB1242"/>
    </row>
    <row r="1243" spans="1:28" ht="14.4" hidden="1">
      <c r="A1243" t="s">
        <v>200</v>
      </c>
      <c r="B1243" s="1">
        <v>126</v>
      </c>
      <c r="C1243" s="258" t="s">
        <v>3472</v>
      </c>
      <c r="D1243" t="s">
        <v>1255</v>
      </c>
      <c r="E1243" t="s">
        <v>1190</v>
      </c>
      <c r="F1243"/>
      <c r="G1243">
        <v>0.05</v>
      </c>
      <c r="H1243" s="1">
        <v>3352.0250000000001</v>
      </c>
      <c r="I1243"/>
      <c r="J1243" t="s">
        <v>3412</v>
      </c>
      <c r="K1243" s="170">
        <v>45991</v>
      </c>
      <c r="L1243" s="1">
        <v>1956.2146613099735</v>
      </c>
      <c r="M1243" s="1">
        <v>46088</v>
      </c>
      <c r="Y1243"/>
      <c r="Z1243"/>
      <c r="AB1243"/>
    </row>
    <row r="1244" spans="1:28" ht="14.4" hidden="1">
      <c r="A1244" t="s">
        <v>200</v>
      </c>
      <c r="B1244" s="1">
        <v>131</v>
      </c>
      <c r="C1244" s="258" t="s">
        <v>3473</v>
      </c>
      <c r="D1244" t="s">
        <v>1264</v>
      </c>
      <c r="E1244" t="s">
        <v>1265</v>
      </c>
      <c r="F1244"/>
      <c r="H1244" s="1">
        <v>9565</v>
      </c>
      <c r="I1244"/>
      <c r="J1244" t="s">
        <v>3474</v>
      </c>
      <c r="K1244" s="170">
        <v>46022</v>
      </c>
      <c r="L1244" s="1">
        <v>19801.192133347609</v>
      </c>
      <c r="M1244" s="1">
        <v>46045</v>
      </c>
      <c r="N1244" s="1">
        <v>15565</v>
      </c>
      <c r="Y1244"/>
      <c r="Z1244"/>
      <c r="AB1244"/>
    </row>
    <row r="1245" spans="1:28" ht="14.4" hidden="1">
      <c r="A1245" t="s">
        <v>200</v>
      </c>
      <c r="B1245" s="1">
        <v>132</v>
      </c>
      <c r="C1245" s="258" t="s">
        <v>3475</v>
      </c>
      <c r="D1245" t="s">
        <v>1264</v>
      </c>
      <c r="E1245" t="s">
        <v>1268</v>
      </c>
      <c r="F1245"/>
      <c r="H1245" s="1">
        <v>0</v>
      </c>
      <c r="I1245"/>
      <c r="J1245"/>
      <c r="K1245" s="170"/>
      <c r="L1245" s="1">
        <v>0</v>
      </c>
      <c r="Y1245"/>
      <c r="Z1245"/>
      <c r="AB1245"/>
    </row>
    <row r="1246" spans="1:28" ht="14.4" hidden="1">
      <c r="A1246" t="s">
        <v>200</v>
      </c>
      <c r="B1246" s="1">
        <v>134</v>
      </c>
      <c r="C1246" s="258" t="s">
        <v>3476</v>
      </c>
      <c r="D1246" t="s">
        <v>1264</v>
      </c>
      <c r="E1246" t="s">
        <v>808</v>
      </c>
      <c r="F1246"/>
      <c r="H1246" s="1">
        <v>6000</v>
      </c>
      <c r="I1246"/>
      <c r="J1246" t="s">
        <v>3047</v>
      </c>
      <c r="K1246" s="170">
        <v>46022</v>
      </c>
      <c r="L1246" s="1">
        <v>12421.030088874611</v>
      </c>
      <c r="M1246" s="1">
        <v>46052</v>
      </c>
      <c r="Y1246"/>
      <c r="Z1246"/>
      <c r="AB1246"/>
    </row>
    <row r="1247" spans="1:28" ht="14.4" hidden="1">
      <c r="A1247" t="s">
        <v>200</v>
      </c>
      <c r="B1247" s="1">
        <v>137</v>
      </c>
      <c r="C1247" s="258" t="s">
        <v>3477</v>
      </c>
      <c r="D1247" t="s">
        <v>1274</v>
      </c>
      <c r="E1247" t="s">
        <v>1275</v>
      </c>
      <c r="F1247"/>
      <c r="H1247" s="1">
        <v>0</v>
      </c>
      <c r="I1247"/>
      <c r="J1247"/>
      <c r="K1247" s="170"/>
      <c r="N1247" s="1">
        <v>0</v>
      </c>
      <c r="Y1247"/>
      <c r="Z1247"/>
      <c r="AB1247"/>
    </row>
    <row r="1248" spans="1:28" ht="14.4" hidden="1">
      <c r="A1248" t="s">
        <v>200</v>
      </c>
      <c r="B1248" s="1">
        <v>140</v>
      </c>
      <c r="C1248" s="258" t="s">
        <v>3478</v>
      </c>
      <c r="D1248" t="s">
        <v>1277</v>
      </c>
      <c r="E1248" t="s">
        <v>1278</v>
      </c>
      <c r="F1248"/>
      <c r="H1248" s="1">
        <v>16154.12</v>
      </c>
      <c r="I1248"/>
      <c r="J1248" t="s">
        <v>3479</v>
      </c>
      <c r="K1248" s="170">
        <v>46053</v>
      </c>
      <c r="L1248" s="1">
        <v>13287.721200798753</v>
      </c>
      <c r="M1248" s="1">
        <v>46079</v>
      </c>
      <c r="N1248" s="1">
        <v>16154.12</v>
      </c>
      <c r="Y1248"/>
      <c r="Z1248"/>
      <c r="AB1248"/>
    </row>
    <row r="1249" spans="1:28" ht="14.4" hidden="1">
      <c r="A1249" t="s">
        <v>200</v>
      </c>
      <c r="B1249" s="1">
        <v>142</v>
      </c>
      <c r="C1249" s="258" t="s">
        <v>3480</v>
      </c>
      <c r="D1249" t="s">
        <v>1277</v>
      </c>
      <c r="E1249" t="s">
        <v>1905</v>
      </c>
      <c r="F1249"/>
      <c r="H1249" s="1">
        <v>0</v>
      </c>
      <c r="I1249"/>
      <c r="J1249"/>
      <c r="K1249" s="170"/>
      <c r="L1249" s="1">
        <v>0</v>
      </c>
      <c r="Y1249"/>
      <c r="Z1249"/>
      <c r="AB1249"/>
    </row>
    <row r="1250" spans="1:28" ht="14.4" hidden="1">
      <c r="A1250" t="s">
        <v>200</v>
      </c>
      <c r="B1250" s="1">
        <v>143</v>
      </c>
      <c r="C1250" s="258" t="s">
        <v>3481</v>
      </c>
      <c r="D1250" t="s">
        <v>1277</v>
      </c>
      <c r="E1250" t="s">
        <v>1907</v>
      </c>
      <c r="F1250"/>
      <c r="H1250" s="1">
        <v>0</v>
      </c>
      <c r="I1250"/>
      <c r="J1250"/>
      <c r="K1250" s="170"/>
      <c r="L1250" s="1">
        <v>0</v>
      </c>
      <c r="Y1250"/>
      <c r="Z1250"/>
      <c r="AB1250"/>
    </row>
    <row r="1251" spans="1:28" ht="14.4" hidden="1">
      <c r="A1251" t="s">
        <v>200</v>
      </c>
      <c r="B1251" s="1">
        <v>144</v>
      </c>
      <c r="C1251" s="258" t="s">
        <v>3482</v>
      </c>
      <c r="D1251" t="s">
        <v>1277</v>
      </c>
      <c r="E1251" t="s">
        <v>1909</v>
      </c>
      <c r="F1251"/>
      <c r="H1251" s="1">
        <v>0</v>
      </c>
      <c r="I1251"/>
      <c r="J1251"/>
      <c r="K1251" s="170"/>
      <c r="L1251" s="1">
        <v>0</v>
      </c>
      <c r="Y1251"/>
      <c r="Z1251"/>
      <c r="AB1251"/>
    </row>
    <row r="1252" spans="1:28" ht="14.4" hidden="1">
      <c r="A1252" t="s">
        <v>200</v>
      </c>
      <c r="B1252" s="1">
        <v>148</v>
      </c>
      <c r="C1252" s="258" t="s">
        <v>3483</v>
      </c>
      <c r="D1252" t="s">
        <v>1280</v>
      </c>
      <c r="E1252" t="s">
        <v>1281</v>
      </c>
      <c r="F1252"/>
      <c r="H1252" s="1">
        <v>863.34</v>
      </c>
      <c r="I1252"/>
      <c r="J1252" t="s">
        <v>1604</v>
      </c>
      <c r="K1252" s="170">
        <v>45991</v>
      </c>
      <c r="L1252" s="1">
        <v>1960.1664061891845</v>
      </c>
      <c r="M1252" s="1">
        <v>45996</v>
      </c>
      <c r="Y1252"/>
      <c r="Z1252"/>
      <c r="AB1252"/>
    </row>
    <row r="1253" spans="1:28" ht="14.4" hidden="1">
      <c r="A1253" t="s">
        <v>200</v>
      </c>
      <c r="B1253" s="1">
        <v>149</v>
      </c>
      <c r="C1253" s="258" t="s">
        <v>3484</v>
      </c>
      <c r="D1253" t="s">
        <v>1280</v>
      </c>
      <c r="E1253" t="s">
        <v>1281</v>
      </c>
      <c r="F1253"/>
      <c r="H1253" s="1">
        <v>1023.4</v>
      </c>
      <c r="I1253"/>
      <c r="J1253" t="s">
        <v>1604</v>
      </c>
      <c r="K1253" s="170">
        <v>46022</v>
      </c>
      <c r="L1253" s="1">
        <v>567.6098390757486</v>
      </c>
      <c r="M1253" s="1">
        <v>46030</v>
      </c>
      <c r="Y1253"/>
      <c r="Z1253"/>
      <c r="AB1253"/>
    </row>
    <row r="1254" spans="1:28" ht="14.4" hidden="1">
      <c r="A1254" t="s">
        <v>200</v>
      </c>
      <c r="B1254" s="1">
        <v>150</v>
      </c>
      <c r="C1254" s="258" t="s">
        <v>3485</v>
      </c>
      <c r="D1254" t="s">
        <v>1280</v>
      </c>
      <c r="E1254" t="s">
        <v>1281</v>
      </c>
      <c r="F1254"/>
      <c r="H1254" s="1">
        <v>136.44999999999999</v>
      </c>
      <c r="I1254"/>
      <c r="J1254" t="s">
        <v>1604</v>
      </c>
      <c r="K1254" s="170">
        <v>46053</v>
      </c>
      <c r="L1254" s="1">
        <v>0</v>
      </c>
      <c r="M1254" s="1">
        <v>46058</v>
      </c>
      <c r="Y1254"/>
      <c r="Z1254"/>
      <c r="AB1254"/>
    </row>
    <row r="1255" spans="1:28" ht="14.4" hidden="1">
      <c r="A1255" t="s">
        <v>200</v>
      </c>
      <c r="B1255" s="1">
        <v>162</v>
      </c>
      <c r="C1255" s="258" t="s">
        <v>3486</v>
      </c>
      <c r="D1255" t="s">
        <v>1451</v>
      </c>
      <c r="E1255" t="s">
        <v>3487</v>
      </c>
      <c r="F1255"/>
      <c r="H1255" s="1">
        <v>3650</v>
      </c>
      <c r="I1255"/>
      <c r="J1255" t="s">
        <v>3488</v>
      </c>
      <c r="K1255" s="170">
        <v>45991</v>
      </c>
      <c r="M1255" s="1">
        <v>45989</v>
      </c>
      <c r="Y1255"/>
      <c r="Z1255"/>
      <c r="AB1255"/>
    </row>
    <row r="1256" spans="1:28" ht="14.4" hidden="1">
      <c r="A1256" t="s">
        <v>203</v>
      </c>
      <c r="B1256" s="1">
        <v>6</v>
      </c>
      <c r="C1256" s="258" t="s">
        <v>3489</v>
      </c>
      <c r="D1256" t="s">
        <v>1146</v>
      </c>
      <c r="E1256" t="s">
        <v>3490</v>
      </c>
      <c r="F1256">
        <v>114.51612903225806</v>
      </c>
      <c r="G1256">
        <v>1227.5999999999999</v>
      </c>
      <c r="H1256" s="1">
        <v>141174</v>
      </c>
      <c r="I1256" t="s">
        <v>3491</v>
      </c>
      <c r="J1256" t="s">
        <v>3492</v>
      </c>
      <c r="K1256" s="170">
        <v>45900</v>
      </c>
      <c r="L1256" s="1">
        <v>195198.55497606823</v>
      </c>
      <c r="M1256" s="1">
        <v>45954</v>
      </c>
      <c r="N1256" s="1">
        <v>149174</v>
      </c>
      <c r="Y1256"/>
      <c r="Z1256"/>
      <c r="AB1256"/>
    </row>
    <row r="1257" spans="1:28" ht="14.4" hidden="1">
      <c r="A1257" t="s">
        <v>203</v>
      </c>
      <c r="B1257" s="1">
        <v>7</v>
      </c>
      <c r="C1257" s="258" t="s">
        <v>3493</v>
      </c>
      <c r="D1257" t="s">
        <v>1146</v>
      </c>
      <c r="E1257" t="s">
        <v>1152</v>
      </c>
      <c r="F1257"/>
      <c r="H1257" s="1">
        <v>8000</v>
      </c>
      <c r="I1257"/>
      <c r="J1257" t="s">
        <v>3492</v>
      </c>
      <c r="K1257" s="170">
        <v>45900</v>
      </c>
      <c r="L1257" s="1">
        <v>11061.445023931785</v>
      </c>
      <c r="M1257" s="1">
        <v>45954</v>
      </c>
      <c r="Y1257"/>
      <c r="Z1257"/>
      <c r="AB1257"/>
    </row>
    <row r="1258" spans="1:28" ht="14.4" hidden="1">
      <c r="A1258" t="s">
        <v>203</v>
      </c>
      <c r="B1258" s="1">
        <v>13</v>
      </c>
      <c r="C1258" s="258" t="s">
        <v>3494</v>
      </c>
      <c r="D1258" t="s">
        <v>1157</v>
      </c>
      <c r="E1258" t="s">
        <v>3495</v>
      </c>
      <c r="F1258">
        <v>2</v>
      </c>
      <c r="G1258">
        <v>37065.17</v>
      </c>
      <c r="H1258" s="1">
        <v>74130.34</v>
      </c>
      <c r="I1258" t="s">
        <v>3491</v>
      </c>
      <c r="J1258" t="s">
        <v>3496</v>
      </c>
      <c r="K1258" s="170">
        <v>45900</v>
      </c>
      <c r="L1258" s="1">
        <v>95038</v>
      </c>
      <c r="M1258" s="1">
        <v>45954</v>
      </c>
      <c r="N1258" s="1">
        <v>74130.34</v>
      </c>
      <c r="Y1258"/>
      <c r="Z1258"/>
      <c r="AB1258"/>
    </row>
    <row r="1259" spans="1:28" ht="14.4" hidden="1">
      <c r="A1259" t="s">
        <v>203</v>
      </c>
      <c r="B1259" s="1">
        <v>21</v>
      </c>
      <c r="C1259" s="258" t="s">
        <v>3497</v>
      </c>
      <c r="D1259" t="s">
        <v>1160</v>
      </c>
      <c r="E1259" t="s">
        <v>1161</v>
      </c>
      <c r="F1259"/>
      <c r="H1259" s="1">
        <v>83929.11</v>
      </c>
      <c r="I1259" t="s">
        <v>3498</v>
      </c>
      <c r="J1259" t="s">
        <v>3499</v>
      </c>
      <c r="K1259" s="170">
        <v>45930</v>
      </c>
      <c r="L1259" s="1">
        <v>103363.49661863084</v>
      </c>
      <c r="M1259" s="1">
        <v>45960</v>
      </c>
      <c r="N1259" s="1">
        <v>101652.61</v>
      </c>
      <c r="Y1259"/>
      <c r="Z1259"/>
      <c r="AB1259"/>
    </row>
    <row r="1260" spans="1:28" ht="14.4" hidden="1">
      <c r="A1260" t="s">
        <v>203</v>
      </c>
      <c r="B1260" s="1">
        <v>22</v>
      </c>
      <c r="C1260" s="258" t="s">
        <v>3500</v>
      </c>
      <c r="D1260" t="s">
        <v>1160</v>
      </c>
      <c r="E1260" t="s">
        <v>1379</v>
      </c>
      <c r="F1260"/>
      <c r="H1260" s="1">
        <v>17723.5</v>
      </c>
      <c r="I1260" t="s">
        <v>3501</v>
      </c>
      <c r="J1260" t="s">
        <v>3502</v>
      </c>
      <c r="K1260" s="170">
        <v>45930</v>
      </c>
      <c r="L1260" s="1">
        <v>21827.503381369155</v>
      </c>
      <c r="M1260" s="1">
        <v>45911</v>
      </c>
      <c r="Y1260"/>
      <c r="Z1260"/>
      <c r="AB1260"/>
    </row>
    <row r="1261" spans="1:28" ht="14.4" hidden="1">
      <c r="A1261" t="s">
        <v>203</v>
      </c>
      <c r="B1261" s="1">
        <v>28</v>
      </c>
      <c r="C1261" s="258" t="s">
        <v>3503</v>
      </c>
      <c r="D1261" t="s">
        <v>1165</v>
      </c>
      <c r="E1261" t="s">
        <v>3095</v>
      </c>
      <c r="F1261">
        <v>4000</v>
      </c>
      <c r="G1261">
        <v>13.5</v>
      </c>
      <c r="H1261" s="1">
        <v>54000</v>
      </c>
      <c r="I1261" t="s">
        <v>3491</v>
      </c>
      <c r="J1261" t="s">
        <v>3504</v>
      </c>
      <c r="K1261" s="170">
        <v>45900</v>
      </c>
      <c r="L1261" s="1">
        <v>42628.832185877829</v>
      </c>
      <c r="M1261" s="1">
        <v>45930</v>
      </c>
      <c r="N1261" s="1">
        <v>100367</v>
      </c>
      <c r="Y1261"/>
      <c r="Z1261"/>
      <c r="AB1261"/>
    </row>
    <row r="1262" spans="1:28" ht="14.4" hidden="1">
      <c r="A1262" t="s">
        <v>203</v>
      </c>
      <c r="B1262" s="1">
        <v>32</v>
      </c>
      <c r="C1262" s="258" t="s">
        <v>3505</v>
      </c>
      <c r="D1262" t="s">
        <v>1165</v>
      </c>
      <c r="E1262" t="s">
        <v>1169</v>
      </c>
      <c r="F1262">
        <v>46367</v>
      </c>
      <c r="G1262">
        <v>0.1</v>
      </c>
      <c r="H1262" s="1">
        <v>4636.7</v>
      </c>
      <c r="I1262" t="s">
        <v>3506</v>
      </c>
      <c r="J1262" t="s">
        <v>3507</v>
      </c>
      <c r="K1262" s="170">
        <v>45900</v>
      </c>
      <c r="L1262" s="1">
        <v>3660.3167814122166</v>
      </c>
      <c r="M1262" s="1">
        <v>45904</v>
      </c>
      <c r="Y1262"/>
      <c r="Z1262"/>
      <c r="AB1262"/>
    </row>
    <row r="1263" spans="1:28" ht="14.4" hidden="1">
      <c r="A1263" t="s">
        <v>203</v>
      </c>
      <c r="B1263" s="1">
        <v>33</v>
      </c>
      <c r="C1263" s="258" t="s">
        <v>3508</v>
      </c>
      <c r="D1263" t="s">
        <v>1165</v>
      </c>
      <c r="E1263" t="s">
        <v>558</v>
      </c>
      <c r="F1263"/>
      <c r="G1263">
        <v>0.15</v>
      </c>
      <c r="H1263" s="1">
        <v>6955.05</v>
      </c>
      <c r="I1263"/>
      <c r="J1263" t="s">
        <v>3509</v>
      </c>
      <c r="K1263" s="170">
        <v>45900</v>
      </c>
      <c r="L1263" s="1">
        <v>5490.4751721183256</v>
      </c>
      <c r="M1263" s="1">
        <v>45911</v>
      </c>
      <c r="Y1263"/>
      <c r="Z1263"/>
      <c r="AB1263"/>
    </row>
    <row r="1264" spans="1:28" ht="14.4" hidden="1">
      <c r="A1264" t="s">
        <v>203</v>
      </c>
      <c r="B1264" s="1">
        <v>34</v>
      </c>
      <c r="C1264" s="258" t="s">
        <v>3510</v>
      </c>
      <c r="D1264" t="s">
        <v>1165</v>
      </c>
      <c r="E1264" t="s">
        <v>1175</v>
      </c>
      <c r="F1264"/>
      <c r="G1264">
        <v>0.2</v>
      </c>
      <c r="H1264" s="1">
        <v>9273.4</v>
      </c>
      <c r="I1264"/>
      <c r="J1264" t="s">
        <v>3511</v>
      </c>
      <c r="K1264" s="170">
        <v>45900</v>
      </c>
      <c r="L1264" s="1">
        <v>7320.6335628244333</v>
      </c>
      <c r="M1264" s="1">
        <v>45946</v>
      </c>
      <c r="Y1264"/>
      <c r="Z1264"/>
      <c r="AB1264"/>
    </row>
    <row r="1265" spans="1:28" ht="14.4" hidden="1">
      <c r="A1265" t="s">
        <v>203</v>
      </c>
      <c r="B1265" s="1">
        <v>35</v>
      </c>
      <c r="C1265" s="258" t="s">
        <v>3512</v>
      </c>
      <c r="D1265" t="s">
        <v>1165</v>
      </c>
      <c r="E1265" t="s">
        <v>1178</v>
      </c>
      <c r="F1265"/>
      <c r="G1265">
        <v>0.25</v>
      </c>
      <c r="H1265" s="1">
        <v>11591.75</v>
      </c>
      <c r="I1265"/>
      <c r="J1265" t="s">
        <v>3513</v>
      </c>
      <c r="K1265" s="170">
        <v>45900</v>
      </c>
      <c r="L1265" s="1">
        <v>9150.7919535305427</v>
      </c>
      <c r="M1265" s="1">
        <v>45946</v>
      </c>
      <c r="Y1265"/>
      <c r="Z1265"/>
      <c r="AB1265"/>
    </row>
    <row r="1266" spans="1:28" ht="14.4" hidden="1">
      <c r="A1266" t="s">
        <v>203</v>
      </c>
      <c r="B1266" s="1">
        <v>36</v>
      </c>
      <c r="C1266" s="258" t="s">
        <v>3514</v>
      </c>
      <c r="D1266" t="s">
        <v>1165</v>
      </c>
      <c r="E1266" t="s">
        <v>1181</v>
      </c>
      <c r="F1266"/>
      <c r="G1266">
        <v>0.1</v>
      </c>
      <c r="H1266" s="1">
        <v>4636.7</v>
      </c>
      <c r="I1266"/>
      <c r="J1266" t="s">
        <v>3515</v>
      </c>
      <c r="K1266" s="170">
        <v>45900</v>
      </c>
      <c r="L1266" s="1">
        <v>3660.3167814122166</v>
      </c>
      <c r="M1266" s="1">
        <v>46079</v>
      </c>
      <c r="Y1266"/>
      <c r="Z1266"/>
      <c r="AB1266"/>
    </row>
    <row r="1267" spans="1:28" ht="14.4" hidden="1">
      <c r="A1267" t="s">
        <v>203</v>
      </c>
      <c r="B1267" s="1">
        <v>37</v>
      </c>
      <c r="C1267" s="258" t="s">
        <v>3516</v>
      </c>
      <c r="D1267" t="s">
        <v>1165</v>
      </c>
      <c r="E1267" t="s">
        <v>1184</v>
      </c>
      <c r="F1267"/>
      <c r="G1267">
        <v>0.1</v>
      </c>
      <c r="H1267" s="1">
        <v>4636.7</v>
      </c>
      <c r="I1267"/>
      <c r="J1267" t="s">
        <v>3517</v>
      </c>
      <c r="K1267" s="170">
        <v>45900</v>
      </c>
      <c r="L1267" s="1">
        <v>3660.3167814122166</v>
      </c>
      <c r="M1267" s="1">
        <v>46079</v>
      </c>
      <c r="Y1267"/>
      <c r="Z1267"/>
      <c r="AB1267"/>
    </row>
    <row r="1268" spans="1:28" ht="14.4" hidden="1">
      <c r="A1268" t="s">
        <v>203</v>
      </c>
      <c r="B1268" s="1">
        <v>38</v>
      </c>
      <c r="C1268" s="258" t="s">
        <v>3518</v>
      </c>
      <c r="D1268" t="s">
        <v>1165</v>
      </c>
      <c r="E1268" t="s">
        <v>1187</v>
      </c>
      <c r="F1268"/>
      <c r="G1268">
        <v>0.05</v>
      </c>
      <c r="H1268" s="1">
        <v>2318.35</v>
      </c>
      <c r="I1268"/>
      <c r="J1268" t="s">
        <v>3519</v>
      </c>
      <c r="K1268" s="170">
        <v>45900</v>
      </c>
      <c r="L1268" s="1">
        <v>1830.1583907061083</v>
      </c>
      <c r="M1268" s="1">
        <v>46037</v>
      </c>
      <c r="Y1268"/>
      <c r="Z1268"/>
      <c r="AB1268"/>
    </row>
    <row r="1269" spans="1:28" ht="14.4" hidden="1">
      <c r="A1269" t="s">
        <v>203</v>
      </c>
      <c r="B1269" s="1">
        <v>39</v>
      </c>
      <c r="C1269" s="258" t="s">
        <v>3520</v>
      </c>
      <c r="D1269" t="s">
        <v>1165</v>
      </c>
      <c r="E1269" t="s">
        <v>1190</v>
      </c>
      <c r="F1269">
        <v>12224.46</v>
      </c>
      <c r="G1269">
        <v>0.05</v>
      </c>
      <c r="H1269" s="1">
        <v>2318.35</v>
      </c>
      <c r="I1269"/>
      <c r="J1269" t="s">
        <v>3521</v>
      </c>
      <c r="K1269" s="170">
        <v>45900</v>
      </c>
      <c r="L1269" s="1">
        <v>1830.1583907061083</v>
      </c>
      <c r="M1269" s="1">
        <v>46037</v>
      </c>
      <c r="Y1269"/>
      <c r="Z1269"/>
      <c r="AB1269"/>
    </row>
    <row r="1270" spans="1:28" ht="14.4" hidden="1">
      <c r="A1270" t="s">
        <v>203</v>
      </c>
      <c r="B1270" s="1">
        <v>44</v>
      </c>
      <c r="C1270" s="258" t="s">
        <v>3522</v>
      </c>
      <c r="D1270" t="s">
        <v>1193</v>
      </c>
      <c r="E1270" t="s">
        <v>1489</v>
      </c>
      <c r="F1270"/>
      <c r="H1270" s="1">
        <v>8598.34</v>
      </c>
      <c r="I1270" t="s">
        <v>3491</v>
      </c>
      <c r="J1270" t="s">
        <v>3496</v>
      </c>
      <c r="K1270" s="170">
        <v>45900</v>
      </c>
      <c r="L1270" s="1">
        <v>13585.528030442629</v>
      </c>
      <c r="M1270" s="1">
        <v>45954</v>
      </c>
      <c r="N1270" s="1">
        <v>89397.71</v>
      </c>
      <c r="Y1270"/>
      <c r="Z1270"/>
      <c r="AB1270"/>
    </row>
    <row r="1271" spans="1:28" ht="14.4" hidden="1">
      <c r="A1271" t="s">
        <v>203</v>
      </c>
      <c r="B1271" s="1">
        <v>45</v>
      </c>
      <c r="C1271" s="258" t="s">
        <v>3523</v>
      </c>
      <c r="D1271" t="s">
        <v>1193</v>
      </c>
      <c r="E1271" t="s">
        <v>1196</v>
      </c>
      <c r="F1271"/>
      <c r="H1271" s="1">
        <v>22428</v>
      </c>
      <c r="I1271" t="s">
        <v>3524</v>
      </c>
      <c r="J1271" t="s">
        <v>3525</v>
      </c>
      <c r="K1271" s="170">
        <v>45900</v>
      </c>
      <c r="L1271" s="1">
        <v>35436.633427704328</v>
      </c>
      <c r="M1271" s="1">
        <v>45930</v>
      </c>
      <c r="Y1271"/>
      <c r="Z1271"/>
      <c r="AB1271"/>
    </row>
    <row r="1272" spans="1:28" ht="14.4" hidden="1">
      <c r="A1272" t="s">
        <v>203</v>
      </c>
      <c r="B1272" s="1">
        <v>46</v>
      </c>
      <c r="C1272" s="258" t="s">
        <v>3526</v>
      </c>
      <c r="D1272" t="s">
        <v>1193</v>
      </c>
      <c r="E1272" t="s">
        <v>1200</v>
      </c>
      <c r="F1272"/>
      <c r="H1272" s="1">
        <v>11169</v>
      </c>
      <c r="I1272"/>
      <c r="J1272" t="s">
        <v>1691</v>
      </c>
      <c r="K1272" s="170">
        <v>45900</v>
      </c>
      <c r="L1272" s="1">
        <v>17647.215924470736</v>
      </c>
      <c r="M1272" s="1">
        <v>45900</v>
      </c>
      <c r="Y1272"/>
      <c r="Z1272"/>
      <c r="AB1272"/>
    </row>
    <row r="1273" spans="1:28" ht="14.4" hidden="1">
      <c r="A1273" t="s">
        <v>203</v>
      </c>
      <c r="B1273" s="1">
        <v>47</v>
      </c>
      <c r="C1273" s="258" t="s">
        <v>3527</v>
      </c>
      <c r="D1273" t="s">
        <v>1193</v>
      </c>
      <c r="E1273" t="s">
        <v>3528</v>
      </c>
      <c r="F1273"/>
      <c r="H1273" s="1">
        <v>44000</v>
      </c>
      <c r="I1273" t="s">
        <v>2772</v>
      </c>
      <c r="J1273" t="s">
        <v>3529</v>
      </c>
      <c r="K1273" s="170">
        <v>45961</v>
      </c>
      <c r="L1273" s="1">
        <v>139319.34685811546</v>
      </c>
      <c r="M1273" s="1">
        <v>45961</v>
      </c>
      <c r="Y1273"/>
      <c r="Z1273"/>
      <c r="AB1273"/>
    </row>
    <row r="1274" spans="1:28" ht="14.4" hidden="1">
      <c r="A1274" t="s">
        <v>203</v>
      </c>
      <c r="B1274" s="1">
        <v>48</v>
      </c>
      <c r="C1274" s="258" t="s">
        <v>3530</v>
      </c>
      <c r="D1274" t="s">
        <v>1193</v>
      </c>
      <c r="E1274" t="s">
        <v>3531</v>
      </c>
      <c r="F1274"/>
      <c r="H1274" s="1">
        <v>577.37</v>
      </c>
      <c r="I1274"/>
      <c r="J1274" t="s">
        <v>1204</v>
      </c>
      <c r="K1274" s="170">
        <v>45961</v>
      </c>
      <c r="L1274" s="1">
        <v>1379.8946741022314</v>
      </c>
      <c r="M1274" s="1">
        <v>45991</v>
      </c>
      <c r="Y1274"/>
      <c r="Z1274"/>
      <c r="AB1274"/>
    </row>
    <row r="1275" spans="1:28" ht="14.4" hidden="1">
      <c r="A1275" t="s">
        <v>203</v>
      </c>
      <c r="B1275" s="1">
        <v>49</v>
      </c>
      <c r="C1275" s="258" t="s">
        <v>3532</v>
      </c>
      <c r="D1275" t="s">
        <v>1193</v>
      </c>
      <c r="E1275" t="s">
        <v>3533</v>
      </c>
      <c r="F1275"/>
      <c r="G1275">
        <v>3500</v>
      </c>
      <c r="H1275" s="1">
        <v>975</v>
      </c>
      <c r="I1275"/>
      <c r="J1275" t="s">
        <v>1207</v>
      </c>
      <c r="K1275" s="170">
        <v>45930</v>
      </c>
      <c r="L1275" s="1">
        <v>2345.4241839694523</v>
      </c>
      <c r="M1275" s="1">
        <v>45939</v>
      </c>
      <c r="Y1275"/>
      <c r="Z1275"/>
      <c r="AB1275"/>
    </row>
    <row r="1276" spans="1:28" ht="14.4" hidden="1">
      <c r="A1276" t="s">
        <v>203</v>
      </c>
      <c r="B1276" s="1">
        <v>50</v>
      </c>
      <c r="C1276" s="258" t="s">
        <v>3534</v>
      </c>
      <c r="D1276" t="s">
        <v>1193</v>
      </c>
      <c r="E1276" t="s">
        <v>3533</v>
      </c>
      <c r="F1276"/>
      <c r="H1276" s="1">
        <v>1300</v>
      </c>
      <c r="I1276"/>
      <c r="J1276" t="s">
        <v>1155</v>
      </c>
      <c r="K1276" s="170">
        <v>45961</v>
      </c>
      <c r="L1276" s="1">
        <v>3094.7918017139368</v>
      </c>
      <c r="M1276" s="1">
        <v>45961</v>
      </c>
      <c r="Y1276"/>
      <c r="Z1276"/>
      <c r="AB1276"/>
    </row>
    <row r="1277" spans="1:28" ht="14.4" hidden="1">
      <c r="A1277" t="s">
        <v>203</v>
      </c>
      <c r="B1277" s="1">
        <v>51</v>
      </c>
      <c r="C1277" s="258" t="s">
        <v>3535</v>
      </c>
      <c r="D1277" t="s">
        <v>1193</v>
      </c>
      <c r="E1277" t="s">
        <v>3536</v>
      </c>
      <c r="F1277"/>
      <c r="H1277" s="1">
        <v>350</v>
      </c>
      <c r="I1277" t="s">
        <v>3537</v>
      </c>
      <c r="J1277" t="s">
        <v>3538</v>
      </c>
      <c r="K1277" s="170">
        <v>45991</v>
      </c>
      <c r="M1277" s="1">
        <v>46029</v>
      </c>
      <c r="Y1277"/>
      <c r="Z1277"/>
      <c r="AB1277"/>
    </row>
    <row r="1278" spans="1:28" ht="14.4" hidden="1">
      <c r="A1278" t="s">
        <v>203</v>
      </c>
      <c r="B1278" s="1">
        <v>59</v>
      </c>
      <c r="C1278" s="258" t="s">
        <v>3539</v>
      </c>
      <c r="D1278" t="s">
        <v>1211</v>
      </c>
      <c r="E1278" t="s">
        <v>1169</v>
      </c>
      <c r="F1278">
        <v>126812.1</v>
      </c>
      <c r="G1278">
        <v>0.1</v>
      </c>
      <c r="H1278" s="1">
        <v>12681.21</v>
      </c>
      <c r="I1278" t="s">
        <v>3506</v>
      </c>
      <c r="J1278" t="s">
        <v>3507</v>
      </c>
      <c r="K1278" s="170">
        <v>45900</v>
      </c>
      <c r="L1278" s="1">
        <v>17429.597251114483</v>
      </c>
      <c r="M1278" s="1">
        <v>45904</v>
      </c>
      <c r="Y1278"/>
      <c r="Z1278"/>
      <c r="AB1278"/>
    </row>
    <row r="1279" spans="1:28" ht="14.4" hidden="1">
      <c r="A1279" t="s">
        <v>203</v>
      </c>
      <c r="B1279" s="1">
        <v>60</v>
      </c>
      <c r="C1279" s="258" t="s">
        <v>3540</v>
      </c>
      <c r="D1279" t="s">
        <v>1211</v>
      </c>
      <c r="E1279" t="s">
        <v>558</v>
      </c>
      <c r="F1279"/>
      <c r="G1279">
        <v>0.15</v>
      </c>
      <c r="H1279" s="1">
        <v>19021.82</v>
      </c>
      <c r="I1279"/>
      <c r="J1279" t="s">
        <v>3509</v>
      </c>
      <c r="K1279" s="170">
        <v>45900</v>
      </c>
      <c r="L1279" s="1">
        <v>26144.402748885517</v>
      </c>
      <c r="M1279" s="1">
        <v>45911</v>
      </c>
      <c r="Y1279"/>
      <c r="Z1279"/>
      <c r="AB1279"/>
    </row>
    <row r="1280" spans="1:28" ht="14.4" hidden="1">
      <c r="A1280" t="s">
        <v>203</v>
      </c>
      <c r="B1280" s="1">
        <v>61</v>
      </c>
      <c r="C1280" s="258" t="s">
        <v>3541</v>
      </c>
      <c r="D1280" t="s">
        <v>1211</v>
      </c>
      <c r="E1280" t="s">
        <v>1175</v>
      </c>
      <c r="F1280"/>
      <c r="G1280">
        <v>0.2</v>
      </c>
      <c r="H1280" s="1">
        <v>25362.42</v>
      </c>
      <c r="I1280"/>
      <c r="J1280" t="s">
        <v>3511</v>
      </c>
      <c r="K1280" s="170">
        <v>45900</v>
      </c>
      <c r="L1280" s="1">
        <v>34859.194502228966</v>
      </c>
      <c r="M1280" s="1">
        <v>45946</v>
      </c>
      <c r="Y1280"/>
      <c r="Z1280"/>
      <c r="AB1280"/>
    </row>
    <row r="1281" spans="1:28" ht="14.4" hidden="1">
      <c r="A1281" t="s">
        <v>203</v>
      </c>
      <c r="B1281" s="1">
        <v>62</v>
      </c>
      <c r="C1281" s="258" t="s">
        <v>3542</v>
      </c>
      <c r="D1281" t="s">
        <v>1211</v>
      </c>
      <c r="E1281" t="s">
        <v>1178</v>
      </c>
      <c r="F1281"/>
      <c r="G1281">
        <v>0.25</v>
      </c>
      <c r="H1281" s="1">
        <v>31703.03</v>
      </c>
      <c r="I1281"/>
      <c r="J1281" t="s">
        <v>3513</v>
      </c>
      <c r="K1281" s="170">
        <v>45900</v>
      </c>
      <c r="L1281" s="1">
        <v>43574</v>
      </c>
      <c r="M1281" s="1">
        <v>45946</v>
      </c>
      <c r="Y1281"/>
      <c r="Z1281"/>
      <c r="AB1281"/>
    </row>
    <row r="1282" spans="1:28" ht="14.4" hidden="1">
      <c r="A1282" t="s">
        <v>203</v>
      </c>
      <c r="B1282" s="1">
        <v>63</v>
      </c>
      <c r="C1282" s="258" t="s">
        <v>3543</v>
      </c>
      <c r="D1282" t="s">
        <v>1211</v>
      </c>
      <c r="E1282" t="s">
        <v>1181</v>
      </c>
      <c r="F1282"/>
      <c r="G1282">
        <v>0.1</v>
      </c>
      <c r="H1282" s="1">
        <v>12681.21</v>
      </c>
      <c r="I1282"/>
      <c r="J1282" t="s">
        <v>3515</v>
      </c>
      <c r="K1282" s="170">
        <v>45900</v>
      </c>
      <c r="L1282" s="1">
        <v>17429.597251114483</v>
      </c>
      <c r="M1282" s="1">
        <v>46079</v>
      </c>
      <c r="Y1282"/>
      <c r="Z1282"/>
      <c r="AB1282"/>
    </row>
    <row r="1283" spans="1:28" ht="14.4" hidden="1">
      <c r="A1283" t="s">
        <v>203</v>
      </c>
      <c r="B1283" s="1">
        <v>64</v>
      </c>
      <c r="C1283" s="258" t="s">
        <v>3544</v>
      </c>
      <c r="D1283" t="s">
        <v>1211</v>
      </c>
      <c r="E1283" t="s">
        <v>1184</v>
      </c>
      <c r="F1283"/>
      <c r="G1283">
        <v>0.1</v>
      </c>
      <c r="H1283" s="1">
        <v>12681.21</v>
      </c>
      <c r="I1283"/>
      <c r="J1283" t="s">
        <v>3517</v>
      </c>
      <c r="K1283" s="170">
        <v>45900</v>
      </c>
      <c r="L1283" s="1">
        <v>17429.597251114483</v>
      </c>
      <c r="M1283" s="1">
        <v>46079</v>
      </c>
      <c r="Y1283"/>
      <c r="Z1283"/>
      <c r="AB1283"/>
    </row>
    <row r="1284" spans="1:28" ht="14.4" hidden="1">
      <c r="A1284" t="s">
        <v>203</v>
      </c>
      <c r="B1284" s="1">
        <v>65</v>
      </c>
      <c r="C1284" s="258" t="s">
        <v>3545</v>
      </c>
      <c r="D1284" t="s">
        <v>1211</v>
      </c>
      <c r="E1284" t="s">
        <v>1187</v>
      </c>
      <c r="F1284"/>
      <c r="G1284">
        <v>0.05</v>
      </c>
      <c r="H1284" s="1">
        <v>6340.61</v>
      </c>
      <c r="I1284"/>
      <c r="J1284" t="s">
        <v>3519</v>
      </c>
      <c r="K1284" s="170">
        <v>45900</v>
      </c>
      <c r="L1284" s="1">
        <v>8714.8054977710326</v>
      </c>
      <c r="M1284" s="1">
        <v>46037</v>
      </c>
      <c r="Y1284"/>
      <c r="Z1284"/>
      <c r="AB1284"/>
    </row>
    <row r="1285" spans="1:28" ht="14.4" hidden="1">
      <c r="A1285" t="s">
        <v>203</v>
      </c>
      <c r="B1285" s="1">
        <v>66</v>
      </c>
      <c r="C1285" s="258" t="s">
        <v>3546</v>
      </c>
      <c r="D1285" t="s">
        <v>1211</v>
      </c>
      <c r="E1285" t="s">
        <v>1190</v>
      </c>
      <c r="F1285"/>
      <c r="G1285">
        <v>0.05</v>
      </c>
      <c r="H1285" s="1">
        <v>6340.61</v>
      </c>
      <c r="I1285"/>
      <c r="J1285" t="s">
        <v>3521</v>
      </c>
      <c r="K1285" s="170">
        <v>45900</v>
      </c>
      <c r="L1285" s="1">
        <v>8714.8054977710326</v>
      </c>
      <c r="M1285" s="1">
        <v>46037</v>
      </c>
      <c r="Y1285"/>
      <c r="Z1285"/>
      <c r="AB1285"/>
    </row>
    <row r="1286" spans="1:28" ht="14.4" hidden="1">
      <c r="A1286" t="s">
        <v>203</v>
      </c>
      <c r="B1286" s="1">
        <v>91</v>
      </c>
      <c r="C1286" s="258" t="s">
        <v>3547</v>
      </c>
      <c r="D1286" t="s">
        <v>1246</v>
      </c>
      <c r="E1286" t="s">
        <v>1169</v>
      </c>
      <c r="F1286">
        <v>59310</v>
      </c>
      <c r="G1286">
        <v>0.1</v>
      </c>
      <c r="H1286" s="1">
        <v>5931</v>
      </c>
      <c r="I1286" t="s">
        <v>3506</v>
      </c>
      <c r="J1286" t="s">
        <v>3507</v>
      </c>
      <c r="K1286" s="170">
        <v>45900</v>
      </c>
      <c r="L1286" s="1">
        <v>6025.6</v>
      </c>
      <c r="M1286" s="1">
        <v>45904</v>
      </c>
      <c r="Y1286"/>
      <c r="Z1286"/>
      <c r="AB1286"/>
    </row>
    <row r="1287" spans="1:28" ht="14.4" hidden="1">
      <c r="A1287" t="s">
        <v>203</v>
      </c>
      <c r="B1287" s="1">
        <v>92</v>
      </c>
      <c r="C1287" s="258" t="s">
        <v>3548</v>
      </c>
      <c r="D1287" t="s">
        <v>1246</v>
      </c>
      <c r="E1287" t="s">
        <v>558</v>
      </c>
      <c r="F1287"/>
      <c r="G1287">
        <v>0.15</v>
      </c>
      <c r="H1287" s="1">
        <v>8896.5</v>
      </c>
      <c r="I1287"/>
      <c r="J1287" t="s">
        <v>3509</v>
      </c>
      <c r="K1287" s="170">
        <v>45900</v>
      </c>
      <c r="L1287" s="1">
        <v>9038.4</v>
      </c>
      <c r="M1287" s="1">
        <v>45911</v>
      </c>
      <c r="Y1287"/>
      <c r="Z1287"/>
      <c r="AB1287"/>
    </row>
    <row r="1288" spans="1:28" ht="14.4" hidden="1">
      <c r="A1288" t="s">
        <v>203</v>
      </c>
      <c r="B1288" s="1">
        <v>93</v>
      </c>
      <c r="C1288" s="258" t="s">
        <v>3549</v>
      </c>
      <c r="D1288" t="s">
        <v>1246</v>
      </c>
      <c r="E1288" t="s">
        <v>1175</v>
      </c>
      <c r="F1288"/>
      <c r="G1288">
        <v>0.2</v>
      </c>
      <c r="H1288" s="1">
        <v>11862</v>
      </c>
      <c r="I1288"/>
      <c r="J1288" t="s">
        <v>3550</v>
      </c>
      <c r="K1288" s="170">
        <v>45961</v>
      </c>
      <c r="L1288" s="1">
        <v>12051.2</v>
      </c>
      <c r="M1288" s="1">
        <v>45946</v>
      </c>
      <c r="Y1288"/>
      <c r="Z1288"/>
      <c r="AB1288"/>
    </row>
    <row r="1289" spans="1:28" ht="14.4" hidden="1">
      <c r="A1289" t="s">
        <v>203</v>
      </c>
      <c r="B1289" s="1">
        <v>94</v>
      </c>
      <c r="C1289" s="258" t="s">
        <v>3551</v>
      </c>
      <c r="D1289" t="s">
        <v>1246</v>
      </c>
      <c r="E1289" t="s">
        <v>1178</v>
      </c>
      <c r="F1289"/>
      <c r="G1289">
        <v>0.25</v>
      </c>
      <c r="H1289" s="1">
        <v>14827.5</v>
      </c>
      <c r="I1289"/>
      <c r="J1289" t="s">
        <v>3550</v>
      </c>
      <c r="K1289" s="170">
        <v>45961</v>
      </c>
      <c r="L1289" s="1">
        <v>15064</v>
      </c>
      <c r="M1289" s="1">
        <v>45946</v>
      </c>
      <c r="Y1289"/>
      <c r="Z1289"/>
      <c r="AB1289"/>
    </row>
    <row r="1290" spans="1:28" ht="14.4" hidden="1">
      <c r="A1290" t="s">
        <v>203</v>
      </c>
      <c r="B1290" s="1">
        <v>95</v>
      </c>
      <c r="C1290" s="258" t="s">
        <v>3552</v>
      </c>
      <c r="D1290" t="s">
        <v>1246</v>
      </c>
      <c r="E1290" t="s">
        <v>1181</v>
      </c>
      <c r="F1290"/>
      <c r="G1290">
        <v>0.1</v>
      </c>
      <c r="H1290" s="1">
        <v>5931</v>
      </c>
      <c r="I1290"/>
      <c r="J1290" t="s">
        <v>3550</v>
      </c>
      <c r="K1290" s="170">
        <v>45961</v>
      </c>
      <c r="L1290" s="1">
        <v>6025.6</v>
      </c>
      <c r="M1290" s="1">
        <v>46079</v>
      </c>
      <c r="Y1290"/>
      <c r="Z1290"/>
      <c r="AB1290"/>
    </row>
    <row r="1291" spans="1:28" ht="14.4" hidden="1">
      <c r="A1291" t="s">
        <v>203</v>
      </c>
      <c r="B1291" s="1">
        <v>96</v>
      </c>
      <c r="C1291" s="258" t="s">
        <v>3553</v>
      </c>
      <c r="D1291" t="s">
        <v>1246</v>
      </c>
      <c r="E1291" t="s">
        <v>1184</v>
      </c>
      <c r="F1291"/>
      <c r="G1291">
        <v>0.1</v>
      </c>
      <c r="H1291" s="1">
        <v>5931</v>
      </c>
      <c r="I1291"/>
      <c r="J1291" t="s">
        <v>3550</v>
      </c>
      <c r="K1291" s="170">
        <v>45961</v>
      </c>
      <c r="L1291" s="1">
        <v>6025.6</v>
      </c>
      <c r="M1291" s="1">
        <v>46079</v>
      </c>
      <c r="Y1291"/>
      <c r="Z1291"/>
      <c r="AB1291"/>
    </row>
    <row r="1292" spans="1:28" ht="14.4" hidden="1">
      <c r="A1292" t="s">
        <v>203</v>
      </c>
      <c r="B1292" s="1">
        <v>97</v>
      </c>
      <c r="C1292" s="258" t="s">
        <v>3554</v>
      </c>
      <c r="D1292" t="s">
        <v>1246</v>
      </c>
      <c r="E1292" t="s">
        <v>1187</v>
      </c>
      <c r="F1292"/>
      <c r="G1292">
        <v>0.05</v>
      </c>
      <c r="H1292" s="1">
        <v>2965.5</v>
      </c>
      <c r="I1292"/>
      <c r="J1292" t="s">
        <v>3550</v>
      </c>
      <c r="K1292" s="170">
        <v>45961</v>
      </c>
      <c r="L1292" s="1">
        <v>3012.8</v>
      </c>
      <c r="M1292" s="1">
        <v>46079</v>
      </c>
      <c r="Y1292"/>
      <c r="Z1292"/>
      <c r="AB1292"/>
    </row>
    <row r="1293" spans="1:28" ht="14.4" hidden="1">
      <c r="A1293" t="s">
        <v>203</v>
      </c>
      <c r="B1293" s="1">
        <v>98</v>
      </c>
      <c r="C1293" s="258" t="s">
        <v>3555</v>
      </c>
      <c r="D1293" t="s">
        <v>1246</v>
      </c>
      <c r="E1293" t="s">
        <v>1190</v>
      </c>
      <c r="F1293"/>
      <c r="G1293">
        <v>0.05</v>
      </c>
      <c r="H1293" s="1">
        <v>2965.5</v>
      </c>
      <c r="I1293"/>
      <c r="J1293" t="s">
        <v>3550</v>
      </c>
      <c r="K1293" s="170">
        <v>45961</v>
      </c>
      <c r="L1293" s="1">
        <v>3012.8</v>
      </c>
      <c r="M1293" s="1">
        <v>46079</v>
      </c>
      <c r="Y1293"/>
      <c r="Z1293"/>
      <c r="AB1293"/>
    </row>
    <row r="1294" spans="1:28" ht="14.4" hidden="1">
      <c r="A1294" t="s">
        <v>203</v>
      </c>
      <c r="B1294" s="1">
        <v>104</v>
      </c>
      <c r="C1294" s="258" t="s">
        <v>3556</v>
      </c>
      <c r="D1294" t="s">
        <v>1255</v>
      </c>
      <c r="E1294" t="s">
        <v>1343</v>
      </c>
      <c r="F1294"/>
      <c r="H1294" s="1">
        <v>22792</v>
      </c>
      <c r="I1294" t="s">
        <v>3557</v>
      </c>
      <c r="J1294" t="s">
        <v>3558</v>
      </c>
      <c r="K1294" s="170">
        <v>45900</v>
      </c>
      <c r="L1294" s="1">
        <v>19006.216831455506</v>
      </c>
      <c r="M1294" s="1">
        <v>45898</v>
      </c>
      <c r="Y1294"/>
      <c r="Z1294"/>
      <c r="AB1294"/>
    </row>
    <row r="1295" spans="1:28" ht="14.4" hidden="1">
      <c r="A1295" t="s">
        <v>203</v>
      </c>
      <c r="B1295" s="1">
        <v>107</v>
      </c>
      <c r="C1295" s="258" t="s">
        <v>3559</v>
      </c>
      <c r="D1295" t="s">
        <v>1255</v>
      </c>
      <c r="E1295" t="s">
        <v>1169</v>
      </c>
      <c r="F1295">
        <v>12000</v>
      </c>
      <c r="G1295">
        <v>0.1</v>
      </c>
      <c r="H1295" s="1">
        <v>1200</v>
      </c>
      <c r="I1295" t="s">
        <v>3506</v>
      </c>
      <c r="J1295" t="s">
        <v>3507</v>
      </c>
      <c r="K1295" s="170">
        <v>45900</v>
      </c>
      <c r="L1295" s="1">
        <v>1000.6783168544492</v>
      </c>
      <c r="M1295" s="1">
        <v>45904</v>
      </c>
      <c r="Y1295"/>
      <c r="Z1295"/>
      <c r="AB1295"/>
    </row>
    <row r="1296" spans="1:28" ht="14.4" hidden="1">
      <c r="A1296" t="s">
        <v>203</v>
      </c>
      <c r="B1296" s="1">
        <v>108</v>
      </c>
      <c r="C1296" s="258" t="s">
        <v>3560</v>
      </c>
      <c r="D1296" t="s">
        <v>1255</v>
      </c>
      <c r="E1296" t="s">
        <v>558</v>
      </c>
      <c r="F1296"/>
      <c r="G1296">
        <v>0.15</v>
      </c>
      <c r="H1296" s="1">
        <v>1800</v>
      </c>
      <c r="I1296"/>
      <c r="J1296" t="s">
        <v>3509</v>
      </c>
      <c r="K1296" s="170">
        <v>45900</v>
      </c>
      <c r="L1296" s="1">
        <v>1501.017475281674</v>
      </c>
      <c r="M1296" s="1">
        <v>45911</v>
      </c>
      <c r="Y1296"/>
      <c r="Z1296"/>
      <c r="AB1296"/>
    </row>
    <row r="1297" spans="1:28" ht="14.4" hidden="1">
      <c r="A1297" t="s">
        <v>203</v>
      </c>
      <c r="B1297" s="1">
        <v>109</v>
      </c>
      <c r="C1297" s="258" t="s">
        <v>3561</v>
      </c>
      <c r="D1297" t="s">
        <v>1255</v>
      </c>
      <c r="E1297" t="s">
        <v>1175</v>
      </c>
      <c r="F1297"/>
      <c r="G1297">
        <v>0.2</v>
      </c>
      <c r="H1297" s="1">
        <v>2400</v>
      </c>
      <c r="I1297"/>
      <c r="J1297" t="s">
        <v>3511</v>
      </c>
      <c r="K1297" s="170">
        <v>45900</v>
      </c>
      <c r="L1297" s="1">
        <v>2001.3566337088987</v>
      </c>
      <c r="M1297" s="1">
        <v>45946</v>
      </c>
      <c r="Y1297"/>
      <c r="Z1297"/>
      <c r="AB1297"/>
    </row>
    <row r="1298" spans="1:28" ht="14.4" hidden="1">
      <c r="A1298" t="s">
        <v>203</v>
      </c>
      <c r="B1298" s="1">
        <v>110</v>
      </c>
      <c r="C1298" s="258" t="s">
        <v>3562</v>
      </c>
      <c r="D1298" t="s">
        <v>1255</v>
      </c>
      <c r="E1298" t="s">
        <v>1178</v>
      </c>
      <c r="F1298"/>
      <c r="G1298">
        <v>0.25</v>
      </c>
      <c r="H1298" s="1">
        <v>3000</v>
      </c>
      <c r="I1298"/>
      <c r="J1298" t="s">
        <v>3513</v>
      </c>
      <c r="K1298" s="170">
        <v>45900</v>
      </c>
      <c r="L1298" s="1">
        <v>2501.6957921361231</v>
      </c>
      <c r="M1298" s="1">
        <v>45946</v>
      </c>
      <c r="Y1298"/>
      <c r="Z1298"/>
      <c r="AB1298"/>
    </row>
    <row r="1299" spans="1:28" ht="14.4" hidden="1">
      <c r="A1299" t="s">
        <v>203</v>
      </c>
      <c r="B1299" s="1">
        <v>111</v>
      </c>
      <c r="C1299" s="258" t="s">
        <v>3563</v>
      </c>
      <c r="D1299" t="s">
        <v>1255</v>
      </c>
      <c r="E1299" t="s">
        <v>1181</v>
      </c>
      <c r="F1299"/>
      <c r="G1299">
        <v>0.1</v>
      </c>
      <c r="H1299" s="1">
        <v>1200</v>
      </c>
      <c r="I1299"/>
      <c r="J1299" t="s">
        <v>3515</v>
      </c>
      <c r="K1299" s="170">
        <v>45900</v>
      </c>
      <c r="L1299" s="1">
        <v>1000.6783168544492</v>
      </c>
      <c r="M1299" s="1">
        <v>46079</v>
      </c>
      <c r="Y1299"/>
      <c r="Z1299"/>
      <c r="AB1299"/>
    </row>
    <row r="1300" spans="1:28" ht="14.4" hidden="1">
      <c r="A1300" t="s">
        <v>203</v>
      </c>
      <c r="B1300" s="1">
        <v>112</v>
      </c>
      <c r="C1300" s="258" t="s">
        <v>3564</v>
      </c>
      <c r="D1300" t="s">
        <v>1255</v>
      </c>
      <c r="E1300" t="s">
        <v>1184</v>
      </c>
      <c r="F1300"/>
      <c r="G1300">
        <v>0.1</v>
      </c>
      <c r="H1300" s="1">
        <v>1200</v>
      </c>
      <c r="I1300"/>
      <c r="J1300" t="s">
        <v>3517</v>
      </c>
      <c r="K1300" s="170">
        <v>45900</v>
      </c>
      <c r="L1300" s="1">
        <v>1000.6783168544492</v>
      </c>
      <c r="M1300" s="1">
        <v>46079</v>
      </c>
      <c r="Y1300"/>
      <c r="Z1300"/>
      <c r="AB1300"/>
    </row>
    <row r="1301" spans="1:28" ht="14.4" hidden="1">
      <c r="A1301" t="s">
        <v>203</v>
      </c>
      <c r="B1301" s="1">
        <v>113</v>
      </c>
      <c r="C1301" s="258" t="s">
        <v>3565</v>
      </c>
      <c r="D1301" t="s">
        <v>1255</v>
      </c>
      <c r="E1301" t="s">
        <v>1187</v>
      </c>
      <c r="F1301"/>
      <c r="G1301">
        <v>0.05</v>
      </c>
      <c r="H1301" s="1">
        <v>600</v>
      </c>
      <c r="I1301"/>
      <c r="J1301" t="s">
        <v>3519</v>
      </c>
      <c r="K1301" s="170">
        <v>45900</v>
      </c>
      <c r="L1301" s="1">
        <v>500.33915842722462</v>
      </c>
      <c r="M1301" s="1">
        <v>46079</v>
      </c>
      <c r="Y1301"/>
      <c r="Z1301"/>
      <c r="AB1301"/>
    </row>
    <row r="1302" spans="1:28" ht="14.4" hidden="1">
      <c r="A1302" t="s">
        <v>203</v>
      </c>
      <c r="B1302" s="1">
        <v>114</v>
      </c>
      <c r="C1302" s="258" t="s">
        <v>3566</v>
      </c>
      <c r="D1302" t="s">
        <v>1255</v>
      </c>
      <c r="E1302" t="s">
        <v>1190</v>
      </c>
      <c r="F1302"/>
      <c r="G1302">
        <v>0.05</v>
      </c>
      <c r="H1302" s="1">
        <v>600</v>
      </c>
      <c r="I1302"/>
      <c r="J1302" t="s">
        <v>3521</v>
      </c>
      <c r="K1302" s="170">
        <v>45900</v>
      </c>
      <c r="L1302" s="1">
        <v>500.33915842722462</v>
      </c>
      <c r="M1302" s="1">
        <v>46079</v>
      </c>
      <c r="Y1302"/>
      <c r="Z1302"/>
      <c r="AB1302"/>
    </row>
    <row r="1303" spans="1:28" ht="14.4" hidden="1">
      <c r="A1303" t="s">
        <v>203</v>
      </c>
      <c r="B1303" s="1">
        <v>119</v>
      </c>
      <c r="C1303" s="258" t="s">
        <v>3567</v>
      </c>
      <c r="D1303" t="s">
        <v>1264</v>
      </c>
      <c r="E1303" t="s">
        <v>1265</v>
      </c>
      <c r="F1303"/>
      <c r="H1303" s="1">
        <v>12575</v>
      </c>
      <c r="I1303"/>
      <c r="J1303" t="s">
        <v>3568</v>
      </c>
      <c r="K1303" s="170">
        <v>46053</v>
      </c>
      <c r="L1303" s="1">
        <v>18772.536958277255</v>
      </c>
      <c r="M1303" s="1">
        <v>46051</v>
      </c>
      <c r="N1303" s="1">
        <v>18575</v>
      </c>
      <c r="Y1303"/>
      <c r="Z1303"/>
      <c r="AB1303"/>
    </row>
    <row r="1304" spans="1:28" ht="14.4" hidden="1">
      <c r="A1304" t="s">
        <v>203</v>
      </c>
      <c r="B1304" s="1">
        <v>120</v>
      </c>
      <c r="C1304" s="258" t="s">
        <v>3569</v>
      </c>
      <c r="D1304" t="s">
        <v>1264</v>
      </c>
      <c r="E1304" t="s">
        <v>1268</v>
      </c>
      <c r="F1304"/>
      <c r="H1304" s="1">
        <v>0</v>
      </c>
      <c r="I1304"/>
      <c r="J1304"/>
      <c r="K1304" s="170"/>
      <c r="L1304" s="1">
        <v>0</v>
      </c>
      <c r="Y1304"/>
      <c r="Z1304"/>
      <c r="AB1304"/>
    </row>
    <row r="1305" spans="1:28" ht="14.4" hidden="1">
      <c r="A1305" t="s">
        <v>203</v>
      </c>
      <c r="B1305" s="1">
        <v>122</v>
      </c>
      <c r="C1305" s="258" t="s">
        <v>3570</v>
      </c>
      <c r="D1305" t="s">
        <v>1264</v>
      </c>
      <c r="E1305" t="s">
        <v>808</v>
      </c>
      <c r="F1305"/>
      <c r="H1305" s="1">
        <v>6000</v>
      </c>
      <c r="I1305"/>
      <c r="J1305" t="s">
        <v>3571</v>
      </c>
      <c r="K1305" s="170">
        <v>45961</v>
      </c>
      <c r="L1305" s="1">
        <v>13449.463293146986</v>
      </c>
      <c r="M1305" s="1">
        <v>45991</v>
      </c>
      <c r="Y1305"/>
      <c r="Z1305"/>
      <c r="AB1305"/>
    </row>
    <row r="1306" spans="1:28" ht="14.4" hidden="1">
      <c r="A1306" t="s">
        <v>203</v>
      </c>
      <c r="B1306" s="1">
        <v>128</v>
      </c>
      <c r="C1306" s="258" t="s">
        <v>3572</v>
      </c>
      <c r="D1306" t="s">
        <v>1277</v>
      </c>
      <c r="E1306" t="s">
        <v>1278</v>
      </c>
      <c r="F1306"/>
      <c r="H1306" s="1">
        <v>12839.2</v>
      </c>
      <c r="I1306"/>
      <c r="J1306" t="s">
        <v>3573</v>
      </c>
      <c r="K1306" s="170">
        <v>45961</v>
      </c>
      <c r="L1306" s="1">
        <v>11445</v>
      </c>
      <c r="M1306" s="1">
        <v>45991</v>
      </c>
      <c r="N1306" s="1">
        <v>12839.2</v>
      </c>
      <c r="Y1306"/>
      <c r="Z1306"/>
      <c r="AB1306"/>
    </row>
    <row r="1307" spans="1:28" ht="14.4" hidden="1">
      <c r="A1307" t="s">
        <v>203</v>
      </c>
      <c r="B1307" s="1">
        <v>130</v>
      </c>
      <c r="C1307" s="258" t="s">
        <v>3574</v>
      </c>
      <c r="D1307" t="s">
        <v>1277</v>
      </c>
      <c r="E1307" t="s">
        <v>1905</v>
      </c>
      <c r="F1307"/>
      <c r="H1307" s="1">
        <v>0</v>
      </c>
      <c r="I1307"/>
      <c r="J1307"/>
      <c r="K1307" s="170"/>
      <c r="L1307" s="1">
        <v>0</v>
      </c>
      <c r="Y1307"/>
      <c r="Z1307"/>
      <c r="AB1307"/>
    </row>
    <row r="1308" spans="1:28" ht="14.4" hidden="1">
      <c r="A1308" t="s">
        <v>203</v>
      </c>
      <c r="B1308" s="1">
        <v>131</v>
      </c>
      <c r="C1308" s="258" t="s">
        <v>3575</v>
      </c>
      <c r="D1308" t="s">
        <v>1277</v>
      </c>
      <c r="E1308" t="s">
        <v>1907</v>
      </c>
      <c r="F1308"/>
      <c r="H1308" s="1">
        <v>0</v>
      </c>
      <c r="I1308"/>
      <c r="J1308"/>
      <c r="K1308" s="170"/>
      <c r="L1308" s="1">
        <v>0</v>
      </c>
      <c r="Y1308"/>
      <c r="Z1308"/>
      <c r="AB1308"/>
    </row>
    <row r="1309" spans="1:28" ht="14.4" hidden="1">
      <c r="A1309" t="s">
        <v>203</v>
      </c>
      <c r="B1309" s="1">
        <v>132</v>
      </c>
      <c r="C1309" s="258" t="s">
        <v>3576</v>
      </c>
      <c r="D1309" t="s">
        <v>1277</v>
      </c>
      <c r="E1309" t="s">
        <v>1909</v>
      </c>
      <c r="F1309"/>
      <c r="H1309" s="1">
        <v>0</v>
      </c>
      <c r="I1309"/>
      <c r="J1309"/>
      <c r="K1309" s="170"/>
      <c r="L1309" s="1">
        <v>0</v>
      </c>
      <c r="Y1309"/>
      <c r="Z1309"/>
      <c r="AB1309"/>
    </row>
    <row r="1310" spans="1:28" ht="14.4" hidden="1">
      <c r="A1310" t="s">
        <v>203</v>
      </c>
      <c r="B1310" s="1">
        <v>135</v>
      </c>
      <c r="C1310" s="258" t="s">
        <v>3577</v>
      </c>
      <c r="D1310" t="s">
        <v>1280</v>
      </c>
      <c r="E1310" t="s">
        <v>1281</v>
      </c>
      <c r="F1310"/>
      <c r="H1310" s="1">
        <v>0</v>
      </c>
      <c r="I1310"/>
      <c r="J1310"/>
      <c r="K1310" s="170">
        <v>45900</v>
      </c>
      <c r="L1310" s="1">
        <v>0</v>
      </c>
      <c r="M1310" s="1">
        <v>45900</v>
      </c>
      <c r="N1310" s="1">
        <v>3159.05</v>
      </c>
      <c r="Y1310"/>
      <c r="Z1310"/>
      <c r="AB1310"/>
    </row>
    <row r="1311" spans="1:28" ht="14.4" hidden="1">
      <c r="A1311" t="s">
        <v>203</v>
      </c>
      <c r="B1311" s="1">
        <v>136</v>
      </c>
      <c r="C1311" s="258" t="s">
        <v>3578</v>
      </c>
      <c r="D1311" t="s">
        <v>1280</v>
      </c>
      <c r="E1311" t="s">
        <v>1281</v>
      </c>
      <c r="F1311"/>
      <c r="H1311" s="1">
        <v>0</v>
      </c>
      <c r="I1311"/>
      <c r="J1311"/>
      <c r="K1311" s="170">
        <v>45930</v>
      </c>
      <c r="L1311" s="1">
        <v>0</v>
      </c>
      <c r="M1311" s="1">
        <v>45930</v>
      </c>
      <c r="Y1311"/>
      <c r="Z1311"/>
      <c r="AB1311"/>
    </row>
    <row r="1312" spans="1:28" ht="14.4" hidden="1">
      <c r="A1312" t="s">
        <v>203</v>
      </c>
      <c r="B1312" s="1">
        <v>137</v>
      </c>
      <c r="C1312" s="258" t="s">
        <v>3579</v>
      </c>
      <c r="D1312" t="s">
        <v>1280</v>
      </c>
      <c r="E1312" t="s">
        <v>1281</v>
      </c>
      <c r="F1312"/>
      <c r="H1312" s="1">
        <v>0</v>
      </c>
      <c r="I1312"/>
      <c r="J1312"/>
      <c r="K1312" s="170">
        <v>45961</v>
      </c>
      <c r="L1312" s="1">
        <v>0</v>
      </c>
      <c r="M1312" s="1">
        <v>45961</v>
      </c>
      <c r="Y1312"/>
      <c r="Z1312"/>
      <c r="AB1312"/>
    </row>
    <row r="1313" spans="1:28" ht="14.4" hidden="1">
      <c r="A1313" t="s">
        <v>203</v>
      </c>
      <c r="B1313" s="1">
        <v>138</v>
      </c>
      <c r="C1313" s="258" t="s">
        <v>3580</v>
      </c>
      <c r="D1313" t="s">
        <v>1280</v>
      </c>
      <c r="E1313" t="s">
        <v>1281</v>
      </c>
      <c r="F1313"/>
      <c r="H1313" s="1">
        <v>3159.05</v>
      </c>
      <c r="I1313"/>
      <c r="J1313" t="s">
        <v>1604</v>
      </c>
      <c r="K1313" s="170">
        <v>45991</v>
      </c>
      <c r="L1313" s="1">
        <v>1361</v>
      </c>
      <c r="M1313" s="1">
        <v>45996</v>
      </c>
      <c r="Y1313"/>
      <c r="Z1313"/>
      <c r="AB1313"/>
    </row>
    <row r="1314" spans="1:28" ht="14.4" hidden="1">
      <c r="A1314" t="s">
        <v>203</v>
      </c>
      <c r="B1314" s="1">
        <v>148</v>
      </c>
      <c r="C1314" s="258" t="s">
        <v>3581</v>
      </c>
      <c r="D1314" t="s">
        <v>1451</v>
      </c>
      <c r="E1314" t="s">
        <v>3582</v>
      </c>
      <c r="F1314"/>
      <c r="H1314" s="1">
        <v>298.24</v>
      </c>
      <c r="I1314"/>
      <c r="J1314" t="s">
        <v>3583</v>
      </c>
      <c r="K1314" s="170">
        <v>45991</v>
      </c>
      <c r="M1314" s="1">
        <v>46022</v>
      </c>
      <c r="N1314" s="1">
        <v>298.24</v>
      </c>
      <c r="Y1314"/>
      <c r="Z1314"/>
      <c r="AB1314"/>
    </row>
    <row r="1315" spans="1:28" ht="14.4" hidden="1">
      <c r="A1315" t="s">
        <v>516</v>
      </c>
      <c r="B1315" s="1">
        <v>6</v>
      </c>
      <c r="C1315" s="258" t="s">
        <v>3584</v>
      </c>
      <c r="D1315" t="s">
        <v>1146</v>
      </c>
      <c r="E1315" t="s">
        <v>3585</v>
      </c>
      <c r="F1315">
        <v>631</v>
      </c>
      <c r="G1315">
        <v>1233.8</v>
      </c>
      <c r="H1315" s="1">
        <v>778527.8</v>
      </c>
      <c r="I1315" t="s">
        <v>3586</v>
      </c>
      <c r="J1315" t="s">
        <v>3587</v>
      </c>
      <c r="K1315" s="170">
        <v>45808</v>
      </c>
      <c r="L1315" s="1">
        <v>934730.125</v>
      </c>
      <c r="M1315" s="1">
        <v>45867</v>
      </c>
      <c r="N1315" s="1">
        <v>778527.8</v>
      </c>
      <c r="Y1315"/>
      <c r="Z1315"/>
      <c r="AB1315"/>
    </row>
    <row r="1316" spans="1:28" ht="14.4" hidden="1">
      <c r="A1316" t="s">
        <v>516</v>
      </c>
      <c r="B1316" s="1">
        <v>13</v>
      </c>
      <c r="C1316" s="258" t="s">
        <v>3588</v>
      </c>
      <c r="D1316" t="s">
        <v>1157</v>
      </c>
      <c r="E1316" t="s">
        <v>2937</v>
      </c>
      <c r="F1316">
        <v>3</v>
      </c>
      <c r="G1316">
        <v>68870.350000000006</v>
      </c>
      <c r="H1316" s="1">
        <v>206611.05</v>
      </c>
      <c r="I1316" t="s">
        <v>3586</v>
      </c>
      <c r="J1316" t="s">
        <v>3587</v>
      </c>
      <c r="K1316" s="170">
        <v>45808</v>
      </c>
      <c r="L1316" s="1">
        <v>238636.36363636365</v>
      </c>
      <c r="M1316" s="1">
        <v>45867</v>
      </c>
      <c r="N1316" s="1">
        <v>206611.05</v>
      </c>
      <c r="Y1316"/>
      <c r="Z1316"/>
      <c r="AB1316"/>
    </row>
    <row r="1317" spans="1:28" ht="14.4" hidden="1">
      <c r="A1317" t="s">
        <v>516</v>
      </c>
      <c r="B1317" s="1">
        <v>21</v>
      </c>
      <c r="C1317" s="258" t="s">
        <v>3589</v>
      </c>
      <c r="D1317" t="s">
        <v>1160</v>
      </c>
      <c r="E1317" t="s">
        <v>1161</v>
      </c>
      <c r="F1317"/>
      <c r="H1317" s="1">
        <v>62801.600000000006</v>
      </c>
      <c r="I1317" t="s">
        <v>3590</v>
      </c>
      <c r="J1317" t="s">
        <v>3591</v>
      </c>
      <c r="K1317" s="170">
        <v>45808</v>
      </c>
      <c r="L1317" s="1">
        <v>146262.48405798062</v>
      </c>
      <c r="M1317" s="1">
        <v>45835</v>
      </c>
      <c r="N1317" s="1">
        <v>67072.02</v>
      </c>
      <c r="Y1317"/>
      <c r="Z1317"/>
      <c r="AB1317"/>
    </row>
    <row r="1318" spans="1:28" ht="14.4" hidden="1">
      <c r="A1318" t="s">
        <v>516</v>
      </c>
      <c r="B1318" s="1">
        <v>22</v>
      </c>
      <c r="C1318" s="258" t="s">
        <v>3592</v>
      </c>
      <c r="D1318" t="s">
        <v>1160</v>
      </c>
      <c r="E1318" t="s">
        <v>3593</v>
      </c>
      <c r="F1318">
        <v>300</v>
      </c>
      <c r="G1318">
        <v>24.88</v>
      </c>
      <c r="H1318" s="1">
        <v>7464</v>
      </c>
      <c r="I1318"/>
      <c r="J1318" t="s">
        <v>3250</v>
      </c>
      <c r="K1318" s="170">
        <v>45838</v>
      </c>
      <c r="L1318" s="1">
        <v>15404.446309706009</v>
      </c>
      <c r="M1318" s="1">
        <v>45838</v>
      </c>
      <c r="Y1318"/>
      <c r="Z1318"/>
      <c r="AB1318"/>
    </row>
    <row r="1319" spans="1:28" ht="14.4" hidden="1">
      <c r="A1319" t="s">
        <v>516</v>
      </c>
      <c r="B1319" s="1">
        <v>23</v>
      </c>
      <c r="C1319" s="258" t="s">
        <v>3594</v>
      </c>
      <c r="D1319" t="s">
        <v>1160</v>
      </c>
      <c r="E1319" t="s">
        <v>3593</v>
      </c>
      <c r="F1319">
        <v>-300</v>
      </c>
      <c r="G1319">
        <v>24.88</v>
      </c>
      <c r="H1319" s="1">
        <v>-7464</v>
      </c>
      <c r="I1319"/>
      <c r="J1319" t="s">
        <v>3595</v>
      </c>
      <c r="K1319" s="170">
        <v>45869</v>
      </c>
      <c r="L1319" s="1">
        <v>0</v>
      </c>
      <c r="M1319" s="1">
        <v>45869</v>
      </c>
      <c r="Y1319"/>
      <c r="Z1319"/>
      <c r="AB1319"/>
    </row>
    <row r="1320" spans="1:28" ht="14.4" hidden="1">
      <c r="A1320" t="s">
        <v>516</v>
      </c>
      <c r="B1320" s="1">
        <v>24</v>
      </c>
      <c r="C1320" s="258" t="s">
        <v>3596</v>
      </c>
      <c r="D1320" t="s">
        <v>1160</v>
      </c>
      <c r="E1320" t="s">
        <v>3597</v>
      </c>
      <c r="F1320">
        <v>300</v>
      </c>
      <c r="G1320">
        <v>11.48</v>
      </c>
      <c r="H1320" s="1">
        <v>3444</v>
      </c>
      <c r="I1320"/>
      <c r="J1320" t="s">
        <v>3595</v>
      </c>
      <c r="K1320" s="170">
        <v>45869</v>
      </c>
      <c r="L1320" s="1">
        <v>36831.449999999997</v>
      </c>
      <c r="Y1320"/>
      <c r="Z1320"/>
      <c r="AB1320"/>
    </row>
    <row r="1321" spans="1:28" ht="14.4" hidden="1">
      <c r="A1321" t="s">
        <v>516</v>
      </c>
      <c r="B1321" s="1">
        <v>25</v>
      </c>
      <c r="C1321" s="258" t="s">
        <v>3598</v>
      </c>
      <c r="D1321" t="s">
        <v>1160</v>
      </c>
      <c r="E1321" t="s">
        <v>3257</v>
      </c>
      <c r="F1321"/>
      <c r="H1321" s="1">
        <v>826.42</v>
      </c>
      <c r="I1321"/>
      <c r="J1321" t="s">
        <v>3599</v>
      </c>
      <c r="K1321" s="170">
        <v>45838</v>
      </c>
      <c r="L1321" s="1">
        <v>1705.5925132994694</v>
      </c>
      <c r="M1321" s="1">
        <v>45867</v>
      </c>
      <c r="Y1321"/>
      <c r="Z1321"/>
      <c r="AB1321"/>
    </row>
    <row r="1322" spans="1:28" ht="14.4" hidden="1">
      <c r="A1322" t="s">
        <v>516</v>
      </c>
      <c r="B1322" s="1">
        <v>31</v>
      </c>
      <c r="C1322" s="258" t="s">
        <v>3600</v>
      </c>
      <c r="D1322" t="s">
        <v>1165</v>
      </c>
      <c r="E1322" t="s">
        <v>3601</v>
      </c>
      <c r="F1322">
        <v>600</v>
      </c>
      <c r="G1322">
        <v>13.4</v>
      </c>
      <c r="H1322" s="1">
        <v>8040</v>
      </c>
      <c r="I1322" t="s">
        <v>3586</v>
      </c>
      <c r="J1322" t="s">
        <v>3587</v>
      </c>
      <c r="K1322" s="170">
        <v>45808</v>
      </c>
      <c r="L1322" s="1">
        <v>16665.63597045928</v>
      </c>
      <c r="M1322" s="1">
        <v>45867</v>
      </c>
      <c r="N1322" s="1">
        <v>228221.76749999999</v>
      </c>
      <c r="Y1322"/>
      <c r="Z1322"/>
      <c r="AB1322"/>
    </row>
    <row r="1323" spans="1:28" ht="14.4" hidden="1">
      <c r="A1323" t="s">
        <v>516</v>
      </c>
      <c r="B1323" s="1">
        <v>32</v>
      </c>
      <c r="C1323" s="258" t="s">
        <v>3602</v>
      </c>
      <c r="D1323" t="s">
        <v>1165</v>
      </c>
      <c r="E1323" t="s">
        <v>3601</v>
      </c>
      <c r="F1323">
        <v>5400</v>
      </c>
      <c r="G1323">
        <v>13.4</v>
      </c>
      <c r="H1323" s="1">
        <v>72360</v>
      </c>
      <c r="I1323"/>
      <c r="J1323" t="s">
        <v>3587</v>
      </c>
      <c r="K1323" s="170">
        <v>45808</v>
      </c>
      <c r="L1323" s="1">
        <v>149990.72373413353</v>
      </c>
      <c r="M1323" s="1">
        <v>45867</v>
      </c>
      <c r="Y1323"/>
      <c r="Z1323"/>
      <c r="AB1323"/>
    </row>
    <row r="1324" spans="1:28" ht="14.4" hidden="1">
      <c r="A1324" t="s">
        <v>516</v>
      </c>
      <c r="B1324" s="1">
        <v>33</v>
      </c>
      <c r="C1324" s="258" t="s">
        <v>3603</v>
      </c>
      <c r="D1324" t="s">
        <v>1165</v>
      </c>
      <c r="E1324" t="s">
        <v>3604</v>
      </c>
      <c r="F1324">
        <v>4000</v>
      </c>
      <c r="G1324">
        <v>13.5</v>
      </c>
      <c r="H1324" s="1">
        <v>54000</v>
      </c>
      <c r="I1324" t="s">
        <v>3605</v>
      </c>
      <c r="J1324" t="s">
        <v>3606</v>
      </c>
      <c r="K1324" s="170">
        <v>45838</v>
      </c>
      <c r="L1324" s="1">
        <v>34511.771735946641</v>
      </c>
      <c r="M1324" s="1">
        <v>45890</v>
      </c>
      <c r="Y1324"/>
      <c r="Z1324"/>
      <c r="AB1324"/>
    </row>
    <row r="1325" spans="1:28" ht="14.4" hidden="1">
      <c r="A1325" t="s">
        <v>516</v>
      </c>
      <c r="B1325" s="1">
        <v>35</v>
      </c>
      <c r="C1325" s="258" t="s">
        <v>3607</v>
      </c>
      <c r="D1325" t="s">
        <v>1165</v>
      </c>
      <c r="E1325" t="s">
        <v>1169</v>
      </c>
      <c r="F1325">
        <v>93821.75</v>
      </c>
      <c r="G1325">
        <v>0.1</v>
      </c>
      <c r="H1325" s="1">
        <v>9382.1750000000011</v>
      </c>
      <c r="I1325" t="s">
        <v>3608</v>
      </c>
      <c r="J1325" t="s">
        <v>3609</v>
      </c>
      <c r="K1325" s="170">
        <v>45808</v>
      </c>
      <c r="L1325" s="1">
        <v>19447.750393177092</v>
      </c>
      <c r="M1325" s="1">
        <v>45792</v>
      </c>
      <c r="Y1325"/>
      <c r="Z1325"/>
      <c r="AB1325"/>
    </row>
    <row r="1326" spans="1:28" ht="14.4" hidden="1">
      <c r="A1326" t="s">
        <v>516</v>
      </c>
      <c r="B1326" s="1">
        <v>36</v>
      </c>
      <c r="C1326" s="258" t="s">
        <v>3610</v>
      </c>
      <c r="D1326" t="s">
        <v>1165</v>
      </c>
      <c r="E1326" t="s">
        <v>558</v>
      </c>
      <c r="F1326"/>
      <c r="G1326">
        <v>0.15</v>
      </c>
      <c r="H1326" s="1">
        <v>14073.262500000001</v>
      </c>
      <c r="I1326"/>
      <c r="J1326" t="s">
        <v>3611</v>
      </c>
      <c r="K1326" s="170">
        <v>45808</v>
      </c>
      <c r="L1326" s="1">
        <v>29171.625589765634</v>
      </c>
      <c r="M1326" s="1">
        <v>45813</v>
      </c>
      <c r="Y1326"/>
      <c r="Z1326"/>
      <c r="AB1326"/>
    </row>
    <row r="1327" spans="1:28" ht="14.4" hidden="1">
      <c r="A1327" t="s">
        <v>516</v>
      </c>
      <c r="B1327" s="1">
        <v>37</v>
      </c>
      <c r="C1327" s="258" t="s">
        <v>3612</v>
      </c>
      <c r="D1327" t="s">
        <v>1165</v>
      </c>
      <c r="E1327" t="s">
        <v>1175</v>
      </c>
      <c r="F1327"/>
      <c r="G1327">
        <v>0.2</v>
      </c>
      <c r="H1327" s="1">
        <v>18764.349999999999</v>
      </c>
      <c r="I1327"/>
      <c r="J1327" t="s">
        <v>3613</v>
      </c>
      <c r="K1327" s="170">
        <v>45838</v>
      </c>
      <c r="L1327" s="1">
        <v>29692.357080377973</v>
      </c>
      <c r="M1327" s="1">
        <v>45876</v>
      </c>
      <c r="Y1327"/>
      <c r="Z1327"/>
      <c r="AB1327"/>
    </row>
    <row r="1328" spans="1:28" ht="14.4" hidden="1">
      <c r="A1328" t="s">
        <v>516</v>
      </c>
      <c r="B1328" s="1">
        <v>38</v>
      </c>
      <c r="C1328" s="258" t="s">
        <v>3614</v>
      </c>
      <c r="D1328" t="s">
        <v>1165</v>
      </c>
      <c r="E1328" t="s">
        <v>1178</v>
      </c>
      <c r="F1328"/>
      <c r="G1328">
        <v>0.25</v>
      </c>
      <c r="H1328" s="1">
        <v>23455.439999999999</v>
      </c>
      <c r="I1328"/>
      <c r="J1328" t="s">
        <v>3615</v>
      </c>
      <c r="K1328" s="170">
        <v>45838</v>
      </c>
      <c r="L1328" s="1">
        <v>37115.450306425795</v>
      </c>
      <c r="M1328" s="1">
        <v>45849</v>
      </c>
      <c r="Y1328"/>
      <c r="Z1328"/>
      <c r="AB1328"/>
    </row>
    <row r="1329" spans="1:28" ht="14.4" hidden="1">
      <c r="A1329" t="s">
        <v>516</v>
      </c>
      <c r="B1329" s="1">
        <v>39</v>
      </c>
      <c r="C1329" s="258" t="s">
        <v>3616</v>
      </c>
      <c r="D1329" t="s">
        <v>1165</v>
      </c>
      <c r="E1329" t="s">
        <v>1181</v>
      </c>
      <c r="F1329"/>
      <c r="G1329">
        <v>0.1</v>
      </c>
      <c r="H1329" s="1">
        <v>9382.18</v>
      </c>
      <c r="I1329"/>
      <c r="J1329" t="s">
        <v>3617</v>
      </c>
      <c r="K1329" s="170">
        <v>45838</v>
      </c>
      <c r="L1329" s="1">
        <v>14846.186452095628</v>
      </c>
      <c r="M1329" s="1">
        <v>45904</v>
      </c>
      <c r="Y1329"/>
      <c r="Z1329"/>
      <c r="AB1329"/>
    </row>
    <row r="1330" spans="1:28" ht="14.4" hidden="1">
      <c r="A1330" t="s">
        <v>516</v>
      </c>
      <c r="B1330" s="1">
        <v>40</v>
      </c>
      <c r="C1330" s="258" t="s">
        <v>3618</v>
      </c>
      <c r="D1330" t="s">
        <v>1165</v>
      </c>
      <c r="E1330" t="s">
        <v>1184</v>
      </c>
      <c r="F1330"/>
      <c r="G1330">
        <v>0.1</v>
      </c>
      <c r="H1330" s="1">
        <v>9382.18</v>
      </c>
      <c r="I1330"/>
      <c r="J1330" t="s">
        <v>3619</v>
      </c>
      <c r="K1330" s="170">
        <v>45838</v>
      </c>
      <c r="L1330" s="1">
        <v>14846.186452095628</v>
      </c>
      <c r="M1330" s="1">
        <v>45904</v>
      </c>
      <c r="Y1330"/>
      <c r="Z1330"/>
      <c r="AB1330"/>
    </row>
    <row r="1331" spans="1:28" ht="14.4" hidden="1">
      <c r="A1331" t="s">
        <v>516</v>
      </c>
      <c r="B1331" s="1">
        <v>41</v>
      </c>
      <c r="C1331" s="258" t="s">
        <v>3620</v>
      </c>
      <c r="D1331" t="s">
        <v>1165</v>
      </c>
      <c r="E1331" t="s">
        <v>1187</v>
      </c>
      <c r="F1331"/>
      <c r="G1331">
        <v>0.05</v>
      </c>
      <c r="H1331" s="1">
        <v>4691.09</v>
      </c>
      <c r="I1331"/>
      <c r="J1331" t="s">
        <v>3621</v>
      </c>
      <c r="K1331" s="170">
        <v>45838</v>
      </c>
      <c r="L1331" s="1">
        <v>7423.0932260478148</v>
      </c>
      <c r="M1331" s="1">
        <v>45925</v>
      </c>
      <c r="Y1331"/>
      <c r="Z1331"/>
      <c r="AB1331"/>
    </row>
    <row r="1332" spans="1:28" ht="14.4" hidden="1">
      <c r="A1332" t="s">
        <v>516</v>
      </c>
      <c r="B1332" s="1">
        <v>42</v>
      </c>
      <c r="C1332" s="258" t="s">
        <v>3622</v>
      </c>
      <c r="D1332" t="s">
        <v>1165</v>
      </c>
      <c r="E1332" t="s">
        <v>1190</v>
      </c>
      <c r="F1332"/>
      <c r="G1332">
        <v>0.05</v>
      </c>
      <c r="H1332" s="1">
        <v>4691.09</v>
      </c>
      <c r="I1332"/>
      <c r="J1332" t="s">
        <v>3623</v>
      </c>
      <c r="K1332" s="170">
        <v>45838</v>
      </c>
      <c r="L1332" s="1">
        <v>7423.0932260478148</v>
      </c>
      <c r="M1332" s="1">
        <v>45954</v>
      </c>
      <c r="Y1332"/>
      <c r="Z1332"/>
      <c r="AB1332"/>
    </row>
    <row r="1333" spans="1:28" ht="14.4" hidden="1">
      <c r="A1333" t="s">
        <v>516</v>
      </c>
      <c r="B1333" s="1">
        <v>47</v>
      </c>
      <c r="C1333" s="258" t="s">
        <v>3624</v>
      </c>
      <c r="D1333" t="s">
        <v>1193</v>
      </c>
      <c r="E1333" t="s">
        <v>3625</v>
      </c>
      <c r="F1333"/>
      <c r="H1333" s="1">
        <v>8598.35</v>
      </c>
      <c r="I1333" t="s">
        <v>3586</v>
      </c>
      <c r="J1333" t="s">
        <v>3626</v>
      </c>
      <c r="K1333" s="170">
        <v>45808</v>
      </c>
      <c r="L1333" s="1">
        <v>12277.093379226768</v>
      </c>
      <c r="M1333" s="1">
        <v>45855</v>
      </c>
      <c r="N1333" s="1">
        <v>35927.14</v>
      </c>
      <c r="Y1333"/>
      <c r="Z1333"/>
      <c r="AB1333"/>
    </row>
    <row r="1334" spans="1:28" ht="14.4" hidden="1">
      <c r="A1334" t="s">
        <v>516</v>
      </c>
      <c r="B1334" s="1">
        <v>48</v>
      </c>
      <c r="C1334" s="258" t="s">
        <v>3627</v>
      </c>
      <c r="D1334" t="s">
        <v>1193</v>
      </c>
      <c r="F1334"/>
      <c r="H1334" s="1">
        <v>8598.35</v>
      </c>
      <c r="I1334"/>
      <c r="J1334" t="s">
        <v>3628</v>
      </c>
      <c r="K1334" s="170">
        <v>45900</v>
      </c>
      <c r="L1334" s="1">
        <v>0</v>
      </c>
      <c r="M1334" s="1">
        <v>45946</v>
      </c>
      <c r="Y1334"/>
      <c r="Z1334"/>
      <c r="AB1334"/>
    </row>
    <row r="1335" spans="1:28" ht="14.4" hidden="1">
      <c r="A1335" t="s">
        <v>516</v>
      </c>
      <c r="B1335" s="1">
        <v>49</v>
      </c>
      <c r="C1335" s="258" t="s">
        <v>3629</v>
      </c>
      <c r="D1335" t="s">
        <v>1193</v>
      </c>
      <c r="E1335" t="s">
        <v>3630</v>
      </c>
      <c r="F1335"/>
      <c r="H1335" s="1">
        <v>-8598.35</v>
      </c>
      <c r="I1335"/>
      <c r="J1335" t="s">
        <v>3631</v>
      </c>
      <c r="K1335" s="170">
        <v>45991</v>
      </c>
      <c r="L1335" s="1">
        <v>0</v>
      </c>
      <c r="M1335" s="1">
        <v>45991</v>
      </c>
      <c r="Y1335"/>
      <c r="Z1335"/>
      <c r="AB1335"/>
    </row>
    <row r="1336" spans="1:28" ht="14.4" hidden="1">
      <c r="A1336" t="s">
        <v>516</v>
      </c>
      <c r="B1336" s="1">
        <v>50</v>
      </c>
      <c r="C1336" s="258" t="s">
        <v>3632</v>
      </c>
      <c r="D1336" t="s">
        <v>1193</v>
      </c>
      <c r="E1336" t="s">
        <v>1196</v>
      </c>
      <c r="F1336"/>
      <c r="H1336" s="1">
        <v>13695</v>
      </c>
      <c r="I1336" t="s">
        <v>3633</v>
      </c>
      <c r="J1336" t="s">
        <v>3634</v>
      </c>
      <c r="K1336" s="170">
        <v>45777</v>
      </c>
      <c r="L1336" s="1">
        <v>19114.237373104399</v>
      </c>
      <c r="M1336" s="1">
        <v>45806</v>
      </c>
      <c r="Y1336"/>
      <c r="Z1336"/>
      <c r="AB1336"/>
    </row>
    <row r="1337" spans="1:28" ht="14.4" hidden="1">
      <c r="A1337" t="s">
        <v>516</v>
      </c>
      <c r="B1337" s="1">
        <v>51</v>
      </c>
      <c r="C1337" s="258" t="s">
        <v>3635</v>
      </c>
      <c r="D1337" t="s">
        <v>1193</v>
      </c>
      <c r="F1337"/>
      <c r="H1337" s="1">
        <v>214.29</v>
      </c>
      <c r="I1337"/>
      <c r="J1337" t="s">
        <v>3286</v>
      </c>
      <c r="K1337" s="170">
        <v>45838</v>
      </c>
      <c r="L1337" s="1">
        <v>4143.3481930479802</v>
      </c>
      <c r="M1337" s="1">
        <v>45867</v>
      </c>
      <c r="Y1337"/>
      <c r="Z1337"/>
      <c r="AB1337"/>
    </row>
    <row r="1338" spans="1:28" ht="14.4" hidden="1">
      <c r="A1338" t="s">
        <v>516</v>
      </c>
      <c r="B1338" s="1">
        <v>52</v>
      </c>
      <c r="C1338" s="258" t="s">
        <v>3636</v>
      </c>
      <c r="D1338" t="s">
        <v>1193</v>
      </c>
      <c r="E1338" t="s">
        <v>1200</v>
      </c>
      <c r="F1338"/>
      <c r="H1338" s="1">
        <v>11169</v>
      </c>
      <c r="I1338"/>
      <c r="J1338" t="s">
        <v>2969</v>
      </c>
      <c r="K1338" s="170">
        <v>45838</v>
      </c>
      <c r="L1338" s="1">
        <v>16978.198251681803</v>
      </c>
      <c r="M1338" s="1">
        <v>45838</v>
      </c>
      <c r="Y1338"/>
      <c r="Z1338"/>
      <c r="AB1338"/>
    </row>
    <row r="1339" spans="1:28" ht="14.4" hidden="1">
      <c r="A1339" t="s">
        <v>516</v>
      </c>
      <c r="B1339" s="1">
        <v>53</v>
      </c>
      <c r="C1339" s="258" t="s">
        <v>3637</v>
      </c>
      <c r="D1339" t="s">
        <v>1193</v>
      </c>
      <c r="E1339" t="s">
        <v>2768</v>
      </c>
      <c r="F1339"/>
      <c r="H1339" s="1">
        <v>2250.5</v>
      </c>
      <c r="I1339" t="s">
        <v>2971</v>
      </c>
      <c r="J1339" t="s">
        <v>2769</v>
      </c>
      <c r="K1339" s="170">
        <v>45808</v>
      </c>
      <c r="L1339" s="1">
        <v>3168.9360499339805</v>
      </c>
      <c r="M1339" s="1">
        <v>45799</v>
      </c>
      <c r="Y1339"/>
      <c r="Z1339"/>
      <c r="AB1339"/>
    </row>
    <row r="1340" spans="1:28" ht="14.4" hidden="1">
      <c r="A1340" t="s">
        <v>516</v>
      </c>
      <c r="B1340" s="1">
        <v>59</v>
      </c>
      <c r="C1340" s="258" t="s">
        <v>3638</v>
      </c>
      <c r="D1340" t="s">
        <v>1211</v>
      </c>
      <c r="E1340" t="s">
        <v>1212</v>
      </c>
      <c r="F1340"/>
      <c r="H1340" s="1">
        <v>94339.09</v>
      </c>
      <c r="I1340" t="s">
        <v>3639</v>
      </c>
      <c r="J1340" t="s">
        <v>3640</v>
      </c>
      <c r="K1340" s="170">
        <v>45838</v>
      </c>
      <c r="L1340" s="1">
        <v>213245.903445509</v>
      </c>
      <c r="M1340" s="1">
        <v>45867</v>
      </c>
      <c r="Y1340"/>
      <c r="Z1340"/>
      <c r="AB1340"/>
    </row>
    <row r="1341" spans="1:28" ht="14.4" hidden="1">
      <c r="A1341" t="s">
        <v>516</v>
      </c>
      <c r="B1341" s="1">
        <v>64</v>
      </c>
      <c r="C1341" s="258" t="s">
        <v>3641</v>
      </c>
      <c r="D1341" t="s">
        <v>1211</v>
      </c>
      <c r="E1341" t="s">
        <v>1169</v>
      </c>
      <c r="F1341">
        <v>106054</v>
      </c>
      <c r="G1341">
        <v>0.1</v>
      </c>
      <c r="H1341" s="1">
        <v>10605.4</v>
      </c>
      <c r="I1341" t="s">
        <v>3608</v>
      </c>
      <c r="J1341" t="s">
        <v>3609</v>
      </c>
      <c r="K1341" s="170">
        <v>45808</v>
      </c>
      <c r="L1341" s="1">
        <v>24258.151949955802</v>
      </c>
      <c r="M1341" s="1">
        <v>45792</v>
      </c>
      <c r="Y1341"/>
      <c r="Z1341"/>
      <c r="AB1341"/>
    </row>
    <row r="1342" spans="1:28" ht="14.4" hidden="1">
      <c r="A1342" t="s">
        <v>516</v>
      </c>
      <c r="B1342" s="1">
        <v>65</v>
      </c>
      <c r="C1342" s="258" t="s">
        <v>3642</v>
      </c>
      <c r="D1342" t="s">
        <v>1211</v>
      </c>
      <c r="E1342" t="s">
        <v>558</v>
      </c>
      <c r="F1342"/>
      <c r="G1342">
        <v>0.15</v>
      </c>
      <c r="H1342" s="1">
        <v>15908.1</v>
      </c>
      <c r="I1342"/>
      <c r="J1342" t="s">
        <v>3611</v>
      </c>
      <c r="K1342" s="170">
        <v>45808</v>
      </c>
      <c r="L1342" s="1">
        <v>36387.227924933693</v>
      </c>
      <c r="M1342" s="1">
        <v>45813</v>
      </c>
      <c r="Y1342"/>
      <c r="Z1342"/>
      <c r="AB1342"/>
    </row>
    <row r="1343" spans="1:28" ht="14.4" hidden="1">
      <c r="A1343" t="s">
        <v>516</v>
      </c>
      <c r="B1343" s="1">
        <v>66</v>
      </c>
      <c r="C1343" s="258" t="s">
        <v>3643</v>
      </c>
      <c r="D1343" t="s">
        <v>1211</v>
      </c>
      <c r="E1343" t="s">
        <v>1175</v>
      </c>
      <c r="F1343"/>
      <c r="G1343">
        <v>0.2</v>
      </c>
      <c r="H1343" s="1">
        <v>21210.800000000003</v>
      </c>
      <c r="I1343"/>
      <c r="J1343" t="s">
        <v>3613</v>
      </c>
      <c r="K1343" s="170">
        <v>45838</v>
      </c>
      <c r="L1343" s="1">
        <v>47231.552512479211</v>
      </c>
      <c r="M1343" s="1">
        <v>45876</v>
      </c>
      <c r="Y1343"/>
      <c r="Z1343"/>
      <c r="AB1343"/>
    </row>
    <row r="1344" spans="1:28" ht="14.4" hidden="1">
      <c r="A1344" t="s">
        <v>516</v>
      </c>
      <c r="B1344" s="1">
        <v>67</v>
      </c>
      <c r="C1344" s="258" t="s">
        <v>3644</v>
      </c>
      <c r="D1344" t="s">
        <v>1211</v>
      </c>
      <c r="E1344" t="s">
        <v>1178</v>
      </c>
      <c r="F1344"/>
      <c r="G1344">
        <v>0.25</v>
      </c>
      <c r="H1344" s="1">
        <v>26513.5</v>
      </c>
      <c r="I1344"/>
      <c r="J1344" t="s">
        <v>3615</v>
      </c>
      <c r="K1344" s="170">
        <v>45838</v>
      </c>
      <c r="L1344" s="1">
        <v>59931.628140599008</v>
      </c>
      <c r="M1344" s="1">
        <v>45849</v>
      </c>
      <c r="Y1344"/>
      <c r="Z1344"/>
      <c r="AB1344"/>
    </row>
    <row r="1345" spans="1:28" ht="14.4" hidden="1">
      <c r="A1345" t="s">
        <v>516</v>
      </c>
      <c r="B1345" s="1">
        <v>68</v>
      </c>
      <c r="C1345" s="258" t="s">
        <v>3645</v>
      </c>
      <c r="D1345" t="s">
        <v>1211</v>
      </c>
      <c r="E1345" t="s">
        <v>1181</v>
      </c>
      <c r="F1345"/>
      <c r="G1345">
        <v>0.1</v>
      </c>
      <c r="H1345" s="1">
        <v>10605.4</v>
      </c>
      <c r="I1345"/>
      <c r="J1345" t="s">
        <v>3617</v>
      </c>
      <c r="K1345" s="170">
        <v>45838</v>
      </c>
      <c r="L1345" s="1">
        <v>23972.651256239609</v>
      </c>
      <c r="M1345" s="1">
        <v>45904</v>
      </c>
      <c r="Y1345"/>
      <c r="Z1345"/>
      <c r="AB1345"/>
    </row>
    <row r="1346" spans="1:28" ht="14.4" hidden="1">
      <c r="A1346" t="s">
        <v>516</v>
      </c>
      <c r="B1346" s="1">
        <v>69</v>
      </c>
      <c r="C1346" s="258" t="s">
        <v>3646</v>
      </c>
      <c r="D1346" t="s">
        <v>1211</v>
      </c>
      <c r="E1346" t="s">
        <v>1184</v>
      </c>
      <c r="F1346"/>
      <c r="G1346">
        <v>0.1</v>
      </c>
      <c r="H1346" s="1">
        <v>10605.4</v>
      </c>
      <c r="I1346"/>
      <c r="J1346" t="s">
        <v>3619</v>
      </c>
      <c r="K1346" s="170">
        <v>45838</v>
      </c>
      <c r="L1346" s="1">
        <v>23972.651256239609</v>
      </c>
      <c r="M1346" s="1">
        <v>45904</v>
      </c>
      <c r="Y1346"/>
      <c r="Z1346"/>
      <c r="AB1346"/>
    </row>
    <row r="1347" spans="1:28" ht="14.4" hidden="1">
      <c r="A1347" t="s">
        <v>516</v>
      </c>
      <c r="B1347" s="1">
        <v>70</v>
      </c>
      <c r="C1347" s="258" t="s">
        <v>3647</v>
      </c>
      <c r="D1347" t="s">
        <v>1211</v>
      </c>
      <c r="E1347" t="s">
        <v>1187</v>
      </c>
      <c r="F1347"/>
      <c r="G1347">
        <v>0.05</v>
      </c>
      <c r="H1347" s="1">
        <v>5302.7000000000007</v>
      </c>
      <c r="I1347"/>
      <c r="J1347" t="s">
        <v>3621</v>
      </c>
      <c r="K1347" s="170">
        <v>45838</v>
      </c>
      <c r="L1347" s="1">
        <v>11986.325628119805</v>
      </c>
      <c r="M1347" s="1">
        <v>45925</v>
      </c>
      <c r="Y1347"/>
      <c r="Z1347"/>
      <c r="AB1347"/>
    </row>
    <row r="1348" spans="1:28" ht="14.4" hidden="1">
      <c r="A1348" t="s">
        <v>516</v>
      </c>
      <c r="B1348" s="1">
        <v>71</v>
      </c>
      <c r="C1348" s="258" t="s">
        <v>3648</v>
      </c>
      <c r="D1348" t="s">
        <v>1211</v>
      </c>
      <c r="E1348" t="s">
        <v>1190</v>
      </c>
      <c r="F1348"/>
      <c r="G1348">
        <v>0.05</v>
      </c>
      <c r="H1348" s="1">
        <v>5302.7000000000007</v>
      </c>
      <c r="I1348"/>
      <c r="J1348" t="s">
        <v>3623</v>
      </c>
      <c r="K1348" s="170">
        <v>45838</v>
      </c>
      <c r="L1348" s="1">
        <v>11986.325628119805</v>
      </c>
      <c r="M1348" s="1">
        <v>45954</v>
      </c>
      <c r="Y1348"/>
      <c r="Z1348"/>
      <c r="AB1348"/>
    </row>
    <row r="1349" spans="1:28" ht="14.4" hidden="1">
      <c r="A1349" t="s">
        <v>516</v>
      </c>
      <c r="B1349" s="1">
        <v>87</v>
      </c>
      <c r="C1349" s="258" t="s">
        <v>3649</v>
      </c>
      <c r="D1349" t="s">
        <v>1224</v>
      </c>
      <c r="E1349" t="s">
        <v>3650</v>
      </c>
      <c r="F1349"/>
      <c r="H1349" s="1">
        <v>36794.400000000001</v>
      </c>
      <c r="I1349" t="s">
        <v>3651</v>
      </c>
      <c r="J1349" t="s">
        <v>3652</v>
      </c>
      <c r="K1349" s="170">
        <v>46022</v>
      </c>
      <c r="M1349" s="1">
        <v>46009</v>
      </c>
      <c r="Y1349"/>
      <c r="Z1349"/>
      <c r="AB1349"/>
    </row>
    <row r="1350" spans="1:28" ht="14.4" hidden="1">
      <c r="A1350" t="s">
        <v>516</v>
      </c>
      <c r="B1350" s="1">
        <v>88</v>
      </c>
      <c r="C1350" s="258" t="s">
        <v>3653</v>
      </c>
      <c r="D1350" t="s">
        <v>1224</v>
      </c>
      <c r="E1350" t="s">
        <v>3654</v>
      </c>
      <c r="F1350"/>
      <c r="H1350" s="1">
        <v>5770</v>
      </c>
      <c r="I1350" t="s">
        <v>3655</v>
      </c>
      <c r="J1350" t="s">
        <v>3656</v>
      </c>
      <c r="K1350" s="170">
        <v>45961</v>
      </c>
      <c r="M1350" s="1">
        <v>45939</v>
      </c>
      <c r="Y1350"/>
      <c r="Z1350"/>
      <c r="AB1350"/>
    </row>
    <row r="1351" spans="1:28" ht="14.4" hidden="1">
      <c r="A1351" t="s">
        <v>516</v>
      </c>
      <c r="B1351" s="1">
        <v>89</v>
      </c>
      <c r="C1351" s="258" t="s">
        <v>3657</v>
      </c>
      <c r="D1351" t="s">
        <v>1224</v>
      </c>
      <c r="E1351" t="s">
        <v>2811</v>
      </c>
      <c r="F1351"/>
      <c r="H1351" s="1">
        <v>24908.5</v>
      </c>
      <c r="I1351" t="s">
        <v>3658</v>
      </c>
      <c r="J1351" t="s">
        <v>3659</v>
      </c>
      <c r="K1351" s="170">
        <v>45961</v>
      </c>
      <c r="M1351" s="1">
        <v>45974</v>
      </c>
      <c r="Y1351"/>
      <c r="Z1351"/>
      <c r="AB1351"/>
    </row>
    <row r="1352" spans="1:28" ht="14.4" hidden="1">
      <c r="A1352" t="s">
        <v>516</v>
      </c>
      <c r="B1352" s="1">
        <v>90</v>
      </c>
      <c r="C1352" s="258" t="s">
        <v>3660</v>
      </c>
      <c r="D1352" t="s">
        <v>1224</v>
      </c>
      <c r="E1352" t="s">
        <v>3661</v>
      </c>
      <c r="F1352"/>
      <c r="H1352" s="1">
        <v>261.39999999999998</v>
      </c>
      <c r="I1352"/>
      <c r="J1352" t="s">
        <v>3662</v>
      </c>
      <c r="K1352" s="170">
        <v>46022</v>
      </c>
      <c r="M1352" s="1">
        <v>46051</v>
      </c>
      <c r="Y1352"/>
      <c r="Z1352"/>
      <c r="AB1352"/>
    </row>
    <row r="1353" spans="1:28" ht="14.4" hidden="1">
      <c r="A1353" t="s">
        <v>516</v>
      </c>
      <c r="B1353" s="1">
        <v>91</v>
      </c>
      <c r="C1353" s="258" t="s">
        <v>3663</v>
      </c>
      <c r="D1353" t="s">
        <v>1224</v>
      </c>
      <c r="E1353" t="s">
        <v>3664</v>
      </c>
      <c r="F1353">
        <v>30</v>
      </c>
      <c r="G1353">
        <v>28.35</v>
      </c>
      <c r="H1353" s="1">
        <v>850.5</v>
      </c>
      <c r="I1353"/>
      <c r="J1353" t="s">
        <v>3665</v>
      </c>
      <c r="K1353" s="170" t="s">
        <v>3666</v>
      </c>
      <c r="M1353" s="1">
        <v>46053</v>
      </c>
      <c r="Y1353"/>
      <c r="Z1353"/>
      <c r="AB1353"/>
    </row>
    <row r="1354" spans="1:28" ht="14.4" hidden="1">
      <c r="A1354" t="s">
        <v>516</v>
      </c>
      <c r="B1354" s="1">
        <v>96</v>
      </c>
      <c r="C1354" s="258" t="s">
        <v>3667</v>
      </c>
      <c r="D1354" t="s">
        <v>1246</v>
      </c>
      <c r="E1354" t="s">
        <v>1169</v>
      </c>
      <c r="F1354">
        <v>470550</v>
      </c>
      <c r="G1354">
        <v>0.1</v>
      </c>
      <c r="H1354" s="1">
        <v>47055</v>
      </c>
      <c r="I1354" t="s">
        <v>3608</v>
      </c>
      <c r="J1354" t="s">
        <v>3609</v>
      </c>
      <c r="K1354" s="170">
        <v>45808</v>
      </c>
      <c r="L1354" s="1">
        <v>37254.411764705881</v>
      </c>
      <c r="M1354" s="1">
        <v>45792</v>
      </c>
      <c r="Y1354"/>
      <c r="Z1354"/>
      <c r="AB1354"/>
    </row>
    <row r="1355" spans="1:28" ht="14.4" hidden="1">
      <c r="A1355" t="s">
        <v>516</v>
      </c>
      <c r="B1355" s="1">
        <v>97</v>
      </c>
      <c r="C1355" s="258" t="s">
        <v>3668</v>
      </c>
      <c r="D1355" t="s">
        <v>1246</v>
      </c>
      <c r="E1355" t="s">
        <v>558</v>
      </c>
      <c r="F1355"/>
      <c r="G1355">
        <v>0.15</v>
      </c>
      <c r="H1355" s="1">
        <v>70582.5</v>
      </c>
      <c r="I1355"/>
      <c r="J1355" t="s">
        <v>3611</v>
      </c>
      <c r="K1355" s="170">
        <v>45808</v>
      </c>
      <c r="L1355" s="1">
        <v>55881.617647058818</v>
      </c>
      <c r="M1355" s="1">
        <v>45813</v>
      </c>
      <c r="Y1355"/>
      <c r="Z1355"/>
      <c r="AB1355"/>
    </row>
    <row r="1356" spans="1:28" ht="14.4" hidden="1">
      <c r="A1356" t="s">
        <v>516</v>
      </c>
      <c r="B1356" s="1">
        <v>98</v>
      </c>
      <c r="C1356" s="258" t="s">
        <v>3669</v>
      </c>
      <c r="D1356" t="s">
        <v>1246</v>
      </c>
      <c r="E1356" t="s">
        <v>1175</v>
      </c>
      <c r="F1356"/>
      <c r="G1356">
        <v>0.2</v>
      </c>
      <c r="H1356" s="1">
        <v>94110</v>
      </c>
      <c r="I1356"/>
      <c r="J1356" t="s">
        <v>3613</v>
      </c>
      <c r="K1356" s="170">
        <v>45838</v>
      </c>
      <c r="L1356" s="1">
        <v>74508.823529411762</v>
      </c>
      <c r="M1356" s="1">
        <v>45876</v>
      </c>
      <c r="Y1356"/>
      <c r="Z1356"/>
      <c r="AB1356"/>
    </row>
    <row r="1357" spans="1:28" ht="14.4" hidden="1">
      <c r="A1357" t="s">
        <v>516</v>
      </c>
      <c r="B1357" s="1">
        <v>99</v>
      </c>
      <c r="C1357" s="258" t="s">
        <v>3670</v>
      </c>
      <c r="D1357" t="s">
        <v>1246</v>
      </c>
      <c r="E1357" t="s">
        <v>1178</v>
      </c>
      <c r="F1357"/>
      <c r="G1357">
        <v>0.25</v>
      </c>
      <c r="H1357" s="1">
        <v>117637.5</v>
      </c>
      <c r="I1357"/>
      <c r="J1357" t="s">
        <v>3615</v>
      </c>
      <c r="K1357" s="170">
        <v>45838</v>
      </c>
      <c r="L1357" s="1">
        <v>93136.029411764699</v>
      </c>
      <c r="M1357" s="1">
        <v>45849</v>
      </c>
      <c r="Y1357"/>
      <c r="Z1357"/>
      <c r="AB1357"/>
    </row>
    <row r="1358" spans="1:28" ht="14.4" hidden="1">
      <c r="A1358" t="s">
        <v>516</v>
      </c>
      <c r="B1358" s="1">
        <v>100</v>
      </c>
      <c r="C1358" s="258" t="s">
        <v>3671</v>
      </c>
      <c r="D1358" t="s">
        <v>1246</v>
      </c>
      <c r="E1358" t="s">
        <v>1181</v>
      </c>
      <c r="F1358"/>
      <c r="G1358">
        <v>0.1</v>
      </c>
      <c r="H1358" s="1">
        <v>47055</v>
      </c>
      <c r="I1358"/>
      <c r="J1358" t="s">
        <v>3617</v>
      </c>
      <c r="K1358" s="170">
        <v>45838</v>
      </c>
      <c r="L1358" s="1">
        <v>37254.411764705881</v>
      </c>
      <c r="M1358" s="1">
        <v>45904</v>
      </c>
      <c r="Y1358"/>
      <c r="Z1358"/>
      <c r="AB1358"/>
    </row>
    <row r="1359" spans="1:28" ht="14.4" hidden="1">
      <c r="A1359" t="s">
        <v>516</v>
      </c>
      <c r="B1359" s="1">
        <v>101</v>
      </c>
      <c r="C1359" s="258" t="s">
        <v>3672</v>
      </c>
      <c r="D1359" t="s">
        <v>1246</v>
      </c>
      <c r="E1359" t="s">
        <v>1184</v>
      </c>
      <c r="F1359"/>
      <c r="G1359">
        <v>0.1</v>
      </c>
      <c r="H1359" s="1">
        <v>47055</v>
      </c>
      <c r="I1359"/>
      <c r="J1359" t="s">
        <v>3619</v>
      </c>
      <c r="K1359" s="170">
        <v>45838</v>
      </c>
      <c r="L1359" s="1">
        <v>37254.411764705881</v>
      </c>
      <c r="M1359" s="1">
        <v>45904</v>
      </c>
      <c r="Y1359"/>
      <c r="Z1359"/>
      <c r="AB1359"/>
    </row>
    <row r="1360" spans="1:28" ht="14.4" hidden="1">
      <c r="A1360" t="s">
        <v>516</v>
      </c>
      <c r="B1360" s="1">
        <v>102</v>
      </c>
      <c r="C1360" s="258" t="s">
        <v>3673</v>
      </c>
      <c r="D1360" t="s">
        <v>1246</v>
      </c>
      <c r="E1360" t="s">
        <v>1187</v>
      </c>
      <c r="F1360"/>
      <c r="G1360">
        <v>0.05</v>
      </c>
      <c r="H1360" s="1">
        <v>23527.5</v>
      </c>
      <c r="I1360"/>
      <c r="J1360" t="s">
        <v>3621</v>
      </c>
      <c r="K1360" s="170">
        <v>45838</v>
      </c>
      <c r="L1360" s="1">
        <v>18627.205882352941</v>
      </c>
      <c r="M1360" s="1">
        <v>45925</v>
      </c>
      <c r="Y1360"/>
      <c r="Z1360"/>
      <c r="AB1360"/>
    </row>
    <row r="1361" spans="1:28" ht="14.4" hidden="1">
      <c r="A1361" t="s">
        <v>516</v>
      </c>
      <c r="B1361" s="1">
        <v>103</v>
      </c>
      <c r="C1361" s="258" t="s">
        <v>3674</v>
      </c>
      <c r="D1361" t="s">
        <v>1246</v>
      </c>
      <c r="E1361" t="s">
        <v>1190</v>
      </c>
      <c r="F1361"/>
      <c r="G1361">
        <v>0.05</v>
      </c>
      <c r="H1361" s="1">
        <v>23527.5</v>
      </c>
      <c r="I1361"/>
      <c r="J1361" t="s">
        <v>3623</v>
      </c>
      <c r="K1361" s="170">
        <v>45838</v>
      </c>
      <c r="L1361" s="1">
        <v>18627.205882352941</v>
      </c>
      <c r="M1361" s="1">
        <v>45954</v>
      </c>
      <c r="Y1361"/>
      <c r="Z1361"/>
      <c r="AB1361"/>
    </row>
    <row r="1362" spans="1:28" ht="14.4" hidden="1">
      <c r="A1362" t="s">
        <v>516</v>
      </c>
      <c r="B1362" s="1">
        <v>110</v>
      </c>
      <c r="C1362" s="258" t="s">
        <v>3675</v>
      </c>
      <c r="D1362" t="s">
        <v>1255</v>
      </c>
      <c r="E1362" t="s">
        <v>3676</v>
      </c>
      <c r="F1362"/>
      <c r="H1362" s="1">
        <v>13750</v>
      </c>
      <c r="I1362" t="s">
        <v>3677</v>
      </c>
      <c r="J1362" t="s">
        <v>3678</v>
      </c>
      <c r="K1362" s="170">
        <v>45838</v>
      </c>
      <c r="L1362" s="1">
        <v>16579.343010224966</v>
      </c>
      <c r="M1362" s="1">
        <v>45827</v>
      </c>
      <c r="Y1362"/>
      <c r="Z1362"/>
      <c r="AB1362"/>
    </row>
    <row r="1363" spans="1:28" ht="14.4" hidden="1">
      <c r="A1363" t="s">
        <v>516</v>
      </c>
      <c r="B1363" s="1">
        <v>117</v>
      </c>
      <c r="C1363" s="258" t="s">
        <v>3679</v>
      </c>
      <c r="D1363" t="s">
        <v>1255</v>
      </c>
      <c r="E1363" t="s">
        <v>1169</v>
      </c>
      <c r="F1363">
        <v>32671.599999999999</v>
      </c>
      <c r="G1363">
        <v>0.1</v>
      </c>
      <c r="H1363" s="1">
        <v>3267.16</v>
      </c>
      <c r="I1363" t="s">
        <v>3608</v>
      </c>
      <c r="J1363" t="s">
        <v>3609</v>
      </c>
      <c r="K1363" s="170">
        <v>45808</v>
      </c>
      <c r="L1363" s="1">
        <v>3939.4448224935713</v>
      </c>
      <c r="M1363" s="1">
        <v>45792</v>
      </c>
      <c r="Y1363"/>
      <c r="Z1363"/>
      <c r="AB1363"/>
    </row>
    <row r="1364" spans="1:28" ht="14.4" hidden="1">
      <c r="A1364" t="s">
        <v>516</v>
      </c>
      <c r="B1364" s="1">
        <v>118</v>
      </c>
      <c r="C1364" s="258" t="s">
        <v>3680</v>
      </c>
      <c r="D1364" t="s">
        <v>1255</v>
      </c>
      <c r="E1364" t="s">
        <v>558</v>
      </c>
      <c r="F1364"/>
      <c r="G1364">
        <v>0.15</v>
      </c>
      <c r="H1364" s="1">
        <v>4900.74</v>
      </c>
      <c r="I1364"/>
      <c r="J1364" t="s">
        <v>3611</v>
      </c>
      <c r="K1364" s="170">
        <v>45808</v>
      </c>
      <c r="L1364" s="1">
        <v>5909.1672337403561</v>
      </c>
      <c r="M1364" s="1">
        <v>45813</v>
      </c>
      <c r="Y1364"/>
      <c r="Z1364"/>
      <c r="AB1364"/>
    </row>
    <row r="1365" spans="1:28" ht="14.4" hidden="1">
      <c r="A1365" t="s">
        <v>516</v>
      </c>
      <c r="B1365" s="1">
        <v>119</v>
      </c>
      <c r="C1365" s="258" t="s">
        <v>3681</v>
      </c>
      <c r="D1365" t="s">
        <v>1255</v>
      </c>
      <c r="E1365" t="s">
        <v>1175</v>
      </c>
      <c r="F1365"/>
      <c r="G1365">
        <v>0.2</v>
      </c>
      <c r="H1365" s="1">
        <v>6534.32</v>
      </c>
      <c r="I1365"/>
      <c r="J1365" t="s">
        <v>3613</v>
      </c>
      <c r="K1365" s="170">
        <v>45838</v>
      </c>
      <c r="L1365" s="1">
        <v>7878.8896449871427</v>
      </c>
      <c r="M1365" s="1">
        <v>45876</v>
      </c>
      <c r="Y1365"/>
      <c r="Z1365"/>
      <c r="AB1365"/>
    </row>
    <row r="1366" spans="1:28" ht="14.4" hidden="1">
      <c r="A1366" t="s">
        <v>516</v>
      </c>
      <c r="B1366" s="1">
        <v>120</v>
      </c>
      <c r="C1366" s="258" t="s">
        <v>3682</v>
      </c>
      <c r="D1366" t="s">
        <v>1255</v>
      </c>
      <c r="E1366" t="s">
        <v>1178</v>
      </c>
      <c r="F1366"/>
      <c r="G1366">
        <v>0.25</v>
      </c>
      <c r="H1366" s="1">
        <v>8167.9</v>
      </c>
      <c r="I1366"/>
      <c r="J1366" t="s">
        <v>3615</v>
      </c>
      <c r="K1366" s="170">
        <v>45838</v>
      </c>
      <c r="L1366" s="1">
        <v>9848.6120562339256</v>
      </c>
      <c r="M1366" s="1">
        <v>45849</v>
      </c>
      <c r="Y1366"/>
      <c r="Z1366"/>
      <c r="AB1366"/>
    </row>
    <row r="1367" spans="1:28" ht="14.4" hidden="1">
      <c r="A1367" t="s">
        <v>516</v>
      </c>
      <c r="B1367" s="1">
        <v>121</v>
      </c>
      <c r="C1367" s="258" t="s">
        <v>3683</v>
      </c>
      <c r="D1367" t="s">
        <v>1255</v>
      </c>
      <c r="E1367" t="s">
        <v>1181</v>
      </c>
      <c r="F1367"/>
      <c r="G1367">
        <v>0.1</v>
      </c>
      <c r="H1367" s="1">
        <v>3267.16</v>
      </c>
      <c r="I1367"/>
      <c r="J1367" t="s">
        <v>3617</v>
      </c>
      <c r="K1367" s="170">
        <v>45838</v>
      </c>
      <c r="L1367" s="1">
        <v>3939.4448224935713</v>
      </c>
      <c r="M1367" s="1">
        <v>45904</v>
      </c>
      <c r="Y1367"/>
      <c r="Z1367"/>
      <c r="AB1367"/>
    </row>
    <row r="1368" spans="1:28" ht="14.4" hidden="1">
      <c r="A1368" t="s">
        <v>516</v>
      </c>
      <c r="B1368" s="1">
        <v>122</v>
      </c>
      <c r="C1368" s="258" t="s">
        <v>3684</v>
      </c>
      <c r="D1368" t="s">
        <v>1255</v>
      </c>
      <c r="E1368" t="s">
        <v>1184</v>
      </c>
      <c r="F1368"/>
      <c r="G1368">
        <v>0.1</v>
      </c>
      <c r="H1368" s="1">
        <v>3267.16</v>
      </c>
      <c r="I1368"/>
      <c r="J1368" t="s">
        <v>3619</v>
      </c>
      <c r="K1368" s="170">
        <v>45838</v>
      </c>
      <c r="L1368" s="1">
        <v>3939.4448224935713</v>
      </c>
      <c r="M1368" s="1">
        <v>45904</v>
      </c>
      <c r="Y1368"/>
      <c r="Z1368"/>
      <c r="AB1368"/>
    </row>
    <row r="1369" spans="1:28" ht="14.4" hidden="1">
      <c r="A1369" t="s">
        <v>516</v>
      </c>
      <c r="B1369" s="1">
        <v>123</v>
      </c>
      <c r="C1369" s="258" t="s">
        <v>3685</v>
      </c>
      <c r="D1369" t="s">
        <v>1255</v>
      </c>
      <c r="E1369" t="s">
        <v>1187</v>
      </c>
      <c r="F1369"/>
      <c r="G1369">
        <v>0.05</v>
      </c>
      <c r="H1369" s="1">
        <v>1633.58</v>
      </c>
      <c r="I1369"/>
      <c r="J1369" t="s">
        <v>3621</v>
      </c>
      <c r="K1369" s="170">
        <v>45838</v>
      </c>
      <c r="L1369" s="1">
        <v>1969.7224112467857</v>
      </c>
      <c r="M1369" s="1">
        <v>45925</v>
      </c>
      <c r="Y1369"/>
      <c r="Z1369"/>
      <c r="AB1369"/>
    </row>
    <row r="1370" spans="1:28" ht="14.4" hidden="1">
      <c r="A1370" t="s">
        <v>516</v>
      </c>
      <c r="B1370" s="1">
        <v>124</v>
      </c>
      <c r="C1370" s="258" t="s">
        <v>3686</v>
      </c>
      <c r="D1370" t="s">
        <v>1255</v>
      </c>
      <c r="E1370" t="s">
        <v>1190</v>
      </c>
      <c r="F1370"/>
      <c r="G1370">
        <v>0.05</v>
      </c>
      <c r="H1370" s="1">
        <v>1633.58</v>
      </c>
      <c r="I1370"/>
      <c r="J1370" t="s">
        <v>3623</v>
      </c>
      <c r="K1370" s="170">
        <v>45838</v>
      </c>
      <c r="L1370" s="1">
        <v>1969.7224112467857</v>
      </c>
      <c r="M1370" s="1">
        <v>45954</v>
      </c>
      <c r="Y1370"/>
      <c r="Z1370"/>
      <c r="AB1370"/>
    </row>
    <row r="1371" spans="1:28" ht="14.4" hidden="1">
      <c r="A1371" t="s">
        <v>516</v>
      </c>
      <c r="B1371" s="1">
        <v>129</v>
      </c>
      <c r="C1371" s="258" t="s">
        <v>3687</v>
      </c>
      <c r="D1371" t="s">
        <v>1264</v>
      </c>
      <c r="E1371" t="s">
        <v>1265</v>
      </c>
      <c r="F1371"/>
      <c r="H1371" s="1">
        <v>10737.49</v>
      </c>
      <c r="I1371"/>
      <c r="J1371" t="s">
        <v>3345</v>
      </c>
      <c r="K1371" s="170">
        <v>45869</v>
      </c>
      <c r="L1371" s="1">
        <v>44940.705581070994</v>
      </c>
      <c r="M1371" s="1">
        <v>45911</v>
      </c>
      <c r="N1371" s="1">
        <v>33449.729999999996</v>
      </c>
      <c r="Y1371"/>
      <c r="Z1371"/>
      <c r="AB1371"/>
    </row>
    <row r="1372" spans="1:28" ht="14.4" hidden="1">
      <c r="A1372" t="s">
        <v>516</v>
      </c>
      <c r="B1372" s="1">
        <v>130</v>
      </c>
      <c r="C1372" s="258" t="s">
        <v>3688</v>
      </c>
      <c r="D1372" t="s">
        <v>1264</v>
      </c>
      <c r="E1372" t="s">
        <v>1268</v>
      </c>
      <c r="F1372"/>
      <c r="H1372" s="1">
        <v>8212.24</v>
      </c>
      <c r="I1372" t="s">
        <v>2845</v>
      </c>
      <c r="J1372" t="s">
        <v>2846</v>
      </c>
      <c r="K1372" s="170">
        <v>45777</v>
      </c>
      <c r="L1372" s="1">
        <v>33695.502046315596</v>
      </c>
      <c r="M1372" s="1">
        <v>45757</v>
      </c>
      <c r="Y1372"/>
      <c r="Z1372"/>
      <c r="AB1372"/>
    </row>
    <row r="1373" spans="1:28" ht="14.4" hidden="1">
      <c r="A1373" t="s">
        <v>516</v>
      </c>
      <c r="B1373" s="1">
        <v>132</v>
      </c>
      <c r="C1373" s="258" t="s">
        <v>3689</v>
      </c>
      <c r="D1373" t="s">
        <v>1264</v>
      </c>
      <c r="E1373" t="s">
        <v>2094</v>
      </c>
      <c r="F1373"/>
      <c r="H1373" s="1">
        <v>8500</v>
      </c>
      <c r="I1373" t="s">
        <v>3049</v>
      </c>
      <c r="J1373" t="s">
        <v>3050</v>
      </c>
      <c r="K1373" s="170">
        <v>45777</v>
      </c>
      <c r="L1373" s="1">
        <v>34876.205200247743</v>
      </c>
      <c r="M1373" s="1">
        <v>45834</v>
      </c>
      <c r="Y1373"/>
      <c r="Z1373"/>
      <c r="AB1373"/>
    </row>
    <row r="1374" spans="1:28" ht="14.4" hidden="1">
      <c r="A1374" t="s">
        <v>516</v>
      </c>
      <c r="B1374" s="1">
        <v>133</v>
      </c>
      <c r="C1374" s="258" t="s">
        <v>3690</v>
      </c>
      <c r="D1374" t="s">
        <v>1264</v>
      </c>
      <c r="E1374" t="s">
        <v>808</v>
      </c>
      <c r="F1374"/>
      <c r="H1374" s="1">
        <v>6000</v>
      </c>
      <c r="I1374"/>
      <c r="J1374" t="s">
        <v>3691</v>
      </c>
      <c r="K1374" s="170">
        <v>45869</v>
      </c>
      <c r="L1374" s="1">
        <v>24811.701197060574</v>
      </c>
      <c r="M1374" s="1">
        <v>45869</v>
      </c>
      <c r="Y1374"/>
      <c r="Z1374"/>
      <c r="AB1374"/>
    </row>
    <row r="1375" spans="1:28" ht="14.4" hidden="1">
      <c r="A1375" t="s">
        <v>516</v>
      </c>
      <c r="B1375" s="1">
        <v>138</v>
      </c>
      <c r="C1375" s="258" t="s">
        <v>3692</v>
      </c>
      <c r="D1375" t="s">
        <v>1277</v>
      </c>
      <c r="E1375" t="s">
        <v>1278</v>
      </c>
      <c r="F1375"/>
      <c r="H1375" s="1">
        <v>47334.15</v>
      </c>
      <c r="I1375"/>
      <c r="J1375" t="s">
        <v>3693</v>
      </c>
      <c r="K1375" s="170">
        <v>45869</v>
      </c>
      <c r="L1375" s="1">
        <v>149209.79738759881</v>
      </c>
      <c r="M1375" s="1">
        <v>45869</v>
      </c>
      <c r="N1375" s="1">
        <v>47334.15</v>
      </c>
      <c r="Y1375"/>
      <c r="Z1375"/>
      <c r="AB1375"/>
    </row>
    <row r="1376" spans="1:28" ht="14.4" hidden="1">
      <c r="A1376" t="s">
        <v>516</v>
      </c>
      <c r="B1376" s="1">
        <v>139</v>
      </c>
      <c r="C1376" s="258" t="s">
        <v>3694</v>
      </c>
      <c r="D1376" t="s">
        <v>1277</v>
      </c>
      <c r="E1376" t="s">
        <v>1903</v>
      </c>
      <c r="F1376"/>
      <c r="H1376" s="1">
        <v>0</v>
      </c>
      <c r="I1376"/>
      <c r="J1376"/>
      <c r="K1376" s="170">
        <v>45869</v>
      </c>
      <c r="L1376" s="1">
        <v>0</v>
      </c>
      <c r="M1376" s="1">
        <v>45869</v>
      </c>
      <c r="Y1376"/>
      <c r="Z1376"/>
      <c r="AB1376"/>
    </row>
    <row r="1377" spans="1:28" ht="14.4" hidden="1">
      <c r="A1377" t="s">
        <v>516</v>
      </c>
      <c r="B1377" s="1">
        <v>140</v>
      </c>
      <c r="C1377" s="258" t="s">
        <v>3695</v>
      </c>
      <c r="D1377" t="s">
        <v>1277</v>
      </c>
      <c r="E1377" t="s">
        <v>1905</v>
      </c>
      <c r="F1377"/>
      <c r="H1377" s="1">
        <v>0</v>
      </c>
      <c r="I1377"/>
      <c r="J1377"/>
      <c r="K1377" s="170">
        <v>45869</v>
      </c>
      <c r="L1377" s="1">
        <v>0</v>
      </c>
      <c r="M1377" s="1">
        <v>45869</v>
      </c>
      <c r="Y1377"/>
      <c r="Z1377"/>
      <c r="AB1377"/>
    </row>
    <row r="1378" spans="1:28" ht="14.4" hidden="1">
      <c r="A1378" t="s">
        <v>516</v>
      </c>
      <c r="B1378" s="1">
        <v>141</v>
      </c>
      <c r="C1378" s="258" t="s">
        <v>3696</v>
      </c>
      <c r="D1378" t="s">
        <v>1277</v>
      </c>
      <c r="E1378" t="s">
        <v>1907</v>
      </c>
      <c r="F1378"/>
      <c r="H1378" s="1">
        <v>0</v>
      </c>
      <c r="I1378"/>
      <c r="J1378"/>
      <c r="K1378" s="170">
        <v>45869</v>
      </c>
      <c r="L1378" s="1">
        <v>0</v>
      </c>
      <c r="M1378" s="1">
        <v>45869</v>
      </c>
      <c r="Y1378"/>
      <c r="Z1378"/>
      <c r="AB1378"/>
    </row>
    <row r="1379" spans="1:28" ht="14.4" hidden="1">
      <c r="A1379" t="s">
        <v>516</v>
      </c>
      <c r="B1379" s="1">
        <v>142</v>
      </c>
      <c r="C1379" s="258" t="s">
        <v>3697</v>
      </c>
      <c r="D1379" t="s">
        <v>1277</v>
      </c>
      <c r="E1379" t="s">
        <v>1909</v>
      </c>
      <c r="F1379"/>
      <c r="H1379" s="1">
        <v>0</v>
      </c>
      <c r="I1379"/>
      <c r="J1379"/>
      <c r="K1379" s="170">
        <v>45869</v>
      </c>
      <c r="L1379" s="1">
        <v>0</v>
      </c>
      <c r="M1379" s="1">
        <v>45869</v>
      </c>
      <c r="Y1379"/>
      <c r="Z1379"/>
      <c r="AB1379"/>
    </row>
    <row r="1380" spans="1:28" ht="14.4" hidden="1">
      <c r="A1380" t="s">
        <v>516</v>
      </c>
      <c r="B1380" s="1">
        <v>145</v>
      </c>
      <c r="C1380" s="258" t="s">
        <v>3698</v>
      </c>
      <c r="D1380" t="s">
        <v>1280</v>
      </c>
      <c r="E1380" t="s">
        <v>1281</v>
      </c>
      <c r="F1380"/>
      <c r="H1380" s="1">
        <v>4000</v>
      </c>
      <c r="I1380"/>
      <c r="J1380" t="s">
        <v>2854</v>
      </c>
      <c r="K1380" s="170">
        <v>45777</v>
      </c>
      <c r="L1380" s="1">
        <v>3395.1001119263774</v>
      </c>
      <c r="M1380" s="1">
        <v>45785</v>
      </c>
      <c r="N1380" s="1">
        <v>10913.24</v>
      </c>
      <c r="Y1380"/>
      <c r="Z1380"/>
      <c r="AB1380"/>
    </row>
    <row r="1381" spans="1:28" ht="14.4" hidden="1">
      <c r="A1381" t="s">
        <v>516</v>
      </c>
      <c r="B1381" s="1">
        <v>146</v>
      </c>
      <c r="C1381" s="258" t="s">
        <v>3699</v>
      </c>
      <c r="D1381" t="s">
        <v>1280</v>
      </c>
      <c r="E1381" t="s">
        <v>1281</v>
      </c>
      <c r="F1381"/>
      <c r="H1381" s="1">
        <v>0</v>
      </c>
      <c r="I1381"/>
      <c r="J1381"/>
      <c r="K1381" s="170">
        <v>45777</v>
      </c>
      <c r="L1381" s="1">
        <v>0</v>
      </c>
      <c r="M1381" s="1">
        <v>45777</v>
      </c>
      <c r="Y1381"/>
      <c r="Z1381"/>
      <c r="AB1381"/>
    </row>
    <row r="1382" spans="1:28" ht="14.4" hidden="1">
      <c r="A1382" t="s">
        <v>516</v>
      </c>
      <c r="B1382" s="1">
        <v>147</v>
      </c>
      <c r="C1382" s="258" t="s">
        <v>3700</v>
      </c>
      <c r="D1382" t="s">
        <v>1280</v>
      </c>
      <c r="E1382" t="s">
        <v>1281</v>
      </c>
      <c r="F1382"/>
      <c r="H1382" s="1">
        <v>2980.88</v>
      </c>
      <c r="I1382"/>
      <c r="J1382" t="s">
        <v>1604</v>
      </c>
      <c r="K1382" s="170">
        <v>45808</v>
      </c>
      <c r="L1382" s="1">
        <v>2813.3628955556223</v>
      </c>
      <c r="M1382" s="1">
        <v>45815</v>
      </c>
      <c r="Y1382"/>
      <c r="Z1382"/>
      <c r="AB1382"/>
    </row>
    <row r="1383" spans="1:28" ht="14.4" hidden="1">
      <c r="A1383" t="s">
        <v>516</v>
      </c>
      <c r="B1383" s="1">
        <v>148</v>
      </c>
      <c r="C1383" s="258" t="s">
        <v>3701</v>
      </c>
      <c r="D1383" t="s">
        <v>1280</v>
      </c>
      <c r="E1383" t="s">
        <v>1281</v>
      </c>
      <c r="F1383"/>
      <c r="H1383" s="1">
        <v>88.06</v>
      </c>
      <c r="I1383"/>
      <c r="J1383" t="s">
        <v>1604</v>
      </c>
      <c r="K1383" s="170">
        <v>45838</v>
      </c>
      <c r="L1383" s="1">
        <v>83.836261581182697</v>
      </c>
      <c r="M1383" s="1">
        <v>45842</v>
      </c>
      <c r="Y1383"/>
      <c r="Z1383"/>
      <c r="AB1383"/>
    </row>
    <row r="1384" spans="1:28" ht="14.4" hidden="1">
      <c r="A1384" t="s">
        <v>516</v>
      </c>
      <c r="B1384" s="1">
        <v>149</v>
      </c>
      <c r="C1384" s="258" t="s">
        <v>3702</v>
      </c>
      <c r="D1384" t="s">
        <v>1280</v>
      </c>
      <c r="E1384" t="s">
        <v>1281</v>
      </c>
      <c r="F1384"/>
      <c r="H1384" s="1">
        <v>3573.38</v>
      </c>
      <c r="I1384"/>
      <c r="J1384" t="s">
        <v>1604</v>
      </c>
      <c r="K1384" s="170">
        <v>45869</v>
      </c>
      <c r="L1384" s="1">
        <v>1034.4225124076768</v>
      </c>
      <c r="M1384" s="1">
        <v>45876</v>
      </c>
      <c r="Y1384"/>
      <c r="Z1384"/>
      <c r="AB1384"/>
    </row>
    <row r="1385" spans="1:28" ht="14.4" hidden="1">
      <c r="A1385" t="s">
        <v>516</v>
      </c>
      <c r="B1385" s="1">
        <v>150</v>
      </c>
      <c r="C1385" s="258" t="s">
        <v>3703</v>
      </c>
      <c r="D1385" t="s">
        <v>1280</v>
      </c>
      <c r="E1385" t="s">
        <v>1281</v>
      </c>
      <c r="F1385"/>
      <c r="H1385" s="1">
        <v>270.92</v>
      </c>
      <c r="I1385"/>
      <c r="J1385" t="s">
        <v>1604</v>
      </c>
      <c r="K1385" s="170">
        <v>45900</v>
      </c>
      <c r="L1385" s="1">
        <v>702.68927666706895</v>
      </c>
      <c r="M1385" s="1">
        <v>45900</v>
      </c>
      <c r="Y1385"/>
      <c r="Z1385"/>
      <c r="AB1385"/>
    </row>
    <row r="1386" spans="1:28" ht="14.4" hidden="1">
      <c r="A1386" t="s">
        <v>516</v>
      </c>
      <c r="B1386" s="1">
        <v>151</v>
      </c>
      <c r="C1386" s="258" t="s">
        <v>3704</v>
      </c>
      <c r="D1386" t="s">
        <v>1280</v>
      </c>
      <c r="E1386" t="s">
        <v>1281</v>
      </c>
      <c r="F1386"/>
      <c r="H1386" s="1">
        <v>0</v>
      </c>
      <c r="I1386"/>
      <c r="J1386" t="s">
        <v>1604</v>
      </c>
      <c r="K1386" s="170">
        <v>45930</v>
      </c>
      <c r="L1386" s="1">
        <v>0</v>
      </c>
      <c r="M1386" s="1">
        <v>45930</v>
      </c>
      <c r="Y1386"/>
      <c r="Z1386"/>
      <c r="AB1386"/>
    </row>
    <row r="1387" spans="1:28" ht="14.4" hidden="1">
      <c r="A1387" t="s">
        <v>516</v>
      </c>
      <c r="B1387" s="1">
        <v>152</v>
      </c>
      <c r="C1387" s="258" t="s">
        <v>3705</v>
      </c>
      <c r="D1387" t="s">
        <v>1280</v>
      </c>
      <c r="E1387" t="s">
        <v>1281</v>
      </c>
      <c r="F1387"/>
      <c r="H1387" s="1">
        <v>0</v>
      </c>
      <c r="I1387"/>
      <c r="J1387" t="s">
        <v>1604</v>
      </c>
      <c r="K1387" s="170">
        <v>45961</v>
      </c>
      <c r="L1387" s="1">
        <v>0</v>
      </c>
      <c r="M1387" s="1">
        <v>45961</v>
      </c>
      <c r="Y1387"/>
      <c r="Z1387"/>
      <c r="AB1387"/>
    </row>
    <row r="1388" spans="1:28" ht="14.4" hidden="1">
      <c r="A1388" t="s">
        <v>516</v>
      </c>
      <c r="B1388" s="1">
        <v>153</v>
      </c>
      <c r="C1388" s="258" t="s">
        <v>3706</v>
      </c>
      <c r="D1388" t="s">
        <v>1280</v>
      </c>
      <c r="E1388" t="s">
        <v>1281</v>
      </c>
      <c r="F1388"/>
      <c r="H1388" s="1">
        <v>0</v>
      </c>
      <c r="I1388"/>
      <c r="J1388"/>
      <c r="K1388" s="170">
        <v>45991</v>
      </c>
      <c r="L1388" s="1">
        <v>0</v>
      </c>
      <c r="M1388" s="1">
        <v>45991</v>
      </c>
      <c r="Y1388"/>
      <c r="Z1388"/>
      <c r="AB1388"/>
    </row>
    <row r="1389" spans="1:28" ht="14.4" hidden="1">
      <c r="A1389" t="s">
        <v>516</v>
      </c>
      <c r="B1389" s="1">
        <v>154</v>
      </c>
      <c r="C1389" s="258" t="s">
        <v>3707</v>
      </c>
      <c r="D1389" t="s">
        <v>1280</v>
      </c>
      <c r="E1389" t="s">
        <v>1281</v>
      </c>
      <c r="F1389"/>
      <c r="H1389" s="1">
        <v>0</v>
      </c>
      <c r="I1389"/>
      <c r="J1389"/>
      <c r="K1389" s="170">
        <v>46022</v>
      </c>
      <c r="L1389" s="1">
        <v>0</v>
      </c>
      <c r="M1389" s="1">
        <v>46022</v>
      </c>
      <c r="Y1389"/>
      <c r="Z1389"/>
      <c r="AB1389"/>
    </row>
    <row r="1390" spans="1:28" ht="14.4" hidden="1">
      <c r="A1390" t="s">
        <v>516</v>
      </c>
      <c r="B1390" s="1">
        <v>158</v>
      </c>
      <c r="C1390" s="258" t="s">
        <v>3708</v>
      </c>
      <c r="D1390" t="s">
        <v>1451</v>
      </c>
      <c r="E1390" t="s">
        <v>2865</v>
      </c>
      <c r="F1390"/>
      <c r="H1390" s="1">
        <v>284000</v>
      </c>
      <c r="I1390"/>
      <c r="J1390" t="s">
        <v>3709</v>
      </c>
      <c r="K1390" s="170">
        <v>45838</v>
      </c>
      <c r="L1390" s="1">
        <v>400000</v>
      </c>
      <c r="M1390" s="1">
        <v>45834</v>
      </c>
      <c r="N1390" s="1">
        <v>595762.5</v>
      </c>
      <c r="Y1390"/>
      <c r="Z1390"/>
      <c r="AB1390"/>
    </row>
    <row r="1391" spans="1:28" ht="14.4" hidden="1">
      <c r="A1391" t="s">
        <v>516</v>
      </c>
      <c r="B1391" s="1">
        <v>159</v>
      </c>
      <c r="C1391" s="258" t="s">
        <v>3710</v>
      </c>
      <c r="D1391" t="s">
        <v>1451</v>
      </c>
      <c r="E1391" t="s">
        <v>2868</v>
      </c>
      <c r="F1391"/>
      <c r="H1391" s="1">
        <v>284000</v>
      </c>
      <c r="I1391"/>
      <c r="J1391" t="s">
        <v>3709</v>
      </c>
      <c r="K1391" s="170">
        <v>45838</v>
      </c>
      <c r="L1391" s="1">
        <v>400000</v>
      </c>
      <c r="M1391" s="1">
        <v>45918</v>
      </c>
      <c r="Y1391"/>
      <c r="Z1391"/>
      <c r="AB1391"/>
    </row>
    <row r="1392" spans="1:28" ht="14.4" hidden="1">
      <c r="A1392" t="s">
        <v>516</v>
      </c>
      <c r="B1392" s="1">
        <v>161</v>
      </c>
      <c r="C1392" s="258" t="s">
        <v>3711</v>
      </c>
      <c r="D1392" t="s">
        <v>1451</v>
      </c>
      <c r="E1392" t="s">
        <v>3226</v>
      </c>
      <c r="F1392"/>
      <c r="H1392" s="1">
        <v>0</v>
      </c>
      <c r="I1392"/>
      <c r="J1392"/>
      <c r="K1392" s="170" t="s">
        <v>51</v>
      </c>
      <c r="L1392" s="1">
        <v>0</v>
      </c>
      <c r="Y1392"/>
      <c r="Z1392"/>
      <c r="AB1392"/>
    </row>
    <row r="1393" spans="1:28" ht="14.4" hidden="1">
      <c r="A1393" t="s">
        <v>516</v>
      </c>
      <c r="B1393" s="1">
        <v>162</v>
      </c>
      <c r="C1393" s="258" t="s">
        <v>3712</v>
      </c>
      <c r="D1393" t="s">
        <v>1451</v>
      </c>
      <c r="E1393" t="s">
        <v>3713</v>
      </c>
      <c r="F1393"/>
      <c r="H1393" s="1">
        <v>16006.25</v>
      </c>
      <c r="I1393" t="s">
        <v>3714</v>
      </c>
      <c r="J1393" t="s">
        <v>3715</v>
      </c>
      <c r="K1393" s="170">
        <v>45930</v>
      </c>
      <c r="L1393" s="1">
        <v>0</v>
      </c>
      <c r="M1393" s="1">
        <v>45932</v>
      </c>
      <c r="Y1393"/>
      <c r="Z1393"/>
      <c r="AB1393"/>
    </row>
    <row r="1394" spans="1:28" ht="14.4" hidden="1">
      <c r="A1394" t="s">
        <v>516</v>
      </c>
      <c r="B1394" s="1">
        <v>163</v>
      </c>
      <c r="C1394" s="258" t="s">
        <v>3716</v>
      </c>
      <c r="D1394" t="s">
        <v>1451</v>
      </c>
      <c r="E1394" t="s">
        <v>3717</v>
      </c>
      <c r="F1394"/>
      <c r="H1394" s="1">
        <v>5756.25</v>
      </c>
      <c r="I1394" t="s">
        <v>3718</v>
      </c>
      <c r="J1394" t="s">
        <v>3719</v>
      </c>
      <c r="K1394" s="170">
        <v>45961</v>
      </c>
      <c r="L1394" s="1">
        <v>0</v>
      </c>
      <c r="M1394" s="1">
        <v>45991</v>
      </c>
      <c r="Y1394"/>
      <c r="Z1394"/>
      <c r="AB1394"/>
    </row>
    <row r="1395" spans="1:28" ht="14.4" hidden="1">
      <c r="A1395" t="s">
        <v>516</v>
      </c>
      <c r="B1395" s="1">
        <v>164</v>
      </c>
      <c r="C1395" s="258" t="s">
        <v>3720</v>
      </c>
      <c r="D1395" t="s">
        <v>1451</v>
      </c>
      <c r="E1395" t="s">
        <v>3721</v>
      </c>
      <c r="F1395"/>
      <c r="H1395" s="1">
        <v>6000</v>
      </c>
      <c r="I1395"/>
      <c r="J1395" t="s">
        <v>3722</v>
      </c>
      <c r="K1395" s="170">
        <v>45991</v>
      </c>
      <c r="L1395" s="1">
        <v>0</v>
      </c>
      <c r="M1395" s="1">
        <v>45980</v>
      </c>
      <c r="Y1395"/>
      <c r="Z1395"/>
      <c r="AB1395"/>
    </row>
    <row r="1396" spans="1:28" ht="14.4" hidden="1">
      <c r="A1396" t="s">
        <v>517</v>
      </c>
      <c r="B1396" s="1">
        <v>6</v>
      </c>
      <c r="C1396" s="258" t="s">
        <v>3723</v>
      </c>
      <c r="D1396" t="s">
        <v>1146</v>
      </c>
      <c r="E1396" t="s">
        <v>3724</v>
      </c>
      <c r="F1396">
        <v>1187</v>
      </c>
      <c r="G1396">
        <v>1168.2</v>
      </c>
      <c r="H1396" s="1">
        <v>1386653.4</v>
      </c>
      <c r="I1396"/>
      <c r="J1396" t="s">
        <v>3725</v>
      </c>
      <c r="K1396" s="170">
        <v>45838</v>
      </c>
      <c r="L1396" s="1">
        <v>2075173.0803571399</v>
      </c>
      <c r="M1396" s="1">
        <v>45867</v>
      </c>
      <c r="N1396" s="1">
        <v>1387821.6</v>
      </c>
      <c r="Y1396"/>
      <c r="Z1396"/>
      <c r="AB1396"/>
    </row>
    <row r="1397" spans="1:28" ht="14.4" hidden="1">
      <c r="A1397" t="s">
        <v>517</v>
      </c>
      <c r="B1397" s="1">
        <v>7</v>
      </c>
      <c r="C1397" s="258" t="s">
        <v>3726</v>
      </c>
      <c r="D1397" t="s">
        <v>1146</v>
      </c>
      <c r="E1397" t="s">
        <v>3727</v>
      </c>
      <c r="F1397"/>
      <c r="G1397">
        <v>1.98</v>
      </c>
      <c r="H1397" s="1">
        <v>1168.2</v>
      </c>
      <c r="I1397"/>
      <c r="J1397" t="s">
        <v>3728</v>
      </c>
      <c r="K1397" s="170">
        <v>45900</v>
      </c>
      <c r="L1397" s="1">
        <v>0</v>
      </c>
      <c r="M1397" s="1">
        <v>45939</v>
      </c>
      <c r="Y1397"/>
      <c r="Z1397"/>
      <c r="AB1397"/>
    </row>
    <row r="1398" spans="1:28" ht="14.4" hidden="1">
      <c r="A1398" t="s">
        <v>517</v>
      </c>
      <c r="B1398" s="1">
        <v>13</v>
      </c>
      <c r="C1398" s="258" t="s">
        <v>3729</v>
      </c>
      <c r="D1398" t="s">
        <v>1157</v>
      </c>
      <c r="E1398" t="s">
        <v>3730</v>
      </c>
      <c r="F1398">
        <v>5</v>
      </c>
      <c r="G1398">
        <v>54000</v>
      </c>
      <c r="H1398" s="1">
        <v>269428.84999999998</v>
      </c>
      <c r="I1398" t="s">
        <v>3731</v>
      </c>
      <c r="J1398" t="s">
        <v>3732</v>
      </c>
      <c r="K1398" s="170">
        <v>45838</v>
      </c>
      <c r="L1398" s="1">
        <v>471629.46389158285</v>
      </c>
      <c r="M1398" s="1">
        <v>45827</v>
      </c>
      <c r="N1398" s="1">
        <v>272034.43</v>
      </c>
      <c r="Y1398"/>
      <c r="Z1398"/>
      <c r="AB1398"/>
    </row>
    <row r="1399" spans="1:28" ht="14.4" hidden="1">
      <c r="A1399" t="s">
        <v>517</v>
      </c>
      <c r="B1399" s="1">
        <v>14</v>
      </c>
      <c r="C1399" s="258" t="s">
        <v>3733</v>
      </c>
      <c r="D1399" t="s">
        <v>1157</v>
      </c>
      <c r="E1399" t="s">
        <v>1152</v>
      </c>
      <c r="F1399"/>
      <c r="H1399" s="1">
        <v>2110.0300000000002</v>
      </c>
      <c r="I1399"/>
      <c r="J1399" t="s">
        <v>3732</v>
      </c>
      <c r="K1399" s="170">
        <v>45838</v>
      </c>
      <c r="L1399" s="1">
        <v>3693.5625776347142</v>
      </c>
      <c r="M1399" s="1">
        <v>45827</v>
      </c>
      <c r="Y1399"/>
      <c r="Z1399"/>
      <c r="AB1399"/>
    </row>
    <row r="1400" spans="1:28" ht="14.4" hidden="1">
      <c r="A1400" t="s">
        <v>517</v>
      </c>
      <c r="B1400" s="1">
        <v>15</v>
      </c>
      <c r="C1400" s="258" t="s">
        <v>3734</v>
      </c>
      <c r="D1400" t="s">
        <v>1157</v>
      </c>
      <c r="E1400" t="s">
        <v>1150</v>
      </c>
      <c r="F1400"/>
      <c r="H1400" s="1">
        <v>495.55</v>
      </c>
      <c r="I1400"/>
      <c r="J1400" t="s">
        <v>3732</v>
      </c>
      <c r="K1400" s="170">
        <v>45838</v>
      </c>
      <c r="L1400" s="1">
        <v>867.44972125840957</v>
      </c>
      <c r="M1400" s="1">
        <v>45827</v>
      </c>
      <c r="Y1400"/>
      <c r="Z1400"/>
      <c r="AB1400"/>
    </row>
    <row r="1401" spans="1:28" ht="14.4" hidden="1">
      <c r="A1401" t="s">
        <v>517</v>
      </c>
      <c r="B1401" s="1">
        <v>16</v>
      </c>
      <c r="C1401" s="258" t="s">
        <v>3735</v>
      </c>
      <c r="D1401" t="s">
        <v>1157</v>
      </c>
      <c r="F1401"/>
      <c r="H1401" s="1">
        <v>0</v>
      </c>
      <c r="I1401"/>
      <c r="J1401"/>
      <c r="K1401" s="170">
        <v>45838</v>
      </c>
      <c r="L1401" s="1">
        <v>0</v>
      </c>
      <c r="M1401" s="1">
        <v>45893</v>
      </c>
      <c r="Y1401"/>
      <c r="Z1401"/>
      <c r="AB1401"/>
    </row>
    <row r="1402" spans="1:28" ht="14.4" hidden="1">
      <c r="A1402" t="s">
        <v>517</v>
      </c>
      <c r="B1402" s="1">
        <v>20</v>
      </c>
      <c r="C1402" s="258" t="s">
        <v>3736</v>
      </c>
      <c r="D1402" t="s">
        <v>1160</v>
      </c>
      <c r="E1402" t="s">
        <v>3737</v>
      </c>
      <c r="F1402"/>
      <c r="H1402" s="1">
        <v>145483.29999999999</v>
      </c>
      <c r="I1402" t="s">
        <v>3738</v>
      </c>
      <c r="J1402" t="s">
        <v>3739</v>
      </c>
      <c r="K1402" s="170">
        <v>45838</v>
      </c>
      <c r="L1402" s="1">
        <v>303206.52278142737</v>
      </c>
      <c r="M1402" s="1">
        <v>45867</v>
      </c>
      <c r="Y1402"/>
      <c r="Z1402"/>
      <c r="AB1402"/>
    </row>
    <row r="1403" spans="1:28" ht="14.4" hidden="1">
      <c r="A1403" t="s">
        <v>517</v>
      </c>
      <c r="B1403" s="1">
        <v>22</v>
      </c>
      <c r="C1403" s="258" t="s">
        <v>3740</v>
      </c>
      <c r="D1403" t="s">
        <v>1160</v>
      </c>
      <c r="E1403" t="s">
        <v>3084</v>
      </c>
      <c r="F1403"/>
      <c r="H1403" s="1">
        <v>14549</v>
      </c>
      <c r="I1403" t="s">
        <v>3741</v>
      </c>
      <c r="J1403" t="s">
        <v>3742</v>
      </c>
      <c r="K1403" s="170">
        <v>45838</v>
      </c>
      <c r="L1403" s="1">
        <v>30322.048647143605</v>
      </c>
      <c r="M1403" s="1">
        <v>45867</v>
      </c>
      <c r="Y1403"/>
      <c r="Z1403"/>
      <c r="AB1403"/>
    </row>
    <row r="1404" spans="1:28" ht="14.4" hidden="1">
      <c r="A1404" t="s">
        <v>517</v>
      </c>
      <c r="B1404" s="1">
        <v>24</v>
      </c>
      <c r="C1404" s="258" t="s">
        <v>3743</v>
      </c>
      <c r="D1404" t="s">
        <v>1160</v>
      </c>
      <c r="E1404" t="s">
        <v>3744</v>
      </c>
      <c r="F1404"/>
      <c r="H1404" s="1">
        <v>1840</v>
      </c>
      <c r="I1404" t="s">
        <v>3745</v>
      </c>
      <c r="J1404" t="s">
        <v>3746</v>
      </c>
      <c r="K1404" s="170">
        <v>45900</v>
      </c>
      <c r="L1404" s="1">
        <v>0</v>
      </c>
      <c r="M1404" s="1">
        <v>45930</v>
      </c>
      <c r="Y1404"/>
      <c r="Z1404"/>
      <c r="AB1404"/>
    </row>
    <row r="1405" spans="1:28" ht="14.4" hidden="1">
      <c r="A1405" t="s">
        <v>517</v>
      </c>
      <c r="B1405" s="1">
        <v>33</v>
      </c>
      <c r="C1405" s="258" t="s">
        <v>3747</v>
      </c>
      <c r="D1405" t="s">
        <v>1165</v>
      </c>
      <c r="E1405" t="s">
        <v>3748</v>
      </c>
      <c r="F1405">
        <v>22400</v>
      </c>
      <c r="G1405">
        <v>13.5</v>
      </c>
      <c r="H1405" s="1">
        <v>333360</v>
      </c>
      <c r="I1405"/>
      <c r="J1405" t="s">
        <v>3749</v>
      </c>
      <c r="K1405" s="170">
        <v>45838</v>
      </c>
      <c r="L1405" s="1">
        <v>460007.22803930088</v>
      </c>
      <c r="M1405" s="1">
        <v>45867</v>
      </c>
      <c r="Y1405"/>
      <c r="Z1405"/>
      <c r="AB1405"/>
    </row>
    <row r="1406" spans="1:28" ht="14.4" hidden="1">
      <c r="A1406" t="s">
        <v>517</v>
      </c>
      <c r="B1406" s="1">
        <v>34</v>
      </c>
      <c r="C1406" s="258" t="s">
        <v>3750</v>
      </c>
      <c r="D1406" t="s">
        <v>1165</v>
      </c>
      <c r="E1406" t="s">
        <v>1152</v>
      </c>
      <c r="F1406"/>
      <c r="H1406" s="1">
        <v>1530</v>
      </c>
      <c r="I1406"/>
      <c r="J1406" t="s">
        <v>3749</v>
      </c>
      <c r="K1406" s="170">
        <v>45838</v>
      </c>
      <c r="L1406" s="1">
        <v>2111.2642755583465</v>
      </c>
      <c r="M1406" s="1">
        <v>45867</v>
      </c>
      <c r="Y1406"/>
      <c r="Z1406"/>
      <c r="AB1406"/>
    </row>
    <row r="1407" spans="1:28" ht="14.4" hidden="1">
      <c r="A1407" t="s">
        <v>517</v>
      </c>
      <c r="B1407" s="1">
        <v>35</v>
      </c>
      <c r="C1407" s="258" t="s">
        <v>3751</v>
      </c>
      <c r="D1407" t="s">
        <v>1165</v>
      </c>
      <c r="E1407" t="s">
        <v>3752</v>
      </c>
      <c r="F1407">
        <v>7000</v>
      </c>
      <c r="G1407">
        <v>13.5</v>
      </c>
      <c r="H1407" s="1">
        <v>94500</v>
      </c>
      <c r="I1407"/>
      <c r="J1407" t="s">
        <v>3753</v>
      </c>
      <c r="K1407" s="170">
        <v>45900</v>
      </c>
      <c r="L1407" s="1">
        <v>0</v>
      </c>
      <c r="M1407" s="1">
        <v>45900</v>
      </c>
      <c r="Y1407"/>
      <c r="Z1407"/>
      <c r="AB1407"/>
    </row>
    <row r="1408" spans="1:28" ht="14.4" hidden="1">
      <c r="A1408" t="s">
        <v>517</v>
      </c>
      <c r="B1408" s="1">
        <v>36</v>
      </c>
      <c r="C1408" s="258" t="s">
        <v>3754</v>
      </c>
      <c r="D1408" t="s">
        <v>1165</v>
      </c>
      <c r="E1408" t="s">
        <v>3755</v>
      </c>
      <c r="F1408">
        <v>300</v>
      </c>
      <c r="G1408">
        <v>13.3</v>
      </c>
      <c r="H1408" s="1">
        <v>3990</v>
      </c>
      <c r="I1408"/>
      <c r="J1408" t="s">
        <v>3756</v>
      </c>
      <c r="K1408" s="170">
        <v>45900</v>
      </c>
      <c r="L1408" s="1">
        <v>0</v>
      </c>
      <c r="M1408" s="1">
        <v>45900</v>
      </c>
      <c r="Y1408"/>
      <c r="Z1408"/>
      <c r="AB1408"/>
    </row>
    <row r="1409" spans="1:28" ht="14.4" hidden="1">
      <c r="A1409" t="s">
        <v>517</v>
      </c>
      <c r="B1409" s="1">
        <v>37</v>
      </c>
      <c r="C1409" s="258" t="s">
        <v>3757</v>
      </c>
      <c r="D1409" t="s">
        <v>1165</v>
      </c>
      <c r="E1409" t="s">
        <v>3758</v>
      </c>
      <c r="F1409">
        <v>100</v>
      </c>
      <c r="G1409">
        <v>13.3</v>
      </c>
      <c r="H1409" s="1">
        <v>1330</v>
      </c>
      <c r="I1409"/>
      <c r="J1409" t="s">
        <v>3756</v>
      </c>
      <c r="K1409" s="170">
        <v>45900</v>
      </c>
      <c r="L1409" s="1">
        <v>0</v>
      </c>
      <c r="M1409" s="1">
        <v>45900</v>
      </c>
      <c r="Y1409"/>
      <c r="Z1409"/>
      <c r="AB1409"/>
    </row>
    <row r="1410" spans="1:28" ht="14.4" hidden="1">
      <c r="A1410" t="s">
        <v>517</v>
      </c>
      <c r="B1410" s="1">
        <v>38</v>
      </c>
      <c r="C1410" s="258" t="s">
        <v>3759</v>
      </c>
      <c r="D1410" t="s">
        <v>1165</v>
      </c>
      <c r="E1410" t="s">
        <v>3760</v>
      </c>
      <c r="F1410"/>
      <c r="H1410" s="1">
        <v>27000</v>
      </c>
      <c r="I1410"/>
      <c r="J1410" t="s">
        <v>3761</v>
      </c>
      <c r="K1410" s="170">
        <v>45900</v>
      </c>
      <c r="L1410" s="1">
        <v>0</v>
      </c>
      <c r="M1410" s="1">
        <v>45930</v>
      </c>
      <c r="Y1410"/>
      <c r="Z1410"/>
      <c r="AB1410"/>
    </row>
    <row r="1411" spans="1:28" ht="14.4" hidden="1">
      <c r="A1411" t="s">
        <v>517</v>
      </c>
      <c r="B1411" s="1">
        <v>39</v>
      </c>
      <c r="C1411" s="258" t="s">
        <v>3762</v>
      </c>
      <c r="D1411" t="s">
        <v>1165</v>
      </c>
      <c r="E1411" t="s">
        <v>3763</v>
      </c>
      <c r="F1411"/>
      <c r="H1411" s="1">
        <v>19167.259999999998</v>
      </c>
      <c r="I1411"/>
      <c r="J1411" t="s">
        <v>3764</v>
      </c>
      <c r="K1411" s="170">
        <v>45900</v>
      </c>
      <c r="L1411" s="1">
        <v>0</v>
      </c>
      <c r="M1411" s="1">
        <v>45930</v>
      </c>
      <c r="Y1411"/>
      <c r="Z1411"/>
      <c r="AB1411"/>
    </row>
    <row r="1412" spans="1:28" ht="14.4" hidden="1">
      <c r="A1412" t="s">
        <v>517</v>
      </c>
      <c r="B1412" s="1">
        <v>41</v>
      </c>
      <c r="C1412" s="258" t="s">
        <v>3765</v>
      </c>
      <c r="D1412" t="s">
        <v>1165</v>
      </c>
      <c r="E1412" t="s">
        <v>1169</v>
      </c>
      <c r="F1412">
        <v>131480.29999999999</v>
      </c>
      <c r="G1412">
        <v>0.1</v>
      </c>
      <c r="H1412" s="1">
        <v>13148.03</v>
      </c>
      <c r="I1412" t="s">
        <v>3766</v>
      </c>
      <c r="J1412" t="s">
        <v>3767</v>
      </c>
      <c r="K1412" s="170">
        <v>45838</v>
      </c>
      <c r="L1412" s="1">
        <v>18143.115054228365</v>
      </c>
      <c r="M1412" s="1">
        <v>45834</v>
      </c>
      <c r="Y1412"/>
      <c r="Z1412"/>
      <c r="AB1412"/>
    </row>
    <row r="1413" spans="1:28" ht="14.4" hidden="1">
      <c r="A1413" t="s">
        <v>517</v>
      </c>
      <c r="B1413" s="1">
        <v>42</v>
      </c>
      <c r="C1413" s="258" t="s">
        <v>3768</v>
      </c>
      <c r="D1413" t="s">
        <v>1165</v>
      </c>
      <c r="E1413" t="s">
        <v>558</v>
      </c>
      <c r="F1413"/>
      <c r="G1413">
        <v>0.15</v>
      </c>
      <c r="H1413" s="1">
        <v>19722.044999999998</v>
      </c>
      <c r="I1413"/>
      <c r="J1413" t="s">
        <v>3767</v>
      </c>
      <c r="K1413" s="170">
        <v>45838</v>
      </c>
      <c r="L1413" s="1">
        <v>27214.672581342551</v>
      </c>
      <c r="M1413" s="1">
        <v>45834</v>
      </c>
      <c r="Y1413"/>
      <c r="Z1413"/>
      <c r="AB1413"/>
    </row>
    <row r="1414" spans="1:28" ht="14.4" hidden="1">
      <c r="A1414" t="s">
        <v>517</v>
      </c>
      <c r="B1414" s="1">
        <v>43</v>
      </c>
      <c r="C1414" s="258" t="s">
        <v>3769</v>
      </c>
      <c r="D1414" t="s">
        <v>1165</v>
      </c>
      <c r="E1414" t="s">
        <v>1175</v>
      </c>
      <c r="F1414"/>
      <c r="G1414">
        <v>0.2</v>
      </c>
      <c r="H1414" s="1">
        <v>26296.06</v>
      </c>
      <c r="I1414"/>
      <c r="J1414" t="s">
        <v>3767</v>
      </c>
      <c r="K1414" s="170">
        <v>45838</v>
      </c>
      <c r="L1414" s="1">
        <v>36286.23010845673</v>
      </c>
      <c r="M1414" s="1">
        <v>45834</v>
      </c>
      <c r="Y1414"/>
      <c r="Z1414"/>
      <c r="AB1414"/>
    </row>
    <row r="1415" spans="1:28" ht="14.4" hidden="1">
      <c r="A1415" t="s">
        <v>517</v>
      </c>
      <c r="B1415" s="1">
        <v>44</v>
      </c>
      <c r="C1415" s="258" t="s">
        <v>3770</v>
      </c>
      <c r="D1415" t="s">
        <v>1165</v>
      </c>
      <c r="E1415" t="s">
        <v>1178</v>
      </c>
      <c r="F1415"/>
      <c r="H1415" s="1">
        <v>831.95</v>
      </c>
      <c r="I1415"/>
      <c r="J1415" t="s">
        <v>3767</v>
      </c>
      <c r="K1415" s="170">
        <v>45838</v>
      </c>
      <c r="L1415" s="1">
        <v>0</v>
      </c>
      <c r="M1415" s="1">
        <v>45834</v>
      </c>
      <c r="Y1415"/>
      <c r="Z1415"/>
      <c r="AB1415"/>
    </row>
    <row r="1416" spans="1:28" ht="14.4" hidden="1">
      <c r="A1416" t="s">
        <v>517</v>
      </c>
      <c r="B1416" s="1">
        <v>45</v>
      </c>
      <c r="C1416" s="258" t="s">
        <v>3771</v>
      </c>
      <c r="D1416" t="s">
        <v>1165</v>
      </c>
      <c r="E1416" t="s">
        <v>1178</v>
      </c>
      <c r="F1416"/>
      <c r="G1416">
        <v>0.25</v>
      </c>
      <c r="H1416" s="1">
        <v>32038.124999999996</v>
      </c>
      <c r="I1416"/>
      <c r="J1416" t="s">
        <v>3767</v>
      </c>
      <c r="K1416" s="170">
        <v>45838</v>
      </c>
      <c r="L1416" s="1">
        <v>45357.787635570909</v>
      </c>
      <c r="M1416" s="1">
        <v>45904</v>
      </c>
      <c r="Y1416"/>
      <c r="Z1416"/>
      <c r="AB1416"/>
    </row>
    <row r="1417" spans="1:28" ht="14.4" hidden="1">
      <c r="A1417" t="s">
        <v>517</v>
      </c>
      <c r="B1417" s="1">
        <v>46</v>
      </c>
      <c r="C1417" s="258" t="s">
        <v>3772</v>
      </c>
      <c r="D1417" t="s">
        <v>1165</v>
      </c>
      <c r="E1417" t="s">
        <v>1181</v>
      </c>
      <c r="F1417"/>
      <c r="G1417">
        <v>0.1</v>
      </c>
      <c r="H1417" s="1">
        <v>13148.03</v>
      </c>
      <c r="I1417"/>
      <c r="J1417" t="s">
        <v>3767</v>
      </c>
      <c r="K1417" s="170">
        <v>45838</v>
      </c>
      <c r="L1417" s="1">
        <v>18143.115054228365</v>
      </c>
      <c r="M1417" s="1">
        <v>45918</v>
      </c>
      <c r="Y1417"/>
      <c r="Z1417"/>
      <c r="AB1417"/>
    </row>
    <row r="1418" spans="1:28" ht="14.4" hidden="1">
      <c r="A1418" t="s">
        <v>517</v>
      </c>
      <c r="B1418" s="1">
        <v>47</v>
      </c>
      <c r="C1418" s="258" t="s">
        <v>3773</v>
      </c>
      <c r="D1418" t="s">
        <v>1165</v>
      </c>
      <c r="E1418" t="s">
        <v>1184</v>
      </c>
      <c r="F1418"/>
      <c r="G1418">
        <v>0.1</v>
      </c>
      <c r="H1418" s="1">
        <v>13148.03</v>
      </c>
      <c r="I1418"/>
      <c r="J1418" t="s">
        <v>3767</v>
      </c>
      <c r="K1418" s="170">
        <v>45838</v>
      </c>
      <c r="L1418" s="1">
        <v>18143.115054228365</v>
      </c>
      <c r="M1418" s="1">
        <v>45916</v>
      </c>
      <c r="Y1418"/>
      <c r="Z1418"/>
      <c r="AB1418"/>
    </row>
    <row r="1419" spans="1:28" ht="14.4" hidden="1">
      <c r="A1419" t="s">
        <v>517</v>
      </c>
      <c r="B1419" s="1">
        <v>48</v>
      </c>
      <c r="C1419" s="258" t="s">
        <v>3774</v>
      </c>
      <c r="D1419" t="s">
        <v>1165</v>
      </c>
      <c r="E1419" t="s">
        <v>1187</v>
      </c>
      <c r="F1419"/>
      <c r="G1419">
        <v>0.05</v>
      </c>
      <c r="H1419" s="1">
        <v>6574.0149999999994</v>
      </c>
      <c r="I1419"/>
      <c r="J1419" t="s">
        <v>3767</v>
      </c>
      <c r="K1419" s="170">
        <v>45838</v>
      </c>
      <c r="L1419" s="1">
        <v>9071.5575271141824</v>
      </c>
      <c r="M1419" s="1">
        <v>45916</v>
      </c>
      <c r="Y1419"/>
      <c r="Z1419"/>
      <c r="AB1419"/>
    </row>
    <row r="1420" spans="1:28" ht="14.4" hidden="1">
      <c r="A1420" t="s">
        <v>517</v>
      </c>
      <c r="B1420" s="1">
        <v>49</v>
      </c>
      <c r="C1420" s="258" t="s">
        <v>3775</v>
      </c>
      <c r="D1420" t="s">
        <v>1165</v>
      </c>
      <c r="E1420" t="s">
        <v>1190</v>
      </c>
      <c r="F1420"/>
      <c r="G1420">
        <v>0.05</v>
      </c>
      <c r="H1420" s="1">
        <v>6574.0149999999994</v>
      </c>
      <c r="I1420"/>
      <c r="J1420" t="s">
        <v>3767</v>
      </c>
      <c r="K1420" s="170">
        <v>45838</v>
      </c>
      <c r="L1420" s="1">
        <v>9071.5575271141824</v>
      </c>
      <c r="M1420" s="1">
        <v>45918</v>
      </c>
      <c r="Y1420"/>
      <c r="Z1420"/>
      <c r="AB1420"/>
    </row>
    <row r="1421" spans="1:28" ht="14.4" hidden="1">
      <c r="A1421" t="s">
        <v>517</v>
      </c>
      <c r="B1421" s="1">
        <v>51</v>
      </c>
      <c r="C1421" s="258" t="s">
        <v>3776</v>
      </c>
      <c r="D1421" t="s">
        <v>1193</v>
      </c>
      <c r="E1421" t="s">
        <v>3777</v>
      </c>
      <c r="F1421"/>
      <c r="H1421" s="1">
        <v>29966.34</v>
      </c>
      <c r="I1421" t="s">
        <v>3778</v>
      </c>
      <c r="J1421" t="s">
        <v>3779</v>
      </c>
      <c r="K1421" s="170">
        <v>45900</v>
      </c>
      <c r="L1421" s="1">
        <v>0</v>
      </c>
      <c r="M1421" s="1">
        <v>45896</v>
      </c>
      <c r="N1421" s="1">
        <v>159713.84</v>
      </c>
      <c r="Y1421"/>
      <c r="Z1421"/>
      <c r="AB1421"/>
    </row>
    <row r="1422" spans="1:28" ht="14.4" hidden="1">
      <c r="A1422" t="s">
        <v>517</v>
      </c>
      <c r="B1422" s="1">
        <v>52</v>
      </c>
      <c r="C1422" s="258" t="s">
        <v>3780</v>
      </c>
      <c r="D1422" t="s">
        <v>1193</v>
      </c>
      <c r="E1422" t="s">
        <v>1196</v>
      </c>
      <c r="F1422"/>
      <c r="H1422" s="1">
        <v>25135</v>
      </c>
      <c r="I1422" t="s">
        <v>3781</v>
      </c>
      <c r="J1422" t="s">
        <v>3782</v>
      </c>
      <c r="K1422" s="170">
        <v>45838</v>
      </c>
      <c r="L1422" s="1">
        <v>38986.104031761577</v>
      </c>
      <c r="M1422" s="1">
        <v>45867</v>
      </c>
      <c r="Y1422"/>
      <c r="Z1422"/>
      <c r="AB1422"/>
    </row>
    <row r="1423" spans="1:28" ht="14.4" hidden="1">
      <c r="A1423" t="s">
        <v>517</v>
      </c>
      <c r="B1423" s="1">
        <v>53</v>
      </c>
      <c r="C1423" s="258" t="s">
        <v>3783</v>
      </c>
      <c r="D1423" t="s">
        <v>1193</v>
      </c>
      <c r="F1423"/>
      <c r="H1423" s="1">
        <v>-3960</v>
      </c>
      <c r="I1423"/>
      <c r="J1423" t="s">
        <v>3784</v>
      </c>
      <c r="K1423" s="170">
        <v>45900</v>
      </c>
      <c r="L1423" s="1">
        <v>0</v>
      </c>
      <c r="M1423" s="1">
        <v>45900</v>
      </c>
      <c r="Y1423"/>
      <c r="Z1423"/>
      <c r="AB1423"/>
    </row>
    <row r="1424" spans="1:28" ht="14.4" hidden="1">
      <c r="A1424" t="s">
        <v>517</v>
      </c>
      <c r="B1424" s="1">
        <v>54</v>
      </c>
      <c r="C1424" s="258" t="s">
        <v>3785</v>
      </c>
      <c r="D1424" t="s">
        <v>1193</v>
      </c>
      <c r="F1424"/>
      <c r="H1424" s="1">
        <v>7690</v>
      </c>
      <c r="I1424"/>
      <c r="J1424" t="s">
        <v>3786</v>
      </c>
      <c r="K1424" s="170">
        <v>45900</v>
      </c>
      <c r="L1424" s="1">
        <v>0</v>
      </c>
      <c r="M1424" s="1">
        <v>45930</v>
      </c>
      <c r="Y1424"/>
      <c r="Z1424"/>
      <c r="AB1424"/>
    </row>
    <row r="1425" spans="1:28" ht="14.4" hidden="1">
      <c r="A1425" t="s">
        <v>517</v>
      </c>
      <c r="B1425" s="1">
        <v>55</v>
      </c>
      <c r="C1425" s="258" t="s">
        <v>3787</v>
      </c>
      <c r="D1425" t="s">
        <v>1193</v>
      </c>
      <c r="E1425" t="s">
        <v>3788</v>
      </c>
      <c r="F1425"/>
      <c r="H1425" s="1">
        <v>838</v>
      </c>
      <c r="I1425" t="s">
        <v>3731</v>
      </c>
      <c r="J1425" t="s">
        <v>3732</v>
      </c>
      <c r="K1425" s="170">
        <v>45838</v>
      </c>
      <c r="L1425" s="1">
        <v>1299.7953124573785</v>
      </c>
      <c r="M1425" s="1">
        <v>45827</v>
      </c>
      <c r="Y1425"/>
      <c r="Z1425"/>
      <c r="AB1425"/>
    </row>
    <row r="1426" spans="1:28" ht="14.4" hidden="1">
      <c r="A1426" t="s">
        <v>517</v>
      </c>
      <c r="B1426" s="1">
        <v>56</v>
      </c>
      <c r="C1426" s="258" t="s">
        <v>3789</v>
      </c>
      <c r="D1426" t="s">
        <v>1193</v>
      </c>
      <c r="E1426" t="s">
        <v>3790</v>
      </c>
      <c r="F1426"/>
      <c r="H1426" s="1">
        <v>85000</v>
      </c>
      <c r="I1426" t="s">
        <v>3791</v>
      </c>
      <c r="J1426" t="s">
        <v>3792</v>
      </c>
      <c r="K1426" s="170">
        <v>45869</v>
      </c>
      <c r="L1426" s="1">
        <v>142127.37349390241</v>
      </c>
      <c r="M1426" s="1">
        <v>45901</v>
      </c>
      <c r="Y1426"/>
      <c r="Z1426"/>
      <c r="AB1426"/>
    </row>
    <row r="1427" spans="1:28" ht="14.4" hidden="1">
      <c r="A1427" t="s">
        <v>517</v>
      </c>
      <c r="B1427" s="1">
        <v>57</v>
      </c>
      <c r="C1427" s="258" t="s">
        <v>3793</v>
      </c>
      <c r="D1427" t="s">
        <v>1193</v>
      </c>
      <c r="E1427" t="s">
        <v>1306</v>
      </c>
      <c r="F1427">
        <v>1</v>
      </c>
      <c r="G1427">
        <v>15000</v>
      </c>
      <c r="H1427" s="1">
        <v>11169</v>
      </c>
      <c r="I1427"/>
      <c r="J1427" t="s">
        <v>1494</v>
      </c>
      <c r="K1427" s="170">
        <v>45869</v>
      </c>
      <c r="L1427" s="1">
        <v>18359.184807098776</v>
      </c>
      <c r="M1427" s="1">
        <v>45869</v>
      </c>
      <c r="Y1427"/>
      <c r="Z1427"/>
      <c r="AB1427"/>
    </row>
    <row r="1428" spans="1:28" ht="14.4" hidden="1">
      <c r="A1428" t="s">
        <v>517</v>
      </c>
      <c r="B1428" s="1">
        <v>58</v>
      </c>
      <c r="C1428" s="258" t="s">
        <v>3794</v>
      </c>
      <c r="D1428" t="s">
        <v>1193</v>
      </c>
      <c r="E1428" t="s">
        <v>3795</v>
      </c>
      <c r="F1428"/>
      <c r="H1428" s="1">
        <v>300</v>
      </c>
      <c r="I1428" t="s">
        <v>3796</v>
      </c>
      <c r="J1428" t="s">
        <v>3797</v>
      </c>
      <c r="K1428" s="170">
        <v>45869</v>
      </c>
      <c r="L1428" s="1">
        <v>493.1287888020085</v>
      </c>
      <c r="M1428" s="1">
        <v>45898</v>
      </c>
      <c r="Y1428"/>
      <c r="Z1428"/>
      <c r="AB1428"/>
    </row>
    <row r="1429" spans="1:28" ht="14.4" hidden="1">
      <c r="A1429" t="s">
        <v>517</v>
      </c>
      <c r="B1429" s="1">
        <v>59</v>
      </c>
      <c r="C1429" s="258" t="s">
        <v>3798</v>
      </c>
      <c r="D1429" t="s">
        <v>1193</v>
      </c>
      <c r="E1429" t="s">
        <v>2768</v>
      </c>
      <c r="F1429"/>
      <c r="H1429" s="1">
        <v>3575.5</v>
      </c>
      <c r="I1429" t="s">
        <v>3796</v>
      </c>
      <c r="J1429" t="s">
        <v>3799</v>
      </c>
      <c r="K1429" s="170">
        <v>45869</v>
      </c>
      <c r="L1429" s="1">
        <v>5877.2732812052709</v>
      </c>
      <c r="M1429" s="1">
        <v>45869</v>
      </c>
      <c r="Y1429"/>
      <c r="Z1429"/>
      <c r="AB1429"/>
    </row>
    <row r="1430" spans="1:28" ht="14.4" hidden="1">
      <c r="A1430" t="s">
        <v>517</v>
      </c>
      <c r="B1430" s="1">
        <v>62</v>
      </c>
      <c r="C1430" s="258" t="s">
        <v>3800</v>
      </c>
      <c r="D1430" t="s">
        <v>1211</v>
      </c>
      <c r="E1430" t="s">
        <v>1169</v>
      </c>
      <c r="F1430">
        <v>372881.45</v>
      </c>
      <c r="G1430">
        <v>0.1</v>
      </c>
      <c r="H1430" s="1">
        <v>37288.144999999997</v>
      </c>
      <c r="I1430" t="s">
        <v>3766</v>
      </c>
      <c r="J1430" t="s">
        <v>3767</v>
      </c>
      <c r="K1430" s="170">
        <v>45838</v>
      </c>
      <c r="L1430" s="1">
        <v>76701.415631469994</v>
      </c>
      <c r="M1430" s="1">
        <v>45834</v>
      </c>
      <c r="Y1430"/>
      <c r="Z1430"/>
      <c r="AB1430"/>
    </row>
    <row r="1431" spans="1:28" ht="14.4" hidden="1">
      <c r="A1431" t="s">
        <v>517</v>
      </c>
      <c r="B1431" s="1">
        <v>63</v>
      </c>
      <c r="C1431" s="258" t="s">
        <v>3801</v>
      </c>
      <c r="D1431" t="s">
        <v>1211</v>
      </c>
      <c r="E1431" t="s">
        <v>558</v>
      </c>
      <c r="F1431"/>
      <c r="G1431">
        <v>0.15</v>
      </c>
      <c r="H1431" s="1">
        <v>55932.217499999999</v>
      </c>
      <c r="I1431"/>
      <c r="J1431" t="s">
        <v>3767</v>
      </c>
      <c r="K1431" s="170">
        <v>45838</v>
      </c>
      <c r="L1431" s="1">
        <v>115052.12344720498</v>
      </c>
      <c r="M1431" s="1">
        <v>45834</v>
      </c>
      <c r="Y1431"/>
      <c r="Z1431"/>
      <c r="AB1431"/>
    </row>
    <row r="1432" spans="1:28" ht="14.4" hidden="1">
      <c r="A1432" t="s">
        <v>517</v>
      </c>
      <c r="B1432" s="1">
        <v>64</v>
      </c>
      <c r="C1432" s="258" t="s">
        <v>3802</v>
      </c>
      <c r="D1432" t="s">
        <v>1211</v>
      </c>
      <c r="E1432" t="s">
        <v>1175</v>
      </c>
      <c r="F1432"/>
      <c r="G1432">
        <v>0.2</v>
      </c>
      <c r="H1432" s="1">
        <v>74576.289999999994</v>
      </c>
      <c r="I1432"/>
      <c r="J1432" t="s">
        <v>3767</v>
      </c>
      <c r="K1432" s="170">
        <v>45838</v>
      </c>
      <c r="L1432" s="1">
        <v>153402.83126293999</v>
      </c>
      <c r="M1432" s="1">
        <v>45834</v>
      </c>
      <c r="Y1432"/>
      <c r="Z1432"/>
      <c r="AB1432"/>
    </row>
    <row r="1433" spans="1:28" ht="14.4" hidden="1">
      <c r="A1433" t="s">
        <v>517</v>
      </c>
      <c r="B1433" s="1">
        <v>65</v>
      </c>
      <c r="C1433" s="258" t="s">
        <v>3803</v>
      </c>
      <c r="D1433" t="s">
        <v>1211</v>
      </c>
      <c r="E1433" t="s">
        <v>1178</v>
      </c>
      <c r="F1433"/>
      <c r="G1433">
        <v>0.25</v>
      </c>
      <c r="H1433" s="1">
        <v>93220.362500000003</v>
      </c>
      <c r="I1433"/>
      <c r="J1433" t="s">
        <v>3767</v>
      </c>
      <c r="K1433" s="170">
        <v>45838</v>
      </c>
      <c r="L1433" s="1">
        <v>191753.53907867495</v>
      </c>
      <c r="M1433" s="1">
        <v>45904</v>
      </c>
      <c r="Y1433"/>
      <c r="Z1433"/>
      <c r="AB1433"/>
    </row>
    <row r="1434" spans="1:28" ht="14.4" hidden="1">
      <c r="A1434" t="s">
        <v>517</v>
      </c>
      <c r="B1434" s="1">
        <v>66</v>
      </c>
      <c r="C1434" s="258" t="s">
        <v>3804</v>
      </c>
      <c r="D1434" t="s">
        <v>1211</v>
      </c>
      <c r="E1434" t="s">
        <v>1181</v>
      </c>
      <c r="F1434"/>
      <c r="G1434">
        <v>0.1</v>
      </c>
      <c r="H1434" s="1">
        <v>37288.144999999997</v>
      </c>
      <c r="I1434"/>
      <c r="J1434" t="s">
        <v>3767</v>
      </c>
      <c r="K1434" s="170">
        <v>45838</v>
      </c>
      <c r="L1434" s="1">
        <v>76701.415631469994</v>
      </c>
      <c r="M1434" s="1">
        <v>45918</v>
      </c>
      <c r="Y1434"/>
      <c r="Z1434"/>
      <c r="AB1434"/>
    </row>
    <row r="1435" spans="1:28" ht="14.4" hidden="1">
      <c r="A1435" t="s">
        <v>517</v>
      </c>
      <c r="B1435" s="1">
        <v>67</v>
      </c>
      <c r="C1435" s="258" t="s">
        <v>3805</v>
      </c>
      <c r="D1435" t="s">
        <v>1211</v>
      </c>
      <c r="E1435" t="s">
        <v>1184</v>
      </c>
      <c r="F1435"/>
      <c r="G1435">
        <v>0.1</v>
      </c>
      <c r="H1435" s="1">
        <v>37288.144999999997</v>
      </c>
      <c r="I1435"/>
      <c r="J1435" t="s">
        <v>3767</v>
      </c>
      <c r="K1435" s="170">
        <v>45838</v>
      </c>
      <c r="L1435" s="1">
        <v>76701.415631469994</v>
      </c>
      <c r="M1435" s="1">
        <v>45916</v>
      </c>
      <c r="Y1435"/>
      <c r="Z1435"/>
      <c r="AB1435"/>
    </row>
    <row r="1436" spans="1:28" ht="14.4" hidden="1">
      <c r="A1436" t="s">
        <v>517</v>
      </c>
      <c r="B1436" s="1">
        <v>68</v>
      </c>
      <c r="C1436" s="258" t="s">
        <v>3806</v>
      </c>
      <c r="D1436" t="s">
        <v>1211</v>
      </c>
      <c r="E1436" t="s">
        <v>1187</v>
      </c>
      <c r="F1436"/>
      <c r="G1436">
        <v>0.05</v>
      </c>
      <c r="H1436" s="1">
        <v>18644.072499999998</v>
      </c>
      <c r="I1436"/>
      <c r="J1436" t="s">
        <v>3767</v>
      </c>
      <c r="K1436" s="170">
        <v>45838</v>
      </c>
      <c r="L1436" s="1">
        <v>38350.707815734997</v>
      </c>
      <c r="M1436" s="1">
        <v>45916</v>
      </c>
      <c r="Y1436"/>
      <c r="Z1436"/>
      <c r="AB1436"/>
    </row>
    <row r="1437" spans="1:28" ht="14.4" hidden="1">
      <c r="A1437" t="s">
        <v>517</v>
      </c>
      <c r="B1437" s="1">
        <v>69</v>
      </c>
      <c r="C1437" s="258" t="s">
        <v>3807</v>
      </c>
      <c r="D1437" t="s">
        <v>1211</v>
      </c>
      <c r="E1437" t="s">
        <v>1190</v>
      </c>
      <c r="F1437"/>
      <c r="G1437">
        <v>0.05</v>
      </c>
      <c r="H1437" s="1">
        <v>18644.072499999998</v>
      </c>
      <c r="I1437"/>
      <c r="J1437" t="s">
        <v>3767</v>
      </c>
      <c r="K1437" s="170">
        <v>45838</v>
      </c>
      <c r="L1437" s="1">
        <v>38350.707815734997</v>
      </c>
      <c r="M1437" s="1">
        <v>45918</v>
      </c>
      <c r="Y1437"/>
      <c r="Z1437"/>
      <c r="AB1437"/>
    </row>
    <row r="1438" spans="1:28" ht="14.4" hidden="1">
      <c r="A1438" t="s">
        <v>517</v>
      </c>
      <c r="B1438" s="1">
        <v>80</v>
      </c>
      <c r="C1438" s="258" t="s">
        <v>3808</v>
      </c>
      <c r="D1438" t="s">
        <v>1224</v>
      </c>
      <c r="E1438" t="s">
        <v>1362</v>
      </c>
      <c r="F1438"/>
      <c r="H1438" s="1">
        <v>4900</v>
      </c>
      <c r="I1438" t="s">
        <v>3809</v>
      </c>
      <c r="J1438" t="s">
        <v>3810</v>
      </c>
      <c r="K1438" s="170">
        <v>45869</v>
      </c>
      <c r="L1438" s="1">
        <v>2757.7277835873901</v>
      </c>
      <c r="M1438" s="1">
        <v>45869</v>
      </c>
      <c r="N1438" s="1">
        <v>109213.4</v>
      </c>
      <c r="Y1438"/>
      <c r="Z1438"/>
      <c r="AB1438"/>
    </row>
    <row r="1439" spans="1:28" ht="14.4" hidden="1">
      <c r="A1439" t="s">
        <v>517</v>
      </c>
      <c r="B1439" s="1">
        <v>81</v>
      </c>
      <c r="C1439" s="258" t="s">
        <v>3811</v>
      </c>
      <c r="D1439" t="s">
        <v>1224</v>
      </c>
      <c r="E1439" t="s">
        <v>3812</v>
      </c>
      <c r="F1439">
        <v>0.8</v>
      </c>
      <c r="G1439">
        <v>11800</v>
      </c>
      <c r="H1439" s="1">
        <v>9440</v>
      </c>
      <c r="I1439" t="s">
        <v>3813</v>
      </c>
      <c r="J1439" t="s">
        <v>3814</v>
      </c>
      <c r="K1439" s="170">
        <v>45869</v>
      </c>
      <c r="L1439" s="1">
        <v>5312.8469953193789</v>
      </c>
      <c r="M1439" s="1">
        <v>45849</v>
      </c>
      <c r="Y1439"/>
      <c r="Z1439"/>
      <c r="AB1439"/>
    </row>
    <row r="1440" spans="1:28" ht="14.4" hidden="1">
      <c r="A1440" t="s">
        <v>517</v>
      </c>
      <c r="B1440" s="1">
        <v>82</v>
      </c>
      <c r="C1440" s="258" t="s">
        <v>3815</v>
      </c>
      <c r="D1440" t="s">
        <v>1224</v>
      </c>
      <c r="F1440">
        <v>0.2</v>
      </c>
      <c r="H1440" s="1">
        <v>2360</v>
      </c>
      <c r="I1440" t="s">
        <v>3816</v>
      </c>
      <c r="J1440" t="s">
        <v>3814</v>
      </c>
      <c r="K1440" s="170">
        <v>45869</v>
      </c>
      <c r="L1440" s="1">
        <v>1328.2117488298447</v>
      </c>
      <c r="M1440" s="1">
        <v>45869</v>
      </c>
      <c r="Y1440"/>
      <c r="Z1440"/>
      <c r="AB1440"/>
    </row>
    <row r="1441" spans="1:28" ht="14.4" hidden="1">
      <c r="A1441" t="s">
        <v>517</v>
      </c>
      <c r="B1441" s="1">
        <v>83</v>
      </c>
      <c r="C1441" s="258" t="s">
        <v>3817</v>
      </c>
      <c r="D1441" t="s">
        <v>1224</v>
      </c>
      <c r="E1441" t="s">
        <v>3818</v>
      </c>
      <c r="F1441"/>
      <c r="H1441" s="1">
        <v>1900</v>
      </c>
      <c r="I1441"/>
      <c r="J1441" t="s">
        <v>3819</v>
      </c>
      <c r="K1441" s="170">
        <v>45869</v>
      </c>
      <c r="L1441" s="1">
        <v>1069.3230181257229</v>
      </c>
      <c r="M1441" s="1">
        <v>45849</v>
      </c>
      <c r="Y1441"/>
      <c r="Z1441"/>
      <c r="AB1441"/>
    </row>
    <row r="1442" spans="1:28" ht="14.4" hidden="1">
      <c r="A1442" t="s">
        <v>517</v>
      </c>
      <c r="B1442" s="1">
        <v>84</v>
      </c>
      <c r="C1442" s="258" t="s">
        <v>3820</v>
      </c>
      <c r="D1442" t="s">
        <v>1224</v>
      </c>
      <c r="E1442" t="s">
        <v>3821</v>
      </c>
      <c r="F1442"/>
      <c r="H1442" s="1">
        <v>3450</v>
      </c>
      <c r="I1442" t="s">
        <v>3822</v>
      </c>
      <c r="J1442" t="s">
        <v>3823</v>
      </c>
      <c r="K1442" s="170">
        <v>45900</v>
      </c>
      <c r="L1442" s="1">
        <v>0</v>
      </c>
      <c r="M1442" s="1">
        <v>45890</v>
      </c>
      <c r="Y1442"/>
      <c r="Z1442"/>
      <c r="AB1442"/>
    </row>
    <row r="1443" spans="1:28" ht="14.4" hidden="1">
      <c r="A1443" t="s">
        <v>517</v>
      </c>
      <c r="B1443" s="1">
        <v>85</v>
      </c>
      <c r="C1443" s="258" t="s">
        <v>3824</v>
      </c>
      <c r="D1443" t="s">
        <v>1224</v>
      </c>
      <c r="E1443" t="s">
        <v>3825</v>
      </c>
      <c r="F1443"/>
      <c r="H1443" s="1">
        <v>87163.4</v>
      </c>
      <c r="I1443" t="s">
        <v>3826</v>
      </c>
      <c r="J1443" t="s">
        <v>3827</v>
      </c>
      <c r="K1443" s="170">
        <v>45900</v>
      </c>
      <c r="L1443" s="1">
        <v>0</v>
      </c>
      <c r="M1443" s="1">
        <v>45904</v>
      </c>
      <c r="Y1443"/>
      <c r="Z1443"/>
      <c r="AB1443"/>
    </row>
    <row r="1444" spans="1:28" ht="14.4" hidden="1">
      <c r="A1444" t="s">
        <v>517</v>
      </c>
      <c r="B1444" s="1">
        <v>87</v>
      </c>
      <c r="C1444" s="258" t="s">
        <v>3828</v>
      </c>
      <c r="D1444" t="s">
        <v>1246</v>
      </c>
      <c r="E1444" t="s">
        <v>1169</v>
      </c>
      <c r="F1444">
        <v>515836.3</v>
      </c>
      <c r="G1444">
        <v>0.1</v>
      </c>
      <c r="H1444" s="1">
        <v>51583.630000000005</v>
      </c>
      <c r="I1444" t="s">
        <v>3766</v>
      </c>
      <c r="J1444" t="s">
        <v>3829</v>
      </c>
      <c r="K1444" s="170">
        <v>45869</v>
      </c>
      <c r="L1444" s="1">
        <v>69966.764705882408</v>
      </c>
      <c r="M1444" s="1">
        <v>45869</v>
      </c>
      <c r="N1444" s="1">
        <v>515836.3000000001</v>
      </c>
      <c r="Y1444"/>
      <c r="Z1444"/>
      <c r="AB1444"/>
    </row>
    <row r="1445" spans="1:28" ht="14.4" hidden="1">
      <c r="A1445" t="s">
        <v>517</v>
      </c>
      <c r="B1445" s="1">
        <v>88</v>
      </c>
      <c r="C1445" s="258" t="s">
        <v>3830</v>
      </c>
      <c r="D1445" t="s">
        <v>1246</v>
      </c>
      <c r="E1445" t="s">
        <v>558</v>
      </c>
      <c r="F1445"/>
      <c r="G1445">
        <v>0.15</v>
      </c>
      <c r="H1445" s="1">
        <v>77375.445000000007</v>
      </c>
      <c r="I1445"/>
      <c r="J1445" t="s">
        <v>3829</v>
      </c>
      <c r="K1445" s="170">
        <v>45869</v>
      </c>
      <c r="L1445" s="1">
        <v>104950.14705882358</v>
      </c>
      <c r="M1445" s="1">
        <v>45869</v>
      </c>
      <c r="Y1445"/>
      <c r="Z1445"/>
      <c r="AB1445"/>
    </row>
    <row r="1446" spans="1:28" ht="14.4" hidden="1">
      <c r="A1446" t="s">
        <v>517</v>
      </c>
      <c r="B1446" s="1">
        <v>89</v>
      </c>
      <c r="C1446" s="258" t="s">
        <v>3831</v>
      </c>
      <c r="D1446" t="s">
        <v>1246</v>
      </c>
      <c r="E1446" t="s">
        <v>1175</v>
      </c>
      <c r="F1446"/>
      <c r="G1446">
        <v>0.2</v>
      </c>
      <c r="H1446" s="1">
        <v>103167.26</v>
      </c>
      <c r="I1446"/>
      <c r="J1446" t="s">
        <v>3829</v>
      </c>
      <c r="K1446" s="170">
        <v>45869</v>
      </c>
      <c r="L1446" s="1">
        <v>139933.52941176482</v>
      </c>
      <c r="M1446" s="1">
        <v>45898</v>
      </c>
      <c r="Y1446"/>
      <c r="Z1446"/>
      <c r="AB1446"/>
    </row>
    <row r="1447" spans="1:28" ht="14.4" hidden="1">
      <c r="A1447" t="s">
        <v>517</v>
      </c>
      <c r="B1447" s="1">
        <v>90</v>
      </c>
      <c r="C1447" s="258" t="s">
        <v>3832</v>
      </c>
      <c r="D1447" t="s">
        <v>1246</v>
      </c>
      <c r="E1447" t="s">
        <v>1178</v>
      </c>
      <c r="F1447"/>
      <c r="G1447">
        <v>0.25</v>
      </c>
      <c r="H1447" s="1">
        <v>128959.075</v>
      </c>
      <c r="I1447"/>
      <c r="J1447" t="s">
        <v>3829</v>
      </c>
      <c r="K1447" s="170">
        <v>45869</v>
      </c>
      <c r="L1447" s="1">
        <v>174916.91176470599</v>
      </c>
      <c r="M1447" s="1">
        <v>45904</v>
      </c>
      <c r="Y1447"/>
      <c r="Z1447"/>
      <c r="AB1447"/>
    </row>
    <row r="1448" spans="1:28" ht="14.4" hidden="1">
      <c r="A1448" t="s">
        <v>517</v>
      </c>
      <c r="B1448" s="1">
        <v>91</v>
      </c>
      <c r="C1448" s="258" t="s">
        <v>3833</v>
      </c>
      <c r="D1448" t="s">
        <v>1246</v>
      </c>
      <c r="E1448" t="s">
        <v>1181</v>
      </c>
      <c r="F1448"/>
      <c r="G1448">
        <v>0.1</v>
      </c>
      <c r="H1448" s="1">
        <v>51583.630000000005</v>
      </c>
      <c r="I1448"/>
      <c r="J1448" t="s">
        <v>3829</v>
      </c>
      <c r="K1448" s="170">
        <v>45900</v>
      </c>
      <c r="L1448" s="1">
        <v>69966.764705882408</v>
      </c>
      <c r="M1448" s="1">
        <v>45918</v>
      </c>
      <c r="Y1448"/>
      <c r="Z1448"/>
      <c r="AB1448"/>
    </row>
    <row r="1449" spans="1:28" ht="14.4" hidden="1">
      <c r="A1449" t="s">
        <v>517</v>
      </c>
      <c r="B1449" s="1">
        <v>92</v>
      </c>
      <c r="C1449" s="258" t="s">
        <v>3834</v>
      </c>
      <c r="D1449" t="s">
        <v>1246</v>
      </c>
      <c r="E1449" t="s">
        <v>1184</v>
      </c>
      <c r="F1449"/>
      <c r="G1449">
        <v>0.1</v>
      </c>
      <c r="H1449" s="1">
        <v>51583.630000000005</v>
      </c>
      <c r="I1449"/>
      <c r="J1449" t="s">
        <v>3829</v>
      </c>
      <c r="K1449" s="170">
        <v>45900</v>
      </c>
      <c r="L1449" s="1">
        <v>69966.764705882408</v>
      </c>
      <c r="M1449" s="1">
        <v>45916</v>
      </c>
      <c r="Y1449"/>
      <c r="Z1449"/>
      <c r="AB1449"/>
    </row>
    <row r="1450" spans="1:28" ht="14.4" hidden="1">
      <c r="A1450" t="s">
        <v>517</v>
      </c>
      <c r="B1450" s="1">
        <v>93</v>
      </c>
      <c r="C1450" s="258" t="s">
        <v>3835</v>
      </c>
      <c r="D1450" t="s">
        <v>1246</v>
      </c>
      <c r="E1450" t="s">
        <v>1187</v>
      </c>
      <c r="F1450"/>
      <c r="G1450">
        <v>0.05</v>
      </c>
      <c r="H1450" s="1">
        <v>25791.814999999999</v>
      </c>
      <c r="I1450"/>
      <c r="J1450" t="s">
        <v>3829</v>
      </c>
      <c r="K1450" s="170">
        <v>45900</v>
      </c>
      <c r="L1450" s="1">
        <v>34983.382352941204</v>
      </c>
      <c r="M1450" s="1">
        <v>45916</v>
      </c>
      <c r="Y1450"/>
      <c r="Z1450"/>
      <c r="AB1450"/>
    </row>
    <row r="1451" spans="1:28" ht="14.4" hidden="1">
      <c r="A1451" t="s">
        <v>517</v>
      </c>
      <c r="B1451" s="1">
        <v>94</v>
      </c>
      <c r="C1451" s="258" t="s">
        <v>3836</v>
      </c>
      <c r="D1451" t="s">
        <v>1246</v>
      </c>
      <c r="E1451" t="s">
        <v>1190</v>
      </c>
      <c r="F1451"/>
      <c r="G1451">
        <v>0.05</v>
      </c>
      <c r="H1451" s="1">
        <v>25791.814999999999</v>
      </c>
      <c r="I1451"/>
      <c r="J1451" t="s">
        <v>3829</v>
      </c>
      <c r="K1451" s="170">
        <v>45900</v>
      </c>
      <c r="L1451" s="1">
        <v>34983.382352941204</v>
      </c>
      <c r="M1451" s="1">
        <v>45918</v>
      </c>
      <c r="Y1451"/>
      <c r="Z1451"/>
      <c r="AB1451"/>
    </row>
    <row r="1452" spans="1:28" ht="14.4" hidden="1">
      <c r="A1452" t="s">
        <v>517</v>
      </c>
      <c r="B1452" s="1">
        <v>96</v>
      </c>
      <c r="C1452" s="258" t="s">
        <v>3837</v>
      </c>
      <c r="D1452" t="s">
        <v>1255</v>
      </c>
      <c r="E1452" t="s">
        <v>1343</v>
      </c>
      <c r="F1452"/>
      <c r="H1452" s="1">
        <v>14050</v>
      </c>
      <c r="I1452" t="s">
        <v>3838</v>
      </c>
      <c r="J1452" t="s">
        <v>3839</v>
      </c>
      <c r="K1452" s="170">
        <v>45900</v>
      </c>
      <c r="L1452" s="1">
        <v>0</v>
      </c>
      <c r="M1452" s="1">
        <v>45899</v>
      </c>
      <c r="N1452" s="1">
        <v>150323.90000000002</v>
      </c>
      <c r="Y1452"/>
      <c r="Z1452"/>
      <c r="AB1452"/>
    </row>
    <row r="1453" spans="1:28" ht="14.4" hidden="1">
      <c r="A1453" t="s">
        <v>517</v>
      </c>
      <c r="B1453" s="1">
        <v>97</v>
      </c>
      <c r="C1453" s="258" t="s">
        <v>3840</v>
      </c>
      <c r="D1453" t="s">
        <v>1255</v>
      </c>
      <c r="E1453" t="s">
        <v>1169</v>
      </c>
      <c r="F1453">
        <v>136273.9</v>
      </c>
      <c r="G1453">
        <v>0.1</v>
      </c>
      <c r="H1453" s="1">
        <v>13627.39</v>
      </c>
      <c r="I1453" t="s">
        <v>3766</v>
      </c>
      <c r="J1453" t="s">
        <v>3767</v>
      </c>
      <c r="K1453" s="170">
        <v>45838</v>
      </c>
      <c r="L1453" s="1">
        <v>9695.4705882352991</v>
      </c>
      <c r="M1453" s="1">
        <v>45834</v>
      </c>
      <c r="Y1453"/>
      <c r="Z1453"/>
      <c r="AB1453"/>
    </row>
    <row r="1454" spans="1:28" ht="14.4" hidden="1">
      <c r="A1454" t="s">
        <v>517</v>
      </c>
      <c r="B1454" s="1">
        <v>98</v>
      </c>
      <c r="C1454" s="258" t="s">
        <v>3841</v>
      </c>
      <c r="D1454" t="s">
        <v>1255</v>
      </c>
      <c r="E1454" t="s">
        <v>558</v>
      </c>
      <c r="F1454"/>
      <c r="G1454">
        <v>0.15</v>
      </c>
      <c r="H1454" s="1">
        <v>20441.084999999999</v>
      </c>
      <c r="I1454"/>
      <c r="J1454" t="s">
        <v>3767</v>
      </c>
      <c r="K1454" s="170">
        <v>45838</v>
      </c>
      <c r="L1454" s="1">
        <v>14543.205882352951</v>
      </c>
      <c r="M1454" s="1">
        <v>45834</v>
      </c>
      <c r="Y1454"/>
      <c r="Z1454"/>
      <c r="AB1454"/>
    </row>
    <row r="1455" spans="1:28" ht="14.4" hidden="1">
      <c r="A1455" t="s">
        <v>517</v>
      </c>
      <c r="B1455" s="1">
        <v>99</v>
      </c>
      <c r="C1455" s="258" t="s">
        <v>3842</v>
      </c>
      <c r="D1455" t="s">
        <v>1255</v>
      </c>
      <c r="E1455" t="s">
        <v>1175</v>
      </c>
      <c r="F1455"/>
      <c r="G1455">
        <v>0.2</v>
      </c>
      <c r="H1455" s="1">
        <v>27254.78</v>
      </c>
      <c r="I1455"/>
      <c r="J1455" t="s">
        <v>3767</v>
      </c>
      <c r="K1455" s="170">
        <v>45838</v>
      </c>
      <c r="L1455" s="1">
        <v>19390.941176470598</v>
      </c>
      <c r="M1455" s="1">
        <v>45834</v>
      </c>
      <c r="Y1455"/>
      <c r="Z1455"/>
      <c r="AB1455"/>
    </row>
    <row r="1456" spans="1:28" ht="14.4" hidden="1">
      <c r="A1456" t="s">
        <v>517</v>
      </c>
      <c r="B1456" s="1">
        <v>100</v>
      </c>
      <c r="C1456" s="258" t="s">
        <v>3843</v>
      </c>
      <c r="D1456" t="s">
        <v>1255</v>
      </c>
      <c r="E1456" t="s">
        <v>1178</v>
      </c>
      <c r="F1456"/>
      <c r="G1456">
        <v>0.25</v>
      </c>
      <c r="H1456" s="1">
        <v>34068.474999999999</v>
      </c>
      <c r="I1456"/>
      <c r="J1456" t="s">
        <v>3767</v>
      </c>
      <c r="K1456" s="170">
        <v>45838</v>
      </c>
      <c r="L1456" s="1">
        <v>24238.676470588252</v>
      </c>
      <c r="M1456" s="1">
        <v>45904</v>
      </c>
      <c r="Y1456"/>
      <c r="Z1456"/>
      <c r="AB1456"/>
    </row>
    <row r="1457" spans="1:28" ht="14.4" hidden="1">
      <c r="A1457" t="s">
        <v>517</v>
      </c>
      <c r="B1457" s="1">
        <v>101</v>
      </c>
      <c r="C1457" s="258" t="s">
        <v>3844</v>
      </c>
      <c r="D1457" t="s">
        <v>1255</v>
      </c>
      <c r="E1457" t="s">
        <v>1181</v>
      </c>
      <c r="F1457"/>
      <c r="G1457">
        <v>0.1</v>
      </c>
      <c r="H1457" s="1">
        <v>13627.39</v>
      </c>
      <c r="I1457"/>
      <c r="J1457" t="s">
        <v>3767</v>
      </c>
      <c r="K1457" s="170">
        <v>45838</v>
      </c>
      <c r="L1457" s="1">
        <v>9695.4705882352991</v>
      </c>
      <c r="M1457" s="1">
        <v>45918</v>
      </c>
      <c r="Y1457"/>
      <c r="Z1457"/>
      <c r="AB1457"/>
    </row>
    <row r="1458" spans="1:28" ht="14.4" hidden="1">
      <c r="A1458" t="s">
        <v>517</v>
      </c>
      <c r="B1458" s="1">
        <v>102</v>
      </c>
      <c r="C1458" s="258" t="s">
        <v>3845</v>
      </c>
      <c r="D1458" t="s">
        <v>1255</v>
      </c>
      <c r="E1458" t="s">
        <v>1184</v>
      </c>
      <c r="F1458"/>
      <c r="G1458">
        <v>0.1</v>
      </c>
      <c r="H1458" s="1">
        <v>13627.39</v>
      </c>
      <c r="I1458"/>
      <c r="J1458" t="s">
        <v>3767</v>
      </c>
      <c r="K1458" s="170">
        <v>45838</v>
      </c>
      <c r="L1458" s="1">
        <v>9695.4705882352991</v>
      </c>
      <c r="M1458" s="1">
        <v>45916</v>
      </c>
      <c r="Y1458"/>
      <c r="Z1458"/>
      <c r="AB1458"/>
    </row>
    <row r="1459" spans="1:28" ht="14.4" hidden="1">
      <c r="A1459" t="s">
        <v>517</v>
      </c>
      <c r="B1459" s="1">
        <v>103</v>
      </c>
      <c r="C1459" s="258" t="s">
        <v>3846</v>
      </c>
      <c r="D1459" t="s">
        <v>1255</v>
      </c>
      <c r="E1459" t="s">
        <v>1187</v>
      </c>
      <c r="F1459"/>
      <c r="G1459">
        <v>0.05</v>
      </c>
      <c r="H1459" s="1">
        <v>6813.6949999999997</v>
      </c>
      <c r="I1459"/>
      <c r="J1459" t="s">
        <v>3767</v>
      </c>
      <c r="K1459" s="170">
        <v>45838</v>
      </c>
      <c r="L1459" s="1">
        <v>4847.7352941176505</v>
      </c>
      <c r="M1459" s="1">
        <v>45916</v>
      </c>
      <c r="Y1459"/>
      <c r="Z1459"/>
      <c r="AB1459"/>
    </row>
    <row r="1460" spans="1:28" ht="14.4" hidden="1">
      <c r="A1460" t="s">
        <v>517</v>
      </c>
      <c r="B1460" s="1">
        <v>104</v>
      </c>
      <c r="C1460" s="258" t="s">
        <v>3847</v>
      </c>
      <c r="D1460" t="s">
        <v>1255</v>
      </c>
      <c r="E1460" t="s">
        <v>1190</v>
      </c>
      <c r="F1460"/>
      <c r="G1460">
        <v>0.05</v>
      </c>
      <c r="H1460" s="1">
        <v>6813.6949999999997</v>
      </c>
      <c r="I1460"/>
      <c r="J1460" t="s">
        <v>3767</v>
      </c>
      <c r="K1460" s="170">
        <v>45838</v>
      </c>
      <c r="L1460" s="1">
        <v>4847.7352941176505</v>
      </c>
      <c r="M1460" s="1">
        <v>45918</v>
      </c>
      <c r="Y1460"/>
      <c r="Z1460"/>
      <c r="AB1460"/>
    </row>
    <row r="1461" spans="1:28" ht="14.4" hidden="1">
      <c r="A1461" t="s">
        <v>517</v>
      </c>
      <c r="B1461" s="1">
        <v>106</v>
      </c>
      <c r="C1461" s="258" t="s">
        <v>3848</v>
      </c>
      <c r="D1461" t="s">
        <v>1264</v>
      </c>
      <c r="E1461" t="s">
        <v>1265</v>
      </c>
      <c r="F1461"/>
      <c r="H1461" s="1">
        <v>10500</v>
      </c>
      <c r="I1461"/>
      <c r="J1461" t="s">
        <v>3849</v>
      </c>
      <c r="K1461" s="170">
        <v>45869</v>
      </c>
      <c r="L1461" s="1">
        <v>24200.281774215484</v>
      </c>
      <c r="M1461" s="1">
        <v>45911</v>
      </c>
      <c r="N1461" s="1">
        <v>108250</v>
      </c>
      <c r="Y1461"/>
      <c r="Z1461"/>
      <c r="AB1461"/>
    </row>
    <row r="1462" spans="1:28" ht="14.4" hidden="1">
      <c r="A1462" t="s">
        <v>517</v>
      </c>
      <c r="B1462" s="1">
        <v>107</v>
      </c>
      <c r="C1462" s="258" t="s">
        <v>3850</v>
      </c>
      <c r="D1462" t="s">
        <v>1264</v>
      </c>
      <c r="E1462" t="s">
        <v>1594</v>
      </c>
      <c r="F1462"/>
      <c r="H1462" s="1">
        <v>7500</v>
      </c>
      <c r="I1462"/>
      <c r="J1462" t="s">
        <v>3851</v>
      </c>
      <c r="K1462" s="170">
        <v>45838</v>
      </c>
      <c r="L1462" s="1">
        <v>14900.981418468986</v>
      </c>
      <c r="M1462" s="1">
        <v>45862</v>
      </c>
      <c r="Y1462"/>
      <c r="Z1462"/>
      <c r="AB1462"/>
    </row>
    <row r="1463" spans="1:28" ht="14.4" hidden="1">
      <c r="A1463" t="s">
        <v>517</v>
      </c>
      <c r="B1463" s="1">
        <v>108</v>
      </c>
      <c r="C1463" s="258" t="s">
        <v>3852</v>
      </c>
      <c r="D1463" t="s">
        <v>1264</v>
      </c>
      <c r="E1463" t="s">
        <v>3853</v>
      </c>
      <c r="F1463"/>
      <c r="H1463" s="1">
        <v>8000</v>
      </c>
      <c r="I1463"/>
      <c r="J1463" t="s">
        <v>1899</v>
      </c>
      <c r="K1463" s="170">
        <v>45900</v>
      </c>
      <c r="L1463" s="1">
        <v>12131.460399402273</v>
      </c>
      <c r="M1463" s="1">
        <v>45900</v>
      </c>
      <c r="Y1463"/>
      <c r="Z1463"/>
      <c r="AB1463"/>
    </row>
    <row r="1464" spans="1:28" ht="14.4" hidden="1">
      <c r="A1464" t="s">
        <v>517</v>
      </c>
      <c r="B1464" s="1">
        <v>109</v>
      </c>
      <c r="C1464" s="258" t="s">
        <v>3854</v>
      </c>
      <c r="D1464" t="s">
        <v>1264</v>
      </c>
      <c r="E1464" t="s">
        <v>2090</v>
      </c>
      <c r="F1464"/>
      <c r="H1464" s="1">
        <v>79700</v>
      </c>
      <c r="I1464" t="s">
        <v>3855</v>
      </c>
      <c r="J1464" t="s">
        <v>3856</v>
      </c>
      <c r="K1464" s="170">
        <v>45808</v>
      </c>
      <c r="L1464" s="1">
        <v>109289.38876545901</v>
      </c>
      <c r="M1464" s="1">
        <v>46112</v>
      </c>
      <c r="Y1464"/>
      <c r="Z1464"/>
      <c r="AB1464"/>
    </row>
    <row r="1465" spans="1:28" ht="14.4" hidden="1">
      <c r="A1465" t="s">
        <v>517</v>
      </c>
      <c r="B1465" s="1">
        <v>110</v>
      </c>
      <c r="C1465" s="258" t="s">
        <v>3857</v>
      </c>
      <c r="D1465" t="s">
        <v>1264</v>
      </c>
      <c r="E1465" t="s">
        <v>2094</v>
      </c>
      <c r="F1465"/>
      <c r="H1465" s="1">
        <v>2550</v>
      </c>
      <c r="I1465" t="s">
        <v>3858</v>
      </c>
      <c r="J1465" t="s">
        <v>3859</v>
      </c>
      <c r="K1465" s="170">
        <v>45838</v>
      </c>
      <c r="L1465" s="1">
        <v>3631.713882279455</v>
      </c>
      <c r="M1465" s="1">
        <v>45862</v>
      </c>
      <c r="Y1465"/>
      <c r="Z1465"/>
      <c r="AB1465"/>
    </row>
    <row r="1466" spans="1:28" ht="14.4" hidden="1">
      <c r="A1466" t="s">
        <v>517</v>
      </c>
      <c r="B1466" s="1">
        <v>112</v>
      </c>
      <c r="C1466" s="258" t="s">
        <v>3860</v>
      </c>
      <c r="D1466" t="s">
        <v>2101</v>
      </c>
      <c r="F1466"/>
      <c r="H1466" s="1">
        <v>22749.875</v>
      </c>
      <c r="I1466"/>
      <c r="J1466" t="s">
        <v>3861</v>
      </c>
      <c r="K1466" s="170">
        <v>45869</v>
      </c>
      <c r="M1466" s="1">
        <v>45867</v>
      </c>
      <c r="N1466" s="1">
        <v>45499.75</v>
      </c>
      <c r="Y1466"/>
      <c r="Z1466"/>
      <c r="AB1466"/>
    </row>
    <row r="1467" spans="1:28" ht="14.4" hidden="1">
      <c r="A1467" t="s">
        <v>517</v>
      </c>
      <c r="B1467" s="1">
        <v>113</v>
      </c>
      <c r="C1467" s="258" t="s">
        <v>3862</v>
      </c>
      <c r="D1467" t="s">
        <v>2101</v>
      </c>
      <c r="F1467"/>
      <c r="H1467" s="1">
        <v>22749.875</v>
      </c>
      <c r="I1467"/>
      <c r="J1467" t="s">
        <v>3861</v>
      </c>
      <c r="K1467" s="170">
        <v>45869</v>
      </c>
      <c r="M1467" s="1">
        <v>45904</v>
      </c>
      <c r="Y1467"/>
      <c r="Z1467"/>
      <c r="AB1467"/>
    </row>
    <row r="1468" spans="1:28" ht="14.4" hidden="1">
      <c r="A1468" t="s">
        <v>517</v>
      </c>
      <c r="B1468" s="1">
        <v>116</v>
      </c>
      <c r="C1468" s="258" t="s">
        <v>3863</v>
      </c>
      <c r="D1468" t="s">
        <v>1277</v>
      </c>
      <c r="E1468" t="s">
        <v>2105</v>
      </c>
      <c r="F1468"/>
      <c r="H1468" s="1">
        <v>72734.84012645288</v>
      </c>
      <c r="I1468"/>
      <c r="J1468" t="s">
        <v>1901</v>
      </c>
      <c r="K1468" s="170">
        <v>45900</v>
      </c>
      <c r="L1468" s="1">
        <v>281476.675125062</v>
      </c>
      <c r="M1468" s="1">
        <v>45900</v>
      </c>
      <c r="N1468" s="1">
        <v>72734.84012645288</v>
      </c>
      <c r="Y1468"/>
      <c r="Z1468"/>
      <c r="AB1468"/>
    </row>
    <row r="1469" spans="1:28" ht="14.4" hidden="1">
      <c r="A1469" t="s">
        <v>517</v>
      </c>
      <c r="B1469" s="1">
        <v>117</v>
      </c>
      <c r="C1469" s="258" t="s">
        <v>3864</v>
      </c>
      <c r="D1469" t="s">
        <v>1277</v>
      </c>
      <c r="E1469" t="s">
        <v>1903</v>
      </c>
      <c r="F1469"/>
      <c r="H1469" s="1">
        <v>0</v>
      </c>
      <c r="I1469"/>
      <c r="J1469"/>
      <c r="K1469" s="170"/>
      <c r="L1469" s="1">
        <v>0</v>
      </c>
      <c r="Y1469"/>
      <c r="Z1469"/>
      <c r="AB1469"/>
    </row>
    <row r="1470" spans="1:28" ht="14.4" hidden="1">
      <c r="A1470" t="s">
        <v>517</v>
      </c>
      <c r="B1470" s="1">
        <v>118</v>
      </c>
      <c r="C1470" s="258" t="s">
        <v>3865</v>
      </c>
      <c r="D1470" t="s">
        <v>1277</v>
      </c>
      <c r="E1470" t="s">
        <v>1905</v>
      </c>
      <c r="F1470"/>
      <c r="H1470" s="1">
        <v>0</v>
      </c>
      <c r="I1470"/>
      <c r="J1470"/>
      <c r="K1470" s="170"/>
      <c r="L1470" s="1">
        <v>0</v>
      </c>
      <c r="Y1470"/>
      <c r="Z1470"/>
      <c r="AB1470"/>
    </row>
    <row r="1471" spans="1:28" ht="14.4" hidden="1">
      <c r="A1471" t="s">
        <v>517</v>
      </c>
      <c r="B1471" s="1">
        <v>119</v>
      </c>
      <c r="C1471" s="258" t="s">
        <v>3866</v>
      </c>
      <c r="D1471" t="s">
        <v>1277</v>
      </c>
      <c r="E1471" t="s">
        <v>1907</v>
      </c>
      <c r="F1471"/>
      <c r="H1471" s="1">
        <v>0</v>
      </c>
      <c r="I1471"/>
      <c r="J1471"/>
      <c r="K1471" s="170"/>
      <c r="L1471" s="1">
        <v>0</v>
      </c>
      <c r="Y1471"/>
      <c r="Z1471"/>
      <c r="AB1471"/>
    </row>
    <row r="1472" spans="1:28" ht="14.4" hidden="1">
      <c r="A1472" t="s">
        <v>517</v>
      </c>
      <c r="B1472" s="1">
        <v>120</v>
      </c>
      <c r="C1472" s="258" t="s">
        <v>3867</v>
      </c>
      <c r="D1472" t="s">
        <v>1277</v>
      </c>
      <c r="E1472" t="s">
        <v>1909</v>
      </c>
      <c r="F1472"/>
      <c r="H1472" s="1">
        <v>0</v>
      </c>
      <c r="I1472"/>
      <c r="J1472"/>
      <c r="K1472" s="170"/>
      <c r="L1472" s="1">
        <v>0</v>
      </c>
      <c r="Y1472"/>
      <c r="Z1472"/>
      <c r="AB1472"/>
    </row>
    <row r="1473" spans="1:28" ht="14.4" hidden="1">
      <c r="A1473" t="s">
        <v>517</v>
      </c>
      <c r="B1473" s="1">
        <v>124</v>
      </c>
      <c r="C1473" s="258" t="s">
        <v>3868</v>
      </c>
      <c r="D1473" t="s">
        <v>1280</v>
      </c>
      <c r="E1473" t="s">
        <v>2112</v>
      </c>
      <c r="F1473"/>
      <c r="H1473" s="1">
        <v>994.52</v>
      </c>
      <c r="I1473"/>
      <c r="J1473" t="s">
        <v>1604</v>
      </c>
      <c r="K1473" s="170">
        <v>45808</v>
      </c>
      <c r="L1473" s="1">
        <v>739.96610320204957</v>
      </c>
      <c r="M1473" s="1">
        <v>45817</v>
      </c>
      <c r="N1473" s="1">
        <v>9057.3700000000008</v>
      </c>
      <c r="Y1473"/>
      <c r="Z1473"/>
      <c r="AB1473"/>
    </row>
    <row r="1474" spans="1:28" ht="14.4" hidden="1">
      <c r="A1474" t="s">
        <v>517</v>
      </c>
      <c r="B1474" s="1">
        <v>125</v>
      </c>
      <c r="C1474" s="258" t="s">
        <v>3869</v>
      </c>
      <c r="D1474" t="s">
        <v>1280</v>
      </c>
      <c r="F1474"/>
      <c r="H1474" s="1">
        <v>952</v>
      </c>
      <c r="I1474"/>
      <c r="J1474" t="s">
        <v>1604</v>
      </c>
      <c r="K1474" s="170">
        <v>45838</v>
      </c>
      <c r="L1474" s="1">
        <v>1236.0640274940647</v>
      </c>
      <c r="M1474" s="1">
        <v>45842</v>
      </c>
      <c r="Y1474"/>
      <c r="Z1474"/>
      <c r="AB1474"/>
    </row>
    <row r="1475" spans="1:28" ht="14.4" hidden="1">
      <c r="A1475" t="s">
        <v>517</v>
      </c>
      <c r="B1475" s="1">
        <v>126</v>
      </c>
      <c r="C1475" s="258" t="s">
        <v>3870</v>
      </c>
      <c r="D1475" t="s">
        <v>1280</v>
      </c>
      <c r="F1475"/>
      <c r="H1475" s="1">
        <v>4268.8899999999994</v>
      </c>
      <c r="I1475"/>
      <c r="J1475" t="s">
        <v>1604</v>
      </c>
      <c r="K1475" s="170">
        <v>45869</v>
      </c>
      <c r="L1475" s="1">
        <v>5282.6490283138337</v>
      </c>
      <c r="M1475" s="1">
        <v>45876</v>
      </c>
      <c r="Y1475"/>
      <c r="Z1475"/>
      <c r="AB1475"/>
    </row>
    <row r="1476" spans="1:28" ht="14.4" hidden="1">
      <c r="A1476" t="s">
        <v>517</v>
      </c>
      <c r="B1476" s="1">
        <v>127</v>
      </c>
      <c r="C1476" s="258" t="s">
        <v>3871</v>
      </c>
      <c r="D1476" t="s">
        <v>1280</v>
      </c>
      <c r="F1476"/>
      <c r="H1476" s="1">
        <v>2841.96</v>
      </c>
      <c r="I1476"/>
      <c r="J1476" t="s">
        <v>1604</v>
      </c>
      <c r="K1476" s="170">
        <v>45900</v>
      </c>
      <c r="L1476" s="1">
        <v>7153.0855468724521</v>
      </c>
      <c r="M1476" s="1">
        <v>45905</v>
      </c>
      <c r="Y1476"/>
      <c r="Z1476"/>
      <c r="AB1476"/>
    </row>
    <row r="1477" spans="1:28" ht="14.4" hidden="1">
      <c r="A1477" t="s">
        <v>517</v>
      </c>
      <c r="B1477" s="1">
        <v>132</v>
      </c>
      <c r="C1477" s="258" t="s">
        <v>3872</v>
      </c>
      <c r="D1477" t="s">
        <v>1451</v>
      </c>
      <c r="E1477" t="s">
        <v>3873</v>
      </c>
      <c r="F1477"/>
      <c r="H1477" s="1">
        <v>79042.5</v>
      </c>
      <c r="I1477" t="s">
        <v>3874</v>
      </c>
      <c r="J1477" t="s">
        <v>3875</v>
      </c>
      <c r="K1477" s="170">
        <v>45930</v>
      </c>
      <c r="M1477" s="1">
        <v>45925</v>
      </c>
      <c r="Y1477"/>
      <c r="Z1477"/>
      <c r="AB1477"/>
    </row>
    <row r="1478" spans="1:28" ht="14.4" hidden="1">
      <c r="A1478" t="s">
        <v>205</v>
      </c>
      <c r="B1478" s="1">
        <v>6</v>
      </c>
      <c r="C1478" s="258" t="s">
        <v>3876</v>
      </c>
      <c r="D1478" t="s">
        <v>1146</v>
      </c>
      <c r="E1478" t="s">
        <v>3877</v>
      </c>
      <c r="F1478">
        <v>424</v>
      </c>
      <c r="G1478">
        <v>1150.5</v>
      </c>
      <c r="H1478" s="1">
        <v>487812</v>
      </c>
      <c r="I1478"/>
      <c r="J1478" t="s">
        <v>3878</v>
      </c>
      <c r="K1478" s="170">
        <v>45961</v>
      </c>
      <c r="L1478" s="1">
        <v>637909</v>
      </c>
      <c r="M1478" s="1">
        <v>46019</v>
      </c>
      <c r="N1478" s="1">
        <v>487812</v>
      </c>
      <c r="Y1478"/>
      <c r="Z1478"/>
      <c r="AB1478"/>
    </row>
    <row r="1479" spans="1:28" ht="14.4" hidden="1">
      <c r="A1479" t="s">
        <v>205</v>
      </c>
      <c r="B1479" s="1">
        <v>13</v>
      </c>
      <c r="C1479" s="258" t="s">
        <v>3879</v>
      </c>
      <c r="D1479" t="s">
        <v>1157</v>
      </c>
      <c r="E1479" t="s">
        <v>3880</v>
      </c>
      <c r="F1479">
        <v>4</v>
      </c>
      <c r="G1479">
        <v>43606.080000000002</v>
      </c>
      <c r="H1479" s="1">
        <v>174424.32000000001</v>
      </c>
      <c r="I1479"/>
      <c r="J1479" t="s">
        <v>3878</v>
      </c>
      <c r="K1479" s="170">
        <v>45961</v>
      </c>
      <c r="L1479" s="1">
        <v>280682</v>
      </c>
      <c r="M1479" s="1">
        <v>46019</v>
      </c>
      <c r="N1479" s="1">
        <v>174424.32000000001</v>
      </c>
      <c r="Y1479"/>
      <c r="Z1479"/>
      <c r="AB1479"/>
    </row>
    <row r="1480" spans="1:28" ht="14.4" hidden="1">
      <c r="A1480" t="s">
        <v>205</v>
      </c>
      <c r="B1480" s="1">
        <v>21</v>
      </c>
      <c r="C1480" s="258" t="s">
        <v>3881</v>
      </c>
      <c r="D1480" t="s">
        <v>1160</v>
      </c>
      <c r="E1480" t="s">
        <v>3882</v>
      </c>
      <c r="F1480"/>
      <c r="H1480" s="1">
        <v>45051</v>
      </c>
      <c r="I1480" t="s">
        <v>3883</v>
      </c>
      <c r="J1480" t="s">
        <v>3884</v>
      </c>
      <c r="K1480" s="170">
        <v>45961</v>
      </c>
      <c r="L1480" s="1">
        <v>106628.79769315652</v>
      </c>
      <c r="M1480" s="1">
        <v>45989</v>
      </c>
      <c r="N1480" s="1">
        <v>48031</v>
      </c>
      <c r="Y1480"/>
      <c r="Z1480"/>
      <c r="AB1480"/>
    </row>
    <row r="1481" spans="1:28" ht="14.4" hidden="1">
      <c r="A1481" t="s">
        <v>205</v>
      </c>
      <c r="B1481" s="1">
        <v>22</v>
      </c>
      <c r="C1481" s="258" t="s">
        <v>3885</v>
      </c>
      <c r="D1481" t="s">
        <v>1160</v>
      </c>
      <c r="E1481" t="s">
        <v>1152</v>
      </c>
      <c r="F1481"/>
      <c r="H1481" s="1">
        <v>2980</v>
      </c>
      <c r="I1481"/>
      <c r="J1481" t="s">
        <v>3884</v>
      </c>
      <c r="K1481" s="170">
        <v>45961</v>
      </c>
      <c r="L1481" s="1">
        <v>7053.2023068434974</v>
      </c>
      <c r="M1481" s="1">
        <v>45989</v>
      </c>
      <c r="Y1481"/>
      <c r="Z1481"/>
      <c r="AB1481"/>
    </row>
    <row r="1482" spans="1:28" ht="14.4" hidden="1">
      <c r="A1482" t="s">
        <v>205</v>
      </c>
      <c r="B1482" s="1">
        <v>28</v>
      </c>
      <c r="C1482" s="258" t="s">
        <v>3886</v>
      </c>
      <c r="D1482" t="s">
        <v>1165</v>
      </c>
      <c r="E1482" t="s">
        <v>1953</v>
      </c>
      <c r="F1482">
        <v>6000</v>
      </c>
      <c r="G1482">
        <v>13.65</v>
      </c>
      <c r="H1482" s="1">
        <v>81900</v>
      </c>
      <c r="I1482"/>
      <c r="J1482" t="s">
        <v>3878</v>
      </c>
      <c r="K1482" s="170">
        <v>45961</v>
      </c>
      <c r="L1482" s="1">
        <v>76217.10437809884</v>
      </c>
      <c r="M1482" s="1">
        <v>46019</v>
      </c>
      <c r="N1482" s="1">
        <v>143126.91999999998</v>
      </c>
      <c r="Y1482"/>
      <c r="Z1482"/>
      <c r="AB1482"/>
    </row>
    <row r="1483" spans="1:28" ht="14.4" hidden="1">
      <c r="A1483" t="s">
        <v>205</v>
      </c>
      <c r="B1483" s="1">
        <v>29</v>
      </c>
      <c r="C1483" s="258" t="s">
        <v>3887</v>
      </c>
      <c r="D1483" t="s">
        <v>1165</v>
      </c>
      <c r="E1483" t="s">
        <v>3888</v>
      </c>
      <c r="F1483">
        <v>-2000</v>
      </c>
      <c r="G1483">
        <v>13.65</v>
      </c>
      <c r="H1483" s="1">
        <v>-27300</v>
      </c>
      <c r="I1483"/>
      <c r="J1483" t="s">
        <v>3889</v>
      </c>
      <c r="K1483" s="170">
        <v>46053</v>
      </c>
      <c r="L1483" s="1">
        <v>0</v>
      </c>
      <c r="M1483" s="1">
        <v>46053</v>
      </c>
      <c r="Y1483"/>
      <c r="Z1483"/>
      <c r="AB1483"/>
    </row>
    <row r="1484" spans="1:28" ht="14.4" hidden="1">
      <c r="A1484" t="s">
        <v>205</v>
      </c>
      <c r="B1484" s="1">
        <v>30</v>
      </c>
      <c r="C1484" s="258" t="s">
        <v>3890</v>
      </c>
      <c r="D1484" t="s">
        <v>1165</v>
      </c>
      <c r="E1484" t="s">
        <v>3891</v>
      </c>
      <c r="F1484">
        <v>-2000</v>
      </c>
      <c r="G1484">
        <v>13.65</v>
      </c>
      <c r="H1484" s="1">
        <v>-27300</v>
      </c>
      <c r="I1484"/>
      <c r="J1484" t="s">
        <v>3889</v>
      </c>
      <c r="K1484" s="170">
        <v>46053</v>
      </c>
      <c r="L1484" s="1">
        <v>0</v>
      </c>
      <c r="M1484" s="1">
        <v>46053</v>
      </c>
      <c r="Y1484"/>
      <c r="Z1484"/>
      <c r="AB1484"/>
    </row>
    <row r="1485" spans="1:28" ht="14.4" hidden="1">
      <c r="A1485" t="s">
        <v>205</v>
      </c>
      <c r="B1485" s="1">
        <v>32</v>
      </c>
      <c r="C1485" s="258" t="s">
        <v>3892</v>
      </c>
      <c r="D1485" t="s">
        <v>1165</v>
      </c>
      <c r="E1485" t="s">
        <v>1169</v>
      </c>
      <c r="F1485">
        <v>115826.92</v>
      </c>
      <c r="G1485">
        <v>0.1</v>
      </c>
      <c r="H1485" s="1">
        <v>11582.691999999999</v>
      </c>
      <c r="I1485" t="s">
        <v>3893</v>
      </c>
      <c r="J1485" t="s">
        <v>3894</v>
      </c>
      <c r="K1485" s="170">
        <v>45961</v>
      </c>
      <c r="L1485" s="1">
        <v>10778.989562190116</v>
      </c>
      <c r="M1485" s="1">
        <v>45960</v>
      </c>
      <c r="Y1485"/>
      <c r="Z1485"/>
      <c r="AB1485"/>
    </row>
    <row r="1486" spans="1:28" ht="14.4" hidden="1">
      <c r="A1486" t="s">
        <v>205</v>
      </c>
      <c r="B1486" s="1">
        <v>33</v>
      </c>
      <c r="C1486" s="258" t="s">
        <v>3895</v>
      </c>
      <c r="D1486" t="s">
        <v>1165</v>
      </c>
      <c r="E1486" t="s">
        <v>558</v>
      </c>
      <c r="F1486"/>
      <c r="G1486">
        <v>0.15</v>
      </c>
      <c r="H1486" s="1">
        <v>17374.038</v>
      </c>
      <c r="I1486"/>
      <c r="J1486" t="s">
        <v>3896</v>
      </c>
      <c r="K1486" s="170">
        <v>45961</v>
      </c>
      <c r="L1486" s="1">
        <v>16168.484343285172</v>
      </c>
      <c r="M1486" s="1">
        <v>45967</v>
      </c>
      <c r="Y1486"/>
      <c r="Z1486"/>
      <c r="AB1486"/>
    </row>
    <row r="1487" spans="1:28" ht="14.4" hidden="1">
      <c r="A1487" t="s">
        <v>205</v>
      </c>
      <c r="B1487" s="1">
        <v>34</v>
      </c>
      <c r="C1487" s="258" t="s">
        <v>3897</v>
      </c>
      <c r="D1487" t="s">
        <v>1165</v>
      </c>
      <c r="E1487" t="s">
        <v>1175</v>
      </c>
      <c r="F1487"/>
      <c r="G1487">
        <v>0.2</v>
      </c>
      <c r="H1487" s="1">
        <v>23165.383999999998</v>
      </c>
      <c r="I1487"/>
      <c r="J1487" t="s">
        <v>3898</v>
      </c>
      <c r="K1487" s="170">
        <v>46022</v>
      </c>
      <c r="L1487" s="1">
        <v>21557.979124380232</v>
      </c>
      <c r="M1487" s="1">
        <v>46003</v>
      </c>
      <c r="Y1487"/>
      <c r="Z1487"/>
      <c r="AB1487"/>
    </row>
    <row r="1488" spans="1:28" ht="14.4" hidden="1">
      <c r="A1488" t="s">
        <v>205</v>
      </c>
      <c r="B1488" s="1">
        <v>35</v>
      </c>
      <c r="C1488" s="258" t="s">
        <v>3899</v>
      </c>
      <c r="D1488" t="s">
        <v>1165</v>
      </c>
      <c r="E1488" t="s">
        <v>1178</v>
      </c>
      <c r="F1488"/>
      <c r="G1488">
        <v>0.25</v>
      </c>
      <c r="H1488" s="1">
        <v>28956.73</v>
      </c>
      <c r="I1488"/>
      <c r="J1488" t="s">
        <v>3900</v>
      </c>
      <c r="K1488" s="170">
        <v>46022</v>
      </c>
      <c r="L1488" s="1">
        <v>26947.473905475286</v>
      </c>
      <c r="M1488" s="1">
        <v>46003</v>
      </c>
      <c r="Y1488"/>
      <c r="Z1488"/>
      <c r="AB1488"/>
    </row>
    <row r="1489" spans="1:28" ht="14.4" hidden="1">
      <c r="A1489" t="s">
        <v>205</v>
      </c>
      <c r="B1489" s="1">
        <v>36</v>
      </c>
      <c r="C1489" s="258" t="s">
        <v>3901</v>
      </c>
      <c r="D1489" t="s">
        <v>1165</v>
      </c>
      <c r="E1489" t="s">
        <v>1181</v>
      </c>
      <c r="F1489"/>
      <c r="G1489">
        <v>0.1</v>
      </c>
      <c r="H1489" s="1">
        <v>11582.691999999999</v>
      </c>
      <c r="I1489"/>
      <c r="J1489" t="s">
        <v>3902</v>
      </c>
      <c r="K1489" s="170">
        <v>46022</v>
      </c>
      <c r="L1489" s="1">
        <v>10778.989562190116</v>
      </c>
      <c r="M1489" s="1">
        <v>46003</v>
      </c>
      <c r="Y1489"/>
      <c r="Z1489"/>
      <c r="AB1489"/>
    </row>
    <row r="1490" spans="1:28" ht="14.4" hidden="1">
      <c r="A1490" t="s">
        <v>205</v>
      </c>
      <c r="B1490" s="1">
        <v>37</v>
      </c>
      <c r="C1490" s="258" t="s">
        <v>3903</v>
      </c>
      <c r="D1490" t="s">
        <v>1165</v>
      </c>
      <c r="E1490" t="s">
        <v>1184</v>
      </c>
      <c r="F1490"/>
      <c r="G1490">
        <v>0.1</v>
      </c>
      <c r="H1490" s="1">
        <v>11582.691999999999</v>
      </c>
      <c r="I1490"/>
      <c r="J1490" t="s">
        <v>3904</v>
      </c>
      <c r="K1490" s="170">
        <v>46022</v>
      </c>
      <c r="L1490" s="1">
        <v>10778.989562190116</v>
      </c>
      <c r="M1490" s="1">
        <v>46015</v>
      </c>
      <c r="Y1490"/>
      <c r="Z1490"/>
      <c r="AB1490"/>
    </row>
    <row r="1491" spans="1:28" ht="14.4" hidden="1">
      <c r="A1491" t="s">
        <v>205</v>
      </c>
      <c r="B1491" s="1">
        <v>38</v>
      </c>
      <c r="C1491" s="258" t="s">
        <v>3905</v>
      </c>
      <c r="D1491" t="s">
        <v>1165</v>
      </c>
      <c r="E1491" t="s">
        <v>1187</v>
      </c>
      <c r="F1491"/>
      <c r="G1491">
        <v>0.05</v>
      </c>
      <c r="H1491" s="1">
        <v>5791.3460000000005</v>
      </c>
      <c r="I1491"/>
      <c r="J1491" t="s">
        <v>3906</v>
      </c>
      <c r="K1491" s="170">
        <v>46022</v>
      </c>
      <c r="L1491" s="1">
        <v>5389.494781095058</v>
      </c>
      <c r="M1491" s="1">
        <v>46051</v>
      </c>
      <c r="Y1491"/>
      <c r="Z1491"/>
      <c r="AB1491"/>
    </row>
    <row r="1492" spans="1:28" ht="14.4" hidden="1">
      <c r="A1492" t="s">
        <v>205</v>
      </c>
      <c r="B1492" s="1">
        <v>39</v>
      </c>
      <c r="C1492" s="258" t="s">
        <v>3907</v>
      </c>
      <c r="D1492" t="s">
        <v>1165</v>
      </c>
      <c r="E1492" t="s">
        <v>1190</v>
      </c>
      <c r="F1492"/>
      <c r="G1492">
        <v>0.05</v>
      </c>
      <c r="H1492" s="1">
        <v>5791.3460000000005</v>
      </c>
      <c r="I1492"/>
      <c r="J1492"/>
      <c r="K1492" s="170">
        <v>46081</v>
      </c>
      <c r="L1492" s="1">
        <v>5389.4970872034428</v>
      </c>
      <c r="M1492" s="1">
        <v>46081</v>
      </c>
      <c r="Y1492"/>
      <c r="Z1492"/>
      <c r="AB1492"/>
    </row>
    <row r="1493" spans="1:28" ht="14.4" hidden="1">
      <c r="A1493" t="s">
        <v>205</v>
      </c>
      <c r="B1493" s="1">
        <v>44</v>
      </c>
      <c r="C1493" s="258" t="s">
        <v>3908</v>
      </c>
      <c r="D1493" t="s">
        <v>1193</v>
      </c>
      <c r="E1493" t="s">
        <v>1489</v>
      </c>
      <c r="F1493"/>
      <c r="H1493" s="1">
        <v>8598.34</v>
      </c>
      <c r="I1493"/>
      <c r="J1493" t="s">
        <v>3878</v>
      </c>
      <c r="K1493" s="170">
        <v>45961</v>
      </c>
      <c r="L1493" s="1">
        <v>9890.2129776497222</v>
      </c>
      <c r="M1493" s="1">
        <v>46019</v>
      </c>
      <c r="N1493" s="1">
        <v>105182.45</v>
      </c>
      <c r="Y1493"/>
      <c r="Z1493"/>
      <c r="AB1493"/>
    </row>
    <row r="1494" spans="1:28" ht="14.4" hidden="1">
      <c r="A1494" t="s">
        <v>205</v>
      </c>
      <c r="B1494" s="1">
        <v>45</v>
      </c>
      <c r="C1494" s="258" t="s">
        <v>3909</v>
      </c>
      <c r="D1494" t="s">
        <v>1193</v>
      </c>
      <c r="E1494" t="s">
        <v>1196</v>
      </c>
      <c r="F1494"/>
      <c r="H1494" s="1">
        <v>14118</v>
      </c>
      <c r="I1494" t="s">
        <v>3910</v>
      </c>
      <c r="J1494" t="s">
        <v>3911</v>
      </c>
      <c r="K1494" s="170">
        <v>45991</v>
      </c>
      <c r="L1494" s="1">
        <v>25155.72876205184</v>
      </c>
      <c r="M1494" s="1">
        <v>46029</v>
      </c>
      <c r="Y1494"/>
      <c r="Z1494"/>
      <c r="AB1494"/>
    </row>
    <row r="1495" spans="1:28" ht="14.4" hidden="1">
      <c r="A1495" t="s">
        <v>205</v>
      </c>
      <c r="B1495" s="1">
        <v>46</v>
      </c>
      <c r="C1495" s="258" t="s">
        <v>3912</v>
      </c>
      <c r="D1495" t="s">
        <v>1193</v>
      </c>
      <c r="E1495" t="s">
        <v>1200</v>
      </c>
      <c r="F1495"/>
      <c r="H1495" s="1">
        <v>11169</v>
      </c>
      <c r="I1495"/>
      <c r="J1495" t="s">
        <v>3913</v>
      </c>
      <c r="K1495" s="170">
        <v>46053</v>
      </c>
      <c r="L1495" s="1">
        <v>23141.457934175331</v>
      </c>
      <c r="M1495" s="1">
        <v>46051</v>
      </c>
      <c r="Y1495"/>
      <c r="Z1495"/>
      <c r="AB1495"/>
    </row>
    <row r="1496" spans="1:28" ht="14.4" hidden="1">
      <c r="A1496" t="s">
        <v>205</v>
      </c>
      <c r="B1496" s="1">
        <v>47</v>
      </c>
      <c r="C1496" s="258" t="s">
        <v>3914</v>
      </c>
      <c r="D1496" t="s">
        <v>1193</v>
      </c>
      <c r="E1496" t="s">
        <v>2301</v>
      </c>
      <c r="F1496"/>
      <c r="H1496" s="1">
        <v>307.94</v>
      </c>
      <c r="I1496"/>
      <c r="J1496" t="s">
        <v>3915</v>
      </c>
      <c r="K1496" s="170">
        <v>45991</v>
      </c>
      <c r="L1496" s="1">
        <v>475.07867221888682</v>
      </c>
      <c r="M1496" s="1">
        <v>46021</v>
      </c>
      <c r="Y1496"/>
      <c r="Z1496"/>
      <c r="AB1496"/>
    </row>
    <row r="1497" spans="1:28" ht="14.4" hidden="1">
      <c r="A1497" t="s">
        <v>205</v>
      </c>
      <c r="B1497" s="1">
        <v>48</v>
      </c>
      <c r="C1497" s="258" t="s">
        <v>3916</v>
      </c>
      <c r="D1497" t="s">
        <v>1193</v>
      </c>
      <c r="E1497" t="s">
        <v>3917</v>
      </c>
      <c r="F1497"/>
      <c r="H1497" s="1">
        <v>70989.17</v>
      </c>
      <c r="I1497" t="s">
        <v>3918</v>
      </c>
      <c r="J1497" t="s">
        <v>3919</v>
      </c>
      <c r="K1497" s="170">
        <v>45991</v>
      </c>
      <c r="L1497" s="1">
        <v>109519.51882029236</v>
      </c>
      <c r="M1497" s="1">
        <v>45979</v>
      </c>
      <c r="Y1497"/>
      <c r="Z1497"/>
      <c r="AB1497"/>
    </row>
    <row r="1498" spans="1:28" ht="14.4" hidden="1">
      <c r="A1498" t="s">
        <v>205</v>
      </c>
      <c r="B1498" s="1">
        <v>54</v>
      </c>
      <c r="C1498" s="258" t="s">
        <v>3920</v>
      </c>
      <c r="D1498" t="s">
        <v>1211</v>
      </c>
      <c r="E1498" t="s">
        <v>1212</v>
      </c>
      <c r="F1498"/>
      <c r="H1498" s="1">
        <v>0</v>
      </c>
      <c r="I1498"/>
      <c r="J1498"/>
      <c r="K1498" s="170"/>
      <c r="L1498" s="1">
        <v>0</v>
      </c>
      <c r="Y1498"/>
      <c r="Z1498"/>
      <c r="AB1498"/>
    </row>
    <row r="1499" spans="1:28" ht="14.4" hidden="1">
      <c r="A1499" t="s">
        <v>205</v>
      </c>
      <c r="B1499" s="1">
        <v>59</v>
      </c>
      <c r="C1499" s="258" t="s">
        <v>3921</v>
      </c>
      <c r="D1499" t="s">
        <v>1211</v>
      </c>
      <c r="E1499" t="s">
        <v>1169</v>
      </c>
      <c r="F1499">
        <v>389809.96</v>
      </c>
      <c r="G1499">
        <v>0.1</v>
      </c>
      <c r="H1499" s="1">
        <v>38980.996000000006</v>
      </c>
      <c r="I1499" t="s">
        <v>3893</v>
      </c>
      <c r="J1499" t="s">
        <v>3894</v>
      </c>
      <c r="K1499" s="170">
        <v>45961</v>
      </c>
      <c r="L1499" s="1">
        <v>31666</v>
      </c>
      <c r="M1499" s="1">
        <v>45960</v>
      </c>
      <c r="Y1499"/>
      <c r="Z1499"/>
      <c r="AB1499"/>
    </row>
    <row r="1500" spans="1:28" ht="14.4" hidden="1">
      <c r="A1500" t="s">
        <v>205</v>
      </c>
      <c r="B1500" s="1">
        <v>60</v>
      </c>
      <c r="C1500" s="258" t="s">
        <v>3922</v>
      </c>
      <c r="D1500" t="s">
        <v>1211</v>
      </c>
      <c r="E1500" t="s">
        <v>558</v>
      </c>
      <c r="F1500"/>
      <c r="G1500">
        <v>0.15</v>
      </c>
      <c r="H1500" s="1">
        <v>58471.493999999999</v>
      </c>
      <c r="I1500"/>
      <c r="J1500" t="s">
        <v>3896</v>
      </c>
      <c r="K1500" s="170">
        <v>45961</v>
      </c>
      <c r="L1500" s="1">
        <v>47499</v>
      </c>
      <c r="M1500" s="1">
        <v>45967</v>
      </c>
      <c r="Y1500"/>
      <c r="Z1500"/>
      <c r="AB1500"/>
    </row>
    <row r="1501" spans="1:28" ht="14.4" hidden="1">
      <c r="A1501" t="s">
        <v>205</v>
      </c>
      <c r="B1501" s="1">
        <v>61</v>
      </c>
      <c r="C1501" s="258" t="s">
        <v>3923</v>
      </c>
      <c r="D1501" t="s">
        <v>1211</v>
      </c>
      <c r="E1501" t="s">
        <v>1175</v>
      </c>
      <c r="F1501"/>
      <c r="G1501">
        <v>0.2</v>
      </c>
      <c r="H1501" s="1">
        <v>77961.992000000013</v>
      </c>
      <c r="I1501"/>
      <c r="J1501" t="s">
        <v>3898</v>
      </c>
      <c r="K1501" s="170">
        <v>46022</v>
      </c>
      <c r="L1501" s="1">
        <v>63332</v>
      </c>
      <c r="M1501" s="1">
        <v>46003</v>
      </c>
      <c r="Y1501"/>
      <c r="Z1501"/>
      <c r="AB1501"/>
    </row>
    <row r="1502" spans="1:28" ht="14.4" hidden="1">
      <c r="A1502" t="s">
        <v>205</v>
      </c>
      <c r="B1502" s="1">
        <v>62</v>
      </c>
      <c r="C1502" s="258" t="s">
        <v>3924</v>
      </c>
      <c r="D1502" t="s">
        <v>1211</v>
      </c>
      <c r="E1502" t="s">
        <v>1178</v>
      </c>
      <c r="F1502"/>
      <c r="G1502">
        <v>0.25</v>
      </c>
      <c r="H1502" s="1">
        <v>97452.49</v>
      </c>
      <c r="I1502"/>
      <c r="J1502" t="s">
        <v>3900</v>
      </c>
      <c r="K1502" s="170">
        <v>46022</v>
      </c>
      <c r="L1502" s="1">
        <v>79165</v>
      </c>
      <c r="M1502" s="1">
        <v>46003</v>
      </c>
      <c r="Y1502"/>
      <c r="Z1502"/>
      <c r="AB1502"/>
    </row>
    <row r="1503" spans="1:28" ht="14.4" hidden="1">
      <c r="A1503" t="s">
        <v>205</v>
      </c>
      <c r="B1503" s="1">
        <v>63</v>
      </c>
      <c r="C1503" s="258" t="s">
        <v>3925</v>
      </c>
      <c r="D1503" t="s">
        <v>1211</v>
      </c>
      <c r="E1503" t="s">
        <v>1181</v>
      </c>
      <c r="F1503"/>
      <c r="G1503">
        <v>0.1</v>
      </c>
      <c r="H1503" s="1">
        <v>38980.996000000006</v>
      </c>
      <c r="I1503"/>
      <c r="J1503" t="s">
        <v>3902</v>
      </c>
      <c r="K1503" s="170">
        <v>46022</v>
      </c>
      <c r="L1503" s="1">
        <v>31666</v>
      </c>
      <c r="M1503" s="1">
        <v>46003</v>
      </c>
      <c r="Y1503"/>
      <c r="Z1503"/>
      <c r="AB1503"/>
    </row>
    <row r="1504" spans="1:28" ht="14.4" hidden="1">
      <c r="A1504" t="s">
        <v>205</v>
      </c>
      <c r="B1504" s="1">
        <v>64</v>
      </c>
      <c r="C1504" s="258" t="s">
        <v>3926</v>
      </c>
      <c r="D1504" t="s">
        <v>1211</v>
      </c>
      <c r="E1504" t="s">
        <v>1184</v>
      </c>
      <c r="F1504"/>
      <c r="G1504">
        <v>0.1</v>
      </c>
      <c r="H1504" s="1">
        <v>38980.996000000006</v>
      </c>
      <c r="I1504"/>
      <c r="J1504" t="s">
        <v>3904</v>
      </c>
      <c r="K1504" s="170">
        <v>46022</v>
      </c>
      <c r="L1504" s="1">
        <v>31666</v>
      </c>
      <c r="M1504" s="1">
        <v>46015</v>
      </c>
      <c r="Y1504"/>
      <c r="Z1504"/>
      <c r="AB1504"/>
    </row>
    <row r="1505" spans="1:28" ht="14.4" hidden="1">
      <c r="A1505" t="s">
        <v>205</v>
      </c>
      <c r="B1505" s="1">
        <v>65</v>
      </c>
      <c r="C1505" s="258" t="s">
        <v>3927</v>
      </c>
      <c r="D1505" t="s">
        <v>1211</v>
      </c>
      <c r="E1505" t="s">
        <v>1187</v>
      </c>
      <c r="F1505"/>
      <c r="G1505">
        <v>0.05</v>
      </c>
      <c r="H1505" s="1">
        <v>19490.498000000003</v>
      </c>
      <c r="I1505"/>
      <c r="J1505" t="s">
        <v>3906</v>
      </c>
      <c r="K1505" s="170">
        <v>46022</v>
      </c>
      <c r="L1505" s="1">
        <v>15833</v>
      </c>
      <c r="M1505" s="1">
        <v>46051</v>
      </c>
      <c r="Y1505"/>
      <c r="Z1505"/>
      <c r="AB1505"/>
    </row>
    <row r="1506" spans="1:28" ht="14.4" hidden="1">
      <c r="A1506" t="s">
        <v>205</v>
      </c>
      <c r="B1506" s="1">
        <v>66</v>
      </c>
      <c r="C1506" s="258" t="s">
        <v>3928</v>
      </c>
      <c r="D1506" t="s">
        <v>1211</v>
      </c>
      <c r="E1506" t="s">
        <v>1190</v>
      </c>
      <c r="F1506"/>
      <c r="G1506">
        <v>0.05</v>
      </c>
      <c r="H1506" s="1">
        <v>19490.498000000003</v>
      </c>
      <c r="I1506"/>
      <c r="J1506"/>
      <c r="K1506" s="170">
        <v>46081</v>
      </c>
      <c r="L1506" s="1">
        <v>15833</v>
      </c>
      <c r="M1506" s="1">
        <v>46081</v>
      </c>
      <c r="Y1506"/>
      <c r="Z1506"/>
      <c r="AB1506"/>
    </row>
    <row r="1507" spans="1:28" ht="14.4" hidden="1">
      <c r="A1507" t="s">
        <v>205</v>
      </c>
      <c r="B1507" s="1">
        <v>80</v>
      </c>
      <c r="C1507" s="258" t="s">
        <v>3929</v>
      </c>
      <c r="D1507" t="s">
        <v>1224</v>
      </c>
      <c r="E1507" t="s">
        <v>3930</v>
      </c>
      <c r="F1507"/>
      <c r="H1507" s="1">
        <v>213097.85</v>
      </c>
      <c r="I1507" t="s">
        <v>3918</v>
      </c>
      <c r="J1507" t="s">
        <v>3931</v>
      </c>
      <c r="K1507" s="170">
        <v>45991</v>
      </c>
      <c r="L1507" s="1">
        <v>197924.52260640005</v>
      </c>
      <c r="M1507" s="1">
        <v>45992</v>
      </c>
      <c r="N1507" s="1">
        <v>533564.02</v>
      </c>
      <c r="Y1507"/>
      <c r="Z1507"/>
      <c r="AB1507"/>
    </row>
    <row r="1508" spans="1:28" ht="14.4" hidden="1">
      <c r="A1508" t="s">
        <v>205</v>
      </c>
      <c r="B1508" s="1">
        <v>81</v>
      </c>
      <c r="C1508" s="258" t="s">
        <v>3932</v>
      </c>
      <c r="D1508" t="s">
        <v>1224</v>
      </c>
      <c r="E1508" t="s">
        <v>3933</v>
      </c>
      <c r="F1508"/>
      <c r="H1508" s="1">
        <v>19795.599999999999</v>
      </c>
      <c r="I1508" t="s">
        <v>3934</v>
      </c>
      <c r="J1508" t="s">
        <v>3935</v>
      </c>
      <c r="K1508" s="170">
        <v>45991</v>
      </c>
      <c r="L1508" s="1">
        <v>201610.0426362502</v>
      </c>
      <c r="M1508" s="1">
        <v>45992</v>
      </c>
      <c r="Y1508"/>
      <c r="Z1508"/>
      <c r="AB1508"/>
    </row>
    <row r="1509" spans="1:28" ht="14.4" hidden="1">
      <c r="A1509" t="s">
        <v>205</v>
      </c>
      <c r="B1509" s="1">
        <v>82</v>
      </c>
      <c r="C1509" s="258" t="s">
        <v>3936</v>
      </c>
      <c r="D1509" t="s">
        <v>1224</v>
      </c>
      <c r="E1509" t="s">
        <v>3937</v>
      </c>
      <c r="F1509"/>
      <c r="H1509" s="1">
        <v>23510</v>
      </c>
      <c r="I1509" t="s">
        <v>3938</v>
      </c>
      <c r="J1509" t="s">
        <v>3939</v>
      </c>
      <c r="K1509" s="170">
        <v>46022</v>
      </c>
      <c r="L1509" s="1">
        <v>23797.945237554712</v>
      </c>
      <c r="M1509" s="1">
        <v>46015</v>
      </c>
      <c r="Y1509"/>
      <c r="Z1509"/>
      <c r="AB1509"/>
    </row>
    <row r="1510" spans="1:28" ht="14.4" hidden="1">
      <c r="A1510" t="s">
        <v>205</v>
      </c>
      <c r="B1510" s="1">
        <v>88</v>
      </c>
      <c r="C1510" s="258" t="s">
        <v>3940</v>
      </c>
      <c r="D1510" t="s">
        <v>1224</v>
      </c>
      <c r="E1510" t="s">
        <v>3941</v>
      </c>
      <c r="F1510"/>
      <c r="H1510" s="1">
        <v>26500</v>
      </c>
      <c r="I1510" t="s">
        <v>3942</v>
      </c>
      <c r="J1510" t="s">
        <v>3943</v>
      </c>
      <c r="K1510" s="170">
        <v>45991</v>
      </c>
      <c r="L1510" s="1">
        <v>51113.105430531599</v>
      </c>
      <c r="M1510" s="1">
        <v>45988</v>
      </c>
      <c r="Y1510"/>
      <c r="Z1510"/>
      <c r="AB1510"/>
    </row>
    <row r="1511" spans="1:28" ht="14.4" hidden="1">
      <c r="A1511" t="s">
        <v>205</v>
      </c>
      <c r="B1511" s="1">
        <v>93</v>
      </c>
      <c r="C1511" s="258" t="s">
        <v>3944</v>
      </c>
      <c r="D1511" t="s">
        <v>1224</v>
      </c>
      <c r="E1511" t="s">
        <v>3945</v>
      </c>
      <c r="F1511"/>
      <c r="H1511" s="1">
        <v>21014.75</v>
      </c>
      <c r="I1511" t="s">
        <v>3946</v>
      </c>
      <c r="J1511" t="s">
        <v>3947</v>
      </c>
      <c r="K1511" s="170">
        <v>46022</v>
      </c>
      <c r="L1511" s="1">
        <v>21272.133971965239</v>
      </c>
      <c r="M1511" s="1">
        <v>46058</v>
      </c>
      <c r="Y1511"/>
      <c r="Z1511"/>
      <c r="AB1511"/>
    </row>
    <row r="1512" spans="1:28" ht="14.4" hidden="1">
      <c r="A1512" t="s">
        <v>205</v>
      </c>
      <c r="B1512" s="1">
        <v>94</v>
      </c>
      <c r="C1512" s="258" t="s">
        <v>3948</v>
      </c>
      <c r="D1512" t="s">
        <v>1224</v>
      </c>
      <c r="E1512" t="s">
        <v>2094</v>
      </c>
      <c r="F1512"/>
      <c r="H1512" s="1">
        <v>7250</v>
      </c>
      <c r="I1512" t="s">
        <v>3949</v>
      </c>
      <c r="J1512" t="s">
        <v>3950</v>
      </c>
      <c r="K1512" s="170">
        <v>45991</v>
      </c>
      <c r="L1512" s="1">
        <v>6733.7741272209005</v>
      </c>
      <c r="M1512" s="1" t="s">
        <v>3951</v>
      </c>
      <c r="Y1512"/>
      <c r="Z1512"/>
      <c r="AB1512"/>
    </row>
    <row r="1513" spans="1:28" ht="14.4" hidden="1">
      <c r="A1513" t="s">
        <v>205</v>
      </c>
      <c r="B1513" s="1">
        <v>96</v>
      </c>
      <c r="C1513" s="258" t="s">
        <v>3952</v>
      </c>
      <c r="D1513" t="s">
        <v>1224</v>
      </c>
      <c r="E1513" t="s">
        <v>3953</v>
      </c>
      <c r="F1513"/>
      <c r="H1513" s="1">
        <v>0</v>
      </c>
      <c r="I1513"/>
      <c r="J1513"/>
      <c r="K1513" s="170"/>
      <c r="L1513" s="1">
        <v>0</v>
      </c>
      <c r="Y1513"/>
      <c r="Z1513"/>
      <c r="AB1513"/>
    </row>
    <row r="1514" spans="1:28" ht="14.4" hidden="1">
      <c r="A1514" t="s">
        <v>205</v>
      </c>
      <c r="B1514" s="1">
        <v>99</v>
      </c>
      <c r="C1514" s="258" t="s">
        <v>3954</v>
      </c>
      <c r="D1514" t="s">
        <v>1224</v>
      </c>
      <c r="E1514" t="s">
        <v>3955</v>
      </c>
      <c r="F1514"/>
      <c r="H1514" s="1">
        <v>0</v>
      </c>
      <c r="I1514"/>
      <c r="J1514"/>
      <c r="K1514" s="170"/>
      <c r="L1514" s="1">
        <v>0</v>
      </c>
      <c r="Y1514"/>
      <c r="Z1514"/>
      <c r="AB1514"/>
    </row>
    <row r="1515" spans="1:28" ht="14.4" hidden="1">
      <c r="A1515" t="s">
        <v>205</v>
      </c>
      <c r="B1515" s="1">
        <v>102</v>
      </c>
      <c r="C1515" s="258" t="s">
        <v>3956</v>
      </c>
      <c r="D1515" t="s">
        <v>1224</v>
      </c>
      <c r="E1515" t="s">
        <v>3319</v>
      </c>
      <c r="F1515">
        <v>0.5</v>
      </c>
      <c r="G1515">
        <v>59734.19</v>
      </c>
      <c r="H1515" s="1">
        <v>29867.095000000001</v>
      </c>
      <c r="I1515"/>
      <c r="J1515" t="s">
        <v>3957</v>
      </c>
      <c r="K1515" s="170">
        <v>45991</v>
      </c>
      <c r="L1515" s="1">
        <v>27740.451250517064</v>
      </c>
      <c r="M1515" s="1">
        <v>45974</v>
      </c>
      <c r="Y1515"/>
      <c r="Z1515"/>
      <c r="AB1515"/>
    </row>
    <row r="1516" spans="1:28" ht="14.4" hidden="1">
      <c r="A1516" t="s">
        <v>205</v>
      </c>
      <c r="B1516" s="1">
        <v>103</v>
      </c>
      <c r="C1516" s="258" t="s">
        <v>3958</v>
      </c>
      <c r="D1516" t="s">
        <v>1224</v>
      </c>
      <c r="F1516">
        <v>0.5</v>
      </c>
      <c r="H1516" s="1">
        <v>29867.095000000001</v>
      </c>
      <c r="I1516"/>
      <c r="J1516" t="s">
        <v>3957</v>
      </c>
      <c r="K1516" s="170">
        <v>45991</v>
      </c>
      <c r="L1516" s="1">
        <v>27740.451250517064</v>
      </c>
      <c r="M1516" s="1">
        <v>45995</v>
      </c>
      <c r="Y1516"/>
      <c r="Z1516"/>
      <c r="AB1516"/>
    </row>
    <row r="1517" spans="1:28" ht="14.4" hidden="1">
      <c r="A1517" t="s">
        <v>205</v>
      </c>
      <c r="B1517" s="1">
        <v>104</v>
      </c>
      <c r="C1517" s="258" t="s">
        <v>3959</v>
      </c>
      <c r="D1517" t="s">
        <v>1224</v>
      </c>
      <c r="E1517" t="s">
        <v>3960</v>
      </c>
      <c r="F1517"/>
      <c r="H1517" s="1">
        <v>6123</v>
      </c>
      <c r="I1517" t="s">
        <v>3961</v>
      </c>
      <c r="J1517"/>
      <c r="K1517" s="170">
        <v>46081</v>
      </c>
      <c r="L1517" s="1">
        <v>0</v>
      </c>
      <c r="M1517" s="1">
        <v>46067</v>
      </c>
      <c r="Y1517"/>
      <c r="Z1517"/>
      <c r="AB1517"/>
    </row>
    <row r="1518" spans="1:28" ht="14.4" hidden="1">
      <c r="A1518" t="s">
        <v>205</v>
      </c>
      <c r="B1518" s="1">
        <v>105</v>
      </c>
      <c r="C1518" s="258" t="s">
        <v>3962</v>
      </c>
      <c r="D1518" t="s">
        <v>1224</v>
      </c>
      <c r="E1518" t="s">
        <v>3963</v>
      </c>
      <c r="F1518">
        <v>111075</v>
      </c>
      <c r="G1518">
        <v>0.5</v>
      </c>
      <c r="H1518" s="1">
        <v>55537.5</v>
      </c>
      <c r="I1518" t="s">
        <v>3964</v>
      </c>
      <c r="J1518" t="s">
        <v>3965</v>
      </c>
      <c r="K1518" s="170">
        <v>46053</v>
      </c>
      <c r="L1518" s="1">
        <v>56217.710915810079</v>
      </c>
      <c r="M1518" s="1">
        <v>46045</v>
      </c>
      <c r="Y1518"/>
      <c r="Z1518"/>
      <c r="AB1518"/>
    </row>
    <row r="1519" spans="1:28" ht="14.4" hidden="1">
      <c r="A1519" t="s">
        <v>205</v>
      </c>
      <c r="B1519" s="1">
        <v>106</v>
      </c>
      <c r="C1519" s="258" t="s">
        <v>3966</v>
      </c>
      <c r="D1519" t="s">
        <v>1224</v>
      </c>
      <c r="E1519" t="s">
        <v>3967</v>
      </c>
      <c r="F1519"/>
      <c r="G1519">
        <v>0.5</v>
      </c>
      <c r="H1519" s="1">
        <v>55537.5</v>
      </c>
      <c r="I1519"/>
      <c r="J1519" t="s">
        <v>3965</v>
      </c>
      <c r="K1519" s="170">
        <v>46053</v>
      </c>
      <c r="L1519" s="1">
        <v>56217.710915810079</v>
      </c>
      <c r="M1519" s="1">
        <v>46058</v>
      </c>
      <c r="Y1519"/>
      <c r="Z1519"/>
      <c r="AB1519"/>
    </row>
    <row r="1520" spans="1:28" ht="14.4" hidden="1">
      <c r="A1520" t="s">
        <v>205</v>
      </c>
      <c r="B1520" s="1">
        <v>108</v>
      </c>
      <c r="C1520" s="258" t="s">
        <v>3968</v>
      </c>
      <c r="D1520" t="s">
        <v>1224</v>
      </c>
      <c r="E1520" t="s">
        <v>3969</v>
      </c>
      <c r="F1520"/>
      <c r="H1520" s="1">
        <v>19063</v>
      </c>
      <c r="I1520" t="s">
        <v>3970</v>
      </c>
      <c r="J1520" t="s">
        <v>3971</v>
      </c>
      <c r="K1520" s="170">
        <v>46022</v>
      </c>
      <c r="L1520" s="1">
        <v>19296.479373181857</v>
      </c>
      <c r="M1520" s="1">
        <v>46003</v>
      </c>
      <c r="Y1520"/>
      <c r="Z1520"/>
      <c r="AB1520"/>
    </row>
    <row r="1521" spans="1:28" ht="14.4" hidden="1">
      <c r="A1521" t="s">
        <v>205</v>
      </c>
      <c r="B1521" s="1">
        <v>110</v>
      </c>
      <c r="C1521" s="258" t="s">
        <v>3972</v>
      </c>
      <c r="D1521" t="s">
        <v>1224</v>
      </c>
      <c r="E1521" t="s">
        <v>3973</v>
      </c>
      <c r="F1521"/>
      <c r="H1521" s="1">
        <v>9574.73</v>
      </c>
      <c r="I1521" t="s">
        <v>3974</v>
      </c>
      <c r="J1521" t="s">
        <v>3975</v>
      </c>
      <c r="K1521" s="170">
        <v>46022</v>
      </c>
      <c r="L1521" s="1">
        <v>9691.9991579911621</v>
      </c>
      <c r="M1521" s="1">
        <v>46009</v>
      </c>
      <c r="Y1521"/>
      <c r="Z1521"/>
      <c r="AB1521"/>
    </row>
    <row r="1522" spans="1:28" ht="14.4" hidden="1">
      <c r="A1522" t="s">
        <v>205</v>
      </c>
      <c r="B1522" s="1">
        <v>111</v>
      </c>
      <c r="C1522" s="258" t="s">
        <v>3976</v>
      </c>
      <c r="D1522" t="s">
        <v>1224</v>
      </c>
      <c r="E1522" t="s">
        <v>3977</v>
      </c>
      <c r="F1522"/>
      <c r="H1522" s="1">
        <v>16825.900000000001</v>
      </c>
      <c r="I1522"/>
      <c r="J1522" t="s">
        <v>3975</v>
      </c>
      <c r="K1522" s="170">
        <v>46022</v>
      </c>
      <c r="L1522" s="1">
        <v>17031.979871228064</v>
      </c>
      <c r="M1522" s="1">
        <v>46003</v>
      </c>
      <c r="Y1522"/>
      <c r="Z1522"/>
      <c r="AB1522"/>
    </row>
    <row r="1523" spans="1:28" ht="14.4" hidden="1">
      <c r="A1523" t="s">
        <v>205</v>
      </c>
      <c r="B1523" s="1">
        <v>115</v>
      </c>
      <c r="C1523" s="258" t="s">
        <v>3978</v>
      </c>
      <c r="D1523" t="s">
        <v>1246</v>
      </c>
      <c r="E1523" t="s">
        <v>1169</v>
      </c>
      <c r="F1523">
        <v>361334</v>
      </c>
      <c r="G1523">
        <v>0.1</v>
      </c>
      <c r="H1523" s="1">
        <v>36133.4</v>
      </c>
      <c r="I1523" t="s">
        <v>3893</v>
      </c>
      <c r="J1523" t="s">
        <v>3894</v>
      </c>
      <c r="K1523" s="170">
        <v>45961</v>
      </c>
      <c r="L1523" s="1">
        <v>22094.400000000001</v>
      </c>
      <c r="M1523" s="1">
        <v>45960</v>
      </c>
      <c r="Y1523"/>
      <c r="Z1523"/>
      <c r="AB1523"/>
    </row>
    <row r="1524" spans="1:28" ht="14.4" hidden="1">
      <c r="A1524" t="s">
        <v>205</v>
      </c>
      <c r="B1524" s="1">
        <v>116</v>
      </c>
      <c r="C1524" s="258" t="s">
        <v>3979</v>
      </c>
      <c r="D1524" t="s">
        <v>1246</v>
      </c>
      <c r="E1524" t="s">
        <v>558</v>
      </c>
      <c r="F1524"/>
      <c r="G1524">
        <v>0.15</v>
      </c>
      <c r="H1524" s="1">
        <v>54200.1</v>
      </c>
      <c r="I1524"/>
      <c r="J1524" t="s">
        <v>3896</v>
      </c>
      <c r="K1524" s="170">
        <v>45961</v>
      </c>
      <c r="L1524" s="1">
        <v>33141.599999999991</v>
      </c>
      <c r="M1524" s="1">
        <v>45967</v>
      </c>
      <c r="Y1524"/>
      <c r="Z1524"/>
      <c r="AB1524"/>
    </row>
    <row r="1525" spans="1:28" ht="14.4" hidden="1">
      <c r="A1525" t="s">
        <v>205</v>
      </c>
      <c r="B1525" s="1">
        <v>117</v>
      </c>
      <c r="C1525" s="258" t="s">
        <v>3980</v>
      </c>
      <c r="D1525" t="s">
        <v>1246</v>
      </c>
      <c r="E1525" t="s">
        <v>1175</v>
      </c>
      <c r="F1525"/>
      <c r="G1525">
        <v>0.2</v>
      </c>
      <c r="H1525" s="1">
        <v>72266.8</v>
      </c>
      <c r="I1525"/>
      <c r="J1525" t="s">
        <v>3898</v>
      </c>
      <c r="K1525" s="170">
        <v>46022</v>
      </c>
      <c r="L1525" s="1">
        <v>44188.800000000003</v>
      </c>
      <c r="M1525" s="1">
        <v>46003</v>
      </c>
      <c r="Y1525"/>
      <c r="Z1525"/>
      <c r="AB1525"/>
    </row>
    <row r="1526" spans="1:28" ht="14.4" hidden="1">
      <c r="A1526" t="s">
        <v>205</v>
      </c>
      <c r="B1526" s="1">
        <v>118</v>
      </c>
      <c r="C1526" s="258" t="s">
        <v>3981</v>
      </c>
      <c r="D1526" t="s">
        <v>1246</v>
      </c>
      <c r="E1526" t="s">
        <v>1178</v>
      </c>
      <c r="F1526"/>
      <c r="G1526">
        <v>0.25</v>
      </c>
      <c r="H1526" s="1">
        <v>90333.5</v>
      </c>
      <c r="I1526"/>
      <c r="J1526" t="s">
        <v>3900</v>
      </c>
      <c r="K1526" s="170">
        <v>46022</v>
      </c>
      <c r="L1526" s="1">
        <v>55235.999999999993</v>
      </c>
      <c r="M1526" s="1">
        <v>46003</v>
      </c>
      <c r="Y1526"/>
      <c r="Z1526"/>
      <c r="AB1526"/>
    </row>
    <row r="1527" spans="1:28" ht="14.4" hidden="1">
      <c r="A1527" t="s">
        <v>205</v>
      </c>
      <c r="B1527" s="1">
        <v>119</v>
      </c>
      <c r="C1527" s="258" t="s">
        <v>3982</v>
      </c>
      <c r="D1527" t="s">
        <v>1246</v>
      </c>
      <c r="E1527" t="s">
        <v>1181</v>
      </c>
      <c r="F1527"/>
      <c r="G1527">
        <v>0.1</v>
      </c>
      <c r="H1527" s="1">
        <v>36133.4</v>
      </c>
      <c r="I1527"/>
      <c r="J1527" t="s">
        <v>3902</v>
      </c>
      <c r="K1527" s="170">
        <v>46022</v>
      </c>
      <c r="L1527" s="1">
        <v>22094.400000000001</v>
      </c>
      <c r="M1527" s="1">
        <v>46003</v>
      </c>
      <c r="Y1527"/>
      <c r="Z1527"/>
      <c r="AB1527"/>
    </row>
    <row r="1528" spans="1:28" ht="14.4" hidden="1">
      <c r="A1528" t="s">
        <v>205</v>
      </c>
      <c r="B1528" s="1">
        <v>120</v>
      </c>
      <c r="C1528" s="258" t="s">
        <v>3983</v>
      </c>
      <c r="D1528" t="s">
        <v>1246</v>
      </c>
      <c r="E1528" t="s">
        <v>1184</v>
      </c>
      <c r="F1528">
        <v>101512.13800000001</v>
      </c>
      <c r="G1528">
        <v>0.1</v>
      </c>
      <c r="H1528" s="1">
        <v>36133.4</v>
      </c>
      <c r="I1528"/>
      <c r="J1528" t="s">
        <v>3904</v>
      </c>
      <c r="K1528" s="170">
        <v>46022</v>
      </c>
      <c r="L1528" s="1">
        <v>22094.400000000001</v>
      </c>
      <c r="M1528" s="1">
        <v>46015</v>
      </c>
      <c r="Y1528"/>
      <c r="Z1528"/>
      <c r="AB1528"/>
    </row>
    <row r="1529" spans="1:28" ht="14.4" hidden="1">
      <c r="A1529" t="s">
        <v>205</v>
      </c>
      <c r="B1529" s="1">
        <v>121</v>
      </c>
      <c r="C1529" s="258" t="s">
        <v>3984</v>
      </c>
      <c r="D1529" t="s">
        <v>1246</v>
      </c>
      <c r="E1529" t="s">
        <v>1187</v>
      </c>
      <c r="F1529"/>
      <c r="G1529">
        <v>0.05</v>
      </c>
      <c r="H1529" s="1">
        <v>18066.7</v>
      </c>
      <c r="I1529"/>
      <c r="J1529" t="s">
        <v>3906</v>
      </c>
      <c r="K1529" s="170">
        <v>46022</v>
      </c>
      <c r="L1529" s="1">
        <v>11047.2</v>
      </c>
      <c r="M1529" s="1">
        <v>46051</v>
      </c>
      <c r="Y1529"/>
      <c r="Z1529"/>
      <c r="AB1529"/>
    </row>
    <row r="1530" spans="1:28" ht="14.4" hidden="1">
      <c r="A1530" t="s">
        <v>205</v>
      </c>
      <c r="B1530" s="1">
        <v>122</v>
      </c>
      <c r="C1530" s="258" t="s">
        <v>3985</v>
      </c>
      <c r="D1530" t="s">
        <v>1246</v>
      </c>
      <c r="E1530" t="s">
        <v>1190</v>
      </c>
      <c r="F1530"/>
      <c r="G1530">
        <v>0.05</v>
      </c>
      <c r="H1530" s="1">
        <v>18066.7</v>
      </c>
      <c r="I1530"/>
      <c r="J1530"/>
      <c r="K1530" s="170">
        <v>46081</v>
      </c>
      <c r="L1530" s="1">
        <v>11047.2</v>
      </c>
      <c r="M1530" s="1">
        <v>46081</v>
      </c>
      <c r="Y1530"/>
      <c r="Z1530"/>
      <c r="AB1530"/>
    </row>
    <row r="1531" spans="1:28" ht="14.4" hidden="1">
      <c r="A1531" t="s">
        <v>205</v>
      </c>
      <c r="B1531" s="1">
        <v>127</v>
      </c>
      <c r="C1531" s="258" t="s">
        <v>3986</v>
      </c>
      <c r="D1531" t="s">
        <v>1255</v>
      </c>
      <c r="E1531" t="s">
        <v>1343</v>
      </c>
      <c r="F1531"/>
      <c r="H1531" s="1">
        <v>28000</v>
      </c>
      <c r="I1531" t="s">
        <v>3987</v>
      </c>
      <c r="J1531" t="s">
        <v>3988</v>
      </c>
      <c r="K1531" s="170">
        <v>46022</v>
      </c>
      <c r="L1531" s="1">
        <v>10041.34475682188</v>
      </c>
      <c r="M1531" s="1">
        <v>46003</v>
      </c>
      <c r="N1531" s="1">
        <v>176150.50999999998</v>
      </c>
      <c r="Y1531"/>
      <c r="Z1531"/>
      <c r="AB1531"/>
    </row>
    <row r="1532" spans="1:28" ht="14.4" hidden="1">
      <c r="A1532" t="s">
        <v>205</v>
      </c>
      <c r="B1532" s="1">
        <v>131</v>
      </c>
      <c r="C1532" s="258" t="s">
        <v>3989</v>
      </c>
      <c r="D1532" t="s">
        <v>1255</v>
      </c>
      <c r="E1532" t="s">
        <v>1169</v>
      </c>
      <c r="F1532">
        <v>148150.5</v>
      </c>
      <c r="G1532">
        <v>0.1</v>
      </c>
      <c r="H1532" s="1">
        <v>14815.05</v>
      </c>
      <c r="I1532" t="s">
        <v>3893</v>
      </c>
      <c r="J1532" t="s">
        <v>3894</v>
      </c>
      <c r="K1532" s="170">
        <v>45961</v>
      </c>
      <c r="L1532" s="1">
        <v>5312.9654673134628</v>
      </c>
      <c r="M1532" s="1">
        <v>45960</v>
      </c>
      <c r="Y1532"/>
      <c r="Z1532"/>
      <c r="AB1532"/>
    </row>
    <row r="1533" spans="1:28" ht="14.4" hidden="1">
      <c r="A1533" t="s">
        <v>205</v>
      </c>
      <c r="B1533" s="1">
        <v>132</v>
      </c>
      <c r="C1533" s="258" t="s">
        <v>3990</v>
      </c>
      <c r="D1533" t="s">
        <v>1255</v>
      </c>
      <c r="E1533" t="s">
        <v>558</v>
      </c>
      <c r="F1533"/>
      <c r="G1533">
        <v>0.15</v>
      </c>
      <c r="H1533" s="1">
        <v>22222.575000000001</v>
      </c>
      <c r="I1533"/>
      <c r="J1533" t="s">
        <v>3896</v>
      </c>
      <c r="K1533" s="170">
        <v>45961</v>
      </c>
      <c r="L1533" s="1">
        <v>7969.4482009701933</v>
      </c>
      <c r="M1533" s="1">
        <v>45967</v>
      </c>
      <c r="Y1533"/>
      <c r="Z1533"/>
      <c r="AB1533"/>
    </row>
    <row r="1534" spans="1:28" ht="14.4" hidden="1">
      <c r="A1534" t="s">
        <v>205</v>
      </c>
      <c r="B1534" s="1">
        <v>133</v>
      </c>
      <c r="C1534" s="258" t="s">
        <v>3991</v>
      </c>
      <c r="D1534" t="s">
        <v>1255</v>
      </c>
      <c r="E1534" t="s">
        <v>1175</v>
      </c>
      <c r="F1534"/>
      <c r="G1534">
        <v>0.2</v>
      </c>
      <c r="H1534" s="1">
        <v>29630.1</v>
      </c>
      <c r="I1534"/>
      <c r="J1534" t="s">
        <v>3898</v>
      </c>
      <c r="K1534" s="170">
        <v>46022</v>
      </c>
      <c r="L1534" s="1">
        <v>10625.930331396716</v>
      </c>
      <c r="M1534" s="1">
        <v>46003</v>
      </c>
      <c r="Y1534"/>
      <c r="Z1534"/>
      <c r="AB1534"/>
    </row>
    <row r="1535" spans="1:28" ht="14.4" hidden="1">
      <c r="A1535" t="s">
        <v>205</v>
      </c>
      <c r="B1535" s="1">
        <v>134</v>
      </c>
      <c r="C1535" s="258" t="s">
        <v>3992</v>
      </c>
      <c r="D1535" t="s">
        <v>1255</v>
      </c>
      <c r="E1535" t="s">
        <v>1178</v>
      </c>
      <c r="F1535"/>
      <c r="G1535">
        <v>0.25</v>
      </c>
      <c r="H1535" s="1">
        <v>37037.625</v>
      </c>
      <c r="I1535"/>
      <c r="J1535" t="s">
        <v>3900</v>
      </c>
      <c r="K1535" s="170">
        <v>46022</v>
      </c>
      <c r="L1535" s="1">
        <v>13282.412914245891</v>
      </c>
      <c r="M1535" s="1">
        <v>46003</v>
      </c>
      <c r="Y1535"/>
      <c r="Z1535"/>
      <c r="AB1535"/>
    </row>
    <row r="1536" spans="1:28" ht="14.4" hidden="1">
      <c r="A1536" t="s">
        <v>205</v>
      </c>
      <c r="B1536" s="1">
        <v>135</v>
      </c>
      <c r="C1536" s="258" t="s">
        <v>3993</v>
      </c>
      <c r="D1536" t="s">
        <v>1255</v>
      </c>
      <c r="E1536" t="s">
        <v>1181</v>
      </c>
      <c r="F1536"/>
      <c r="G1536">
        <v>0.1</v>
      </c>
      <c r="H1536" s="1">
        <v>14815.05</v>
      </c>
      <c r="I1536"/>
      <c r="J1536" t="s">
        <v>3902</v>
      </c>
      <c r="K1536" s="170">
        <v>46022</v>
      </c>
      <c r="L1536" s="1">
        <v>5312.9651656983579</v>
      </c>
      <c r="M1536" s="1">
        <v>46003</v>
      </c>
      <c r="Y1536"/>
      <c r="Z1536"/>
      <c r="AB1536"/>
    </row>
    <row r="1537" spans="1:28" ht="14.4" hidden="1">
      <c r="A1537" t="s">
        <v>205</v>
      </c>
      <c r="B1537" s="1">
        <v>136</v>
      </c>
      <c r="C1537" s="258" t="s">
        <v>3994</v>
      </c>
      <c r="D1537" t="s">
        <v>1255</v>
      </c>
      <c r="E1537" t="s">
        <v>1184</v>
      </c>
      <c r="F1537"/>
      <c r="G1537">
        <v>0.1</v>
      </c>
      <c r="H1537" s="1">
        <v>14815.05</v>
      </c>
      <c r="I1537"/>
      <c r="J1537" t="s">
        <v>3904</v>
      </c>
      <c r="K1537" s="170">
        <v>46022</v>
      </c>
      <c r="L1537" s="1">
        <v>5312.9651656983579</v>
      </c>
      <c r="M1537" s="1">
        <v>46015</v>
      </c>
      <c r="Y1537"/>
      <c r="Z1537"/>
      <c r="AB1537"/>
    </row>
    <row r="1538" spans="1:28" ht="14.4" hidden="1">
      <c r="A1538" t="s">
        <v>205</v>
      </c>
      <c r="B1538" s="1">
        <v>137</v>
      </c>
      <c r="C1538" s="258" t="s">
        <v>3995</v>
      </c>
      <c r="D1538" t="s">
        <v>1255</v>
      </c>
      <c r="E1538" t="s">
        <v>1187</v>
      </c>
      <c r="F1538"/>
      <c r="G1538">
        <v>0.05</v>
      </c>
      <c r="H1538" s="1">
        <v>7407.53</v>
      </c>
      <c r="I1538"/>
      <c r="J1538" t="s">
        <v>3906</v>
      </c>
      <c r="K1538" s="170">
        <v>46022</v>
      </c>
      <c r="L1538" s="1">
        <v>2656.484375946457</v>
      </c>
      <c r="M1538" s="1">
        <v>46051</v>
      </c>
      <c r="Y1538"/>
      <c r="Z1538"/>
      <c r="AB1538"/>
    </row>
    <row r="1539" spans="1:28" ht="14.4" hidden="1">
      <c r="A1539" t="s">
        <v>205</v>
      </c>
      <c r="B1539" s="1">
        <v>138</v>
      </c>
      <c r="C1539" s="258" t="s">
        <v>3996</v>
      </c>
      <c r="D1539" t="s">
        <v>1255</v>
      </c>
      <c r="E1539" t="s">
        <v>1190</v>
      </c>
      <c r="F1539"/>
      <c r="G1539">
        <v>0.05</v>
      </c>
      <c r="H1539" s="1">
        <v>7407.53</v>
      </c>
      <c r="I1539"/>
      <c r="J1539"/>
      <c r="K1539" s="170">
        <v>46081</v>
      </c>
      <c r="L1539" s="1">
        <v>2656.484375946457</v>
      </c>
      <c r="M1539" s="1">
        <v>46081</v>
      </c>
      <c r="Y1539"/>
      <c r="Z1539"/>
      <c r="AB1539"/>
    </row>
    <row r="1540" spans="1:28" ht="14.4" hidden="1">
      <c r="A1540" t="s">
        <v>205</v>
      </c>
      <c r="B1540" s="1">
        <v>143</v>
      </c>
      <c r="C1540" s="258" t="s">
        <v>3997</v>
      </c>
      <c r="D1540" t="s">
        <v>1264</v>
      </c>
      <c r="E1540" t="s">
        <v>1265</v>
      </c>
      <c r="F1540"/>
      <c r="H1540" s="1">
        <v>17750</v>
      </c>
      <c r="I1540"/>
      <c r="J1540" t="s">
        <v>3998</v>
      </c>
      <c r="K1540" s="170">
        <v>46022</v>
      </c>
      <c r="L1540" s="1">
        <v>3664.3210490158431</v>
      </c>
      <c r="M1540" s="1">
        <v>46045</v>
      </c>
      <c r="N1540" s="1">
        <v>161123.5</v>
      </c>
      <c r="Y1540"/>
      <c r="Z1540"/>
      <c r="AB1540"/>
    </row>
    <row r="1541" spans="1:28" ht="14.4" hidden="1">
      <c r="A1541" t="s">
        <v>205</v>
      </c>
      <c r="B1541" s="1">
        <v>144</v>
      </c>
      <c r="C1541" s="258" t="s">
        <v>3999</v>
      </c>
      <c r="D1541" t="s">
        <v>1264</v>
      </c>
      <c r="E1541" t="s">
        <v>4000</v>
      </c>
      <c r="F1541"/>
      <c r="H1541" s="1">
        <v>11373.5</v>
      </c>
      <c r="I1541" t="s">
        <v>4001</v>
      </c>
      <c r="J1541" t="s">
        <v>4002</v>
      </c>
      <c r="K1541" s="170">
        <v>45961</v>
      </c>
      <c r="L1541" s="1">
        <v>2679.8847321043354</v>
      </c>
      <c r="M1541" s="1">
        <v>45960</v>
      </c>
      <c r="Y1541"/>
      <c r="Z1541"/>
      <c r="AB1541"/>
    </row>
    <row r="1542" spans="1:28" ht="14.4" hidden="1">
      <c r="A1542" t="s">
        <v>205</v>
      </c>
      <c r="B1542" s="1">
        <v>145</v>
      </c>
      <c r="C1542" s="258" t="s">
        <v>4003</v>
      </c>
      <c r="D1542" t="s">
        <v>1264</v>
      </c>
      <c r="E1542" t="s">
        <v>4004</v>
      </c>
      <c r="F1542"/>
      <c r="H1542" s="1">
        <v>6000</v>
      </c>
      <c r="I1542" t="s">
        <v>4005</v>
      </c>
      <c r="J1542" t="s">
        <v>4006</v>
      </c>
      <c r="K1542" s="170">
        <v>45961</v>
      </c>
      <c r="L1542" s="1">
        <v>1413.7520018135151</v>
      </c>
      <c r="M1542" s="1">
        <v>45954</v>
      </c>
      <c r="Y1542"/>
      <c r="Z1542"/>
      <c r="AB1542"/>
    </row>
    <row r="1543" spans="1:28" ht="14.4" hidden="1">
      <c r="A1543" t="s">
        <v>205</v>
      </c>
      <c r="B1543" s="1">
        <v>146</v>
      </c>
      <c r="C1543" s="258" t="s">
        <v>4007</v>
      </c>
      <c r="D1543" t="s">
        <v>1264</v>
      </c>
      <c r="E1543" t="s">
        <v>808</v>
      </c>
      <c r="F1543"/>
      <c r="H1543" s="1">
        <v>6000</v>
      </c>
      <c r="I1543"/>
      <c r="J1543"/>
      <c r="K1543" s="170">
        <v>46081</v>
      </c>
      <c r="L1543" s="1">
        <v>1199.8994560073484</v>
      </c>
      <c r="M1543" s="1">
        <v>46080</v>
      </c>
      <c r="Y1543"/>
      <c r="Z1543"/>
      <c r="AB1543"/>
    </row>
    <row r="1544" spans="1:28" ht="14.4" hidden="1">
      <c r="A1544" t="s">
        <v>205</v>
      </c>
      <c r="B1544" s="1">
        <v>147</v>
      </c>
      <c r="C1544" s="258" t="s">
        <v>4008</v>
      </c>
      <c r="D1544" t="s">
        <v>1264</v>
      </c>
      <c r="E1544" t="s">
        <v>4009</v>
      </c>
      <c r="F1544">
        <v>100800</v>
      </c>
      <c r="G1544">
        <v>0.25</v>
      </c>
      <c r="H1544" s="1">
        <v>25200</v>
      </c>
      <c r="I1544" t="s">
        <v>4010</v>
      </c>
      <c r="J1544" t="s">
        <v>4011</v>
      </c>
      <c r="K1544" s="170">
        <v>45961</v>
      </c>
      <c r="L1544" s="1">
        <v>5937.7584076167632</v>
      </c>
      <c r="M1544" s="1">
        <v>45967</v>
      </c>
      <c r="Y1544"/>
      <c r="Z1544"/>
      <c r="AB1544"/>
    </row>
    <row r="1545" spans="1:28" ht="14.4" hidden="1">
      <c r="A1545" t="s">
        <v>205</v>
      </c>
      <c r="B1545" s="1">
        <v>148</v>
      </c>
      <c r="C1545" s="258" t="s">
        <v>4012</v>
      </c>
      <c r="D1545" t="s">
        <v>1264</v>
      </c>
      <c r="E1545" t="s">
        <v>4009</v>
      </c>
      <c r="F1545"/>
      <c r="G1545">
        <v>0.75</v>
      </c>
      <c r="H1545" s="1">
        <v>75600</v>
      </c>
      <c r="I1545"/>
      <c r="J1545" t="s">
        <v>4013</v>
      </c>
      <c r="K1545" s="170">
        <v>46022</v>
      </c>
      <c r="L1545" s="1">
        <v>17164.058101723815</v>
      </c>
      <c r="M1545" s="1">
        <v>46037</v>
      </c>
      <c r="Y1545"/>
      <c r="Z1545"/>
      <c r="AB1545"/>
    </row>
    <row r="1546" spans="1:28" ht="14.4" hidden="1">
      <c r="A1546" t="s">
        <v>205</v>
      </c>
      <c r="B1546" s="1">
        <v>149</v>
      </c>
      <c r="C1546" s="258" t="s">
        <v>4014</v>
      </c>
      <c r="D1546" t="s">
        <v>1264</v>
      </c>
      <c r="E1546" t="s">
        <v>4009</v>
      </c>
      <c r="F1546"/>
      <c r="H1546" s="1">
        <v>19200</v>
      </c>
      <c r="I1546"/>
      <c r="J1546" t="s">
        <v>4015</v>
      </c>
      <c r="K1546" s="170">
        <v>46081</v>
      </c>
      <c r="M1546" s="1">
        <v>46065</v>
      </c>
      <c r="Y1546"/>
      <c r="Z1546"/>
      <c r="AB1546"/>
    </row>
    <row r="1547" spans="1:28" ht="14.4" hidden="1">
      <c r="A1547" t="s">
        <v>205</v>
      </c>
      <c r="B1547" s="1">
        <v>151</v>
      </c>
      <c r="C1547" s="258" t="s">
        <v>4016</v>
      </c>
      <c r="D1547" t="s">
        <v>1274</v>
      </c>
      <c r="E1547" t="s">
        <v>1275</v>
      </c>
      <c r="F1547"/>
      <c r="H1547" s="1">
        <v>0</v>
      </c>
      <c r="I1547"/>
      <c r="J1547"/>
      <c r="K1547" s="170"/>
      <c r="N1547" s="1">
        <v>0</v>
      </c>
      <c r="Y1547"/>
      <c r="Z1547"/>
      <c r="AB1547"/>
    </row>
    <row r="1548" spans="1:28" ht="14.4" hidden="1">
      <c r="A1548" t="s">
        <v>205</v>
      </c>
      <c r="B1548" s="1">
        <v>154</v>
      </c>
      <c r="C1548" s="258" t="s">
        <v>4017</v>
      </c>
      <c r="D1548" t="s">
        <v>1277</v>
      </c>
      <c r="E1548" t="s">
        <v>1278</v>
      </c>
      <c r="F1548"/>
      <c r="H1548" s="1">
        <v>32269.137500000001</v>
      </c>
      <c r="I1548"/>
      <c r="J1548"/>
      <c r="K1548" s="170">
        <v>46081</v>
      </c>
      <c r="L1548" s="1">
        <v>25308</v>
      </c>
      <c r="M1548" s="1">
        <v>46079</v>
      </c>
      <c r="N1548" s="1">
        <v>32269.137500000001</v>
      </c>
      <c r="Y1548"/>
      <c r="Z1548"/>
      <c r="AB1548"/>
    </row>
    <row r="1549" spans="1:28" ht="14.4" hidden="1">
      <c r="A1549" t="s">
        <v>205</v>
      </c>
      <c r="B1549" s="1">
        <v>161</v>
      </c>
      <c r="C1549" s="258" t="s">
        <v>4018</v>
      </c>
      <c r="D1549" t="s">
        <v>1280</v>
      </c>
      <c r="E1549" t="s">
        <v>1281</v>
      </c>
      <c r="F1549"/>
      <c r="H1549" s="1">
        <v>8016.46</v>
      </c>
      <c r="I1549"/>
      <c r="J1549" t="s">
        <v>1604</v>
      </c>
      <c r="K1549" s="170">
        <v>45961</v>
      </c>
      <c r="L1549" s="1">
        <v>1536.8080583803892</v>
      </c>
      <c r="M1549" s="1">
        <v>45967</v>
      </c>
      <c r="N1549" s="1">
        <v>33994.93</v>
      </c>
      <c r="Y1549"/>
      <c r="Z1549"/>
      <c r="AB1549"/>
    </row>
    <row r="1550" spans="1:28" ht="14.4" hidden="1">
      <c r="A1550" t="s">
        <v>205</v>
      </c>
      <c r="B1550" s="1">
        <v>162</v>
      </c>
      <c r="C1550" s="258" t="s">
        <v>4019</v>
      </c>
      <c r="D1550" t="s">
        <v>1280</v>
      </c>
      <c r="E1550" t="s">
        <v>1281</v>
      </c>
      <c r="F1550"/>
      <c r="H1550" s="1">
        <v>10490.93</v>
      </c>
      <c r="I1550"/>
      <c r="J1550" t="s">
        <v>1604</v>
      </c>
      <c r="K1550" s="170">
        <v>45991</v>
      </c>
      <c r="L1550" s="1">
        <v>1455.2804181506942</v>
      </c>
      <c r="M1550" s="1">
        <v>45996</v>
      </c>
      <c r="Y1550"/>
      <c r="Z1550"/>
      <c r="AB1550"/>
    </row>
    <row r="1551" spans="1:28" ht="14.4" hidden="1">
      <c r="A1551" t="s">
        <v>205</v>
      </c>
      <c r="B1551" s="1">
        <v>163</v>
      </c>
      <c r="C1551" s="258" t="s">
        <v>4020</v>
      </c>
      <c r="D1551" t="s">
        <v>1280</v>
      </c>
      <c r="E1551" t="s">
        <v>1281</v>
      </c>
      <c r="F1551"/>
      <c r="H1551" s="1">
        <v>8655.5400000000009</v>
      </c>
      <c r="I1551"/>
      <c r="J1551" t="s">
        <v>1604</v>
      </c>
      <c r="K1551" s="170">
        <v>46022</v>
      </c>
      <c r="L1551" s="1">
        <v>1016.0260460104794</v>
      </c>
      <c r="M1551" s="1">
        <v>46030</v>
      </c>
      <c r="Y1551"/>
      <c r="Z1551"/>
      <c r="AB1551"/>
    </row>
    <row r="1552" spans="1:28" ht="14.4" hidden="1">
      <c r="A1552" t="s">
        <v>205</v>
      </c>
      <c r="B1552" s="1">
        <v>164</v>
      </c>
      <c r="C1552" s="258" t="s">
        <v>4021</v>
      </c>
      <c r="D1552" t="s">
        <v>1280</v>
      </c>
      <c r="E1552" t="s">
        <v>1281</v>
      </c>
      <c r="F1552"/>
      <c r="H1552" s="1">
        <v>3332</v>
      </c>
      <c r="I1552"/>
      <c r="J1552" t="s">
        <v>1604</v>
      </c>
      <c r="K1552" s="170">
        <v>46053</v>
      </c>
      <c r="L1552" s="1">
        <v>352.40904696082617</v>
      </c>
      <c r="M1552" s="1">
        <v>46058</v>
      </c>
      <c r="Y1552"/>
      <c r="Z1552"/>
      <c r="AB1552"/>
    </row>
    <row r="1553" spans="1:28" ht="14.4" hidden="1">
      <c r="A1553" t="s">
        <v>205</v>
      </c>
      <c r="B1553" s="1">
        <v>165</v>
      </c>
      <c r="C1553" s="258" t="s">
        <v>4022</v>
      </c>
      <c r="D1553" t="s">
        <v>1280</v>
      </c>
      <c r="E1553" t="s">
        <v>1281</v>
      </c>
      <c r="F1553"/>
      <c r="H1553" s="1">
        <v>3500</v>
      </c>
      <c r="I1553"/>
      <c r="J1553"/>
      <c r="K1553" s="170">
        <v>46081</v>
      </c>
      <c r="L1553" s="1">
        <v>500.47168798406113</v>
      </c>
      <c r="M1553" s="1">
        <v>46086</v>
      </c>
      <c r="Y1553"/>
      <c r="Z1553"/>
      <c r="AB1553"/>
    </row>
    <row r="1554" spans="1:28" ht="14.4" hidden="1">
      <c r="A1554" t="s">
        <v>205</v>
      </c>
      <c r="B1554" s="1">
        <v>175</v>
      </c>
      <c r="C1554" s="258" t="s">
        <v>4023</v>
      </c>
      <c r="D1554" t="s">
        <v>1451</v>
      </c>
      <c r="E1554" t="s">
        <v>4024</v>
      </c>
      <c r="F1554">
        <v>23350</v>
      </c>
      <c r="G1554">
        <v>0.8</v>
      </c>
      <c r="H1554" s="1">
        <v>18680</v>
      </c>
      <c r="I1554" t="s">
        <v>4025</v>
      </c>
      <c r="J1554" t="s">
        <v>4026</v>
      </c>
      <c r="K1554" s="170">
        <v>45991</v>
      </c>
      <c r="L1554" s="1">
        <v>23350</v>
      </c>
      <c r="M1554" s="1">
        <v>45965</v>
      </c>
      <c r="Y1554"/>
      <c r="Z1554"/>
      <c r="AB1554"/>
    </row>
    <row r="1555" spans="1:28" ht="14.4" hidden="1">
      <c r="A1555" t="s">
        <v>205</v>
      </c>
      <c r="B1555" s="1">
        <v>176</v>
      </c>
      <c r="C1555" s="258" t="s">
        <v>4027</v>
      </c>
      <c r="D1555" t="s">
        <v>1451</v>
      </c>
      <c r="E1555" t="s">
        <v>4028</v>
      </c>
      <c r="F1555"/>
      <c r="G1555">
        <v>0.2</v>
      </c>
      <c r="H1555" s="1">
        <v>4670</v>
      </c>
      <c r="I1555"/>
      <c r="J1555" t="s">
        <v>4026</v>
      </c>
      <c r="K1555" s="170">
        <v>45991</v>
      </c>
      <c r="L1555" s="1">
        <v>0</v>
      </c>
      <c r="M1555" s="1">
        <v>45988</v>
      </c>
      <c r="Y1555"/>
      <c r="Z1555"/>
      <c r="AB1555"/>
    </row>
    <row r="1556" spans="1:28" ht="14.4" hidden="1">
      <c r="A1556" t="s">
        <v>205</v>
      </c>
      <c r="B1556" s="1">
        <v>177</v>
      </c>
      <c r="C1556" s="258" t="s">
        <v>4029</v>
      </c>
      <c r="D1556" t="s">
        <v>1451</v>
      </c>
      <c r="E1556" t="s">
        <v>4030</v>
      </c>
      <c r="F1556"/>
      <c r="H1556" s="1">
        <v>5450</v>
      </c>
      <c r="I1556"/>
      <c r="J1556" t="s">
        <v>4031</v>
      </c>
      <c r="K1556" s="170">
        <v>46022</v>
      </c>
      <c r="L1556" s="1">
        <v>2725</v>
      </c>
      <c r="M1556" s="1">
        <v>46009</v>
      </c>
      <c r="Y1556"/>
      <c r="Z1556"/>
      <c r="AB1556"/>
    </row>
    <row r="1557" spans="1:28" ht="14.4" hidden="1">
      <c r="A1557" t="s">
        <v>205</v>
      </c>
      <c r="B1557" s="1">
        <v>178</v>
      </c>
      <c r="C1557" s="258" t="s">
        <v>4032</v>
      </c>
      <c r="D1557" t="s">
        <v>1451</v>
      </c>
      <c r="E1557" t="s">
        <v>4033</v>
      </c>
      <c r="F1557"/>
      <c r="H1557" s="1">
        <v>5450</v>
      </c>
      <c r="I1557" t="s">
        <v>4034</v>
      </c>
      <c r="J1557"/>
      <c r="K1557" s="170">
        <v>46081</v>
      </c>
      <c r="L1557" s="1">
        <v>2725</v>
      </c>
      <c r="M1557" s="1">
        <v>46065</v>
      </c>
      <c r="Y1557"/>
      <c r="Z1557"/>
      <c r="AB1557"/>
    </row>
    <row r="1558" spans="1:28" ht="14.4" hidden="1">
      <c r="A1558" t="s">
        <v>205</v>
      </c>
      <c r="B1558" s="1">
        <v>179</v>
      </c>
      <c r="C1558" s="258" t="s">
        <v>4035</v>
      </c>
      <c r="D1558" t="s">
        <v>1451</v>
      </c>
      <c r="E1558" t="s">
        <v>4036</v>
      </c>
      <c r="F1558"/>
      <c r="H1558" s="1">
        <v>3500</v>
      </c>
      <c r="I1558" t="s">
        <v>4037</v>
      </c>
      <c r="J1558" t="s">
        <v>4038</v>
      </c>
      <c r="K1558" s="170">
        <v>46022</v>
      </c>
      <c r="L1558" s="1">
        <v>0</v>
      </c>
      <c r="M1558" s="1">
        <v>46009</v>
      </c>
      <c r="Y1558"/>
      <c r="Z1558"/>
      <c r="AB1558"/>
    </row>
    <row r="1559" spans="1:28" ht="14.4" hidden="1">
      <c r="A1559" t="s">
        <v>205</v>
      </c>
      <c r="B1559" s="1">
        <v>180</v>
      </c>
      <c r="C1559" s="258" t="s">
        <v>4039</v>
      </c>
      <c r="D1559" t="s">
        <v>1451</v>
      </c>
      <c r="E1559" t="s">
        <v>4040</v>
      </c>
      <c r="F1559"/>
      <c r="H1559" s="1">
        <v>273.93</v>
      </c>
      <c r="I1559"/>
      <c r="J1559" t="s">
        <v>3662</v>
      </c>
      <c r="K1559" s="170">
        <v>46022</v>
      </c>
      <c r="L1559" s="1">
        <v>0</v>
      </c>
      <c r="M1559" s="1">
        <v>46051</v>
      </c>
      <c r="Y1559"/>
      <c r="Z1559"/>
      <c r="AB1559"/>
    </row>
    <row r="1560" spans="1:28" ht="14.4" hidden="1">
      <c r="A1560" t="s">
        <v>208</v>
      </c>
      <c r="B1560" s="1">
        <v>6</v>
      </c>
      <c r="C1560" s="258" t="s">
        <v>4041</v>
      </c>
      <c r="D1560" t="s">
        <v>1146</v>
      </c>
      <c r="E1560" t="s">
        <v>4042</v>
      </c>
      <c r="F1560">
        <v>241</v>
      </c>
      <c r="G1560">
        <v>1128.5</v>
      </c>
      <c r="H1560" s="1">
        <v>271968.5</v>
      </c>
      <c r="I1560"/>
      <c r="J1560" t="s">
        <v>4043</v>
      </c>
      <c r="K1560" s="170">
        <v>45961</v>
      </c>
      <c r="L1560" s="1">
        <v>458160.11332775839</v>
      </c>
      <c r="M1560" s="1">
        <v>45989</v>
      </c>
      <c r="N1560" s="1">
        <v>295114.07</v>
      </c>
      <c r="Y1560"/>
      <c r="Z1560"/>
      <c r="AB1560"/>
    </row>
    <row r="1561" spans="1:28" ht="14.4" hidden="1">
      <c r="A1561" t="s">
        <v>208</v>
      </c>
      <c r="B1561" s="1">
        <v>7</v>
      </c>
      <c r="C1561" s="258" t="s">
        <v>4044</v>
      </c>
      <c r="D1561" t="s">
        <v>1146</v>
      </c>
      <c r="E1561" t="s">
        <v>1150</v>
      </c>
      <c r="F1561"/>
      <c r="H1561" s="1">
        <v>5849.67</v>
      </c>
      <c r="I1561"/>
      <c r="J1561" t="s">
        <v>4043</v>
      </c>
      <c r="K1561" s="170">
        <v>45961</v>
      </c>
      <c r="L1561" s="1">
        <v>9854.3966309700882</v>
      </c>
      <c r="M1561" s="1">
        <v>45989</v>
      </c>
      <c r="Y1561"/>
      <c r="Z1561"/>
      <c r="AB1561"/>
    </row>
    <row r="1562" spans="1:28" ht="14.4" hidden="1">
      <c r="A1562" t="s">
        <v>208</v>
      </c>
      <c r="B1562" s="1">
        <v>8</v>
      </c>
      <c r="C1562" s="258" t="s">
        <v>4045</v>
      </c>
      <c r="D1562" t="s">
        <v>1146</v>
      </c>
      <c r="E1562" t="s">
        <v>1152</v>
      </c>
      <c r="F1562"/>
      <c r="H1562" s="1">
        <v>15990.5</v>
      </c>
      <c r="I1562"/>
      <c r="J1562" t="s">
        <v>4043</v>
      </c>
      <c r="K1562" s="170">
        <v>45961</v>
      </c>
      <c r="L1562" s="1">
        <v>26937.712610716026</v>
      </c>
      <c r="M1562" s="1">
        <v>45989</v>
      </c>
      <c r="Y1562"/>
      <c r="Z1562"/>
      <c r="AB1562"/>
    </row>
    <row r="1563" spans="1:28" ht="14.4" hidden="1">
      <c r="A1563" t="s">
        <v>208</v>
      </c>
      <c r="B1563" s="1">
        <v>9</v>
      </c>
      <c r="C1563" s="258" t="s">
        <v>4046</v>
      </c>
      <c r="D1563" t="s">
        <v>1146</v>
      </c>
      <c r="E1563" t="s">
        <v>4047</v>
      </c>
      <c r="F1563"/>
      <c r="H1563" s="1">
        <v>1305.4000000000001</v>
      </c>
      <c r="I1563"/>
      <c r="J1563" t="s">
        <v>4048</v>
      </c>
      <c r="K1563" s="170">
        <v>45991</v>
      </c>
      <c r="L1563" s="1">
        <v>0</v>
      </c>
      <c r="M1563" s="1">
        <v>45980</v>
      </c>
      <c r="Y1563"/>
      <c r="Z1563"/>
      <c r="AB1563"/>
    </row>
    <row r="1564" spans="1:28" ht="14.4" hidden="1">
      <c r="A1564" t="s">
        <v>208</v>
      </c>
      <c r="B1564" s="1">
        <v>13</v>
      </c>
      <c r="C1564" s="258" t="s">
        <v>4049</v>
      </c>
      <c r="D1564" t="s">
        <v>1157</v>
      </c>
      <c r="E1564" t="s">
        <v>4050</v>
      </c>
      <c r="F1564">
        <v>1</v>
      </c>
      <c r="G1564">
        <v>53700.89</v>
      </c>
      <c r="H1564" s="1">
        <v>53700.89</v>
      </c>
      <c r="I1564"/>
      <c r="J1564" t="s">
        <v>4043</v>
      </c>
      <c r="K1564" s="170">
        <v>45961</v>
      </c>
      <c r="L1564" s="1">
        <v>111111.11111111112</v>
      </c>
      <c r="M1564" s="1">
        <v>45989</v>
      </c>
      <c r="N1564" s="1">
        <v>53700.89</v>
      </c>
      <c r="Y1564"/>
      <c r="Z1564"/>
      <c r="AB1564"/>
    </row>
    <row r="1565" spans="1:28" ht="14.4" hidden="1">
      <c r="A1565" t="s">
        <v>208</v>
      </c>
      <c r="B1565" s="1">
        <v>21</v>
      </c>
      <c r="C1565" s="258" t="s">
        <v>4051</v>
      </c>
      <c r="D1565" t="s">
        <v>1160</v>
      </c>
      <c r="E1565" t="s">
        <v>2048</v>
      </c>
      <c r="F1565"/>
      <c r="H1565" s="1">
        <v>9972</v>
      </c>
      <c r="I1565" t="s">
        <v>4052</v>
      </c>
      <c r="J1565" t="s">
        <v>4053</v>
      </c>
      <c r="K1565" s="170">
        <v>45961</v>
      </c>
      <c r="L1565" s="1">
        <v>24789.932900127715</v>
      </c>
      <c r="M1565" s="1">
        <v>45989</v>
      </c>
      <c r="N1565" s="1">
        <v>27717.31</v>
      </c>
      <c r="Y1565"/>
      <c r="Z1565"/>
      <c r="AB1565"/>
    </row>
    <row r="1566" spans="1:28" ht="14.4" hidden="1">
      <c r="A1566" t="s">
        <v>208</v>
      </c>
      <c r="B1566" s="1">
        <v>22</v>
      </c>
      <c r="C1566" s="258" t="s">
        <v>4054</v>
      </c>
      <c r="D1566" t="s">
        <v>1160</v>
      </c>
      <c r="E1566" t="s">
        <v>4055</v>
      </c>
      <c r="F1566"/>
      <c r="H1566" s="1">
        <v>15552</v>
      </c>
      <c r="I1566" t="s">
        <v>4056</v>
      </c>
      <c r="J1566" t="s">
        <v>4057</v>
      </c>
      <c r="K1566" s="170">
        <v>45991</v>
      </c>
      <c r="L1566" s="1">
        <v>38661.55390187577</v>
      </c>
      <c r="M1566" s="1">
        <v>46021</v>
      </c>
      <c r="Y1566"/>
      <c r="Z1566"/>
      <c r="AB1566"/>
    </row>
    <row r="1567" spans="1:28" ht="14.4" hidden="1">
      <c r="A1567" t="s">
        <v>208</v>
      </c>
      <c r="B1567" s="1">
        <v>23</v>
      </c>
      <c r="C1567" s="258" t="s">
        <v>4058</v>
      </c>
      <c r="D1567" t="s">
        <v>1160</v>
      </c>
      <c r="E1567" t="s">
        <v>4059</v>
      </c>
      <c r="F1567"/>
      <c r="H1567" s="1">
        <v>451.6</v>
      </c>
      <c r="I1567"/>
      <c r="J1567" t="s">
        <v>4060</v>
      </c>
      <c r="K1567" s="170">
        <v>45961</v>
      </c>
      <c r="L1567" s="1">
        <v>1122.6568088345041</v>
      </c>
      <c r="M1567" s="1">
        <v>45961</v>
      </c>
      <c r="Y1567"/>
      <c r="Z1567"/>
      <c r="AB1567"/>
    </row>
    <row r="1568" spans="1:28" ht="14.4" hidden="1">
      <c r="A1568" t="s">
        <v>208</v>
      </c>
      <c r="B1568" s="1">
        <v>24</v>
      </c>
      <c r="C1568" s="258" t="s">
        <v>4061</v>
      </c>
      <c r="D1568" t="s">
        <v>1160</v>
      </c>
      <c r="E1568" t="s">
        <v>4062</v>
      </c>
      <c r="F1568">
        <v>73</v>
      </c>
      <c r="G1568">
        <v>10.96</v>
      </c>
      <c r="H1568" s="1">
        <v>800.08</v>
      </c>
      <c r="I1568"/>
      <c r="J1568" t="s">
        <v>4060</v>
      </c>
      <c r="K1568" s="170">
        <v>45961</v>
      </c>
      <c r="L1568" s="1">
        <v>1988.9620451999783</v>
      </c>
      <c r="M1568" s="1">
        <v>45961</v>
      </c>
      <c r="Y1568"/>
      <c r="Z1568"/>
      <c r="AB1568"/>
    </row>
    <row r="1569" spans="1:28" ht="14.4" hidden="1">
      <c r="A1569" t="s">
        <v>208</v>
      </c>
      <c r="B1569" s="1">
        <v>25</v>
      </c>
      <c r="C1569" s="258" t="s">
        <v>4063</v>
      </c>
      <c r="D1569" t="s">
        <v>1160</v>
      </c>
      <c r="E1569" t="s">
        <v>4062</v>
      </c>
      <c r="F1569">
        <v>23</v>
      </c>
      <c r="G1569">
        <v>11.52</v>
      </c>
      <c r="H1569" s="1">
        <v>264.95999999999998</v>
      </c>
      <c r="I1569"/>
      <c r="J1569" t="s">
        <v>4060</v>
      </c>
      <c r="K1569" s="170">
        <v>45961</v>
      </c>
      <c r="L1569" s="1">
        <v>658.67836153407927</v>
      </c>
      <c r="M1569" s="1">
        <v>45961</v>
      </c>
      <c r="Y1569"/>
      <c r="Z1569"/>
      <c r="AB1569"/>
    </row>
    <row r="1570" spans="1:28" ht="14.4" hidden="1">
      <c r="A1570" t="s">
        <v>208</v>
      </c>
      <c r="B1570" s="1">
        <v>26</v>
      </c>
      <c r="C1570" s="258" t="s">
        <v>4064</v>
      </c>
      <c r="D1570" t="s">
        <v>1160</v>
      </c>
      <c r="E1570" t="s">
        <v>4065</v>
      </c>
      <c r="F1570"/>
      <c r="H1570" s="1">
        <v>6000.6</v>
      </c>
      <c r="I1570"/>
      <c r="J1570" t="s">
        <v>4066</v>
      </c>
      <c r="K1570" s="170">
        <v>45961</v>
      </c>
      <c r="L1570" s="1">
        <v>14917.215338999837</v>
      </c>
      <c r="M1570" s="1">
        <v>45961</v>
      </c>
      <c r="Y1570"/>
      <c r="Z1570"/>
      <c r="AB1570"/>
    </row>
    <row r="1571" spans="1:28" ht="14.4" hidden="1">
      <c r="A1571" t="s">
        <v>208</v>
      </c>
      <c r="B1571" s="1">
        <v>27</v>
      </c>
      <c r="C1571" s="258" t="s">
        <v>4067</v>
      </c>
      <c r="D1571" t="s">
        <v>1160</v>
      </c>
      <c r="E1571" t="s">
        <v>4068</v>
      </c>
      <c r="F1571">
        <v>119</v>
      </c>
      <c r="G1571">
        <v>22.73</v>
      </c>
      <c r="H1571" s="1">
        <v>2704.87</v>
      </c>
      <c r="I1571"/>
      <c r="J1571" t="s">
        <v>4069</v>
      </c>
      <c r="K1571" s="170">
        <v>45961</v>
      </c>
      <c r="L1571" s="1">
        <v>6724.1822907710039</v>
      </c>
      <c r="M1571" s="1">
        <v>45961</v>
      </c>
      <c r="Y1571"/>
      <c r="Z1571"/>
      <c r="AB1571"/>
    </row>
    <row r="1572" spans="1:28" ht="14.4" hidden="1">
      <c r="A1572" t="s">
        <v>208</v>
      </c>
      <c r="B1572" s="1">
        <v>31</v>
      </c>
      <c r="C1572" s="258" t="s">
        <v>4070</v>
      </c>
      <c r="D1572" t="s">
        <v>1160</v>
      </c>
      <c r="E1572" t="s">
        <v>4071</v>
      </c>
      <c r="F1572"/>
      <c r="H1572" s="1">
        <v>1063.2</v>
      </c>
      <c r="I1572"/>
      <c r="J1572" t="s">
        <v>4072</v>
      </c>
      <c r="K1572" s="170">
        <v>45961</v>
      </c>
      <c r="L1572" s="1">
        <v>2643.0662514456262</v>
      </c>
      <c r="M1572" s="1">
        <v>45991</v>
      </c>
      <c r="Y1572"/>
      <c r="Z1572"/>
      <c r="AB1572"/>
    </row>
    <row r="1573" spans="1:28" ht="14.4" hidden="1">
      <c r="A1573" t="s">
        <v>208</v>
      </c>
      <c r="B1573" s="1">
        <v>32</v>
      </c>
      <c r="C1573" s="258" t="s">
        <v>4073</v>
      </c>
      <c r="D1573" t="s">
        <v>1160</v>
      </c>
      <c r="E1573" t="s">
        <v>4074</v>
      </c>
      <c r="F1573"/>
      <c r="H1573" s="1">
        <v>-9092</v>
      </c>
      <c r="I1573"/>
      <c r="J1573" t="s">
        <v>4075</v>
      </c>
      <c r="K1573" s="170">
        <v>45991</v>
      </c>
      <c r="L1573" s="1">
        <v>0</v>
      </c>
      <c r="M1573" s="1">
        <v>46022</v>
      </c>
      <c r="Y1573"/>
      <c r="Z1573"/>
      <c r="AB1573"/>
    </row>
    <row r="1574" spans="1:28" ht="14.4" hidden="1">
      <c r="A1574" t="s">
        <v>208</v>
      </c>
      <c r="B1574" s="1">
        <v>35</v>
      </c>
      <c r="C1574" s="258" t="s">
        <v>4076</v>
      </c>
      <c r="D1574" t="s">
        <v>1165</v>
      </c>
      <c r="E1574" t="s">
        <v>836</v>
      </c>
      <c r="F1574">
        <v>6000</v>
      </c>
      <c r="G1574">
        <v>13.65</v>
      </c>
      <c r="H1574" s="1">
        <v>82900</v>
      </c>
      <c r="I1574"/>
      <c r="J1574" t="s">
        <v>4077</v>
      </c>
      <c r="K1574" s="170">
        <v>45961</v>
      </c>
      <c r="L1574" s="1">
        <v>117950.34029175446</v>
      </c>
      <c r="M1574" s="1">
        <v>46021</v>
      </c>
      <c r="N1574" s="1">
        <v>120587.7</v>
      </c>
      <c r="Y1574"/>
      <c r="Z1574"/>
      <c r="AB1574"/>
    </row>
    <row r="1575" spans="1:28" ht="14.4" hidden="1">
      <c r="A1575" t="s">
        <v>208</v>
      </c>
      <c r="B1575" s="1">
        <v>39</v>
      </c>
      <c r="C1575" s="258" t="s">
        <v>4078</v>
      </c>
      <c r="D1575" t="s">
        <v>1165</v>
      </c>
      <c r="E1575" t="s">
        <v>1169</v>
      </c>
      <c r="F1575">
        <v>37687.699999999997</v>
      </c>
      <c r="G1575">
        <v>0.1</v>
      </c>
      <c r="H1575" s="1">
        <v>3768.77</v>
      </c>
      <c r="I1575" t="s">
        <v>4079</v>
      </c>
      <c r="J1575" t="s">
        <v>4080</v>
      </c>
      <c r="K1575" s="170">
        <v>45961</v>
      </c>
      <c r="L1575" s="1">
        <v>5362.2159708245536</v>
      </c>
      <c r="M1575" s="1">
        <v>45967</v>
      </c>
      <c r="Y1575"/>
      <c r="Z1575"/>
      <c r="AB1575"/>
    </row>
    <row r="1576" spans="1:28" ht="14.4" hidden="1">
      <c r="A1576" t="s">
        <v>208</v>
      </c>
      <c r="B1576" s="1">
        <v>40</v>
      </c>
      <c r="C1576" s="258" t="s">
        <v>4081</v>
      </c>
      <c r="D1576" t="s">
        <v>1165</v>
      </c>
      <c r="E1576" t="s">
        <v>558</v>
      </c>
      <c r="F1576"/>
      <c r="G1576">
        <v>0.15</v>
      </c>
      <c r="H1576" s="1">
        <v>5653.1549999999997</v>
      </c>
      <c r="I1576"/>
      <c r="J1576" t="s">
        <v>4082</v>
      </c>
      <c r="K1576" s="170">
        <v>45991</v>
      </c>
      <c r="L1576" s="1">
        <v>8043.3239562368308</v>
      </c>
      <c r="M1576" s="1">
        <v>46015</v>
      </c>
      <c r="Y1576"/>
      <c r="Z1576"/>
      <c r="AB1576"/>
    </row>
    <row r="1577" spans="1:28" ht="14.4" hidden="1">
      <c r="A1577" t="s">
        <v>208</v>
      </c>
      <c r="B1577" s="1">
        <v>41</v>
      </c>
      <c r="C1577" s="258" t="s">
        <v>4083</v>
      </c>
      <c r="D1577" t="s">
        <v>1165</v>
      </c>
      <c r="E1577" t="s">
        <v>1175</v>
      </c>
      <c r="F1577"/>
      <c r="G1577">
        <v>0.2</v>
      </c>
      <c r="H1577" s="1">
        <v>7537.54</v>
      </c>
      <c r="I1577"/>
      <c r="J1577" t="s">
        <v>4084</v>
      </c>
      <c r="K1577" s="170">
        <v>45991</v>
      </c>
      <c r="L1577" s="1">
        <v>10724.431941649107</v>
      </c>
      <c r="M1577" s="1">
        <v>46009</v>
      </c>
      <c r="Y1577"/>
      <c r="Z1577"/>
      <c r="AB1577"/>
    </row>
    <row r="1578" spans="1:28" ht="14.4" hidden="1">
      <c r="A1578" t="s">
        <v>208</v>
      </c>
      <c r="B1578" s="1">
        <v>42</v>
      </c>
      <c r="C1578" s="258" t="s">
        <v>4085</v>
      </c>
      <c r="D1578" t="s">
        <v>1165</v>
      </c>
      <c r="E1578" t="s">
        <v>1178</v>
      </c>
      <c r="F1578"/>
      <c r="G1578">
        <v>0.25</v>
      </c>
      <c r="H1578" s="1">
        <v>9421.9249999999993</v>
      </c>
      <c r="I1578"/>
      <c r="J1578" t="s">
        <v>4086</v>
      </c>
      <c r="K1578" s="170">
        <v>45991</v>
      </c>
      <c r="L1578" s="1">
        <v>13405.539927061382</v>
      </c>
      <c r="M1578" s="1">
        <v>46009</v>
      </c>
      <c r="Y1578"/>
      <c r="Z1578"/>
      <c r="AB1578"/>
    </row>
    <row r="1579" spans="1:28" ht="14.4" hidden="1">
      <c r="A1579" t="s">
        <v>208</v>
      </c>
      <c r="B1579" s="1">
        <v>43</v>
      </c>
      <c r="C1579" s="258" t="s">
        <v>4087</v>
      </c>
      <c r="D1579" t="s">
        <v>1165</v>
      </c>
      <c r="E1579" t="s">
        <v>1181</v>
      </c>
      <c r="F1579"/>
      <c r="G1579">
        <v>0.1</v>
      </c>
      <c r="H1579" s="1">
        <v>3768.77</v>
      </c>
      <c r="I1579"/>
      <c r="J1579" t="s">
        <v>4088</v>
      </c>
      <c r="K1579" s="170">
        <v>45991</v>
      </c>
      <c r="L1579" s="1">
        <v>5362.2159708245536</v>
      </c>
      <c r="M1579" s="1">
        <v>46009</v>
      </c>
      <c r="Y1579"/>
      <c r="Z1579"/>
      <c r="AB1579"/>
    </row>
    <row r="1580" spans="1:28" ht="14.4" hidden="1">
      <c r="A1580" t="s">
        <v>208</v>
      </c>
      <c r="B1580" s="1">
        <v>44</v>
      </c>
      <c r="C1580" s="258" t="s">
        <v>4089</v>
      </c>
      <c r="D1580" t="s">
        <v>1165</v>
      </c>
      <c r="E1580" t="s">
        <v>1184</v>
      </c>
      <c r="F1580"/>
      <c r="G1580">
        <v>0.1</v>
      </c>
      <c r="H1580" s="1">
        <v>3768.77</v>
      </c>
      <c r="I1580"/>
      <c r="J1580" t="s">
        <v>4090</v>
      </c>
      <c r="K1580" s="170">
        <v>45991</v>
      </c>
      <c r="L1580" s="1">
        <v>5362.2159708245536</v>
      </c>
      <c r="M1580" s="1">
        <v>46058</v>
      </c>
      <c r="Y1580"/>
      <c r="Z1580"/>
      <c r="AB1580"/>
    </row>
    <row r="1581" spans="1:28" ht="14.4" hidden="1">
      <c r="A1581" t="s">
        <v>208</v>
      </c>
      <c r="B1581" s="1">
        <v>45</v>
      </c>
      <c r="C1581" s="258" t="s">
        <v>4091</v>
      </c>
      <c r="D1581" t="s">
        <v>1165</v>
      </c>
      <c r="E1581" t="s">
        <v>1187</v>
      </c>
      <c r="F1581"/>
      <c r="G1581">
        <v>0.05</v>
      </c>
      <c r="H1581" s="1">
        <v>1884.385</v>
      </c>
      <c r="I1581"/>
      <c r="J1581" t="s">
        <v>4092</v>
      </c>
      <c r="K1581" s="170">
        <v>45991</v>
      </c>
      <c r="L1581" s="1">
        <v>2681.1079854122768</v>
      </c>
      <c r="M1581" s="1">
        <v>46058</v>
      </c>
      <c r="Y1581"/>
      <c r="Z1581"/>
      <c r="AB1581"/>
    </row>
    <row r="1582" spans="1:28" ht="14.4" hidden="1">
      <c r="A1582" t="s">
        <v>208</v>
      </c>
      <c r="B1582" s="1">
        <v>46</v>
      </c>
      <c r="C1582" s="258" t="s">
        <v>4093</v>
      </c>
      <c r="D1582" t="s">
        <v>1165</v>
      </c>
      <c r="E1582" t="s">
        <v>1190</v>
      </c>
      <c r="F1582"/>
      <c r="G1582">
        <v>0.05</v>
      </c>
      <c r="H1582" s="1">
        <v>1884.385</v>
      </c>
      <c r="I1582"/>
      <c r="J1582" t="s">
        <v>4094</v>
      </c>
      <c r="K1582" s="170">
        <v>45991</v>
      </c>
      <c r="L1582" s="1">
        <v>2681.1079854122768</v>
      </c>
      <c r="M1582" s="1">
        <v>46088</v>
      </c>
      <c r="Y1582"/>
      <c r="Z1582"/>
      <c r="AB1582"/>
    </row>
    <row r="1583" spans="1:28" ht="14.4" hidden="1">
      <c r="A1583" t="s">
        <v>208</v>
      </c>
      <c r="B1583" s="1">
        <v>53</v>
      </c>
      <c r="C1583" s="258" t="s">
        <v>4095</v>
      </c>
      <c r="D1583" t="s">
        <v>1193</v>
      </c>
      <c r="E1583" t="s">
        <v>1200</v>
      </c>
      <c r="F1583"/>
      <c r="H1583" s="1">
        <v>11169</v>
      </c>
      <c r="I1583" t="s">
        <v>4096</v>
      </c>
      <c r="J1583" t="s">
        <v>3913</v>
      </c>
      <c r="K1583" s="170">
        <v>46053</v>
      </c>
      <c r="L1583" s="1">
        <v>52433.336986572744</v>
      </c>
      <c r="M1583" s="1">
        <v>46051</v>
      </c>
      <c r="Y1583"/>
      <c r="Z1583"/>
      <c r="AB1583"/>
    </row>
    <row r="1584" spans="1:28" ht="14.4" hidden="1">
      <c r="A1584" t="s">
        <v>208</v>
      </c>
      <c r="B1584" s="1">
        <v>54</v>
      </c>
      <c r="C1584" s="258" t="s">
        <v>4097</v>
      </c>
      <c r="D1584" t="s">
        <v>1193</v>
      </c>
      <c r="E1584" t="s">
        <v>4098</v>
      </c>
      <c r="F1584"/>
      <c r="H1584" s="1">
        <v>188.5</v>
      </c>
      <c r="I1584"/>
      <c r="J1584" t="s">
        <v>4099</v>
      </c>
      <c r="K1584" s="170">
        <v>45991</v>
      </c>
      <c r="L1584" s="1">
        <v>344.43925116800636</v>
      </c>
      <c r="M1584" s="1">
        <v>46021</v>
      </c>
      <c r="Y1584"/>
      <c r="Z1584"/>
      <c r="AB1584"/>
    </row>
    <row r="1585" spans="1:28" ht="14.4" hidden="1">
      <c r="A1585" t="s">
        <v>208</v>
      </c>
      <c r="B1585" s="1">
        <v>65</v>
      </c>
      <c r="C1585" s="258" t="s">
        <v>4100</v>
      </c>
      <c r="D1585" t="s">
        <v>1211</v>
      </c>
      <c r="E1585" t="s">
        <v>1169</v>
      </c>
      <c r="F1585">
        <v>64740.3</v>
      </c>
      <c r="G1585">
        <v>0.1</v>
      </c>
      <c r="H1585" s="1">
        <v>6474.0300000000007</v>
      </c>
      <c r="I1585" t="s">
        <v>4079</v>
      </c>
      <c r="J1585" t="s">
        <v>4080</v>
      </c>
      <c r="K1585" s="170">
        <v>45961</v>
      </c>
      <c r="L1585" s="1">
        <v>22911.840579710151</v>
      </c>
      <c r="M1585" s="1">
        <v>45967</v>
      </c>
      <c r="Y1585"/>
      <c r="Z1585"/>
      <c r="AB1585"/>
    </row>
    <row r="1586" spans="1:28" ht="14.4" hidden="1">
      <c r="A1586" t="s">
        <v>208</v>
      </c>
      <c r="B1586" s="1">
        <v>66</v>
      </c>
      <c r="C1586" s="258" t="s">
        <v>4101</v>
      </c>
      <c r="D1586" t="s">
        <v>1211</v>
      </c>
      <c r="E1586" t="s">
        <v>558</v>
      </c>
      <c r="F1586"/>
      <c r="G1586">
        <v>0.15</v>
      </c>
      <c r="H1586" s="1">
        <v>9711.0450000000001</v>
      </c>
      <c r="I1586"/>
      <c r="J1586" t="s">
        <v>4082</v>
      </c>
      <c r="K1586" s="170">
        <v>45991</v>
      </c>
      <c r="L1586" s="1">
        <v>34367.760869565223</v>
      </c>
      <c r="M1586" s="1">
        <v>46015</v>
      </c>
      <c r="Y1586"/>
      <c r="Z1586"/>
      <c r="AB1586"/>
    </row>
    <row r="1587" spans="1:28" ht="14.4" hidden="1">
      <c r="A1587" t="s">
        <v>208</v>
      </c>
      <c r="B1587" s="1">
        <v>67</v>
      </c>
      <c r="C1587" s="258" t="s">
        <v>4102</v>
      </c>
      <c r="D1587" t="s">
        <v>1211</v>
      </c>
      <c r="E1587" t="s">
        <v>1175</v>
      </c>
      <c r="F1587"/>
      <c r="G1587">
        <v>0.2</v>
      </c>
      <c r="H1587" s="1">
        <v>12948.06</v>
      </c>
      <c r="I1587"/>
      <c r="J1587" t="s">
        <v>4084</v>
      </c>
      <c r="K1587" s="170">
        <v>45991</v>
      </c>
      <c r="L1587" s="1">
        <v>45823.681159420303</v>
      </c>
      <c r="M1587" s="1">
        <v>46009</v>
      </c>
      <c r="Y1587"/>
      <c r="Z1587"/>
      <c r="AB1587"/>
    </row>
    <row r="1588" spans="1:28" ht="14.4" hidden="1">
      <c r="A1588" t="s">
        <v>208</v>
      </c>
      <c r="B1588" s="1">
        <v>68</v>
      </c>
      <c r="C1588" s="258" t="s">
        <v>4103</v>
      </c>
      <c r="D1588" t="s">
        <v>1211</v>
      </c>
      <c r="E1588" t="s">
        <v>1178</v>
      </c>
      <c r="F1588"/>
      <c r="G1588">
        <v>0.25</v>
      </c>
      <c r="H1588" s="1">
        <v>16185.075000000001</v>
      </c>
      <c r="I1588"/>
      <c r="J1588" t="s">
        <v>4086</v>
      </c>
      <c r="K1588" s="170">
        <v>45991</v>
      </c>
      <c r="L1588" s="1">
        <v>57279.601449275375</v>
      </c>
      <c r="M1588" s="1">
        <v>46009</v>
      </c>
      <c r="Y1588"/>
      <c r="Z1588"/>
      <c r="AB1588"/>
    </row>
    <row r="1589" spans="1:28" ht="14.4" hidden="1">
      <c r="A1589" t="s">
        <v>208</v>
      </c>
      <c r="B1589" s="1">
        <v>69</v>
      </c>
      <c r="C1589" s="258" t="s">
        <v>4104</v>
      </c>
      <c r="D1589" t="s">
        <v>1211</v>
      </c>
      <c r="E1589" t="s">
        <v>1181</v>
      </c>
      <c r="F1589"/>
      <c r="G1589">
        <v>0.1</v>
      </c>
      <c r="H1589" s="1">
        <v>6474.0300000000007</v>
      </c>
      <c r="I1589"/>
      <c r="J1589" t="s">
        <v>4088</v>
      </c>
      <c r="K1589" s="170">
        <v>45991</v>
      </c>
      <c r="L1589" s="1">
        <v>22911.840579710151</v>
      </c>
      <c r="M1589" s="1">
        <v>46009</v>
      </c>
      <c r="Y1589"/>
      <c r="Z1589"/>
      <c r="AB1589"/>
    </row>
    <row r="1590" spans="1:28" ht="14.4" hidden="1">
      <c r="A1590" t="s">
        <v>208</v>
      </c>
      <c r="B1590" s="1">
        <v>70</v>
      </c>
      <c r="C1590" s="258" t="s">
        <v>4105</v>
      </c>
      <c r="D1590" t="s">
        <v>1211</v>
      </c>
      <c r="E1590" t="s">
        <v>1184</v>
      </c>
      <c r="F1590"/>
      <c r="G1590">
        <v>0.1</v>
      </c>
      <c r="H1590" s="1">
        <v>6474.0300000000007</v>
      </c>
      <c r="I1590"/>
      <c r="J1590" t="s">
        <v>4090</v>
      </c>
      <c r="K1590" s="170">
        <v>45991</v>
      </c>
      <c r="L1590" s="1">
        <v>22911.840579710151</v>
      </c>
      <c r="M1590" s="1">
        <v>46058</v>
      </c>
      <c r="Y1590"/>
      <c r="Z1590"/>
      <c r="AB1590"/>
    </row>
    <row r="1591" spans="1:28" ht="14.4" hidden="1">
      <c r="A1591" t="s">
        <v>208</v>
      </c>
      <c r="B1591" s="1">
        <v>71</v>
      </c>
      <c r="C1591" s="258" t="s">
        <v>4106</v>
      </c>
      <c r="D1591" t="s">
        <v>1211</v>
      </c>
      <c r="E1591" t="s">
        <v>1187</v>
      </c>
      <c r="F1591"/>
      <c r="G1591">
        <v>0.05</v>
      </c>
      <c r="H1591" s="1">
        <v>3237.0150000000003</v>
      </c>
      <c r="I1591"/>
      <c r="J1591" t="s">
        <v>4092</v>
      </c>
      <c r="K1591" s="170">
        <v>45991</v>
      </c>
      <c r="L1591" s="1">
        <v>11455.920289855076</v>
      </c>
      <c r="M1591" s="1">
        <v>46058</v>
      </c>
      <c r="Y1591"/>
      <c r="Z1591"/>
      <c r="AB1591"/>
    </row>
    <row r="1592" spans="1:28" ht="14.4" hidden="1">
      <c r="A1592" t="s">
        <v>208</v>
      </c>
      <c r="B1592" s="1">
        <v>72</v>
      </c>
      <c r="C1592" s="258" t="s">
        <v>4107</v>
      </c>
      <c r="D1592" t="s">
        <v>1211</v>
      </c>
      <c r="E1592" t="s">
        <v>1190</v>
      </c>
      <c r="F1592"/>
      <c r="G1592">
        <v>0.05</v>
      </c>
      <c r="H1592" s="1">
        <v>3237.0150000000003</v>
      </c>
      <c r="I1592"/>
      <c r="J1592" t="s">
        <v>4094</v>
      </c>
      <c r="K1592" s="170">
        <v>45991</v>
      </c>
      <c r="L1592" s="1">
        <v>11455.920289855076</v>
      </c>
      <c r="M1592" s="1">
        <v>46088</v>
      </c>
      <c r="Y1592"/>
      <c r="Z1592"/>
      <c r="AB1592"/>
    </row>
    <row r="1593" spans="1:28" ht="14.4" hidden="1">
      <c r="A1593" t="s">
        <v>208</v>
      </c>
      <c r="B1593" s="1">
        <v>87</v>
      </c>
      <c r="C1593" s="258" t="s">
        <v>4108</v>
      </c>
      <c r="D1593" t="s">
        <v>1224</v>
      </c>
      <c r="E1593" t="s">
        <v>4109</v>
      </c>
      <c r="F1593"/>
      <c r="H1593" s="1">
        <v>5900</v>
      </c>
      <c r="I1593" t="s">
        <v>4110</v>
      </c>
      <c r="J1593" t="s">
        <v>4111</v>
      </c>
      <c r="K1593" s="170">
        <v>45991</v>
      </c>
      <c r="M1593" s="1">
        <v>46021</v>
      </c>
      <c r="Y1593"/>
      <c r="Z1593"/>
      <c r="AB1593"/>
    </row>
    <row r="1594" spans="1:28" ht="14.4" hidden="1">
      <c r="A1594" t="s">
        <v>208</v>
      </c>
      <c r="B1594" s="1">
        <v>97</v>
      </c>
      <c r="C1594" s="258" t="s">
        <v>4112</v>
      </c>
      <c r="D1594" t="s">
        <v>1246</v>
      </c>
      <c r="E1594" t="s">
        <v>1169</v>
      </c>
      <c r="F1594">
        <v>175544.09999999998</v>
      </c>
      <c r="G1594">
        <v>0.1</v>
      </c>
      <c r="H1594" s="1">
        <v>17554.41</v>
      </c>
      <c r="I1594" t="s">
        <v>4079</v>
      </c>
      <c r="J1594" t="s">
        <v>4080</v>
      </c>
      <c r="K1594" s="170">
        <v>45961</v>
      </c>
      <c r="L1594" s="1">
        <v>13007.499999999998</v>
      </c>
      <c r="M1594" s="1">
        <v>45967</v>
      </c>
      <c r="Y1594"/>
      <c r="Z1594"/>
      <c r="AB1594"/>
    </row>
    <row r="1595" spans="1:28" ht="14.4" hidden="1">
      <c r="A1595" t="s">
        <v>208</v>
      </c>
      <c r="B1595" s="1">
        <v>98</v>
      </c>
      <c r="C1595" s="258" t="s">
        <v>4113</v>
      </c>
      <c r="D1595" t="s">
        <v>1246</v>
      </c>
      <c r="E1595" t="s">
        <v>558</v>
      </c>
      <c r="F1595"/>
      <c r="G1595">
        <v>0.15</v>
      </c>
      <c r="H1595" s="1">
        <v>26331.614999999991</v>
      </c>
      <c r="I1595"/>
      <c r="J1595" t="s">
        <v>4082</v>
      </c>
      <c r="K1595" s="170">
        <v>45991</v>
      </c>
      <c r="L1595" s="1">
        <v>19511.249999999996</v>
      </c>
      <c r="M1595" s="1">
        <v>46015</v>
      </c>
      <c r="Y1595"/>
      <c r="Z1595"/>
      <c r="AB1595"/>
    </row>
    <row r="1596" spans="1:28" ht="14.4" hidden="1">
      <c r="A1596" t="s">
        <v>208</v>
      </c>
      <c r="B1596" s="1">
        <v>99</v>
      </c>
      <c r="C1596" s="258" t="s">
        <v>4114</v>
      </c>
      <c r="D1596" t="s">
        <v>1246</v>
      </c>
      <c r="E1596" t="s">
        <v>1175</v>
      </c>
      <c r="F1596"/>
      <c r="G1596">
        <v>0.2</v>
      </c>
      <c r="H1596" s="1">
        <v>35108.82</v>
      </c>
      <c r="I1596"/>
      <c r="J1596" t="s">
        <v>4084</v>
      </c>
      <c r="K1596" s="170">
        <v>45991</v>
      </c>
      <c r="L1596" s="1">
        <v>26014.999999999996</v>
      </c>
      <c r="M1596" s="1">
        <v>46009</v>
      </c>
      <c r="Y1596"/>
      <c r="Z1596"/>
      <c r="AB1596"/>
    </row>
    <row r="1597" spans="1:28" ht="14.4" hidden="1">
      <c r="A1597" t="s">
        <v>208</v>
      </c>
      <c r="B1597" s="1">
        <v>100</v>
      </c>
      <c r="C1597" s="258" t="s">
        <v>4115</v>
      </c>
      <c r="D1597" t="s">
        <v>1246</v>
      </c>
      <c r="E1597" t="s">
        <v>1178</v>
      </c>
      <c r="F1597"/>
      <c r="G1597">
        <v>0.25</v>
      </c>
      <c r="H1597" s="1">
        <v>43886.024999999994</v>
      </c>
      <c r="I1597"/>
      <c r="J1597" t="s">
        <v>4086</v>
      </c>
      <c r="K1597" s="170">
        <v>45991</v>
      </c>
      <c r="L1597" s="1">
        <v>32518.749999999993</v>
      </c>
      <c r="M1597" s="1">
        <v>46003</v>
      </c>
      <c r="Y1597"/>
      <c r="Z1597"/>
      <c r="AB1597"/>
    </row>
    <row r="1598" spans="1:28" ht="14.4" hidden="1">
      <c r="A1598" t="s">
        <v>208</v>
      </c>
      <c r="B1598" s="1">
        <v>101</v>
      </c>
      <c r="C1598" s="258" t="s">
        <v>4116</v>
      </c>
      <c r="D1598" t="s">
        <v>1246</v>
      </c>
      <c r="E1598" t="s">
        <v>1181</v>
      </c>
      <c r="F1598"/>
      <c r="G1598">
        <v>0.1</v>
      </c>
      <c r="H1598" s="1">
        <v>17554.41</v>
      </c>
      <c r="I1598"/>
      <c r="J1598" t="s">
        <v>4088</v>
      </c>
      <c r="K1598" s="170">
        <v>45991</v>
      </c>
      <c r="L1598" s="1">
        <v>13007.499999999998</v>
      </c>
      <c r="M1598" s="1">
        <v>46374</v>
      </c>
      <c r="Y1598"/>
      <c r="Z1598"/>
      <c r="AB1598"/>
    </row>
    <row r="1599" spans="1:28" ht="14.4" hidden="1">
      <c r="A1599" t="s">
        <v>208</v>
      </c>
      <c r="B1599" s="1">
        <v>102</v>
      </c>
      <c r="C1599" s="258" t="s">
        <v>4117</v>
      </c>
      <c r="D1599" t="s">
        <v>1246</v>
      </c>
      <c r="E1599" t="s">
        <v>1184</v>
      </c>
      <c r="F1599"/>
      <c r="G1599">
        <v>0.1</v>
      </c>
      <c r="H1599" s="1">
        <v>17554.41</v>
      </c>
      <c r="I1599"/>
      <c r="J1599" t="s">
        <v>4090</v>
      </c>
      <c r="K1599" s="170">
        <v>45991</v>
      </c>
      <c r="L1599" s="1">
        <v>13007.499999999998</v>
      </c>
      <c r="M1599" s="1">
        <v>46058</v>
      </c>
      <c r="Y1599"/>
      <c r="Z1599"/>
      <c r="AB1599"/>
    </row>
    <row r="1600" spans="1:28" ht="14.4" hidden="1">
      <c r="A1600" t="s">
        <v>208</v>
      </c>
      <c r="B1600" s="1">
        <v>103</v>
      </c>
      <c r="C1600" s="258" t="s">
        <v>4118</v>
      </c>
      <c r="D1600" t="s">
        <v>1246</v>
      </c>
      <c r="E1600" t="s">
        <v>1187</v>
      </c>
      <c r="F1600"/>
      <c r="G1600">
        <v>0.05</v>
      </c>
      <c r="H1600" s="1">
        <v>8777.2049999999999</v>
      </c>
      <c r="I1600"/>
      <c r="J1600" t="s">
        <v>4092</v>
      </c>
      <c r="K1600" s="170">
        <v>45991</v>
      </c>
      <c r="L1600" s="1">
        <v>6503.7499999999991</v>
      </c>
      <c r="M1600" s="1">
        <v>46058</v>
      </c>
      <c r="Y1600"/>
      <c r="Z1600"/>
      <c r="AB1600"/>
    </row>
    <row r="1601" spans="1:28" ht="14.4" hidden="1">
      <c r="A1601" t="s">
        <v>208</v>
      </c>
      <c r="B1601" s="1">
        <v>104</v>
      </c>
      <c r="C1601" s="258" t="s">
        <v>4119</v>
      </c>
      <c r="D1601" t="s">
        <v>1246</v>
      </c>
      <c r="E1601" t="s">
        <v>1190</v>
      </c>
      <c r="F1601"/>
      <c r="G1601">
        <v>0.05</v>
      </c>
      <c r="H1601" s="1">
        <v>8777.2049999999999</v>
      </c>
      <c r="I1601"/>
      <c r="J1601" t="s">
        <v>4094</v>
      </c>
      <c r="K1601" s="170">
        <v>45991</v>
      </c>
      <c r="L1601" s="1">
        <v>6503.7499999999991</v>
      </c>
      <c r="M1601" s="1">
        <v>46088</v>
      </c>
      <c r="Y1601"/>
      <c r="Z1601"/>
      <c r="AB1601"/>
    </row>
    <row r="1602" spans="1:28" ht="14.4" hidden="1">
      <c r="A1602" t="s">
        <v>208</v>
      </c>
      <c r="B1602" s="1">
        <v>110</v>
      </c>
      <c r="C1602" s="258" t="s">
        <v>4120</v>
      </c>
      <c r="D1602" t="s">
        <v>1255</v>
      </c>
      <c r="E1602" t="s">
        <v>1343</v>
      </c>
      <c r="F1602"/>
      <c r="H1602" s="1">
        <v>7140</v>
      </c>
      <c r="I1602"/>
      <c r="J1602" t="s">
        <v>4121</v>
      </c>
      <c r="K1602" s="170">
        <v>45991</v>
      </c>
      <c r="L1602" s="1">
        <v>1737.2826923390703</v>
      </c>
      <c r="M1602" s="1">
        <v>45995</v>
      </c>
      <c r="Y1602"/>
      <c r="Z1602"/>
      <c r="AB1602"/>
    </row>
    <row r="1603" spans="1:28" ht="14.4" hidden="1">
      <c r="A1603" t="s">
        <v>208</v>
      </c>
      <c r="B1603" s="1">
        <v>113</v>
      </c>
      <c r="C1603" s="258" t="s">
        <v>4122</v>
      </c>
      <c r="D1603" t="s">
        <v>1255</v>
      </c>
      <c r="E1603" t="s">
        <v>1169</v>
      </c>
      <c r="F1603">
        <v>105980.5</v>
      </c>
      <c r="G1603">
        <v>0.1</v>
      </c>
      <c r="H1603" s="1">
        <v>10598.05</v>
      </c>
      <c r="I1603" t="s">
        <v>4079</v>
      </c>
      <c r="J1603" t="s">
        <v>4080</v>
      </c>
      <c r="K1603" s="170">
        <v>45961</v>
      </c>
      <c r="L1603" s="1">
        <v>2578.6847111406282</v>
      </c>
      <c r="M1603" s="1">
        <v>45967</v>
      </c>
      <c r="Y1603"/>
      <c r="Z1603"/>
      <c r="AB1603"/>
    </row>
    <row r="1604" spans="1:28" ht="14.4" hidden="1">
      <c r="A1604" t="s">
        <v>208</v>
      </c>
      <c r="B1604" s="1">
        <v>114</v>
      </c>
      <c r="C1604" s="258" t="s">
        <v>4123</v>
      </c>
      <c r="D1604" t="s">
        <v>1255</v>
      </c>
      <c r="E1604" t="s">
        <v>558</v>
      </c>
      <c r="F1604"/>
      <c r="G1604">
        <v>0.15</v>
      </c>
      <c r="H1604" s="1">
        <v>15897.075000000001</v>
      </c>
      <c r="I1604"/>
      <c r="J1604" t="s">
        <v>4082</v>
      </c>
      <c r="K1604" s="170">
        <v>45991</v>
      </c>
      <c r="L1604" s="1">
        <v>3868.0270667109417</v>
      </c>
      <c r="M1604" s="1">
        <v>46015</v>
      </c>
      <c r="Y1604"/>
      <c r="Z1604"/>
      <c r="AB1604"/>
    </row>
    <row r="1605" spans="1:28" ht="14.4" hidden="1">
      <c r="A1605" t="s">
        <v>208</v>
      </c>
      <c r="B1605" s="1">
        <v>115</v>
      </c>
      <c r="C1605" s="258" t="s">
        <v>4124</v>
      </c>
      <c r="D1605" t="s">
        <v>1255</v>
      </c>
      <c r="E1605" t="s">
        <v>1175</v>
      </c>
      <c r="F1605"/>
      <c r="G1605">
        <v>0.2</v>
      </c>
      <c r="H1605" s="1">
        <v>21196.1</v>
      </c>
      <c r="I1605"/>
      <c r="J1605" t="s">
        <v>4084</v>
      </c>
      <c r="K1605" s="170">
        <v>45991</v>
      </c>
      <c r="L1605" s="1">
        <v>5157.3694222812564</v>
      </c>
      <c r="M1605" s="1">
        <v>46009</v>
      </c>
      <c r="Y1605"/>
      <c r="Z1605"/>
      <c r="AB1605"/>
    </row>
    <row r="1606" spans="1:28" ht="14.4" hidden="1">
      <c r="A1606" t="s">
        <v>208</v>
      </c>
      <c r="B1606" s="1">
        <v>116</v>
      </c>
      <c r="C1606" s="258" t="s">
        <v>4125</v>
      </c>
      <c r="D1606" t="s">
        <v>1255</v>
      </c>
      <c r="E1606" t="s">
        <v>1178</v>
      </c>
      <c r="F1606"/>
      <c r="G1606">
        <v>0.25</v>
      </c>
      <c r="H1606" s="1">
        <v>26495.125</v>
      </c>
      <c r="I1606"/>
      <c r="J1606" t="s">
        <v>4086</v>
      </c>
      <c r="K1606" s="170">
        <v>45991</v>
      </c>
      <c r="L1606" s="1">
        <v>6446.7117778515703</v>
      </c>
      <c r="M1606" s="1">
        <v>46009</v>
      </c>
      <c r="Y1606"/>
      <c r="Z1606"/>
      <c r="AB1606"/>
    </row>
    <row r="1607" spans="1:28" ht="14.4" hidden="1">
      <c r="A1607" t="s">
        <v>208</v>
      </c>
      <c r="B1607" s="1">
        <v>117</v>
      </c>
      <c r="C1607" s="258" t="s">
        <v>4126</v>
      </c>
      <c r="D1607" t="s">
        <v>1255</v>
      </c>
      <c r="E1607" t="s">
        <v>1181</v>
      </c>
      <c r="F1607"/>
      <c r="G1607">
        <v>0.1</v>
      </c>
      <c r="H1607" s="1">
        <v>10598.05</v>
      </c>
      <c r="I1607"/>
      <c r="J1607" t="s">
        <v>4088</v>
      </c>
      <c r="K1607" s="170">
        <v>45991</v>
      </c>
      <c r="L1607" s="1">
        <v>2578.6847111406282</v>
      </c>
      <c r="M1607" s="1">
        <v>46009</v>
      </c>
      <c r="Y1607"/>
      <c r="Z1607"/>
      <c r="AB1607"/>
    </row>
    <row r="1608" spans="1:28" ht="14.4" hidden="1">
      <c r="A1608" t="s">
        <v>208</v>
      </c>
      <c r="B1608" s="1">
        <v>118</v>
      </c>
      <c r="C1608" s="258" t="s">
        <v>4127</v>
      </c>
      <c r="D1608" t="s">
        <v>1255</v>
      </c>
      <c r="E1608" t="s">
        <v>1184</v>
      </c>
      <c r="F1608"/>
      <c r="G1608">
        <v>0.1</v>
      </c>
      <c r="H1608" s="1">
        <v>10598.05</v>
      </c>
      <c r="I1608"/>
      <c r="J1608" t="s">
        <v>4090</v>
      </c>
      <c r="K1608" s="170">
        <v>45991</v>
      </c>
      <c r="L1608" s="1">
        <v>2578.6847111406282</v>
      </c>
      <c r="M1608" s="1">
        <v>46058</v>
      </c>
      <c r="Y1608"/>
      <c r="Z1608"/>
      <c r="AB1608"/>
    </row>
    <row r="1609" spans="1:28" ht="14.4" hidden="1">
      <c r="A1609" t="s">
        <v>208</v>
      </c>
      <c r="B1609" s="1">
        <v>119</v>
      </c>
      <c r="C1609" s="258" t="s">
        <v>4128</v>
      </c>
      <c r="D1609" t="s">
        <v>1255</v>
      </c>
      <c r="E1609" t="s">
        <v>1187</v>
      </c>
      <c r="F1609"/>
      <c r="G1609">
        <v>0.05</v>
      </c>
      <c r="H1609" s="1">
        <v>5299.0250000000005</v>
      </c>
      <c r="I1609"/>
      <c r="J1609" t="s">
        <v>4092</v>
      </c>
      <c r="K1609" s="170">
        <v>45991</v>
      </c>
      <c r="L1609" s="1">
        <v>1289.3423555703141</v>
      </c>
      <c r="M1609" s="1">
        <v>46058</v>
      </c>
      <c r="Y1609"/>
      <c r="Z1609"/>
      <c r="AB1609"/>
    </row>
    <row r="1610" spans="1:28" ht="14.4" hidden="1">
      <c r="A1610" t="s">
        <v>208</v>
      </c>
      <c r="B1610" s="1">
        <v>120</v>
      </c>
      <c r="C1610" s="258" t="s">
        <v>4129</v>
      </c>
      <c r="D1610" t="s">
        <v>1255</v>
      </c>
      <c r="E1610" t="s">
        <v>1190</v>
      </c>
      <c r="F1610"/>
      <c r="G1610">
        <v>0.05</v>
      </c>
      <c r="H1610" s="1">
        <v>5299.0250000000005</v>
      </c>
      <c r="I1610"/>
      <c r="J1610" t="s">
        <v>4094</v>
      </c>
      <c r="K1610" s="170">
        <v>45991</v>
      </c>
      <c r="L1610" s="1">
        <v>1289.3423555703141</v>
      </c>
      <c r="M1610" s="1">
        <v>46088</v>
      </c>
      <c r="Y1610"/>
      <c r="Z1610"/>
      <c r="AB1610"/>
    </row>
    <row r="1611" spans="1:28" ht="14.4" hidden="1">
      <c r="A1611" t="s">
        <v>208</v>
      </c>
      <c r="B1611" s="1">
        <v>125</v>
      </c>
      <c r="C1611" s="258" t="s">
        <v>4130</v>
      </c>
      <c r="D1611" t="s">
        <v>1264</v>
      </c>
      <c r="E1611" t="s">
        <v>1265</v>
      </c>
      <c r="F1611"/>
      <c r="H1611" s="1">
        <v>13950</v>
      </c>
      <c r="I1611"/>
      <c r="J1611" t="s">
        <v>1762</v>
      </c>
      <c r="K1611" s="170">
        <v>46022</v>
      </c>
      <c r="L1611" s="1">
        <v>20592.084151696607</v>
      </c>
      <c r="M1611" s="1">
        <v>46045</v>
      </c>
      <c r="N1611" s="1">
        <v>25050</v>
      </c>
      <c r="Y1611"/>
      <c r="Z1611"/>
      <c r="AB1611"/>
    </row>
    <row r="1612" spans="1:28" ht="14.4" hidden="1">
      <c r="A1612" t="s">
        <v>208</v>
      </c>
      <c r="B1612" s="1">
        <v>127</v>
      </c>
      <c r="C1612" s="258" t="s">
        <v>4131</v>
      </c>
      <c r="D1612" t="s">
        <v>1264</v>
      </c>
      <c r="E1612" t="s">
        <v>2094</v>
      </c>
      <c r="F1612"/>
      <c r="H1612" s="1">
        <v>5100</v>
      </c>
      <c r="I1612" t="s">
        <v>4132</v>
      </c>
      <c r="J1612" t="s">
        <v>4133</v>
      </c>
      <c r="K1612" s="170">
        <v>45991</v>
      </c>
      <c r="L1612" s="1">
        <v>8137.1203322422843</v>
      </c>
      <c r="M1612" s="1">
        <v>46029</v>
      </c>
      <c r="Y1612"/>
      <c r="Z1612"/>
      <c r="AB1612"/>
    </row>
    <row r="1613" spans="1:28" ht="14.4" hidden="1">
      <c r="A1613" t="s">
        <v>208</v>
      </c>
      <c r="B1613" s="1">
        <v>128</v>
      </c>
      <c r="C1613" s="258" t="s">
        <v>4134</v>
      </c>
      <c r="D1613" t="s">
        <v>1264</v>
      </c>
      <c r="E1613" t="s">
        <v>808</v>
      </c>
      <c r="F1613"/>
      <c r="H1613" s="1">
        <v>6000</v>
      </c>
      <c r="I1613"/>
      <c r="J1613" t="s">
        <v>1764</v>
      </c>
      <c r="K1613" s="170">
        <v>46053</v>
      </c>
      <c r="L1613" s="1">
        <v>9048.5695276114438</v>
      </c>
      <c r="M1613" s="1">
        <v>46079</v>
      </c>
      <c r="Y1613"/>
      <c r="Z1613"/>
      <c r="AB1613"/>
    </row>
    <row r="1614" spans="1:28" ht="14.4" hidden="1">
      <c r="A1614" t="s">
        <v>208</v>
      </c>
      <c r="B1614" s="1">
        <v>131</v>
      </c>
      <c r="C1614" s="258" t="s">
        <v>4135</v>
      </c>
      <c r="D1614" t="s">
        <v>1274</v>
      </c>
      <c r="E1614" t="s">
        <v>1275</v>
      </c>
      <c r="F1614"/>
      <c r="H1614" s="1">
        <v>0</v>
      </c>
      <c r="I1614"/>
      <c r="J1614"/>
      <c r="K1614" s="170"/>
      <c r="N1614" s="1">
        <v>0</v>
      </c>
      <c r="Y1614"/>
      <c r="Z1614"/>
      <c r="AB1614"/>
    </row>
    <row r="1615" spans="1:28" ht="14.4" hidden="1">
      <c r="A1615" t="s">
        <v>208</v>
      </c>
      <c r="B1615" s="1">
        <v>134</v>
      </c>
      <c r="C1615" s="258" t="s">
        <v>4136</v>
      </c>
      <c r="D1615" t="s">
        <v>1277</v>
      </c>
      <c r="E1615" t="s">
        <v>1278</v>
      </c>
      <c r="F1615"/>
      <c r="H1615" s="1">
        <v>17082.201874999999</v>
      </c>
      <c r="I1615"/>
      <c r="J1615"/>
      <c r="K1615" s="170">
        <v>46112</v>
      </c>
      <c r="L1615" s="1">
        <v>14309.70055526392</v>
      </c>
      <c r="M1615" s="1">
        <v>46142</v>
      </c>
      <c r="N1615" s="1">
        <v>17082.201874999999</v>
      </c>
      <c r="Y1615"/>
      <c r="Z1615"/>
      <c r="AB1615"/>
    </row>
    <row r="1616" spans="1:28" ht="14.4" hidden="1">
      <c r="A1616" t="s">
        <v>208</v>
      </c>
      <c r="B1616" s="1">
        <v>135</v>
      </c>
      <c r="C1616" s="258" t="s">
        <v>4137</v>
      </c>
      <c r="D1616" t="s">
        <v>1277</v>
      </c>
      <c r="E1616" t="s">
        <v>1903</v>
      </c>
      <c r="F1616"/>
      <c r="H1616" s="1">
        <v>0</v>
      </c>
      <c r="I1616"/>
      <c r="J1616"/>
      <c r="K1616" s="170" t="s">
        <v>51</v>
      </c>
      <c r="L1616" s="1">
        <v>0</v>
      </c>
      <c r="Y1616"/>
      <c r="Z1616"/>
      <c r="AB1616"/>
    </row>
    <row r="1617" spans="1:28" ht="14.4" hidden="1">
      <c r="A1617" t="s">
        <v>208</v>
      </c>
      <c r="B1617" s="1">
        <v>136</v>
      </c>
      <c r="C1617" s="258" t="s">
        <v>4138</v>
      </c>
      <c r="D1617" t="s">
        <v>1277</v>
      </c>
      <c r="E1617" t="s">
        <v>1905</v>
      </c>
      <c r="F1617"/>
      <c r="H1617" s="1">
        <v>0</v>
      </c>
      <c r="I1617"/>
      <c r="J1617"/>
      <c r="K1617" s="170" t="s">
        <v>51</v>
      </c>
      <c r="L1617" s="1">
        <v>0</v>
      </c>
      <c r="Y1617"/>
      <c r="Z1617"/>
      <c r="AB1617"/>
    </row>
    <row r="1618" spans="1:28" ht="14.4" hidden="1">
      <c r="A1618" t="s">
        <v>208</v>
      </c>
      <c r="B1618" s="1">
        <v>137</v>
      </c>
      <c r="C1618" s="258" t="s">
        <v>4139</v>
      </c>
      <c r="D1618" t="s">
        <v>1277</v>
      </c>
      <c r="E1618" t="s">
        <v>1907</v>
      </c>
      <c r="F1618"/>
      <c r="H1618" s="1">
        <v>0</v>
      </c>
      <c r="I1618"/>
      <c r="J1618"/>
      <c r="K1618" s="170" t="s">
        <v>51</v>
      </c>
      <c r="L1618" s="1">
        <v>0</v>
      </c>
      <c r="Y1618"/>
      <c r="Z1618"/>
      <c r="AB1618"/>
    </row>
    <row r="1619" spans="1:28" ht="14.4" hidden="1">
      <c r="A1619" t="s">
        <v>208</v>
      </c>
      <c r="B1619" s="1">
        <v>138</v>
      </c>
      <c r="C1619" s="258" t="s">
        <v>4140</v>
      </c>
      <c r="D1619" t="s">
        <v>1277</v>
      </c>
      <c r="E1619" t="s">
        <v>1909</v>
      </c>
      <c r="F1619"/>
      <c r="H1619" s="1">
        <v>0</v>
      </c>
      <c r="I1619"/>
      <c r="J1619"/>
      <c r="K1619" s="170" t="s">
        <v>51</v>
      </c>
      <c r="L1619" s="1">
        <v>0</v>
      </c>
      <c r="Y1619"/>
      <c r="Z1619"/>
      <c r="AB1619"/>
    </row>
    <row r="1620" spans="1:28" ht="14.4" hidden="1">
      <c r="A1620" t="s">
        <v>208</v>
      </c>
      <c r="B1620" s="1">
        <v>141</v>
      </c>
      <c r="C1620" s="258" t="s">
        <v>4141</v>
      </c>
      <c r="D1620" t="s">
        <v>1280</v>
      </c>
      <c r="E1620" t="s">
        <v>1281</v>
      </c>
      <c r="F1620"/>
      <c r="H1620" s="1">
        <v>326.06</v>
      </c>
      <c r="I1620"/>
      <c r="J1620" t="s">
        <v>4142</v>
      </c>
      <c r="K1620" s="170">
        <v>45961</v>
      </c>
      <c r="L1620" s="1">
        <v>410.25336841953896</v>
      </c>
      <c r="M1620" s="1">
        <v>45967</v>
      </c>
      <c r="N1620" s="1">
        <v>2132.1999999999998</v>
      </c>
      <c r="Y1620"/>
      <c r="Z1620"/>
      <c r="AB1620"/>
    </row>
    <row r="1621" spans="1:28" ht="14.4" hidden="1">
      <c r="A1621" t="s">
        <v>208</v>
      </c>
      <c r="B1621" s="1">
        <v>142</v>
      </c>
      <c r="C1621" s="258" t="s">
        <v>4143</v>
      </c>
      <c r="D1621" t="s">
        <v>1280</v>
      </c>
      <c r="E1621" t="s">
        <v>1281</v>
      </c>
      <c r="F1621"/>
      <c r="H1621" s="1">
        <v>968.66</v>
      </c>
      <c r="I1621"/>
      <c r="J1621" t="s">
        <v>4142</v>
      </c>
      <c r="K1621" s="170">
        <v>45991</v>
      </c>
      <c r="L1621" s="1">
        <v>988.51825400353118</v>
      </c>
      <c r="M1621" s="1">
        <v>45996</v>
      </c>
      <c r="Y1621"/>
      <c r="Z1621"/>
      <c r="AB1621"/>
    </row>
    <row r="1622" spans="1:28" ht="14.4" hidden="1">
      <c r="A1622" t="s">
        <v>208</v>
      </c>
      <c r="B1622" s="1">
        <v>143</v>
      </c>
      <c r="C1622" s="258" t="s">
        <v>4144</v>
      </c>
      <c r="D1622" t="s">
        <v>1280</v>
      </c>
      <c r="E1622" t="s">
        <v>1281</v>
      </c>
      <c r="F1622"/>
      <c r="H1622" s="1">
        <v>0</v>
      </c>
      <c r="I1622"/>
      <c r="J1622" t="s">
        <v>4142</v>
      </c>
      <c r="K1622" s="170">
        <v>46022</v>
      </c>
      <c r="L1622" s="1">
        <v>0</v>
      </c>
      <c r="M1622" s="1">
        <v>46022</v>
      </c>
      <c r="Y1622"/>
      <c r="Z1622"/>
      <c r="AB1622"/>
    </row>
    <row r="1623" spans="1:28" ht="14.4" hidden="1">
      <c r="A1623" t="s">
        <v>208</v>
      </c>
      <c r="B1623" s="1">
        <v>144</v>
      </c>
      <c r="C1623" s="258" t="s">
        <v>4145</v>
      </c>
      <c r="D1623" t="s">
        <v>1280</v>
      </c>
      <c r="E1623" t="s">
        <v>1281</v>
      </c>
      <c r="F1623"/>
      <c r="H1623" s="1">
        <v>337.48</v>
      </c>
      <c r="I1623"/>
      <c r="J1623" t="s">
        <v>4142</v>
      </c>
      <c r="K1623" s="170">
        <v>46053</v>
      </c>
      <c r="L1623" s="1">
        <v>430.8674399941637</v>
      </c>
      <c r="M1623" s="1">
        <v>46058</v>
      </c>
      <c r="Y1623"/>
      <c r="Z1623"/>
      <c r="AB1623"/>
    </row>
    <row r="1624" spans="1:28" ht="14.4" hidden="1">
      <c r="A1624" t="s">
        <v>208</v>
      </c>
      <c r="B1624" s="1">
        <v>145</v>
      </c>
      <c r="C1624" s="258" t="s">
        <v>4146</v>
      </c>
      <c r="D1624" t="s">
        <v>1280</v>
      </c>
      <c r="E1624" t="s">
        <v>1281</v>
      </c>
      <c r="F1624"/>
      <c r="H1624" s="1">
        <v>500</v>
      </c>
      <c r="I1624"/>
      <c r="J1624"/>
      <c r="K1624" s="170">
        <v>46081</v>
      </c>
      <c r="L1624" s="1">
        <v>892.57996206317955</v>
      </c>
      <c r="M1624" s="1">
        <v>46086</v>
      </c>
      <c r="Y1624"/>
      <c r="Z1624"/>
      <c r="AB1624"/>
    </row>
    <row r="1625" spans="1:28" ht="14.4" hidden="1">
      <c r="A1625" t="s">
        <v>208</v>
      </c>
      <c r="B1625" s="1">
        <v>154</v>
      </c>
      <c r="C1625" s="258" t="s">
        <v>4147</v>
      </c>
      <c r="D1625" t="s">
        <v>1451</v>
      </c>
      <c r="E1625" t="s">
        <v>4148</v>
      </c>
      <c r="F1625">
        <v>8</v>
      </c>
      <c r="G1625">
        <v>1750</v>
      </c>
      <c r="H1625" s="1">
        <v>14000</v>
      </c>
      <c r="I1625" t="s">
        <v>4149</v>
      </c>
      <c r="J1625" t="s">
        <v>4150</v>
      </c>
      <c r="K1625" s="170">
        <v>46022</v>
      </c>
      <c r="M1625" s="1">
        <v>46003</v>
      </c>
      <c r="N1625" s="1">
        <v>14000</v>
      </c>
      <c r="Y1625"/>
      <c r="Z1625"/>
      <c r="AB1625"/>
    </row>
    <row r="1626" spans="1:28" ht="14.4" hidden="1">
      <c r="A1626" t="s">
        <v>211</v>
      </c>
      <c r="B1626" s="1">
        <v>6</v>
      </c>
      <c r="C1626" s="258" t="s">
        <v>4151</v>
      </c>
      <c r="D1626" t="s">
        <v>1146</v>
      </c>
      <c r="E1626" t="s">
        <v>4152</v>
      </c>
      <c r="F1626">
        <v>283</v>
      </c>
      <c r="G1626">
        <v>1233.8</v>
      </c>
      <c r="H1626" s="1">
        <v>349165.4</v>
      </c>
      <c r="I1626" t="s">
        <v>4153</v>
      </c>
      <c r="J1626" t="s">
        <v>4154</v>
      </c>
      <c r="K1626" s="170">
        <v>45838</v>
      </c>
      <c r="L1626" s="1">
        <v>462768.45238095243</v>
      </c>
      <c r="M1626" s="1">
        <v>45867</v>
      </c>
      <c r="N1626" s="1">
        <v>349165.4</v>
      </c>
      <c r="Y1626"/>
      <c r="Z1626"/>
      <c r="AB1626"/>
    </row>
    <row r="1627" spans="1:28" ht="14.4" hidden="1">
      <c r="A1627" t="s">
        <v>211</v>
      </c>
      <c r="B1627" s="1">
        <v>13</v>
      </c>
      <c r="C1627" s="258" t="s">
        <v>4155</v>
      </c>
      <c r="D1627" t="s">
        <v>1157</v>
      </c>
      <c r="E1627" t="s">
        <v>4156</v>
      </c>
      <c r="F1627">
        <v>2</v>
      </c>
      <c r="G1627">
        <v>68870</v>
      </c>
      <c r="H1627" s="1">
        <v>137740.70000000001</v>
      </c>
      <c r="I1627" t="s">
        <v>4153</v>
      </c>
      <c r="J1627" t="s">
        <v>4154</v>
      </c>
      <c r="K1627" s="170">
        <v>45838</v>
      </c>
      <c r="L1627" s="1">
        <v>190476.19047619047</v>
      </c>
      <c r="M1627" s="1">
        <v>45867</v>
      </c>
      <c r="N1627" s="1">
        <v>137740.70000000001</v>
      </c>
      <c r="Y1627"/>
      <c r="Z1627"/>
      <c r="AB1627"/>
    </row>
    <row r="1628" spans="1:28" ht="14.4" hidden="1">
      <c r="A1628" t="s">
        <v>211</v>
      </c>
      <c r="B1628" s="1">
        <v>21</v>
      </c>
      <c r="C1628" s="258" t="s">
        <v>4157</v>
      </c>
      <c r="D1628" t="s">
        <v>1160</v>
      </c>
      <c r="E1628" t="s">
        <v>1161</v>
      </c>
      <c r="F1628"/>
      <c r="H1628" s="1">
        <v>43754.2</v>
      </c>
      <c r="I1628" t="s">
        <v>4158</v>
      </c>
      <c r="J1628" t="s">
        <v>4159</v>
      </c>
      <c r="K1628" s="170">
        <v>45838</v>
      </c>
      <c r="L1628" s="1">
        <v>148640.83064999999</v>
      </c>
      <c r="M1628" s="1">
        <v>45867</v>
      </c>
      <c r="N1628" s="1">
        <v>43754.2</v>
      </c>
      <c r="Y1628"/>
      <c r="Z1628"/>
      <c r="AB1628"/>
    </row>
    <row r="1629" spans="1:28" ht="14.4" hidden="1">
      <c r="A1629" t="s">
        <v>211</v>
      </c>
      <c r="B1629" s="1">
        <v>28</v>
      </c>
      <c r="C1629" s="258" t="s">
        <v>4160</v>
      </c>
      <c r="D1629" t="s">
        <v>1165</v>
      </c>
      <c r="E1629" t="s">
        <v>1953</v>
      </c>
      <c r="F1629">
        <v>4000</v>
      </c>
      <c r="G1629">
        <v>13.4</v>
      </c>
      <c r="H1629" s="1">
        <v>53600</v>
      </c>
      <c r="I1629" t="s">
        <v>4153</v>
      </c>
      <c r="J1629" t="s">
        <v>4154</v>
      </c>
      <c r="K1629" s="170">
        <v>45838</v>
      </c>
      <c r="L1629" s="1">
        <v>100908.19154858768</v>
      </c>
      <c r="M1629" s="1">
        <v>45867</v>
      </c>
      <c r="N1629" s="1">
        <v>92034.13</v>
      </c>
      <c r="Y1629"/>
      <c r="Z1629"/>
      <c r="AB1629"/>
    </row>
    <row r="1630" spans="1:28" ht="14.4" hidden="1">
      <c r="A1630" t="s">
        <v>211</v>
      </c>
      <c r="B1630" s="1">
        <v>32</v>
      </c>
      <c r="C1630" s="258" t="s">
        <v>4161</v>
      </c>
      <c r="D1630" t="s">
        <v>1165</v>
      </c>
      <c r="E1630" t="s">
        <v>1169</v>
      </c>
      <c r="F1630">
        <v>38434.129999999997</v>
      </c>
      <c r="G1630">
        <v>0.1</v>
      </c>
      <c r="H1630" s="1">
        <v>3843.413</v>
      </c>
      <c r="I1630" t="s">
        <v>4162</v>
      </c>
      <c r="J1630" t="s">
        <v>4163</v>
      </c>
      <c r="K1630" s="170">
        <v>45808</v>
      </c>
      <c r="L1630" s="1">
        <v>7235.668940379328</v>
      </c>
      <c r="M1630" s="1">
        <v>45813</v>
      </c>
      <c r="Y1630"/>
      <c r="Z1630"/>
      <c r="AB1630"/>
    </row>
    <row r="1631" spans="1:28" ht="14.4" hidden="1">
      <c r="A1631" t="s">
        <v>211</v>
      </c>
      <c r="B1631" s="1">
        <v>33</v>
      </c>
      <c r="C1631" s="258" t="s">
        <v>4164</v>
      </c>
      <c r="D1631" t="s">
        <v>1165</v>
      </c>
      <c r="E1631" t="s">
        <v>558</v>
      </c>
      <c r="F1631"/>
      <c r="G1631">
        <v>0.15</v>
      </c>
      <c r="H1631" s="1">
        <v>5765.1194999999998</v>
      </c>
      <c r="I1631"/>
      <c r="J1631" t="s">
        <v>4165</v>
      </c>
      <c r="K1631" s="170">
        <v>45838</v>
      </c>
      <c r="L1631" s="1">
        <v>10853.50341056899</v>
      </c>
      <c r="M1631" s="1">
        <v>45869</v>
      </c>
      <c r="Y1631"/>
      <c r="Z1631"/>
      <c r="AB1631"/>
    </row>
    <row r="1632" spans="1:28" ht="14.4" hidden="1">
      <c r="A1632" t="s">
        <v>211</v>
      </c>
      <c r="B1632" s="1">
        <v>34</v>
      </c>
      <c r="C1632" s="258" t="s">
        <v>4166</v>
      </c>
      <c r="D1632" t="s">
        <v>1165</v>
      </c>
      <c r="E1632" t="s">
        <v>1175</v>
      </c>
      <c r="F1632"/>
      <c r="G1632">
        <v>0.2</v>
      </c>
      <c r="H1632" s="1">
        <v>7686.826</v>
      </c>
      <c r="I1632"/>
      <c r="J1632" t="s">
        <v>4167</v>
      </c>
      <c r="K1632" s="170">
        <v>45869</v>
      </c>
      <c r="L1632" s="1">
        <v>14471.337880758656</v>
      </c>
      <c r="M1632" s="1">
        <v>45954</v>
      </c>
      <c r="Y1632"/>
      <c r="Z1632"/>
      <c r="AB1632"/>
    </row>
    <row r="1633" spans="1:28" ht="14.4" hidden="1">
      <c r="A1633" t="s">
        <v>211</v>
      </c>
      <c r="B1633" s="1">
        <v>35</v>
      </c>
      <c r="C1633" s="258" t="s">
        <v>4168</v>
      </c>
      <c r="D1633" t="s">
        <v>1165</v>
      </c>
      <c r="E1633" t="s">
        <v>1178</v>
      </c>
      <c r="F1633"/>
      <c r="G1633">
        <v>0.25</v>
      </c>
      <c r="H1633" s="1">
        <v>9608.5324999999993</v>
      </c>
      <c r="I1633"/>
      <c r="J1633" t="s">
        <v>4167</v>
      </c>
      <c r="K1633" s="170">
        <v>45869</v>
      </c>
      <c r="L1633" s="1">
        <v>18089.17235094832</v>
      </c>
      <c r="M1633" s="1">
        <v>45954</v>
      </c>
      <c r="Y1633"/>
      <c r="Z1633"/>
      <c r="AB1633"/>
    </row>
    <row r="1634" spans="1:28" ht="14.4" hidden="1">
      <c r="A1634" t="s">
        <v>211</v>
      </c>
      <c r="B1634" s="1">
        <v>36</v>
      </c>
      <c r="C1634" s="258" t="s">
        <v>4169</v>
      </c>
      <c r="D1634" t="s">
        <v>1165</v>
      </c>
      <c r="E1634" t="s">
        <v>1181</v>
      </c>
      <c r="F1634"/>
      <c r="G1634">
        <v>0.1</v>
      </c>
      <c r="H1634" s="1">
        <v>3843.413</v>
      </c>
      <c r="I1634"/>
      <c r="J1634" t="s">
        <v>4167</v>
      </c>
      <c r="K1634" s="170">
        <v>45869</v>
      </c>
      <c r="L1634" s="1">
        <v>7235.668940379328</v>
      </c>
      <c r="M1634" s="1">
        <v>45960</v>
      </c>
      <c r="Y1634"/>
      <c r="Z1634"/>
      <c r="AB1634"/>
    </row>
    <row r="1635" spans="1:28" ht="14.4" hidden="1">
      <c r="A1635" t="s">
        <v>211</v>
      </c>
      <c r="B1635" s="1">
        <v>37</v>
      </c>
      <c r="C1635" s="258" t="s">
        <v>4170</v>
      </c>
      <c r="D1635" t="s">
        <v>1165</v>
      </c>
      <c r="E1635" t="s">
        <v>1184</v>
      </c>
      <c r="F1635"/>
      <c r="G1635">
        <v>0.1</v>
      </c>
      <c r="H1635" s="1">
        <v>3843.413</v>
      </c>
      <c r="I1635"/>
      <c r="J1635" t="s">
        <v>4167</v>
      </c>
      <c r="K1635" s="170">
        <v>45869</v>
      </c>
      <c r="L1635" s="1">
        <v>7235.668940379328</v>
      </c>
      <c r="M1635" s="1">
        <v>46051</v>
      </c>
      <c r="Y1635"/>
      <c r="Z1635"/>
      <c r="AB1635"/>
    </row>
    <row r="1636" spans="1:28" ht="14.4" hidden="1">
      <c r="A1636" t="s">
        <v>211</v>
      </c>
      <c r="B1636" s="1">
        <v>38</v>
      </c>
      <c r="C1636" s="258" t="s">
        <v>4171</v>
      </c>
      <c r="D1636" t="s">
        <v>1165</v>
      </c>
      <c r="E1636" t="s">
        <v>1187</v>
      </c>
      <c r="F1636"/>
      <c r="G1636">
        <v>0.05</v>
      </c>
      <c r="H1636" s="1">
        <v>1921.7065</v>
      </c>
      <c r="I1636"/>
      <c r="J1636" t="s">
        <v>4167</v>
      </c>
      <c r="K1636" s="170">
        <v>45869</v>
      </c>
      <c r="L1636" s="1">
        <v>3617.834470189664</v>
      </c>
      <c r="M1636" s="1">
        <v>46058</v>
      </c>
      <c r="Y1636"/>
      <c r="Z1636"/>
      <c r="AB1636"/>
    </row>
    <row r="1637" spans="1:28" ht="14.4" hidden="1">
      <c r="A1637" t="s">
        <v>211</v>
      </c>
      <c r="B1637" s="1">
        <v>39</v>
      </c>
      <c r="C1637" s="258" t="s">
        <v>4172</v>
      </c>
      <c r="D1637" t="s">
        <v>1165</v>
      </c>
      <c r="E1637" t="s">
        <v>1190</v>
      </c>
      <c r="F1637"/>
      <c r="G1637">
        <v>0.05</v>
      </c>
      <c r="H1637" s="1">
        <v>1921.7065</v>
      </c>
      <c r="I1637"/>
      <c r="J1637" t="s">
        <v>4167</v>
      </c>
      <c r="K1637" s="170">
        <v>45869</v>
      </c>
      <c r="L1637" s="1">
        <v>3617.834470189664</v>
      </c>
      <c r="M1637" s="1">
        <v>46088</v>
      </c>
      <c r="Y1637"/>
      <c r="Z1637"/>
      <c r="AB1637"/>
    </row>
    <row r="1638" spans="1:28" ht="14.4" hidden="1">
      <c r="A1638" t="s">
        <v>211</v>
      </c>
      <c r="B1638" s="1">
        <v>44</v>
      </c>
      <c r="C1638" s="258" t="s">
        <v>4173</v>
      </c>
      <c r="D1638" t="s">
        <v>1193</v>
      </c>
      <c r="E1638" t="s">
        <v>2755</v>
      </c>
      <c r="F1638"/>
      <c r="H1638" s="1">
        <v>8598.35</v>
      </c>
      <c r="I1638" t="s">
        <v>4153</v>
      </c>
      <c r="J1638" t="s">
        <v>4174</v>
      </c>
      <c r="K1638" s="170">
        <v>45808</v>
      </c>
      <c r="L1638" s="1">
        <v>12861.724492523281</v>
      </c>
      <c r="M1638" s="1">
        <v>45855</v>
      </c>
      <c r="N1638" s="1">
        <v>35927.14</v>
      </c>
      <c r="Y1638"/>
      <c r="Z1638"/>
      <c r="AB1638"/>
    </row>
    <row r="1639" spans="1:28" ht="14.4" hidden="1">
      <c r="A1639" t="s">
        <v>211</v>
      </c>
      <c r="B1639" s="1">
        <v>45</v>
      </c>
      <c r="C1639" s="258" t="s">
        <v>4175</v>
      </c>
      <c r="D1639" t="s">
        <v>1193</v>
      </c>
      <c r="E1639" t="s">
        <v>1196</v>
      </c>
      <c r="F1639"/>
      <c r="H1639" s="1">
        <v>13695</v>
      </c>
      <c r="I1639" t="s">
        <v>4176</v>
      </c>
      <c r="J1639" t="s">
        <v>4177</v>
      </c>
      <c r="K1639" s="170">
        <v>45777</v>
      </c>
      <c r="L1639" s="1">
        <v>20024.439152776042</v>
      </c>
      <c r="M1639" s="1">
        <v>45806</v>
      </c>
      <c r="Y1639"/>
      <c r="Z1639"/>
      <c r="AB1639"/>
    </row>
    <row r="1640" spans="1:28" ht="14.4" hidden="1">
      <c r="A1640" t="s">
        <v>211</v>
      </c>
      <c r="B1640" s="1">
        <v>46</v>
      </c>
      <c r="C1640" s="258" t="s">
        <v>4178</v>
      </c>
      <c r="D1640" t="s">
        <v>1193</v>
      </c>
      <c r="F1640"/>
      <c r="H1640" s="1">
        <v>214.29</v>
      </c>
      <c r="I1640"/>
      <c r="J1640" t="s">
        <v>3286</v>
      </c>
      <c r="K1640" s="170">
        <v>45838</v>
      </c>
      <c r="L1640" s="1">
        <v>4340.6433450978848</v>
      </c>
      <c r="M1640" s="1">
        <v>45867</v>
      </c>
      <c r="Y1640"/>
      <c r="Z1640"/>
      <c r="AB1640"/>
    </row>
    <row r="1641" spans="1:28" ht="14.4" hidden="1">
      <c r="A1641" t="s">
        <v>211</v>
      </c>
      <c r="B1641" s="1">
        <v>47</v>
      </c>
      <c r="C1641" s="258" t="s">
        <v>4179</v>
      </c>
      <c r="D1641" t="s">
        <v>1193</v>
      </c>
      <c r="E1641" t="s">
        <v>1200</v>
      </c>
      <c r="F1641"/>
      <c r="H1641" s="1">
        <v>11169</v>
      </c>
      <c r="I1641"/>
      <c r="J1641" t="s">
        <v>2969</v>
      </c>
      <c r="K1641" s="170">
        <v>45838</v>
      </c>
      <c r="L1641" s="1">
        <v>17786.689120809511</v>
      </c>
      <c r="M1641" s="1">
        <v>45838</v>
      </c>
      <c r="Y1641"/>
      <c r="Z1641"/>
      <c r="AB1641"/>
    </row>
    <row r="1642" spans="1:28" ht="14.4" hidden="1">
      <c r="A1642" t="s">
        <v>211</v>
      </c>
      <c r="B1642" s="1">
        <v>48</v>
      </c>
      <c r="C1642" s="258" t="s">
        <v>4180</v>
      </c>
      <c r="D1642" t="s">
        <v>1193</v>
      </c>
      <c r="E1642" t="s">
        <v>2768</v>
      </c>
      <c r="F1642"/>
      <c r="H1642" s="1">
        <v>2250.5</v>
      </c>
      <c r="I1642" t="s">
        <v>2971</v>
      </c>
      <c r="J1642" t="s">
        <v>2769</v>
      </c>
      <c r="K1642" s="170">
        <v>45808</v>
      </c>
      <c r="L1642" s="1">
        <v>3319.8377665975031</v>
      </c>
      <c r="M1642" s="1">
        <v>45799</v>
      </c>
      <c r="Y1642"/>
      <c r="Z1642"/>
      <c r="AB1642"/>
    </row>
    <row r="1643" spans="1:28" ht="14.4" hidden="1">
      <c r="A1643" t="s">
        <v>211</v>
      </c>
      <c r="B1643" s="1">
        <v>54</v>
      </c>
      <c r="C1643" s="258" t="s">
        <v>4181</v>
      </c>
      <c r="D1643" t="s">
        <v>1211</v>
      </c>
      <c r="E1643" t="s">
        <v>1212</v>
      </c>
      <c r="F1643"/>
      <c r="H1643" s="1">
        <v>99292.77</v>
      </c>
      <c r="I1643" t="s">
        <v>4182</v>
      </c>
      <c r="J1643" t="s">
        <v>4183</v>
      </c>
      <c r="K1643" s="170">
        <v>45869</v>
      </c>
      <c r="L1643" s="1">
        <v>119778.54493572796</v>
      </c>
      <c r="M1643" s="1">
        <v>45899</v>
      </c>
      <c r="Y1643"/>
      <c r="Z1643"/>
      <c r="AB1643"/>
    </row>
    <row r="1644" spans="1:28" ht="14.4" hidden="1">
      <c r="A1644" t="s">
        <v>211</v>
      </c>
      <c r="B1644" s="1">
        <v>59</v>
      </c>
      <c r="C1644" s="258" t="s">
        <v>4184</v>
      </c>
      <c r="D1644" t="s">
        <v>1211</v>
      </c>
      <c r="E1644" t="s">
        <v>1169</v>
      </c>
      <c r="F1644">
        <v>178056.12</v>
      </c>
      <c r="G1644">
        <v>0.1</v>
      </c>
      <c r="H1644" s="1">
        <v>17805.612000000001</v>
      </c>
      <c r="I1644" t="s">
        <v>4162</v>
      </c>
      <c r="J1644" t="s">
        <v>4163</v>
      </c>
      <c r="K1644" s="170">
        <v>45808</v>
      </c>
      <c r="L1644" s="1">
        <v>21761.295102978322</v>
      </c>
      <c r="M1644" s="1">
        <v>45813</v>
      </c>
      <c r="Y1644"/>
      <c r="Z1644"/>
      <c r="AB1644"/>
    </row>
    <row r="1645" spans="1:28" ht="14.4" hidden="1">
      <c r="A1645" t="s">
        <v>211</v>
      </c>
      <c r="B1645" s="1">
        <v>60</v>
      </c>
      <c r="C1645" s="258" t="s">
        <v>4185</v>
      </c>
      <c r="D1645" t="s">
        <v>1211</v>
      </c>
      <c r="E1645" t="s">
        <v>558</v>
      </c>
      <c r="F1645"/>
      <c r="G1645">
        <v>0.15</v>
      </c>
      <c r="H1645" s="1">
        <v>26708.418000000001</v>
      </c>
      <c r="I1645"/>
      <c r="J1645" t="s">
        <v>4165</v>
      </c>
      <c r="K1645" s="170">
        <v>45838</v>
      </c>
      <c r="L1645" s="1">
        <v>32641.942654467479</v>
      </c>
      <c r="M1645" s="1">
        <v>45869</v>
      </c>
      <c r="Y1645"/>
      <c r="Z1645"/>
      <c r="AB1645"/>
    </row>
    <row r="1646" spans="1:28" ht="14.4" hidden="1">
      <c r="A1646" t="s">
        <v>211</v>
      </c>
      <c r="B1646" s="1">
        <v>61</v>
      </c>
      <c r="C1646" s="258" t="s">
        <v>4186</v>
      </c>
      <c r="D1646" t="s">
        <v>1211</v>
      </c>
      <c r="E1646" t="s">
        <v>1175</v>
      </c>
      <c r="F1646"/>
      <c r="G1646">
        <v>0.2</v>
      </c>
      <c r="H1646" s="1">
        <v>35611.224000000002</v>
      </c>
      <c r="I1646"/>
      <c r="J1646" t="s">
        <v>4167</v>
      </c>
      <c r="K1646" s="170">
        <v>45869</v>
      </c>
      <c r="L1646" s="1">
        <v>43133.054010784013</v>
      </c>
      <c r="M1646" s="1">
        <v>45954</v>
      </c>
      <c r="Y1646"/>
      <c r="Z1646"/>
      <c r="AB1646"/>
    </row>
    <row r="1647" spans="1:28" ht="14.4" hidden="1">
      <c r="A1647" t="s">
        <v>211</v>
      </c>
      <c r="B1647" s="1">
        <v>62</v>
      </c>
      <c r="C1647" s="258" t="s">
        <v>4187</v>
      </c>
      <c r="D1647" t="s">
        <v>1211</v>
      </c>
      <c r="E1647" t="s">
        <v>1178</v>
      </c>
      <c r="F1647"/>
      <c r="G1647">
        <v>0.25</v>
      </c>
      <c r="H1647" s="1">
        <v>44514.03</v>
      </c>
      <c r="I1647"/>
      <c r="J1647" t="s">
        <v>4167</v>
      </c>
      <c r="K1647" s="170">
        <v>45869</v>
      </c>
      <c r="L1647" s="1">
        <v>53916.317513480011</v>
      </c>
      <c r="M1647" s="1">
        <v>45954</v>
      </c>
      <c r="Y1647"/>
      <c r="Z1647"/>
      <c r="AB1647"/>
    </row>
    <row r="1648" spans="1:28" ht="14.4" hidden="1">
      <c r="A1648" t="s">
        <v>211</v>
      </c>
      <c r="B1648" s="1">
        <v>63</v>
      </c>
      <c r="C1648" s="258" t="s">
        <v>4188</v>
      </c>
      <c r="D1648" t="s">
        <v>1211</v>
      </c>
      <c r="E1648" t="s">
        <v>1181</v>
      </c>
      <c r="F1648"/>
      <c r="G1648">
        <v>0.1</v>
      </c>
      <c r="H1648" s="1">
        <v>17805.612000000001</v>
      </c>
      <c r="I1648"/>
      <c r="J1648" t="s">
        <v>4167</v>
      </c>
      <c r="K1648" s="170">
        <v>45869</v>
      </c>
      <c r="L1648" s="1">
        <v>21566.527005392007</v>
      </c>
      <c r="M1648" s="1">
        <v>45960</v>
      </c>
      <c r="Y1648"/>
      <c r="Z1648"/>
      <c r="AB1648"/>
    </row>
    <row r="1649" spans="1:28" ht="14.4" hidden="1">
      <c r="A1649" t="s">
        <v>211</v>
      </c>
      <c r="B1649" s="1">
        <v>64</v>
      </c>
      <c r="C1649" s="258" t="s">
        <v>4189</v>
      </c>
      <c r="D1649" t="s">
        <v>1211</v>
      </c>
      <c r="E1649" t="s">
        <v>1184</v>
      </c>
      <c r="F1649"/>
      <c r="G1649">
        <v>0.1</v>
      </c>
      <c r="H1649" s="1">
        <v>17805.612000000001</v>
      </c>
      <c r="I1649"/>
      <c r="J1649" t="s">
        <v>4167</v>
      </c>
      <c r="K1649" s="170">
        <v>45869</v>
      </c>
      <c r="L1649" s="1">
        <v>21566.527005392007</v>
      </c>
      <c r="M1649" s="1">
        <v>46051</v>
      </c>
      <c r="Y1649"/>
      <c r="Z1649"/>
      <c r="AB1649"/>
    </row>
    <row r="1650" spans="1:28" ht="14.4" hidden="1">
      <c r="A1650" t="s">
        <v>211</v>
      </c>
      <c r="B1650" s="1">
        <v>65</v>
      </c>
      <c r="C1650" s="258" t="s">
        <v>4190</v>
      </c>
      <c r="D1650" t="s">
        <v>1211</v>
      </c>
      <c r="E1650" t="s">
        <v>1187</v>
      </c>
      <c r="F1650"/>
      <c r="G1650">
        <v>0.05</v>
      </c>
      <c r="H1650" s="1">
        <v>8902.8060000000005</v>
      </c>
      <c r="I1650"/>
      <c r="J1650" t="s">
        <v>4167</v>
      </c>
      <c r="K1650" s="170">
        <v>45869</v>
      </c>
      <c r="L1650" s="1">
        <v>10783.263502696003</v>
      </c>
      <c r="M1650" s="1">
        <v>46058</v>
      </c>
      <c r="Y1650"/>
      <c r="Z1650"/>
      <c r="AB1650"/>
    </row>
    <row r="1651" spans="1:28" ht="14.4" hidden="1">
      <c r="A1651" t="s">
        <v>211</v>
      </c>
      <c r="B1651" s="1">
        <v>66</v>
      </c>
      <c r="C1651" s="258" t="s">
        <v>4191</v>
      </c>
      <c r="D1651" t="s">
        <v>1211</v>
      </c>
      <c r="E1651" t="s">
        <v>1190</v>
      </c>
      <c r="F1651"/>
      <c r="G1651">
        <v>0.05</v>
      </c>
      <c r="H1651" s="1">
        <v>8902.8060000000005</v>
      </c>
      <c r="I1651"/>
      <c r="J1651" t="s">
        <v>4167</v>
      </c>
      <c r="K1651" s="170">
        <v>45869</v>
      </c>
      <c r="L1651" s="1">
        <v>10783.263502696003</v>
      </c>
      <c r="M1651" s="1">
        <v>46088</v>
      </c>
      <c r="Y1651"/>
      <c r="Z1651"/>
      <c r="AB1651"/>
    </row>
    <row r="1652" spans="1:28" ht="14.4" hidden="1">
      <c r="A1652" t="s">
        <v>211</v>
      </c>
      <c r="B1652" s="1">
        <v>80</v>
      </c>
      <c r="C1652" s="258" t="s">
        <v>4192</v>
      </c>
      <c r="D1652" t="s">
        <v>1224</v>
      </c>
      <c r="E1652" t="s">
        <v>3135</v>
      </c>
      <c r="F1652"/>
      <c r="H1652" s="1">
        <v>695</v>
      </c>
      <c r="I1652" t="s">
        <v>4193</v>
      </c>
      <c r="J1652" t="s">
        <v>4194</v>
      </c>
      <c r="K1652" s="170">
        <v>45961</v>
      </c>
      <c r="M1652" s="1">
        <v>45961</v>
      </c>
      <c r="N1652" s="1">
        <v>144450.32999999999</v>
      </c>
      <c r="Y1652"/>
      <c r="Z1652"/>
      <c r="AB1652"/>
    </row>
    <row r="1653" spans="1:28" ht="14.4" hidden="1">
      <c r="A1653" t="s">
        <v>211</v>
      </c>
      <c r="B1653" s="1">
        <v>82</v>
      </c>
      <c r="C1653" s="258" t="s">
        <v>4195</v>
      </c>
      <c r="D1653" t="s">
        <v>1224</v>
      </c>
      <c r="E1653" t="s">
        <v>3145</v>
      </c>
      <c r="F1653"/>
      <c r="H1653" s="1">
        <v>69652</v>
      </c>
      <c r="I1653" t="s">
        <v>4196</v>
      </c>
      <c r="J1653" t="s">
        <v>4197</v>
      </c>
      <c r="K1653" s="170">
        <v>45838</v>
      </c>
      <c r="M1653" s="1">
        <v>45869</v>
      </c>
      <c r="Y1653"/>
      <c r="Z1653"/>
      <c r="AB1653"/>
    </row>
    <row r="1654" spans="1:28" ht="14.4" hidden="1">
      <c r="A1654" t="s">
        <v>211</v>
      </c>
      <c r="B1654" s="1">
        <v>84</v>
      </c>
      <c r="C1654" s="258" t="s">
        <v>4198</v>
      </c>
      <c r="D1654" t="s">
        <v>1224</v>
      </c>
      <c r="E1654" t="s">
        <v>4199</v>
      </c>
      <c r="F1654">
        <v>0.75</v>
      </c>
      <c r="G1654">
        <v>59495</v>
      </c>
      <c r="H1654" s="1">
        <v>44621.25</v>
      </c>
      <c r="I1654" t="s">
        <v>4200</v>
      </c>
      <c r="J1654" t="s">
        <v>4201</v>
      </c>
      <c r="K1654" s="170">
        <v>45930</v>
      </c>
      <c r="M1654" s="1">
        <v>45932</v>
      </c>
      <c r="Y1654"/>
      <c r="Z1654"/>
      <c r="AB1654"/>
    </row>
    <row r="1655" spans="1:28" ht="14.4" hidden="1">
      <c r="A1655" t="s">
        <v>211</v>
      </c>
      <c r="B1655" s="1">
        <v>85</v>
      </c>
      <c r="C1655" s="258" t="s">
        <v>4202</v>
      </c>
      <c r="D1655" t="s">
        <v>1224</v>
      </c>
      <c r="F1655">
        <v>0.25</v>
      </c>
      <c r="H1655" s="1">
        <v>14873.75</v>
      </c>
      <c r="I1655"/>
      <c r="J1655" t="s">
        <v>4203</v>
      </c>
      <c r="K1655" s="170">
        <v>45961</v>
      </c>
      <c r="M1655" s="1">
        <v>45961</v>
      </c>
      <c r="Y1655"/>
      <c r="Z1655"/>
      <c r="AB1655"/>
    </row>
    <row r="1656" spans="1:28" ht="14.4" hidden="1">
      <c r="A1656" t="s">
        <v>211</v>
      </c>
      <c r="B1656" s="1">
        <v>86</v>
      </c>
      <c r="C1656" s="258" t="s">
        <v>4204</v>
      </c>
      <c r="D1656" t="s">
        <v>1224</v>
      </c>
      <c r="E1656" t="s">
        <v>2811</v>
      </c>
      <c r="F1656"/>
      <c r="H1656" s="1">
        <v>6483.33</v>
      </c>
      <c r="I1656" t="s">
        <v>4205</v>
      </c>
      <c r="J1656" t="s">
        <v>4206</v>
      </c>
      <c r="K1656" s="170">
        <v>45930</v>
      </c>
      <c r="M1656" s="1">
        <v>45943</v>
      </c>
      <c r="Y1656"/>
      <c r="Z1656"/>
      <c r="AB1656"/>
    </row>
    <row r="1657" spans="1:28" ht="14.4" hidden="1">
      <c r="A1657" t="s">
        <v>211</v>
      </c>
      <c r="B1657" s="1">
        <v>87</v>
      </c>
      <c r="C1657" s="258" t="s">
        <v>4207</v>
      </c>
      <c r="D1657" t="s">
        <v>1224</v>
      </c>
      <c r="E1657" t="s">
        <v>4208</v>
      </c>
      <c r="F1657"/>
      <c r="H1657" s="1">
        <v>2036</v>
      </c>
      <c r="I1657" t="s">
        <v>4209</v>
      </c>
      <c r="J1657" t="s">
        <v>4210</v>
      </c>
      <c r="K1657" s="170">
        <v>45961</v>
      </c>
      <c r="M1657" s="1">
        <v>45961</v>
      </c>
      <c r="Y1657"/>
      <c r="Z1657"/>
      <c r="AB1657"/>
    </row>
    <row r="1658" spans="1:28" ht="14.4" hidden="1">
      <c r="A1658" t="s">
        <v>211</v>
      </c>
      <c r="B1658" s="1">
        <v>88</v>
      </c>
      <c r="C1658" s="258" t="s">
        <v>4211</v>
      </c>
      <c r="D1658" t="s">
        <v>1224</v>
      </c>
      <c r="E1658" t="s">
        <v>4212</v>
      </c>
      <c r="F1658"/>
      <c r="H1658" s="1">
        <v>6089</v>
      </c>
      <c r="I1658" t="s">
        <v>4213</v>
      </c>
      <c r="J1658" t="s">
        <v>4214</v>
      </c>
      <c r="K1658" s="170">
        <v>46053</v>
      </c>
      <c r="M1658" s="1">
        <v>46081</v>
      </c>
      <c r="Y1658"/>
      <c r="Z1658"/>
      <c r="AB1658"/>
    </row>
    <row r="1659" spans="1:28" ht="14.4" hidden="1">
      <c r="A1659" t="s">
        <v>211</v>
      </c>
      <c r="B1659" s="1">
        <v>91</v>
      </c>
      <c r="C1659" s="258" t="s">
        <v>4215</v>
      </c>
      <c r="D1659" t="s">
        <v>1246</v>
      </c>
      <c r="E1659" t="s">
        <v>1169</v>
      </c>
      <c r="F1659">
        <v>206171.2</v>
      </c>
      <c r="G1659">
        <v>0.1</v>
      </c>
      <c r="H1659" s="1">
        <v>20617.120000000003</v>
      </c>
      <c r="I1659" t="s">
        <v>4162</v>
      </c>
      <c r="J1659" t="s">
        <v>4163</v>
      </c>
      <c r="K1659" s="170">
        <v>45808</v>
      </c>
      <c r="L1659" s="1">
        <v>16279.411764705885</v>
      </c>
      <c r="M1659" s="1">
        <v>45813</v>
      </c>
      <c r="Y1659"/>
      <c r="Z1659"/>
      <c r="AB1659"/>
    </row>
    <row r="1660" spans="1:28" ht="14.4" hidden="1">
      <c r="A1660" t="s">
        <v>211</v>
      </c>
      <c r="B1660" s="1">
        <v>92</v>
      </c>
      <c r="C1660" s="258" t="s">
        <v>4216</v>
      </c>
      <c r="D1660" t="s">
        <v>1246</v>
      </c>
      <c r="E1660" t="s">
        <v>558</v>
      </c>
      <c r="F1660"/>
      <c r="G1660">
        <v>0.15</v>
      </c>
      <c r="H1660" s="1">
        <v>30925.68</v>
      </c>
      <c r="I1660"/>
      <c r="J1660" t="s">
        <v>4165</v>
      </c>
      <c r="K1660" s="170">
        <v>45838</v>
      </c>
      <c r="L1660" s="1">
        <v>24419.117647058825</v>
      </c>
      <c r="M1660" s="1">
        <v>45869</v>
      </c>
      <c r="Y1660"/>
      <c r="Z1660"/>
      <c r="AB1660"/>
    </row>
    <row r="1661" spans="1:28" ht="14.4" hidden="1">
      <c r="A1661" t="s">
        <v>211</v>
      </c>
      <c r="B1661" s="1">
        <v>93</v>
      </c>
      <c r="C1661" s="258" t="s">
        <v>4217</v>
      </c>
      <c r="D1661" t="s">
        <v>1246</v>
      </c>
      <c r="E1661" t="s">
        <v>1175</v>
      </c>
      <c r="F1661"/>
      <c r="G1661">
        <v>0.2</v>
      </c>
      <c r="H1661" s="1">
        <v>41234.240000000005</v>
      </c>
      <c r="I1661"/>
      <c r="J1661" t="s">
        <v>4167</v>
      </c>
      <c r="K1661" s="170">
        <v>45900</v>
      </c>
      <c r="L1661" s="1">
        <v>32558.823529411769</v>
      </c>
      <c r="M1661" s="1">
        <v>45954</v>
      </c>
      <c r="Y1661"/>
      <c r="Z1661"/>
      <c r="AB1661"/>
    </row>
    <row r="1662" spans="1:28" ht="14.4" hidden="1">
      <c r="A1662" t="s">
        <v>211</v>
      </c>
      <c r="B1662" s="1">
        <v>94</v>
      </c>
      <c r="C1662" s="258" t="s">
        <v>4218</v>
      </c>
      <c r="D1662" t="s">
        <v>1246</v>
      </c>
      <c r="E1662" t="s">
        <v>1178</v>
      </c>
      <c r="F1662"/>
      <c r="G1662">
        <v>0.25</v>
      </c>
      <c r="H1662" s="1">
        <v>51542.8</v>
      </c>
      <c r="I1662"/>
      <c r="J1662" t="s">
        <v>4167</v>
      </c>
      <c r="K1662" s="170">
        <v>45961</v>
      </c>
      <c r="L1662" s="1">
        <v>40698.529411764706</v>
      </c>
      <c r="M1662" s="1">
        <v>45954</v>
      </c>
      <c r="Y1662"/>
      <c r="Z1662"/>
      <c r="AB1662"/>
    </row>
    <row r="1663" spans="1:28" ht="14.4" hidden="1">
      <c r="A1663" t="s">
        <v>211</v>
      </c>
      <c r="B1663" s="1">
        <v>95</v>
      </c>
      <c r="C1663" s="258" t="s">
        <v>4219</v>
      </c>
      <c r="D1663" t="s">
        <v>1246</v>
      </c>
      <c r="E1663" t="s">
        <v>1181</v>
      </c>
      <c r="F1663"/>
      <c r="G1663">
        <v>0.1</v>
      </c>
      <c r="H1663" s="1">
        <v>20617.120000000003</v>
      </c>
      <c r="I1663"/>
      <c r="J1663" t="s">
        <v>4167</v>
      </c>
      <c r="K1663" s="170">
        <v>45961</v>
      </c>
      <c r="L1663" s="1">
        <v>16279.411764705885</v>
      </c>
      <c r="M1663" s="1">
        <v>45960</v>
      </c>
      <c r="Y1663"/>
      <c r="Z1663"/>
      <c r="AB1663"/>
    </row>
    <row r="1664" spans="1:28" ht="14.4" hidden="1">
      <c r="A1664" t="s">
        <v>211</v>
      </c>
      <c r="B1664" s="1">
        <v>96</v>
      </c>
      <c r="C1664" s="258" t="s">
        <v>4220</v>
      </c>
      <c r="D1664" t="s">
        <v>1246</v>
      </c>
      <c r="E1664" t="s">
        <v>1184</v>
      </c>
      <c r="F1664"/>
      <c r="G1664">
        <v>0.1</v>
      </c>
      <c r="H1664" s="1">
        <v>20617.120000000003</v>
      </c>
      <c r="I1664"/>
      <c r="J1664" t="s">
        <v>4167</v>
      </c>
      <c r="K1664" s="170">
        <v>45961</v>
      </c>
      <c r="L1664" s="1">
        <v>16279.411764705885</v>
      </c>
      <c r="M1664" s="1">
        <v>46051</v>
      </c>
      <c r="Y1664"/>
      <c r="Z1664"/>
      <c r="AB1664"/>
    </row>
    <row r="1665" spans="1:28" ht="14.4" hidden="1">
      <c r="A1665" t="s">
        <v>211</v>
      </c>
      <c r="B1665" s="1">
        <v>97</v>
      </c>
      <c r="C1665" s="258" t="s">
        <v>4221</v>
      </c>
      <c r="D1665" t="s">
        <v>1246</v>
      </c>
      <c r="E1665" t="s">
        <v>1187</v>
      </c>
      <c r="F1665"/>
      <c r="G1665">
        <v>0.05</v>
      </c>
      <c r="H1665" s="1">
        <v>10308.56</v>
      </c>
      <c r="I1665"/>
      <c r="J1665" t="s">
        <v>4167</v>
      </c>
      <c r="K1665" s="170">
        <v>45961</v>
      </c>
      <c r="L1665" s="1">
        <v>8139.7058823529405</v>
      </c>
      <c r="M1665" s="1">
        <v>46058</v>
      </c>
      <c r="Y1665"/>
      <c r="Z1665"/>
      <c r="AB1665"/>
    </row>
    <row r="1666" spans="1:28" ht="14.4" hidden="1">
      <c r="A1666" t="s">
        <v>211</v>
      </c>
      <c r="B1666" s="1">
        <v>98</v>
      </c>
      <c r="C1666" s="258" t="s">
        <v>4222</v>
      </c>
      <c r="D1666" t="s">
        <v>1246</v>
      </c>
      <c r="E1666" t="s">
        <v>1190</v>
      </c>
      <c r="F1666"/>
      <c r="G1666">
        <v>0.05</v>
      </c>
      <c r="H1666" s="1">
        <v>10308.56</v>
      </c>
      <c r="I1666"/>
      <c r="J1666" t="s">
        <v>4167</v>
      </c>
      <c r="K1666" s="170">
        <v>45961</v>
      </c>
      <c r="L1666" s="1">
        <v>8139.7058823529405</v>
      </c>
      <c r="M1666" s="1">
        <v>46088</v>
      </c>
      <c r="Y1666"/>
      <c r="Z1666"/>
      <c r="AB1666"/>
    </row>
    <row r="1667" spans="1:28" ht="14.4" hidden="1">
      <c r="A1667" t="s">
        <v>211</v>
      </c>
      <c r="B1667" s="1">
        <v>107</v>
      </c>
      <c r="C1667" s="258" t="s">
        <v>4223</v>
      </c>
      <c r="D1667" t="s">
        <v>1255</v>
      </c>
      <c r="E1667" t="s">
        <v>3021</v>
      </c>
      <c r="F1667"/>
      <c r="H1667" s="1">
        <v>48560</v>
      </c>
      <c r="I1667" t="s">
        <v>4224</v>
      </c>
      <c r="J1667" t="s">
        <v>4225</v>
      </c>
      <c r="K1667" s="170">
        <v>45930</v>
      </c>
      <c r="L1667" s="1">
        <v>23508.185062852594</v>
      </c>
      <c r="M1667" s="1">
        <v>45932</v>
      </c>
      <c r="Y1667"/>
      <c r="Z1667"/>
      <c r="AB1667"/>
    </row>
    <row r="1668" spans="1:28" ht="14.4" hidden="1">
      <c r="A1668" t="s">
        <v>211</v>
      </c>
      <c r="B1668" s="1">
        <v>108</v>
      </c>
      <c r="C1668" s="258" t="s">
        <v>4226</v>
      </c>
      <c r="D1668" t="s">
        <v>1255</v>
      </c>
      <c r="E1668" t="s">
        <v>3027</v>
      </c>
      <c r="F1668"/>
      <c r="H1668" s="1">
        <v>41230</v>
      </c>
      <c r="I1668"/>
      <c r="J1668" t="s">
        <v>4227</v>
      </c>
      <c r="K1668" s="170">
        <v>45961</v>
      </c>
      <c r="L1668" s="1">
        <v>0</v>
      </c>
      <c r="M1668" s="1">
        <v>45967</v>
      </c>
      <c r="Y1668"/>
      <c r="Z1668"/>
      <c r="AB1668"/>
    </row>
    <row r="1669" spans="1:28" ht="14.4" hidden="1">
      <c r="A1669" t="s">
        <v>211</v>
      </c>
      <c r="B1669" s="1">
        <v>109</v>
      </c>
      <c r="C1669" s="258" t="s">
        <v>4228</v>
      </c>
      <c r="D1669" t="s">
        <v>1255</v>
      </c>
      <c r="E1669" t="s">
        <v>3030</v>
      </c>
      <c r="F1669"/>
      <c r="H1669" s="1">
        <v>39900</v>
      </c>
      <c r="I1669"/>
      <c r="J1669" t="s">
        <v>4229</v>
      </c>
      <c r="K1669" s="170">
        <v>45991</v>
      </c>
      <c r="M1669" s="1">
        <v>45989</v>
      </c>
      <c r="Y1669"/>
      <c r="Z1669"/>
      <c r="AB1669"/>
    </row>
    <row r="1670" spans="1:28" ht="14.4" hidden="1">
      <c r="A1670" t="s">
        <v>211</v>
      </c>
      <c r="B1670" s="1">
        <v>110</v>
      </c>
      <c r="C1670" s="258" t="s">
        <v>4230</v>
      </c>
      <c r="D1670" t="s">
        <v>1255</v>
      </c>
      <c r="E1670" t="s">
        <v>3184</v>
      </c>
      <c r="F1670"/>
      <c r="H1670" s="1">
        <v>41230</v>
      </c>
      <c r="I1670"/>
      <c r="J1670" t="s">
        <v>4231</v>
      </c>
      <c r="K1670" s="170">
        <v>46022</v>
      </c>
      <c r="M1670" s="1">
        <v>46031</v>
      </c>
      <c r="Y1670"/>
      <c r="Z1670"/>
      <c r="AB1670"/>
    </row>
    <row r="1671" spans="1:28" ht="14.4" hidden="1">
      <c r="A1671" t="s">
        <v>211</v>
      </c>
      <c r="B1671" s="1">
        <v>111</v>
      </c>
      <c r="C1671" s="258" t="s">
        <v>4232</v>
      </c>
      <c r="D1671" t="s">
        <v>1255</v>
      </c>
      <c r="E1671" t="s">
        <v>4233</v>
      </c>
      <c r="F1671"/>
      <c r="H1671" s="1">
        <v>33900</v>
      </c>
      <c r="I1671"/>
      <c r="J1671" t="s">
        <v>4234</v>
      </c>
      <c r="K1671" s="170">
        <v>46053</v>
      </c>
      <c r="M1671" s="1">
        <v>46051</v>
      </c>
      <c r="Y1671"/>
      <c r="Z1671"/>
      <c r="AB1671"/>
    </row>
    <row r="1672" spans="1:28" ht="14.4" hidden="1">
      <c r="A1672" t="s">
        <v>211</v>
      </c>
      <c r="B1672" s="1">
        <v>113</v>
      </c>
      <c r="C1672" s="258" t="s">
        <v>4235</v>
      </c>
      <c r="D1672" t="s">
        <v>1255</v>
      </c>
      <c r="E1672" t="s">
        <v>1169</v>
      </c>
      <c r="F1672">
        <v>47098</v>
      </c>
      <c r="G1672">
        <v>0.1</v>
      </c>
      <c r="H1672" s="1">
        <v>4709.8</v>
      </c>
      <c r="I1672" t="s">
        <v>4162</v>
      </c>
      <c r="J1672" t="s">
        <v>4163</v>
      </c>
      <c r="K1672" s="170">
        <v>45808</v>
      </c>
      <c r="L1672" s="1">
        <v>1610.0536441471909</v>
      </c>
      <c r="M1672" s="1">
        <v>45813</v>
      </c>
      <c r="Y1672"/>
      <c r="Z1672"/>
      <c r="AB1672"/>
    </row>
    <row r="1673" spans="1:28" ht="14.4" hidden="1">
      <c r="A1673" t="s">
        <v>211</v>
      </c>
      <c r="B1673" s="1">
        <v>114</v>
      </c>
      <c r="C1673" s="258" t="s">
        <v>4236</v>
      </c>
      <c r="D1673" t="s">
        <v>1255</v>
      </c>
      <c r="E1673" t="s">
        <v>558</v>
      </c>
      <c r="F1673"/>
      <c r="G1673">
        <v>0.15</v>
      </c>
      <c r="H1673" s="1">
        <v>7064.7</v>
      </c>
      <c r="I1673"/>
      <c r="J1673" t="s">
        <v>4165</v>
      </c>
      <c r="K1673" s="170">
        <v>45838</v>
      </c>
      <c r="L1673" s="1">
        <v>5938.9575196664427</v>
      </c>
      <c r="M1673" s="1">
        <v>45869</v>
      </c>
      <c r="Y1673"/>
      <c r="Z1673"/>
      <c r="AB1673"/>
    </row>
    <row r="1674" spans="1:28" ht="14.4" hidden="1">
      <c r="A1674" t="s">
        <v>211</v>
      </c>
      <c r="B1674" s="1">
        <v>115</v>
      </c>
      <c r="C1674" s="258" t="s">
        <v>4237</v>
      </c>
      <c r="D1674" t="s">
        <v>1255</v>
      </c>
      <c r="E1674" t="s">
        <v>1175</v>
      </c>
      <c r="F1674"/>
      <c r="G1674">
        <v>0.2</v>
      </c>
      <c r="H1674" s="1">
        <v>9419.6</v>
      </c>
      <c r="I1674"/>
      <c r="J1674" t="s">
        <v>4167</v>
      </c>
      <c r="K1674" s="170">
        <v>45869</v>
      </c>
      <c r="L1674" s="1">
        <v>6039.2100262219237</v>
      </c>
      <c r="M1674" s="1">
        <v>45954</v>
      </c>
      <c r="Y1674"/>
      <c r="Z1674"/>
      <c r="AB1674"/>
    </row>
    <row r="1675" spans="1:28" ht="14.4" hidden="1">
      <c r="A1675" t="s">
        <v>211</v>
      </c>
      <c r="B1675" s="1">
        <v>116</v>
      </c>
      <c r="C1675" s="258" t="s">
        <v>4238</v>
      </c>
      <c r="D1675" t="s">
        <v>1255</v>
      </c>
      <c r="E1675" t="s">
        <v>1178</v>
      </c>
      <c r="F1675"/>
      <c r="G1675">
        <v>0.25</v>
      </c>
      <c r="H1675" s="1">
        <v>11774.5</v>
      </c>
      <c r="I1675"/>
      <c r="J1675" t="s">
        <v>4167</v>
      </c>
      <c r="K1675" s="170">
        <v>45869</v>
      </c>
      <c r="L1675" s="1">
        <v>7549.012532777404</v>
      </c>
      <c r="M1675" s="1">
        <v>45954</v>
      </c>
      <c r="Y1675"/>
      <c r="Z1675"/>
      <c r="AB1675"/>
    </row>
    <row r="1676" spans="1:28" ht="14.4" hidden="1">
      <c r="A1676" t="s">
        <v>211</v>
      </c>
      <c r="B1676" s="1">
        <v>117</v>
      </c>
      <c r="C1676" s="258" t="s">
        <v>4239</v>
      </c>
      <c r="D1676" t="s">
        <v>1255</v>
      </c>
      <c r="E1676" t="s">
        <v>1181</v>
      </c>
      <c r="F1676"/>
      <c r="G1676">
        <v>0.1</v>
      </c>
      <c r="H1676" s="1">
        <v>4709.8</v>
      </c>
      <c r="I1676"/>
      <c r="J1676" t="s">
        <v>4167</v>
      </c>
      <c r="K1676" s="170">
        <v>45869</v>
      </c>
      <c r="L1676" s="1">
        <v>3019.6050131109619</v>
      </c>
      <c r="M1676" s="1">
        <v>45960</v>
      </c>
      <c r="Y1676"/>
      <c r="Z1676"/>
      <c r="AB1676"/>
    </row>
    <row r="1677" spans="1:28" ht="14.4" hidden="1">
      <c r="A1677" t="s">
        <v>211</v>
      </c>
      <c r="B1677" s="1">
        <v>118</v>
      </c>
      <c r="C1677" s="258" t="s">
        <v>4240</v>
      </c>
      <c r="D1677" t="s">
        <v>1255</v>
      </c>
      <c r="E1677" t="s">
        <v>1184</v>
      </c>
      <c r="F1677"/>
      <c r="G1677">
        <v>0.1</v>
      </c>
      <c r="H1677" s="1">
        <v>4709.8</v>
      </c>
      <c r="I1677"/>
      <c r="J1677" t="s">
        <v>4167</v>
      </c>
      <c r="K1677" s="170">
        <v>45869</v>
      </c>
      <c r="L1677" s="1">
        <v>3019.6050131109619</v>
      </c>
      <c r="M1677" s="1">
        <v>46051</v>
      </c>
      <c r="Y1677"/>
      <c r="Z1677"/>
      <c r="AB1677"/>
    </row>
    <row r="1678" spans="1:28" ht="14.4" hidden="1">
      <c r="A1678" t="s">
        <v>211</v>
      </c>
      <c r="B1678" s="1">
        <v>119</v>
      </c>
      <c r="C1678" s="258" t="s">
        <v>4241</v>
      </c>
      <c r="D1678" t="s">
        <v>1255</v>
      </c>
      <c r="E1678" t="s">
        <v>1187</v>
      </c>
      <c r="F1678"/>
      <c r="G1678">
        <v>0.05</v>
      </c>
      <c r="H1678" s="1">
        <v>2354.9</v>
      </c>
      <c r="I1678"/>
      <c r="J1678" t="s">
        <v>4167</v>
      </c>
      <c r="K1678" s="170">
        <v>45869</v>
      </c>
      <c r="L1678" s="1">
        <v>1509.8025065554807</v>
      </c>
      <c r="M1678" s="1">
        <v>46058</v>
      </c>
      <c r="Y1678"/>
      <c r="Z1678"/>
      <c r="AB1678"/>
    </row>
    <row r="1679" spans="1:28" ht="14.4" hidden="1">
      <c r="A1679" t="s">
        <v>211</v>
      </c>
      <c r="B1679" s="1">
        <v>120</v>
      </c>
      <c r="C1679" s="258" t="s">
        <v>4242</v>
      </c>
      <c r="D1679" t="s">
        <v>1255</v>
      </c>
      <c r="E1679" t="s">
        <v>1190</v>
      </c>
      <c r="F1679"/>
      <c r="G1679">
        <v>0.05</v>
      </c>
      <c r="H1679" s="1">
        <v>2354.9</v>
      </c>
      <c r="I1679"/>
      <c r="J1679" t="s">
        <v>4167</v>
      </c>
      <c r="K1679" s="170">
        <v>45869</v>
      </c>
      <c r="L1679" s="1">
        <v>1509.8025065554807</v>
      </c>
      <c r="M1679" s="1">
        <v>46088</v>
      </c>
      <c r="Y1679"/>
      <c r="Z1679"/>
      <c r="AB1679"/>
    </row>
    <row r="1680" spans="1:28" ht="14.4" hidden="1">
      <c r="A1680" t="s">
        <v>211</v>
      </c>
      <c r="B1680" s="1">
        <v>125</v>
      </c>
      <c r="C1680" s="258" t="s">
        <v>4243</v>
      </c>
      <c r="D1680" t="s">
        <v>1264</v>
      </c>
      <c r="E1680" t="s">
        <v>1265</v>
      </c>
      <c r="F1680"/>
      <c r="H1680" s="1">
        <v>4805.78</v>
      </c>
      <c r="I1680"/>
      <c r="J1680" t="s">
        <v>3345</v>
      </c>
      <c r="K1680" s="170">
        <v>45869</v>
      </c>
      <c r="L1680" s="1">
        <v>12380.696005192576</v>
      </c>
      <c r="M1680" s="1">
        <v>45991</v>
      </c>
      <c r="N1680" s="1">
        <v>18617.53</v>
      </c>
      <c r="Y1680"/>
      <c r="Z1680"/>
      <c r="AB1680"/>
    </row>
    <row r="1681" spans="1:28" ht="14.4" hidden="1">
      <c r="A1681" t="s">
        <v>211</v>
      </c>
      <c r="B1681" s="1">
        <v>126</v>
      </c>
      <c r="C1681" s="258" t="s">
        <v>4244</v>
      </c>
      <c r="D1681" t="s">
        <v>1264</v>
      </c>
      <c r="E1681" t="s">
        <v>1268</v>
      </c>
      <c r="F1681"/>
      <c r="H1681" s="1">
        <v>7811.75</v>
      </c>
      <c r="I1681" t="s">
        <v>2845</v>
      </c>
      <c r="J1681" t="s">
        <v>3045</v>
      </c>
      <c r="K1681" s="170">
        <v>45777</v>
      </c>
      <c r="L1681" s="1">
        <v>10741.62561736938</v>
      </c>
      <c r="M1681" s="1">
        <v>45757</v>
      </c>
      <c r="Y1681"/>
      <c r="Z1681"/>
      <c r="AB1681"/>
    </row>
    <row r="1682" spans="1:28" ht="14.4" hidden="1">
      <c r="A1682" t="s">
        <v>211</v>
      </c>
      <c r="B1682" s="1">
        <v>127</v>
      </c>
      <c r="C1682" s="258" t="s">
        <v>4245</v>
      </c>
      <c r="D1682" t="s">
        <v>1264</v>
      </c>
      <c r="E1682" t="s">
        <v>808</v>
      </c>
      <c r="F1682"/>
      <c r="H1682" s="1">
        <v>6000</v>
      </c>
      <c r="I1682"/>
      <c r="J1682" t="s">
        <v>3571</v>
      </c>
      <c r="K1682" s="170">
        <v>45961</v>
      </c>
      <c r="L1682" s="1">
        <v>10995.329796860337</v>
      </c>
      <c r="M1682" s="1">
        <v>45989</v>
      </c>
      <c r="Y1682"/>
      <c r="Z1682"/>
      <c r="AB1682"/>
    </row>
    <row r="1683" spans="1:28" ht="14.4" hidden="1">
      <c r="A1683" t="s">
        <v>211</v>
      </c>
      <c r="B1683" s="1">
        <v>134</v>
      </c>
      <c r="C1683" s="258" t="s">
        <v>4246</v>
      </c>
      <c r="D1683" t="s">
        <v>1277</v>
      </c>
      <c r="E1683" t="s">
        <v>1278</v>
      </c>
      <c r="F1683"/>
      <c r="H1683" s="1">
        <v>25463.825000000001</v>
      </c>
      <c r="I1683"/>
      <c r="J1683" t="s">
        <v>3573</v>
      </c>
      <c r="K1683" s="170">
        <v>45961</v>
      </c>
      <c r="L1683" s="1">
        <v>92357.151829827781</v>
      </c>
      <c r="M1683" s="1">
        <v>45989</v>
      </c>
      <c r="N1683" s="1">
        <v>25463.825000000001</v>
      </c>
      <c r="Y1683"/>
      <c r="Z1683"/>
      <c r="AB1683"/>
    </row>
    <row r="1684" spans="1:28" ht="14.4" hidden="1">
      <c r="A1684" t="s">
        <v>211</v>
      </c>
      <c r="B1684" s="1">
        <v>135</v>
      </c>
      <c r="C1684" s="258" t="s">
        <v>4247</v>
      </c>
      <c r="D1684" t="s">
        <v>1277</v>
      </c>
      <c r="E1684" t="s">
        <v>1903</v>
      </c>
      <c r="F1684"/>
      <c r="H1684" s="1">
        <v>0</v>
      </c>
      <c r="I1684"/>
      <c r="J1684"/>
      <c r="K1684" s="170"/>
      <c r="L1684" s="1">
        <v>0</v>
      </c>
      <c r="Y1684"/>
      <c r="Z1684"/>
      <c r="AB1684"/>
    </row>
    <row r="1685" spans="1:28" ht="14.4" hidden="1">
      <c r="A1685" t="s">
        <v>211</v>
      </c>
      <c r="B1685" s="1">
        <v>136</v>
      </c>
      <c r="C1685" s="258" t="s">
        <v>4248</v>
      </c>
      <c r="D1685" t="s">
        <v>1277</v>
      </c>
      <c r="E1685" t="s">
        <v>1905</v>
      </c>
      <c r="F1685"/>
      <c r="H1685" s="1">
        <v>0</v>
      </c>
      <c r="I1685"/>
      <c r="J1685"/>
      <c r="K1685" s="170"/>
      <c r="L1685" s="1">
        <v>0</v>
      </c>
      <c r="Y1685"/>
      <c r="Z1685"/>
      <c r="AB1685"/>
    </row>
    <row r="1686" spans="1:28" ht="14.4" hidden="1">
      <c r="A1686" t="s">
        <v>211</v>
      </c>
      <c r="B1686" s="1">
        <v>137</v>
      </c>
      <c r="C1686" s="258" t="s">
        <v>4249</v>
      </c>
      <c r="D1686" t="s">
        <v>1277</v>
      </c>
      <c r="E1686" t="s">
        <v>1907</v>
      </c>
      <c r="F1686"/>
      <c r="H1686" s="1">
        <v>0</v>
      </c>
      <c r="I1686"/>
      <c r="J1686"/>
      <c r="K1686" s="170"/>
      <c r="L1686" s="1">
        <v>0</v>
      </c>
      <c r="Y1686"/>
      <c r="Z1686"/>
      <c r="AB1686"/>
    </row>
    <row r="1687" spans="1:28" ht="14.4" hidden="1">
      <c r="A1687" t="s">
        <v>211</v>
      </c>
      <c r="B1687" s="1">
        <v>138</v>
      </c>
      <c r="C1687" s="258" t="s">
        <v>4250</v>
      </c>
      <c r="D1687" t="s">
        <v>1277</v>
      </c>
      <c r="E1687" t="s">
        <v>1909</v>
      </c>
      <c r="F1687"/>
      <c r="H1687" s="1">
        <v>0</v>
      </c>
      <c r="I1687"/>
      <c r="J1687"/>
      <c r="K1687" s="170"/>
      <c r="L1687" s="1">
        <v>0</v>
      </c>
      <c r="Y1687"/>
      <c r="Z1687"/>
      <c r="AB1687"/>
    </row>
    <row r="1688" spans="1:28" ht="14.4" hidden="1">
      <c r="A1688" t="s">
        <v>211</v>
      </c>
      <c r="B1688" s="1">
        <v>141</v>
      </c>
      <c r="C1688" s="258" t="s">
        <v>4251</v>
      </c>
      <c r="D1688" t="s">
        <v>1280</v>
      </c>
      <c r="E1688" t="s">
        <v>1281</v>
      </c>
      <c r="F1688"/>
      <c r="H1688" s="1">
        <v>0</v>
      </c>
      <c r="I1688"/>
      <c r="J1688"/>
      <c r="K1688" s="170">
        <v>45777</v>
      </c>
      <c r="L1688" s="1">
        <v>0</v>
      </c>
      <c r="M1688" s="1">
        <v>45747</v>
      </c>
      <c r="N1688" s="1">
        <v>5435.5</v>
      </c>
      <c r="Y1688"/>
      <c r="Z1688"/>
      <c r="AB1688"/>
    </row>
    <row r="1689" spans="1:28" ht="14.4" hidden="1">
      <c r="A1689" t="s">
        <v>211</v>
      </c>
      <c r="B1689" s="1">
        <v>142</v>
      </c>
      <c r="C1689" s="258" t="s">
        <v>4252</v>
      </c>
      <c r="D1689" t="s">
        <v>1280</v>
      </c>
      <c r="E1689" t="s">
        <v>1281</v>
      </c>
      <c r="F1689"/>
      <c r="H1689" s="1">
        <v>0</v>
      </c>
      <c r="I1689"/>
      <c r="J1689"/>
      <c r="K1689" s="170">
        <v>45777</v>
      </c>
      <c r="L1689" s="1">
        <v>0</v>
      </c>
      <c r="M1689" s="1">
        <v>45777</v>
      </c>
      <c r="Y1689"/>
      <c r="Z1689"/>
      <c r="AB1689"/>
    </row>
    <row r="1690" spans="1:28" ht="14.4" hidden="1">
      <c r="A1690" t="s">
        <v>211</v>
      </c>
      <c r="B1690" s="1">
        <v>143</v>
      </c>
      <c r="C1690" s="258" t="s">
        <v>4253</v>
      </c>
      <c r="D1690" t="s">
        <v>1280</v>
      </c>
      <c r="E1690" t="s">
        <v>1281</v>
      </c>
      <c r="F1690"/>
      <c r="H1690" s="1">
        <v>0</v>
      </c>
      <c r="I1690"/>
      <c r="J1690"/>
      <c r="K1690" s="170">
        <v>45808</v>
      </c>
      <c r="L1690" s="1">
        <v>0</v>
      </c>
      <c r="M1690" s="1">
        <v>45808</v>
      </c>
      <c r="Y1690"/>
      <c r="Z1690"/>
      <c r="AB1690"/>
    </row>
    <row r="1691" spans="1:28" ht="14.4" hidden="1">
      <c r="A1691" t="s">
        <v>211</v>
      </c>
      <c r="B1691" s="1">
        <v>144</v>
      </c>
      <c r="C1691" s="258" t="s">
        <v>4254</v>
      </c>
      <c r="D1691" t="s">
        <v>1280</v>
      </c>
      <c r="E1691" t="s">
        <v>1281</v>
      </c>
      <c r="F1691"/>
      <c r="H1691" s="1">
        <v>3959.01</v>
      </c>
      <c r="I1691"/>
      <c r="J1691" t="s">
        <v>1604</v>
      </c>
      <c r="K1691" s="170">
        <v>45838</v>
      </c>
      <c r="L1691" s="1">
        <v>1391.3566709944059</v>
      </c>
      <c r="M1691" s="1">
        <v>45842</v>
      </c>
      <c r="Y1691"/>
      <c r="Z1691"/>
      <c r="AB1691"/>
    </row>
    <row r="1692" spans="1:28" ht="14.4" hidden="1">
      <c r="A1692" t="s">
        <v>211</v>
      </c>
      <c r="B1692" s="1">
        <v>145</v>
      </c>
      <c r="C1692" s="258" t="s">
        <v>4255</v>
      </c>
      <c r="D1692" t="s">
        <v>1280</v>
      </c>
      <c r="E1692" t="s">
        <v>1281</v>
      </c>
      <c r="F1692"/>
      <c r="H1692" s="1">
        <v>0</v>
      </c>
      <c r="I1692"/>
      <c r="J1692" t="s">
        <v>1604</v>
      </c>
      <c r="K1692" s="170">
        <v>45869</v>
      </c>
      <c r="L1692" s="1">
        <v>0</v>
      </c>
      <c r="M1692" s="1">
        <v>45869</v>
      </c>
      <c r="Y1692"/>
      <c r="Z1692"/>
      <c r="AB1692"/>
    </row>
    <row r="1693" spans="1:28" ht="14.4" hidden="1">
      <c r="A1693" t="s">
        <v>211</v>
      </c>
      <c r="B1693" s="1">
        <v>146</v>
      </c>
      <c r="C1693" s="258" t="s">
        <v>4256</v>
      </c>
      <c r="D1693" t="s">
        <v>1280</v>
      </c>
      <c r="E1693" t="s">
        <v>1281</v>
      </c>
      <c r="F1693"/>
      <c r="H1693" s="1">
        <v>1476.4900000000002</v>
      </c>
      <c r="I1693"/>
      <c r="J1693" t="s">
        <v>1604</v>
      </c>
      <c r="K1693" s="170">
        <v>45900</v>
      </c>
      <c r="L1693" s="1">
        <v>612.61513840317707</v>
      </c>
      <c r="M1693" s="1">
        <v>45905</v>
      </c>
      <c r="Y1693"/>
      <c r="Z1693"/>
      <c r="AB1693"/>
    </row>
    <row r="1694" spans="1:28" ht="14.4" hidden="1">
      <c r="A1694" t="s">
        <v>211</v>
      </c>
      <c r="B1694" s="1">
        <v>147</v>
      </c>
      <c r="C1694" s="258" t="s">
        <v>4257</v>
      </c>
      <c r="D1694" t="s">
        <v>1280</v>
      </c>
      <c r="E1694" t="s">
        <v>1281</v>
      </c>
      <c r="F1694"/>
      <c r="H1694" s="1">
        <v>0</v>
      </c>
      <c r="I1694"/>
      <c r="J1694" t="s">
        <v>1604</v>
      </c>
      <c r="K1694" s="170">
        <v>45930</v>
      </c>
      <c r="L1694" s="1">
        <v>0</v>
      </c>
      <c r="M1694" s="1">
        <v>45930</v>
      </c>
      <c r="Y1694"/>
      <c r="Z1694"/>
      <c r="AB1694"/>
    </row>
    <row r="1695" spans="1:28" ht="14.4" hidden="1">
      <c r="A1695" t="s">
        <v>211</v>
      </c>
      <c r="B1695" s="1">
        <v>148</v>
      </c>
      <c r="C1695" s="258" t="s">
        <v>4258</v>
      </c>
      <c r="D1695" t="s">
        <v>1280</v>
      </c>
      <c r="E1695" t="s">
        <v>1281</v>
      </c>
      <c r="F1695"/>
      <c r="H1695" s="1">
        <v>0</v>
      </c>
      <c r="I1695"/>
      <c r="J1695" t="s">
        <v>1604</v>
      </c>
      <c r="K1695" s="170">
        <v>45961</v>
      </c>
      <c r="L1695" s="1">
        <v>0</v>
      </c>
      <c r="M1695" s="1">
        <v>45961</v>
      </c>
      <c r="Y1695"/>
      <c r="Z1695"/>
      <c r="AB1695"/>
    </row>
    <row r="1696" spans="1:28" ht="14.4" hidden="1">
      <c r="A1696" t="s">
        <v>211</v>
      </c>
      <c r="B1696" s="1">
        <v>149</v>
      </c>
      <c r="C1696" s="258" t="s">
        <v>4259</v>
      </c>
      <c r="D1696" t="s">
        <v>1280</v>
      </c>
      <c r="E1696" t="s">
        <v>1281</v>
      </c>
      <c r="F1696"/>
      <c r="H1696" s="1">
        <v>0</v>
      </c>
      <c r="I1696"/>
      <c r="J1696" t="s">
        <v>1604</v>
      </c>
      <c r="K1696" s="170">
        <v>45991</v>
      </c>
      <c r="L1696" s="1">
        <v>1496.03</v>
      </c>
      <c r="M1696" s="1">
        <v>45996</v>
      </c>
      <c r="Y1696"/>
      <c r="Z1696"/>
      <c r="AB1696"/>
    </row>
    <row r="1697" spans="1:28" ht="14.4" hidden="1">
      <c r="A1697" t="s">
        <v>211</v>
      </c>
      <c r="B1697" s="1">
        <v>150</v>
      </c>
      <c r="C1697" s="258" t="s">
        <v>4260</v>
      </c>
      <c r="D1697" t="s">
        <v>1280</v>
      </c>
      <c r="E1697" t="s">
        <v>1281</v>
      </c>
      <c r="F1697"/>
      <c r="H1697" s="1">
        <v>0</v>
      </c>
      <c r="I1697"/>
      <c r="J1697"/>
      <c r="K1697" s="170"/>
      <c r="L1697" s="1">
        <v>0</v>
      </c>
      <c r="Y1697"/>
      <c r="Z1697"/>
      <c r="AB1697"/>
    </row>
    <row r="1698" spans="1:28" ht="14.4" hidden="1">
      <c r="A1698" t="s">
        <v>211</v>
      </c>
      <c r="B1698" s="1">
        <v>157</v>
      </c>
      <c r="C1698" s="258" t="s">
        <v>4261</v>
      </c>
      <c r="D1698" t="s">
        <v>1451</v>
      </c>
      <c r="E1698" t="s">
        <v>3226</v>
      </c>
      <c r="F1698"/>
      <c r="H1698" s="1">
        <v>0</v>
      </c>
      <c r="I1698"/>
      <c r="J1698"/>
      <c r="K1698" s="170">
        <v>45900</v>
      </c>
      <c r="L1698" s="1">
        <v>300000</v>
      </c>
      <c r="Y1698"/>
      <c r="Z1698"/>
      <c r="AB1698"/>
    </row>
    <row r="1699" spans="1:28" ht="14.4" hidden="1">
      <c r="A1699" t="s">
        <v>211</v>
      </c>
      <c r="B1699" s="1">
        <v>160</v>
      </c>
      <c r="C1699" s="258" t="s">
        <v>4262</v>
      </c>
      <c r="D1699" t="s">
        <v>1451</v>
      </c>
      <c r="E1699" t="s">
        <v>4263</v>
      </c>
      <c r="F1699"/>
      <c r="H1699" s="1">
        <v>0</v>
      </c>
      <c r="I1699"/>
      <c r="J1699"/>
      <c r="K1699" s="170"/>
      <c r="Y1699"/>
      <c r="Z1699"/>
      <c r="AB1699"/>
    </row>
    <row r="1700" spans="1:28" ht="14.4" hidden="1">
      <c r="A1700" t="s">
        <v>211</v>
      </c>
      <c r="B1700" s="1">
        <v>162</v>
      </c>
      <c r="C1700" s="258" t="s">
        <v>4264</v>
      </c>
      <c r="D1700" t="s">
        <v>1451</v>
      </c>
      <c r="E1700" t="s">
        <v>4265</v>
      </c>
      <c r="F1700">
        <v>24898</v>
      </c>
      <c r="G1700">
        <v>0.5</v>
      </c>
      <c r="H1700" s="1">
        <v>12449</v>
      </c>
      <c r="I1700" t="s">
        <v>4266</v>
      </c>
      <c r="J1700" t="s">
        <v>4267</v>
      </c>
      <c r="K1700" s="170">
        <v>45961</v>
      </c>
      <c r="M1700" s="1">
        <v>45967</v>
      </c>
      <c r="V1700" s="1"/>
      <c r="Y1700"/>
      <c r="Z1700"/>
      <c r="AB1700"/>
    </row>
    <row r="1701" spans="1:28" ht="14.4" hidden="1">
      <c r="A1701" t="s">
        <v>211</v>
      </c>
      <c r="B1701" s="1">
        <v>163</v>
      </c>
      <c r="C1701" s="258" t="s">
        <v>4268</v>
      </c>
      <c r="D1701" t="s">
        <v>1451</v>
      </c>
      <c r="F1701"/>
      <c r="G1701">
        <v>0.5</v>
      </c>
      <c r="H1701" s="1">
        <v>12449</v>
      </c>
      <c r="I1701"/>
      <c r="J1701" t="s">
        <v>4267</v>
      </c>
      <c r="K1701" s="170">
        <v>45961</v>
      </c>
      <c r="M1701" s="1">
        <v>46088</v>
      </c>
      <c r="V1701" s="1"/>
      <c r="Y1701"/>
      <c r="Z1701"/>
      <c r="AB1701"/>
    </row>
    <row r="1702" spans="1:28" ht="14.4" hidden="1">
      <c r="A1702" t="s">
        <v>213</v>
      </c>
      <c r="B1702" s="1">
        <v>6</v>
      </c>
      <c r="C1702" s="258" t="s">
        <v>4269</v>
      </c>
      <c r="D1702" t="s">
        <v>1146</v>
      </c>
      <c r="E1702" t="s">
        <v>4270</v>
      </c>
      <c r="F1702">
        <v>1262</v>
      </c>
      <c r="G1702">
        <v>1327.95</v>
      </c>
      <c r="H1702" s="1">
        <v>1675872.9</v>
      </c>
      <c r="I1702" t="s">
        <v>4271</v>
      </c>
      <c r="J1702" t="s">
        <v>4272</v>
      </c>
      <c r="K1702" s="170">
        <v>45777</v>
      </c>
      <c r="L1702" s="1">
        <v>1822352.321612654</v>
      </c>
      <c r="M1702" s="1">
        <v>45867</v>
      </c>
      <c r="N1702" s="1">
        <v>1872409.5</v>
      </c>
      <c r="V1702" s="1"/>
      <c r="Y1702"/>
      <c r="Z1702"/>
      <c r="AB1702"/>
    </row>
    <row r="1703" spans="1:28" ht="14.4" hidden="1">
      <c r="A1703" t="s">
        <v>213</v>
      </c>
      <c r="B1703" s="1">
        <v>9</v>
      </c>
      <c r="C1703" s="258" t="s">
        <v>4273</v>
      </c>
      <c r="D1703" t="s">
        <v>1146</v>
      </c>
      <c r="E1703" t="s">
        <v>4274</v>
      </c>
      <c r="F1703">
        <v>148</v>
      </c>
      <c r="G1703">
        <v>1327.95</v>
      </c>
      <c r="H1703" s="1">
        <v>196536.6</v>
      </c>
      <c r="I1703"/>
      <c r="J1703" t="s">
        <v>4275</v>
      </c>
      <c r="K1703" s="170">
        <v>45808</v>
      </c>
      <c r="L1703" s="1">
        <v>215158.87311411992</v>
      </c>
      <c r="M1703" s="1">
        <v>45866</v>
      </c>
      <c r="V1703" s="1"/>
      <c r="Y1703"/>
      <c r="Z1703"/>
      <c r="AB1703"/>
    </row>
    <row r="1704" spans="1:28" ht="14.4" hidden="1">
      <c r="A1704" t="s">
        <v>213</v>
      </c>
      <c r="B1704" s="1">
        <v>13</v>
      </c>
      <c r="C1704" s="258" t="s">
        <v>4276</v>
      </c>
      <c r="D1704" t="s">
        <v>1157</v>
      </c>
      <c r="E1704" t="s">
        <v>3079</v>
      </c>
      <c r="F1704">
        <v>7</v>
      </c>
      <c r="G1704">
        <v>68870</v>
      </c>
      <c r="H1704" s="1">
        <v>482092.45</v>
      </c>
      <c r="I1704" t="s">
        <v>4277</v>
      </c>
      <c r="J1704" t="s">
        <v>4278</v>
      </c>
      <c r="K1704" s="170">
        <v>45838</v>
      </c>
      <c r="L1704" s="1">
        <v>545454.54545454541</v>
      </c>
      <c r="M1704" s="1">
        <v>45867</v>
      </c>
      <c r="N1704" s="1">
        <v>483092.45000000007</v>
      </c>
      <c r="V1704" s="1"/>
      <c r="Y1704"/>
      <c r="Z1704"/>
      <c r="AB1704"/>
    </row>
    <row r="1705" spans="1:28" ht="14.4" hidden="1">
      <c r="A1705" t="s">
        <v>213</v>
      </c>
      <c r="B1705" s="1">
        <v>14</v>
      </c>
      <c r="C1705" s="258" t="s">
        <v>4279</v>
      </c>
      <c r="D1705" t="s">
        <v>1157</v>
      </c>
      <c r="E1705" t="s">
        <v>3079</v>
      </c>
      <c r="F1705"/>
      <c r="H1705" s="1">
        <v>68870.350000000006</v>
      </c>
      <c r="I1705"/>
      <c r="J1705" t="s">
        <v>4280</v>
      </c>
      <c r="K1705" s="170">
        <v>45961</v>
      </c>
      <c r="L1705" s="1">
        <v>0</v>
      </c>
      <c r="M1705" s="1">
        <v>45995</v>
      </c>
      <c r="V1705" s="1"/>
      <c r="Y1705"/>
      <c r="Z1705"/>
      <c r="AB1705"/>
    </row>
    <row r="1706" spans="1:28" ht="14.4" hidden="1">
      <c r="A1706" t="s">
        <v>213</v>
      </c>
      <c r="B1706" s="1">
        <v>15</v>
      </c>
      <c r="C1706" s="258" t="s">
        <v>4281</v>
      </c>
      <c r="D1706" t="s">
        <v>1157</v>
      </c>
      <c r="F1706"/>
      <c r="H1706" s="1">
        <v>1000</v>
      </c>
      <c r="I1706"/>
      <c r="J1706" t="s">
        <v>4280</v>
      </c>
      <c r="K1706" s="170">
        <v>45961</v>
      </c>
      <c r="L1706" s="1">
        <v>0</v>
      </c>
      <c r="M1706" s="1">
        <v>45995</v>
      </c>
      <c r="V1706" s="1"/>
      <c r="Y1706"/>
      <c r="Z1706"/>
      <c r="AB1706"/>
    </row>
    <row r="1707" spans="1:28" ht="14.4" hidden="1">
      <c r="A1707" t="s">
        <v>213</v>
      </c>
      <c r="B1707" s="1">
        <v>16</v>
      </c>
      <c r="C1707" s="258" t="s">
        <v>4282</v>
      </c>
      <c r="D1707" t="s">
        <v>1157</v>
      </c>
      <c r="F1707"/>
      <c r="H1707" s="1">
        <v>-68870.350000000006</v>
      </c>
      <c r="I1707"/>
      <c r="J1707" t="s">
        <v>4283</v>
      </c>
      <c r="K1707" s="170">
        <v>45961</v>
      </c>
      <c r="L1707" s="1">
        <v>0</v>
      </c>
      <c r="M1707" s="1">
        <v>45991</v>
      </c>
      <c r="V1707" s="1"/>
      <c r="Y1707"/>
      <c r="Z1707"/>
      <c r="AB1707"/>
    </row>
    <row r="1708" spans="1:28" ht="14.4" hidden="1">
      <c r="A1708" t="s">
        <v>213</v>
      </c>
      <c r="B1708" s="1">
        <v>21</v>
      </c>
      <c r="C1708" s="258" t="s">
        <v>4284</v>
      </c>
      <c r="D1708" t="s">
        <v>1160</v>
      </c>
      <c r="E1708" t="s">
        <v>1161</v>
      </c>
      <c r="F1708"/>
      <c r="H1708" s="1">
        <v>161223.6</v>
      </c>
      <c r="I1708" t="s">
        <v>4285</v>
      </c>
      <c r="J1708" t="s">
        <v>4286</v>
      </c>
      <c r="K1708" s="170">
        <v>45838</v>
      </c>
      <c r="L1708" s="1">
        <v>391583.72662460915</v>
      </c>
      <c r="M1708" s="1">
        <v>45867</v>
      </c>
      <c r="N1708" s="1">
        <v>166868.6</v>
      </c>
      <c r="V1708" s="1"/>
      <c r="Y1708"/>
      <c r="Z1708"/>
      <c r="AB1708"/>
    </row>
    <row r="1709" spans="1:28" ht="14.4" hidden="1">
      <c r="A1709" t="s">
        <v>213</v>
      </c>
      <c r="B1709" s="1">
        <v>22</v>
      </c>
      <c r="C1709" s="258" t="s">
        <v>4287</v>
      </c>
      <c r="D1709" t="s">
        <v>1160</v>
      </c>
      <c r="E1709" t="s">
        <v>4288</v>
      </c>
      <c r="F1709"/>
      <c r="H1709" s="1">
        <v>12440</v>
      </c>
      <c r="I1709"/>
      <c r="J1709" t="s">
        <v>4289</v>
      </c>
      <c r="K1709" s="170">
        <v>45838</v>
      </c>
      <c r="L1709" s="1">
        <v>30214.568829936416</v>
      </c>
      <c r="M1709" s="1">
        <v>45838</v>
      </c>
      <c r="V1709" s="1"/>
      <c r="Y1709"/>
      <c r="Z1709"/>
      <c r="AB1709"/>
    </row>
    <row r="1710" spans="1:28" ht="14.4" hidden="1">
      <c r="A1710" t="s">
        <v>213</v>
      </c>
      <c r="B1710" s="1">
        <v>23</v>
      </c>
      <c r="C1710" s="258" t="s">
        <v>4290</v>
      </c>
      <c r="D1710" t="s">
        <v>1160</v>
      </c>
      <c r="E1710" t="s">
        <v>4291</v>
      </c>
      <c r="F1710"/>
      <c r="H1710" s="1">
        <v>-12440</v>
      </c>
      <c r="I1710"/>
      <c r="J1710" t="s">
        <v>4292</v>
      </c>
      <c r="K1710" s="170">
        <v>45869</v>
      </c>
      <c r="L1710" s="1">
        <v>0</v>
      </c>
      <c r="M1710" s="1">
        <v>45869</v>
      </c>
      <c r="V1710" s="1"/>
      <c r="Y1710"/>
      <c r="Z1710"/>
      <c r="AB1710"/>
    </row>
    <row r="1711" spans="1:28" ht="14.4" hidden="1">
      <c r="A1711" t="s">
        <v>213</v>
      </c>
      <c r="B1711" s="1">
        <v>24</v>
      </c>
      <c r="C1711" s="258" t="s">
        <v>4293</v>
      </c>
      <c r="D1711" t="s">
        <v>1160</v>
      </c>
      <c r="E1711" t="s">
        <v>3597</v>
      </c>
      <c r="F1711"/>
      <c r="H1711" s="1">
        <v>5645</v>
      </c>
      <c r="I1711"/>
      <c r="J1711" t="s">
        <v>4289</v>
      </c>
      <c r="K1711" s="170">
        <v>45869</v>
      </c>
      <c r="L1711" s="1">
        <v>0</v>
      </c>
      <c r="M1711" s="1">
        <v>45869</v>
      </c>
      <c r="V1711" s="1"/>
      <c r="Y1711"/>
      <c r="Z1711"/>
      <c r="AB1711"/>
    </row>
    <row r="1712" spans="1:28" ht="14.4" hidden="1">
      <c r="A1712" t="s">
        <v>213</v>
      </c>
      <c r="B1712" s="1">
        <v>28</v>
      </c>
      <c r="C1712" s="258" t="s">
        <v>4294</v>
      </c>
      <c r="D1712" t="s">
        <v>1165</v>
      </c>
      <c r="E1712" t="s">
        <v>1953</v>
      </c>
      <c r="F1712">
        <v>16000</v>
      </c>
      <c r="G1712">
        <v>13.3</v>
      </c>
      <c r="H1712" s="1">
        <v>212800</v>
      </c>
      <c r="I1712" t="s">
        <v>4295</v>
      </c>
      <c r="J1712" t="s">
        <v>4272</v>
      </c>
      <c r="K1712" s="170">
        <v>45777</v>
      </c>
      <c r="L1712" s="1">
        <v>266460.35137266834</v>
      </c>
      <c r="M1712" s="1">
        <v>45867</v>
      </c>
      <c r="N1712" s="1">
        <v>401319.83549999999</v>
      </c>
      <c r="V1712" s="1"/>
      <c r="Y1712"/>
      <c r="Z1712"/>
      <c r="AB1712"/>
    </row>
    <row r="1713" spans="1:28" ht="14.4" hidden="1">
      <c r="A1713" t="s">
        <v>213</v>
      </c>
      <c r="B1713" s="1">
        <v>32</v>
      </c>
      <c r="C1713" s="258" t="s">
        <v>4296</v>
      </c>
      <c r="D1713" t="s">
        <v>1165</v>
      </c>
      <c r="E1713" t="s">
        <v>1169</v>
      </c>
      <c r="F1713">
        <v>188519.83</v>
      </c>
      <c r="G1713">
        <v>0.1</v>
      </c>
      <c r="H1713" s="1">
        <v>18851.983</v>
      </c>
      <c r="I1713" t="s">
        <v>4297</v>
      </c>
      <c r="J1713" t="s">
        <v>4298</v>
      </c>
      <c r="K1713" s="170">
        <v>45808</v>
      </c>
      <c r="L1713" s="1">
        <v>34732.164501646854</v>
      </c>
      <c r="M1713" s="1">
        <v>45813</v>
      </c>
      <c r="V1713" s="1"/>
      <c r="Y1713"/>
      <c r="Z1713"/>
      <c r="AB1713"/>
    </row>
    <row r="1714" spans="1:28" ht="14.4" hidden="1">
      <c r="A1714" t="s">
        <v>213</v>
      </c>
      <c r="B1714" s="1">
        <v>33</v>
      </c>
      <c r="C1714" s="258" t="s">
        <v>4299</v>
      </c>
      <c r="D1714" t="s">
        <v>1165</v>
      </c>
      <c r="E1714" t="s">
        <v>558</v>
      </c>
      <c r="F1714"/>
      <c r="G1714">
        <v>0.15</v>
      </c>
      <c r="H1714" s="1">
        <v>28277.98</v>
      </c>
      <c r="I1714"/>
      <c r="J1714" t="s">
        <v>4300</v>
      </c>
      <c r="K1714" s="170">
        <v>45838</v>
      </c>
      <c r="L1714" s="1">
        <v>93962.946171462478</v>
      </c>
      <c r="M1714" s="1">
        <v>45827</v>
      </c>
      <c r="V1714" s="1"/>
      <c r="Y1714"/>
      <c r="Z1714"/>
      <c r="AB1714"/>
    </row>
    <row r="1715" spans="1:28" ht="14.4" hidden="1">
      <c r="A1715" t="s">
        <v>213</v>
      </c>
      <c r="B1715" s="1">
        <v>34</v>
      </c>
      <c r="C1715" s="258" t="s">
        <v>4301</v>
      </c>
      <c r="D1715" t="s">
        <v>1165</v>
      </c>
      <c r="E1715" t="s">
        <v>1175</v>
      </c>
      <c r="F1715"/>
      <c r="G1715">
        <v>0.2</v>
      </c>
      <c r="H1715" s="1">
        <v>37703.966</v>
      </c>
      <c r="I1715"/>
      <c r="J1715" t="s">
        <v>4302</v>
      </c>
      <c r="K1715" s="170">
        <v>45869</v>
      </c>
      <c r="L1715" s="1">
        <v>111329.0680513004</v>
      </c>
      <c r="M1715" s="1">
        <v>45946</v>
      </c>
      <c r="V1715" s="1"/>
      <c r="Y1715"/>
      <c r="Z1715"/>
      <c r="AB1715"/>
    </row>
    <row r="1716" spans="1:28" ht="14.4" hidden="1">
      <c r="A1716" t="s">
        <v>213</v>
      </c>
      <c r="B1716" s="1">
        <v>35</v>
      </c>
      <c r="C1716" s="258" t="s">
        <v>4303</v>
      </c>
      <c r="D1716" t="s">
        <v>1165</v>
      </c>
      <c r="E1716" t="s">
        <v>1178</v>
      </c>
      <c r="F1716"/>
      <c r="G1716">
        <v>0.25</v>
      </c>
      <c r="H1716" s="1">
        <v>47129.957499999997</v>
      </c>
      <c r="I1716"/>
      <c r="J1716" t="s">
        <v>4302</v>
      </c>
      <c r="K1716" s="170">
        <v>45869</v>
      </c>
      <c r="L1716" s="1">
        <v>128695.11006412546</v>
      </c>
      <c r="M1716" s="1">
        <v>45946</v>
      </c>
      <c r="V1716" s="1"/>
      <c r="Y1716"/>
      <c r="Z1716"/>
      <c r="AB1716"/>
    </row>
    <row r="1717" spans="1:28" ht="14.4" hidden="1">
      <c r="A1717" t="s">
        <v>213</v>
      </c>
      <c r="B1717" s="1">
        <v>36</v>
      </c>
      <c r="C1717" s="258" t="s">
        <v>4304</v>
      </c>
      <c r="D1717" t="s">
        <v>1165</v>
      </c>
      <c r="E1717" t="s">
        <v>1181</v>
      </c>
      <c r="F1717"/>
      <c r="G1717">
        <v>0.1</v>
      </c>
      <c r="H1717" s="1">
        <v>18851.983</v>
      </c>
      <c r="I1717"/>
      <c r="J1717" t="s">
        <v>4302</v>
      </c>
      <c r="K1717" s="170">
        <v>45869</v>
      </c>
      <c r="L1717" s="1">
        <v>34732.164025650192</v>
      </c>
      <c r="M1717" s="1">
        <v>45946</v>
      </c>
      <c r="V1717" s="1"/>
      <c r="Y1717"/>
      <c r="Z1717"/>
      <c r="AB1717"/>
    </row>
    <row r="1718" spans="1:28" ht="14.4" hidden="1">
      <c r="A1718" t="s">
        <v>213</v>
      </c>
      <c r="B1718" s="1">
        <v>37</v>
      </c>
      <c r="C1718" s="258" t="s">
        <v>4305</v>
      </c>
      <c r="D1718" t="s">
        <v>1165</v>
      </c>
      <c r="E1718" t="s">
        <v>1184</v>
      </c>
      <c r="F1718"/>
      <c r="G1718">
        <v>0.1</v>
      </c>
      <c r="H1718" s="1">
        <v>18851.983</v>
      </c>
      <c r="I1718"/>
      <c r="J1718" t="s">
        <v>4302</v>
      </c>
      <c r="K1718" s="170">
        <v>45869</v>
      </c>
      <c r="L1718" s="1">
        <v>34732.164025650192</v>
      </c>
      <c r="M1718" s="1">
        <v>46051</v>
      </c>
      <c r="V1718" s="1"/>
      <c r="Y1718"/>
      <c r="Z1718"/>
      <c r="AB1718"/>
    </row>
    <row r="1719" spans="1:28" ht="14.4" hidden="1">
      <c r="A1719" t="s">
        <v>213</v>
      </c>
      <c r="B1719" s="1">
        <v>38</v>
      </c>
      <c r="C1719" s="258" t="s">
        <v>4306</v>
      </c>
      <c r="D1719" t="s">
        <v>1165</v>
      </c>
      <c r="E1719" t="s">
        <v>1187</v>
      </c>
      <c r="F1719"/>
      <c r="G1719">
        <v>0.05</v>
      </c>
      <c r="H1719" s="1">
        <v>9425.9915000000001</v>
      </c>
      <c r="I1719"/>
      <c r="J1719" t="s">
        <v>4302</v>
      </c>
      <c r="K1719" s="170">
        <v>45869</v>
      </c>
      <c r="L1719" s="1">
        <v>17366.082012825096</v>
      </c>
      <c r="M1719" s="1">
        <v>46058</v>
      </c>
      <c r="V1719" s="1"/>
      <c r="Y1719"/>
      <c r="Z1719"/>
      <c r="AB1719"/>
    </row>
    <row r="1720" spans="1:28" ht="14.4" hidden="1">
      <c r="A1720" t="s">
        <v>213</v>
      </c>
      <c r="B1720" s="1">
        <v>39</v>
      </c>
      <c r="C1720" s="258" t="s">
        <v>4307</v>
      </c>
      <c r="D1720" t="s">
        <v>1165</v>
      </c>
      <c r="E1720" t="s">
        <v>1190</v>
      </c>
      <c r="F1720"/>
      <c r="G1720">
        <v>0.05</v>
      </c>
      <c r="H1720" s="1">
        <v>9425.9915000000001</v>
      </c>
      <c r="I1720"/>
      <c r="J1720" t="s">
        <v>4302</v>
      </c>
      <c r="K1720" s="170">
        <v>45869</v>
      </c>
      <c r="L1720" s="1">
        <v>17366.082012825096</v>
      </c>
      <c r="M1720" s="1">
        <v>46088</v>
      </c>
      <c r="V1720" s="1"/>
      <c r="Y1720"/>
      <c r="Z1720"/>
      <c r="AB1720"/>
    </row>
    <row r="1721" spans="1:28" ht="14.4" hidden="1">
      <c r="A1721" t="s">
        <v>213</v>
      </c>
      <c r="B1721" s="1">
        <v>44</v>
      </c>
      <c r="C1721" s="258" t="s">
        <v>4308</v>
      </c>
      <c r="D1721" t="s">
        <v>1193</v>
      </c>
      <c r="E1721" t="s">
        <v>1489</v>
      </c>
      <c r="F1721"/>
      <c r="H1721" s="1">
        <v>8598.35</v>
      </c>
      <c r="I1721" t="s">
        <v>4309</v>
      </c>
      <c r="J1721" t="s">
        <v>4310</v>
      </c>
      <c r="K1721" s="170">
        <v>45808</v>
      </c>
      <c r="L1721" s="1">
        <v>11776.537717857876</v>
      </c>
      <c r="M1721" s="1">
        <v>45855</v>
      </c>
      <c r="N1721" s="1">
        <v>40802.14</v>
      </c>
      <c r="V1721" s="1"/>
      <c r="Y1721"/>
      <c r="Z1721"/>
      <c r="AB1721"/>
    </row>
    <row r="1722" spans="1:28" ht="14.4" hidden="1">
      <c r="A1722" t="s">
        <v>213</v>
      </c>
      <c r="B1722" s="1">
        <v>45</v>
      </c>
      <c r="C1722" s="258" t="s">
        <v>4311</v>
      </c>
      <c r="D1722" t="s">
        <v>1193</v>
      </c>
      <c r="E1722" t="s">
        <v>1196</v>
      </c>
      <c r="F1722"/>
      <c r="H1722" s="1">
        <v>14805</v>
      </c>
      <c r="I1722" t="s">
        <v>4312</v>
      </c>
      <c r="J1722" t="s">
        <v>4313</v>
      </c>
      <c r="K1722" s="170">
        <v>45777</v>
      </c>
      <c r="L1722" s="1">
        <v>20104.117014554769</v>
      </c>
      <c r="M1722" s="1">
        <v>45806</v>
      </c>
      <c r="V1722" s="1"/>
      <c r="Y1722"/>
      <c r="Z1722"/>
      <c r="AB1722"/>
    </row>
    <row r="1723" spans="1:28" ht="14.4" hidden="1">
      <c r="A1723" t="s">
        <v>213</v>
      </c>
      <c r="B1723" s="1">
        <v>46</v>
      </c>
      <c r="C1723" s="258" t="s">
        <v>4314</v>
      </c>
      <c r="D1723" t="s">
        <v>1193</v>
      </c>
      <c r="E1723" t="s">
        <v>4315</v>
      </c>
      <c r="F1723"/>
      <c r="H1723" s="1">
        <v>214.29</v>
      </c>
      <c r="I1723"/>
      <c r="J1723" t="s">
        <v>3286</v>
      </c>
      <c r="K1723" s="170">
        <v>45838</v>
      </c>
      <c r="L1723" s="1">
        <v>349.57703438549589</v>
      </c>
      <c r="M1723" s="1">
        <v>45867</v>
      </c>
      <c r="V1723" s="1"/>
      <c r="Y1723"/>
      <c r="Z1723"/>
      <c r="AB1723"/>
    </row>
    <row r="1724" spans="1:28" ht="14.4" hidden="1">
      <c r="A1724" t="s">
        <v>213</v>
      </c>
      <c r="B1724" s="1">
        <v>47</v>
      </c>
      <c r="C1724" s="258" t="s">
        <v>4316</v>
      </c>
      <c r="D1724" t="s">
        <v>1193</v>
      </c>
      <c r="E1724" t="s">
        <v>1200</v>
      </c>
      <c r="F1724"/>
      <c r="H1724" s="1">
        <v>14934</v>
      </c>
      <c r="I1724"/>
      <c r="J1724" t="s">
        <v>2969</v>
      </c>
      <c r="K1724" s="170">
        <v>45838</v>
      </c>
      <c r="L1724" s="1">
        <v>20195.274198110019</v>
      </c>
      <c r="M1724" s="1">
        <v>45838</v>
      </c>
      <c r="V1724" s="1"/>
      <c r="Y1724"/>
      <c r="Z1724"/>
      <c r="AB1724"/>
    </row>
    <row r="1725" spans="1:28" ht="14.4" hidden="1">
      <c r="A1725" t="s">
        <v>213</v>
      </c>
      <c r="B1725" s="1">
        <v>48</v>
      </c>
      <c r="C1725" s="258" t="s">
        <v>4317</v>
      </c>
      <c r="D1725" t="s">
        <v>1193</v>
      </c>
      <c r="E1725" t="s">
        <v>2768</v>
      </c>
      <c r="F1725"/>
      <c r="H1725" s="1">
        <v>2250.5</v>
      </c>
      <c r="I1725" t="s">
        <v>2971</v>
      </c>
      <c r="J1725" t="s">
        <v>4318</v>
      </c>
      <c r="K1725" s="170">
        <v>45808</v>
      </c>
      <c r="L1725" s="1">
        <v>3256.3124115718888</v>
      </c>
      <c r="M1725" s="1">
        <v>45799</v>
      </c>
      <c r="V1725" s="1"/>
      <c r="Y1725"/>
      <c r="Z1725"/>
      <c r="AB1725"/>
    </row>
    <row r="1726" spans="1:28" ht="14.4" hidden="1">
      <c r="A1726" t="s">
        <v>213</v>
      </c>
      <c r="B1726" s="1">
        <v>54</v>
      </c>
      <c r="C1726" s="258" t="s">
        <v>4319</v>
      </c>
      <c r="D1726" t="s">
        <v>1211</v>
      </c>
      <c r="E1726" t="s">
        <v>1212</v>
      </c>
      <c r="F1726"/>
      <c r="H1726" s="1">
        <v>218675.07</v>
      </c>
      <c r="I1726" t="s">
        <v>4320</v>
      </c>
      <c r="J1726" t="s">
        <v>4321</v>
      </c>
      <c r="K1726" s="170">
        <v>45869</v>
      </c>
      <c r="L1726" s="1">
        <v>520577.2175505645</v>
      </c>
      <c r="M1726" s="1">
        <v>45899</v>
      </c>
      <c r="V1726" s="1"/>
      <c r="Y1726"/>
      <c r="Z1726"/>
      <c r="AB1726"/>
    </row>
    <row r="1727" spans="1:28" ht="14.4" hidden="1">
      <c r="A1727" t="s">
        <v>213</v>
      </c>
      <c r="B1727" s="1">
        <v>59</v>
      </c>
      <c r="C1727" s="258" t="s">
        <v>4322</v>
      </c>
      <c r="D1727" t="s">
        <v>1211</v>
      </c>
      <c r="E1727" t="s">
        <v>1169</v>
      </c>
      <c r="F1727">
        <v>159695.79</v>
      </c>
      <c r="G1727">
        <v>0.1</v>
      </c>
      <c r="H1727" s="1">
        <v>15969.579000000002</v>
      </c>
      <c r="I1727" t="s">
        <v>4297</v>
      </c>
      <c r="J1727" t="s">
        <v>4298</v>
      </c>
      <c r="K1727" s="170">
        <v>45808</v>
      </c>
      <c r="L1727" s="1">
        <v>38574.474130122515</v>
      </c>
      <c r="M1727" s="1">
        <v>45813</v>
      </c>
      <c r="V1727" s="1"/>
      <c r="Y1727"/>
      <c r="Z1727"/>
      <c r="AB1727"/>
    </row>
    <row r="1728" spans="1:28" ht="14.4" hidden="1">
      <c r="A1728" t="s">
        <v>213</v>
      </c>
      <c r="B1728" s="1">
        <v>60</v>
      </c>
      <c r="C1728" s="258" t="s">
        <v>4323</v>
      </c>
      <c r="D1728" t="s">
        <v>1211</v>
      </c>
      <c r="E1728" t="s">
        <v>558</v>
      </c>
      <c r="F1728"/>
      <c r="G1728">
        <v>0.15</v>
      </c>
      <c r="H1728" s="1">
        <v>23954.3685</v>
      </c>
      <c r="I1728"/>
      <c r="J1728" t="s">
        <v>4300</v>
      </c>
      <c r="K1728" s="170">
        <v>45838</v>
      </c>
      <c r="L1728" s="1">
        <v>57861.711195183751</v>
      </c>
      <c r="M1728" s="1">
        <v>45827</v>
      </c>
      <c r="V1728" s="1"/>
      <c r="Y1728"/>
      <c r="Z1728"/>
      <c r="AB1728"/>
    </row>
    <row r="1729" spans="1:28" ht="14.4" hidden="1">
      <c r="A1729" t="s">
        <v>213</v>
      </c>
      <c r="B1729" s="1">
        <v>61</v>
      </c>
      <c r="C1729" s="258" t="s">
        <v>4324</v>
      </c>
      <c r="D1729" t="s">
        <v>1211</v>
      </c>
      <c r="E1729" t="s">
        <v>1175</v>
      </c>
      <c r="F1729"/>
      <c r="G1729">
        <v>0.2</v>
      </c>
      <c r="H1729" s="1">
        <v>31939.158000000003</v>
      </c>
      <c r="I1729"/>
      <c r="J1729" t="s">
        <v>4302</v>
      </c>
      <c r="K1729" s="170">
        <v>45869</v>
      </c>
      <c r="L1729" s="1">
        <v>74640.903999768474</v>
      </c>
      <c r="M1729" s="1">
        <v>45946</v>
      </c>
      <c r="V1729" s="1"/>
      <c r="Y1729"/>
      <c r="Z1729"/>
      <c r="AB1729"/>
    </row>
    <row r="1730" spans="1:28" ht="14.4" hidden="1">
      <c r="A1730" t="s">
        <v>213</v>
      </c>
      <c r="B1730" s="1">
        <v>62</v>
      </c>
      <c r="C1730" s="258" t="s">
        <v>4325</v>
      </c>
      <c r="D1730" t="s">
        <v>1211</v>
      </c>
      <c r="E1730" t="s">
        <v>1178</v>
      </c>
      <c r="F1730"/>
      <c r="G1730">
        <v>0.25</v>
      </c>
      <c r="H1730" s="1">
        <v>39923.947500000002</v>
      </c>
      <c r="I1730"/>
      <c r="J1730" t="s">
        <v>4302</v>
      </c>
      <c r="K1730" s="170">
        <v>45869</v>
      </c>
      <c r="L1730" s="1">
        <v>95042.829999710593</v>
      </c>
      <c r="M1730" s="1">
        <v>45946</v>
      </c>
      <c r="V1730" s="1"/>
      <c r="Y1730"/>
      <c r="Z1730"/>
      <c r="AB1730"/>
    </row>
    <row r="1731" spans="1:28" ht="14.4" hidden="1">
      <c r="A1731" t="s">
        <v>213</v>
      </c>
      <c r="B1731" s="1">
        <v>63</v>
      </c>
      <c r="C1731" s="258" t="s">
        <v>4326</v>
      </c>
      <c r="D1731" t="s">
        <v>1211</v>
      </c>
      <c r="E1731" t="s">
        <v>1181</v>
      </c>
      <c r="F1731"/>
      <c r="G1731">
        <v>0.1</v>
      </c>
      <c r="H1731" s="1">
        <v>15969.579000000002</v>
      </c>
      <c r="I1731"/>
      <c r="J1731" t="s">
        <v>4302</v>
      </c>
      <c r="K1731" s="170">
        <v>45869</v>
      </c>
      <c r="L1731" s="1">
        <v>38017.131999884237</v>
      </c>
      <c r="M1731" s="1">
        <v>45946</v>
      </c>
      <c r="V1731" s="1"/>
      <c r="Y1731"/>
      <c r="Z1731"/>
      <c r="AB1731"/>
    </row>
    <row r="1732" spans="1:28" ht="14.4" hidden="1">
      <c r="A1732" t="s">
        <v>213</v>
      </c>
      <c r="B1732" s="1">
        <v>64</v>
      </c>
      <c r="C1732" s="258" t="s">
        <v>4327</v>
      </c>
      <c r="D1732" t="s">
        <v>1211</v>
      </c>
      <c r="E1732" t="s">
        <v>1184</v>
      </c>
      <c r="F1732"/>
      <c r="G1732">
        <v>0.1</v>
      </c>
      <c r="H1732" s="1">
        <v>15969.579000000002</v>
      </c>
      <c r="I1732"/>
      <c r="J1732" t="s">
        <v>4302</v>
      </c>
      <c r="K1732" s="170">
        <v>45869</v>
      </c>
      <c r="L1732" s="1">
        <v>38017.131999884237</v>
      </c>
      <c r="M1732" s="1">
        <v>46051</v>
      </c>
      <c r="V1732" s="1"/>
      <c r="Y1732"/>
      <c r="Z1732"/>
      <c r="AB1732"/>
    </row>
    <row r="1733" spans="1:28" ht="14.4" hidden="1">
      <c r="A1733" t="s">
        <v>213</v>
      </c>
      <c r="B1733" s="1">
        <v>65</v>
      </c>
      <c r="C1733" s="258" t="s">
        <v>4328</v>
      </c>
      <c r="D1733" t="s">
        <v>1211</v>
      </c>
      <c r="E1733" t="s">
        <v>1187</v>
      </c>
      <c r="F1733"/>
      <c r="G1733">
        <v>0.05</v>
      </c>
      <c r="H1733" s="1">
        <v>7984.7894999999999</v>
      </c>
      <c r="I1733"/>
      <c r="J1733" t="s">
        <v>4302</v>
      </c>
      <c r="K1733" s="170">
        <v>45869</v>
      </c>
      <c r="L1733" s="1">
        <v>19008.565999942119</v>
      </c>
      <c r="M1733" s="1">
        <v>46058</v>
      </c>
      <c r="V1733" s="1"/>
      <c r="Y1733"/>
      <c r="Z1733"/>
      <c r="AB1733"/>
    </row>
    <row r="1734" spans="1:28" ht="14.4" hidden="1">
      <c r="A1734" t="s">
        <v>213</v>
      </c>
      <c r="B1734" s="1">
        <v>66</v>
      </c>
      <c r="C1734" s="258" t="s">
        <v>4329</v>
      </c>
      <c r="D1734" t="s">
        <v>1211</v>
      </c>
      <c r="E1734" t="s">
        <v>1190</v>
      </c>
      <c r="F1734"/>
      <c r="G1734">
        <v>0.05</v>
      </c>
      <c r="H1734" s="1">
        <v>7984.7894999999999</v>
      </c>
      <c r="I1734"/>
      <c r="J1734" t="s">
        <v>4302</v>
      </c>
      <c r="K1734" s="170">
        <v>45869</v>
      </c>
      <c r="L1734" s="1">
        <v>19008.565999942119</v>
      </c>
      <c r="M1734" s="1">
        <v>46088</v>
      </c>
      <c r="V1734" s="1"/>
      <c r="Y1734"/>
      <c r="Z1734"/>
      <c r="AB1734"/>
    </row>
    <row r="1735" spans="1:28" ht="14.4" hidden="1">
      <c r="A1735" t="s">
        <v>213</v>
      </c>
      <c r="B1735" s="1">
        <v>80</v>
      </c>
      <c r="C1735" s="258" t="s">
        <v>4330</v>
      </c>
      <c r="D1735" t="s">
        <v>1224</v>
      </c>
      <c r="E1735" t="s">
        <v>3135</v>
      </c>
      <c r="F1735"/>
      <c r="H1735" s="1">
        <v>695</v>
      </c>
      <c r="I1735" t="s">
        <v>4331</v>
      </c>
      <c r="J1735" t="s">
        <v>4332</v>
      </c>
      <c r="K1735" s="170">
        <v>45961</v>
      </c>
      <c r="L1735" s="1">
        <v>0</v>
      </c>
      <c r="M1735" s="1">
        <v>45961</v>
      </c>
      <c r="N1735" s="1">
        <v>219457.9314999998</v>
      </c>
      <c r="V1735" s="1"/>
      <c r="Y1735"/>
      <c r="Z1735"/>
      <c r="AB1735"/>
    </row>
    <row r="1736" spans="1:28" ht="14.4" hidden="1">
      <c r="A1736" t="s">
        <v>213</v>
      </c>
      <c r="B1736" s="1">
        <v>81</v>
      </c>
      <c r="C1736" s="258" t="s">
        <v>4333</v>
      </c>
      <c r="D1736" t="s">
        <v>1224</v>
      </c>
      <c r="E1736" t="s">
        <v>3156</v>
      </c>
      <c r="F1736"/>
      <c r="H1736" s="1">
        <v>8375</v>
      </c>
      <c r="I1736" t="s">
        <v>4334</v>
      </c>
      <c r="J1736" t="s">
        <v>4335</v>
      </c>
      <c r="K1736" s="170">
        <v>46053</v>
      </c>
      <c r="L1736" s="1">
        <v>0</v>
      </c>
      <c r="M1736" s="1">
        <v>46081</v>
      </c>
      <c r="V1736" s="1"/>
      <c r="Y1736"/>
      <c r="Z1736"/>
      <c r="AB1736"/>
    </row>
    <row r="1737" spans="1:28" ht="14.4" hidden="1">
      <c r="A1737" t="s">
        <v>213</v>
      </c>
      <c r="B1737" s="1">
        <v>82</v>
      </c>
      <c r="C1737" s="258" t="s">
        <v>4336</v>
      </c>
      <c r="D1737" t="s">
        <v>1224</v>
      </c>
      <c r="E1737" t="s">
        <v>3145</v>
      </c>
      <c r="F1737"/>
      <c r="H1737" s="1">
        <v>94626.271499999799</v>
      </c>
      <c r="I1737"/>
      <c r="J1737" t="s">
        <v>4337</v>
      </c>
      <c r="K1737" s="170">
        <v>45838</v>
      </c>
      <c r="L1737" s="1">
        <v>227272.72727272729</v>
      </c>
      <c r="M1737" s="1">
        <v>45869</v>
      </c>
      <c r="V1737" s="1"/>
      <c r="Y1737"/>
      <c r="Z1737"/>
      <c r="AB1737"/>
    </row>
    <row r="1738" spans="1:28" ht="14.4" hidden="1">
      <c r="A1738" t="s">
        <v>213</v>
      </c>
      <c r="B1738" s="1">
        <v>83</v>
      </c>
      <c r="C1738" s="258" t="s">
        <v>4338</v>
      </c>
      <c r="D1738" t="s">
        <v>1224</v>
      </c>
      <c r="E1738" t="s">
        <v>4339</v>
      </c>
      <c r="F1738"/>
      <c r="H1738" s="1">
        <v>8260</v>
      </c>
      <c r="I1738" t="s">
        <v>4340</v>
      </c>
      <c r="J1738" t="s">
        <v>4341</v>
      </c>
      <c r="K1738" s="170">
        <v>46022</v>
      </c>
      <c r="M1738" s="1">
        <v>46037</v>
      </c>
      <c r="V1738" s="1"/>
      <c r="Y1738"/>
      <c r="Z1738"/>
      <c r="AB1738"/>
    </row>
    <row r="1739" spans="1:28" ht="14.4" hidden="1">
      <c r="A1739" t="s">
        <v>213</v>
      </c>
      <c r="B1739" s="1">
        <v>84</v>
      </c>
      <c r="C1739" s="258" t="s">
        <v>4342</v>
      </c>
      <c r="D1739" t="s">
        <v>1224</v>
      </c>
      <c r="E1739" t="s">
        <v>4343</v>
      </c>
      <c r="F1739">
        <v>0.75</v>
      </c>
      <c r="G1739">
        <v>81501</v>
      </c>
      <c r="H1739" s="1">
        <v>61125.75</v>
      </c>
      <c r="I1739" t="s">
        <v>4344</v>
      </c>
      <c r="J1739" t="s">
        <v>4345</v>
      </c>
      <c r="K1739" s="170">
        <v>45930</v>
      </c>
      <c r="L1739" s="1">
        <v>0</v>
      </c>
      <c r="M1739" s="1">
        <v>45932</v>
      </c>
      <c r="V1739" s="1"/>
      <c r="Y1739"/>
      <c r="Z1739"/>
      <c r="AB1739"/>
    </row>
    <row r="1740" spans="1:28" ht="14.4" hidden="1">
      <c r="A1740" t="s">
        <v>213</v>
      </c>
      <c r="B1740" s="1">
        <v>85</v>
      </c>
      <c r="C1740" s="258" t="s">
        <v>4346</v>
      </c>
      <c r="D1740" t="s">
        <v>1224</v>
      </c>
      <c r="F1740">
        <v>0.25</v>
      </c>
      <c r="H1740" s="1">
        <v>20375.25</v>
      </c>
      <c r="I1740"/>
      <c r="J1740" t="s">
        <v>4347</v>
      </c>
      <c r="K1740" s="170">
        <v>45961</v>
      </c>
      <c r="L1740" s="1" t="s">
        <v>170</v>
      </c>
      <c r="M1740" s="1">
        <v>45961</v>
      </c>
      <c r="V1740" s="1"/>
      <c r="Y1740"/>
      <c r="Z1740"/>
      <c r="AB1740"/>
    </row>
    <row r="1741" spans="1:28" ht="14.4" hidden="1">
      <c r="A1741" t="s">
        <v>213</v>
      </c>
      <c r="B1741" s="1">
        <v>86</v>
      </c>
      <c r="C1741" s="258" t="s">
        <v>4348</v>
      </c>
      <c r="D1741" t="s">
        <v>1224</v>
      </c>
      <c r="E1741" t="s">
        <v>2811</v>
      </c>
      <c r="F1741"/>
      <c r="H1741" s="1">
        <v>12966.66</v>
      </c>
      <c r="I1741" t="s">
        <v>4349</v>
      </c>
      <c r="J1741" t="s">
        <v>4350</v>
      </c>
      <c r="K1741" s="170">
        <v>45930</v>
      </c>
      <c r="L1741" s="1">
        <v>0</v>
      </c>
      <c r="M1741" s="1">
        <v>45943</v>
      </c>
      <c r="V1741" s="1"/>
      <c r="Y1741"/>
      <c r="Z1741"/>
      <c r="AB1741"/>
    </row>
    <row r="1742" spans="1:28" ht="14.4" hidden="1">
      <c r="A1742" t="s">
        <v>213</v>
      </c>
      <c r="B1742" s="1">
        <v>87</v>
      </c>
      <c r="C1742" s="258" t="s">
        <v>4351</v>
      </c>
      <c r="D1742" t="s">
        <v>1224</v>
      </c>
      <c r="E1742" t="s">
        <v>4208</v>
      </c>
      <c r="F1742"/>
      <c r="H1742" s="1">
        <v>6844</v>
      </c>
      <c r="I1742" t="s">
        <v>4352</v>
      </c>
      <c r="J1742" t="s">
        <v>4353</v>
      </c>
      <c r="K1742" s="170">
        <v>45961</v>
      </c>
      <c r="L1742" s="1">
        <v>0</v>
      </c>
      <c r="M1742" s="1">
        <v>45960</v>
      </c>
      <c r="V1742" s="1"/>
      <c r="Y1742"/>
      <c r="Z1742"/>
      <c r="AB1742"/>
    </row>
    <row r="1743" spans="1:28" ht="14.4" hidden="1">
      <c r="A1743" t="s">
        <v>213</v>
      </c>
      <c r="B1743" s="1">
        <v>88</v>
      </c>
      <c r="C1743" s="258" t="s">
        <v>4354</v>
      </c>
      <c r="D1743" t="s">
        <v>1224</v>
      </c>
      <c r="E1743" t="s">
        <v>4355</v>
      </c>
      <c r="F1743"/>
      <c r="H1743" s="1">
        <v>6190</v>
      </c>
      <c r="I1743" t="s">
        <v>4356</v>
      </c>
      <c r="J1743" t="s">
        <v>4357</v>
      </c>
      <c r="K1743" s="170">
        <v>45961</v>
      </c>
      <c r="L1743" s="1">
        <v>0</v>
      </c>
      <c r="M1743" s="1">
        <v>45961</v>
      </c>
      <c r="V1743" s="1"/>
      <c r="Y1743"/>
      <c r="Z1743"/>
      <c r="AB1743"/>
    </row>
    <row r="1744" spans="1:28" ht="14.4" hidden="1">
      <c r="A1744" t="s">
        <v>213</v>
      </c>
      <c r="B1744" s="1">
        <v>91</v>
      </c>
      <c r="C1744" s="258" t="s">
        <v>4358</v>
      </c>
      <c r="D1744" t="s">
        <v>1246</v>
      </c>
      <c r="E1744" t="s">
        <v>1169</v>
      </c>
      <c r="F1744">
        <v>866748.6</v>
      </c>
      <c r="G1744">
        <v>0.1</v>
      </c>
      <c r="H1744" s="1">
        <v>86674.86</v>
      </c>
      <c r="I1744" t="s">
        <v>4297</v>
      </c>
      <c r="J1744" t="s">
        <v>4298</v>
      </c>
      <c r="K1744" s="170">
        <v>45808</v>
      </c>
      <c r="L1744" s="1">
        <v>79416.176470588238</v>
      </c>
      <c r="M1744" s="1">
        <v>45813</v>
      </c>
      <c r="V1744" s="1"/>
      <c r="Y1744"/>
      <c r="Z1744"/>
      <c r="AB1744"/>
    </row>
    <row r="1745" spans="1:28" ht="14.4" hidden="1">
      <c r="A1745" t="s">
        <v>213</v>
      </c>
      <c r="B1745" s="1">
        <v>92</v>
      </c>
      <c r="C1745" s="258" t="s">
        <v>4359</v>
      </c>
      <c r="D1745" t="s">
        <v>1246</v>
      </c>
      <c r="E1745" t="s">
        <v>558</v>
      </c>
      <c r="F1745"/>
      <c r="G1745">
        <v>0.15</v>
      </c>
      <c r="H1745" s="1">
        <v>130012.29</v>
      </c>
      <c r="I1745"/>
      <c r="J1745" t="s">
        <v>4300</v>
      </c>
      <c r="K1745" s="170">
        <v>45838</v>
      </c>
      <c r="L1745" s="1">
        <v>119124.26470588232</v>
      </c>
      <c r="M1745" s="1">
        <v>45827</v>
      </c>
      <c r="V1745" s="1"/>
      <c r="Y1745"/>
      <c r="Z1745"/>
      <c r="AB1745"/>
    </row>
    <row r="1746" spans="1:28" ht="14.4" hidden="1">
      <c r="A1746" t="s">
        <v>213</v>
      </c>
      <c r="B1746" s="1">
        <v>93</v>
      </c>
      <c r="C1746" s="258" t="s">
        <v>4360</v>
      </c>
      <c r="D1746" t="s">
        <v>1246</v>
      </c>
      <c r="E1746" t="s">
        <v>1175</v>
      </c>
      <c r="F1746"/>
      <c r="G1746">
        <v>0.2</v>
      </c>
      <c r="H1746" s="1">
        <v>173349.72</v>
      </c>
      <c r="I1746"/>
      <c r="J1746" t="s">
        <v>4302</v>
      </c>
      <c r="K1746" s="170">
        <v>45900</v>
      </c>
      <c r="L1746" s="1">
        <v>158832.35294117648</v>
      </c>
      <c r="M1746" s="1">
        <v>45946</v>
      </c>
      <c r="V1746" s="1"/>
      <c r="Y1746"/>
      <c r="Z1746"/>
      <c r="AB1746"/>
    </row>
    <row r="1747" spans="1:28" ht="14.4" hidden="1">
      <c r="A1747" t="s">
        <v>213</v>
      </c>
      <c r="B1747" s="1">
        <v>94</v>
      </c>
      <c r="C1747" s="258" t="s">
        <v>4361</v>
      </c>
      <c r="D1747" t="s">
        <v>1246</v>
      </c>
      <c r="E1747" t="s">
        <v>1178</v>
      </c>
      <c r="F1747"/>
      <c r="G1747">
        <v>0.25</v>
      </c>
      <c r="H1747" s="1">
        <v>216687.15</v>
      </c>
      <c r="I1747"/>
      <c r="J1747" t="s">
        <v>4302</v>
      </c>
      <c r="K1747" s="170">
        <v>45930</v>
      </c>
      <c r="L1747" s="1">
        <v>198540.44117647057</v>
      </c>
      <c r="M1747" s="1">
        <v>45946</v>
      </c>
      <c r="V1747" s="1"/>
      <c r="Y1747"/>
      <c r="Z1747"/>
      <c r="AB1747"/>
    </row>
    <row r="1748" spans="1:28" ht="14.4" hidden="1">
      <c r="A1748" t="s">
        <v>213</v>
      </c>
      <c r="B1748" s="1">
        <v>95</v>
      </c>
      <c r="C1748" s="258" t="s">
        <v>4362</v>
      </c>
      <c r="D1748" t="s">
        <v>1246</v>
      </c>
      <c r="E1748" t="s">
        <v>1181</v>
      </c>
      <c r="F1748"/>
      <c r="G1748">
        <v>0.1</v>
      </c>
      <c r="H1748" s="1">
        <v>86674.86</v>
      </c>
      <c r="I1748"/>
      <c r="J1748" t="s">
        <v>4302</v>
      </c>
      <c r="K1748" s="170">
        <v>45930</v>
      </c>
      <c r="L1748" s="1">
        <v>79416.176470588238</v>
      </c>
      <c r="M1748" s="1">
        <v>45946</v>
      </c>
      <c r="V1748" s="1"/>
      <c r="Y1748"/>
      <c r="Z1748"/>
      <c r="AB1748"/>
    </row>
    <row r="1749" spans="1:28" ht="14.4" hidden="1">
      <c r="A1749" t="s">
        <v>213</v>
      </c>
      <c r="B1749" s="1">
        <v>96</v>
      </c>
      <c r="C1749" s="258" t="s">
        <v>4363</v>
      </c>
      <c r="D1749" t="s">
        <v>1246</v>
      </c>
      <c r="E1749" t="s">
        <v>1184</v>
      </c>
      <c r="F1749"/>
      <c r="G1749">
        <v>0.1</v>
      </c>
      <c r="H1749" s="1">
        <v>86674.86</v>
      </c>
      <c r="I1749"/>
      <c r="J1749" t="s">
        <v>4302</v>
      </c>
      <c r="K1749" s="170">
        <v>45961</v>
      </c>
      <c r="L1749" s="1">
        <v>79416.176470588238</v>
      </c>
      <c r="M1749" s="1">
        <v>46051</v>
      </c>
      <c r="V1749" s="1"/>
      <c r="Y1749"/>
      <c r="Z1749"/>
      <c r="AB1749"/>
    </row>
    <row r="1750" spans="1:28" ht="14.4" hidden="1">
      <c r="A1750" t="s">
        <v>213</v>
      </c>
      <c r="B1750" s="1">
        <v>97</v>
      </c>
      <c r="C1750" s="258" t="s">
        <v>4364</v>
      </c>
      <c r="D1750" t="s">
        <v>1246</v>
      </c>
      <c r="E1750" t="s">
        <v>1187</v>
      </c>
      <c r="F1750"/>
      <c r="G1750">
        <v>0.05</v>
      </c>
      <c r="H1750" s="1">
        <v>43337.43</v>
      </c>
      <c r="I1750"/>
      <c r="J1750" t="s">
        <v>4302</v>
      </c>
      <c r="K1750" s="170">
        <v>45961</v>
      </c>
      <c r="L1750" s="1">
        <v>39708.088235294119</v>
      </c>
      <c r="M1750" s="1">
        <v>46058</v>
      </c>
      <c r="V1750" s="1"/>
      <c r="Y1750"/>
      <c r="Z1750"/>
      <c r="AB1750"/>
    </row>
    <row r="1751" spans="1:28" ht="14.4" hidden="1">
      <c r="A1751" t="s">
        <v>213</v>
      </c>
      <c r="B1751" s="1">
        <v>98</v>
      </c>
      <c r="C1751" s="258" t="s">
        <v>4365</v>
      </c>
      <c r="D1751" t="s">
        <v>1246</v>
      </c>
      <c r="E1751" t="s">
        <v>1190</v>
      </c>
      <c r="F1751"/>
      <c r="G1751">
        <v>0.05</v>
      </c>
      <c r="H1751" s="1">
        <v>43337.43</v>
      </c>
      <c r="I1751"/>
      <c r="J1751" t="s">
        <v>4302</v>
      </c>
      <c r="K1751" s="170">
        <v>45961</v>
      </c>
      <c r="L1751" s="1">
        <v>39708.088235294119</v>
      </c>
      <c r="M1751" s="1">
        <v>46088</v>
      </c>
      <c r="V1751" s="1"/>
      <c r="Y1751"/>
      <c r="Z1751"/>
      <c r="AB1751"/>
    </row>
    <row r="1752" spans="1:28" ht="14.4" hidden="1">
      <c r="A1752" t="s">
        <v>213</v>
      </c>
      <c r="B1752" s="1">
        <v>105</v>
      </c>
      <c r="C1752" s="258" t="s">
        <v>4366</v>
      </c>
      <c r="D1752" t="s">
        <v>1255</v>
      </c>
      <c r="E1752" t="s">
        <v>3015</v>
      </c>
      <c r="F1752"/>
      <c r="H1752" s="1">
        <v>25950</v>
      </c>
      <c r="I1752" t="s">
        <v>4367</v>
      </c>
      <c r="J1752" t="s">
        <v>4368</v>
      </c>
      <c r="K1752" s="170">
        <v>45838</v>
      </c>
      <c r="L1752" s="1">
        <v>16228.040589760732</v>
      </c>
      <c r="M1752" s="1">
        <v>45841</v>
      </c>
      <c r="V1752" s="1"/>
      <c r="Y1752"/>
      <c r="Z1752"/>
      <c r="AB1752"/>
    </row>
    <row r="1753" spans="1:28" ht="14.4" hidden="1">
      <c r="A1753" t="s">
        <v>213</v>
      </c>
      <c r="B1753" s="1">
        <v>106</v>
      </c>
      <c r="C1753" s="258" t="s">
        <v>4369</v>
      </c>
      <c r="D1753" t="s">
        <v>1255</v>
      </c>
      <c r="E1753" t="s">
        <v>3018</v>
      </c>
      <c r="F1753"/>
      <c r="H1753" s="1">
        <v>41230</v>
      </c>
      <c r="I1753"/>
      <c r="J1753" t="s">
        <v>4370</v>
      </c>
      <c r="K1753" s="170">
        <v>45869</v>
      </c>
      <c r="L1753" s="1">
        <v>23780.691542546188</v>
      </c>
      <c r="M1753" s="1">
        <v>45869</v>
      </c>
      <c r="V1753" s="1"/>
      <c r="Y1753"/>
      <c r="Z1753"/>
      <c r="AB1753"/>
    </row>
    <row r="1754" spans="1:28" ht="14.4" hidden="1">
      <c r="A1754" t="s">
        <v>213</v>
      </c>
      <c r="B1754" s="1">
        <v>107</v>
      </c>
      <c r="C1754" s="258" t="s">
        <v>4371</v>
      </c>
      <c r="D1754" t="s">
        <v>1255</v>
      </c>
      <c r="E1754" t="s">
        <v>3021</v>
      </c>
      <c r="F1754"/>
      <c r="H1754" s="1">
        <v>41230</v>
      </c>
      <c r="I1754"/>
      <c r="J1754" t="s">
        <v>4372</v>
      </c>
      <c r="K1754" s="170">
        <v>45900</v>
      </c>
      <c r="L1754" s="1">
        <v>19979.22</v>
      </c>
      <c r="M1754" s="1">
        <v>45901</v>
      </c>
      <c r="V1754" s="1"/>
      <c r="Y1754"/>
      <c r="Z1754"/>
      <c r="AB1754"/>
    </row>
    <row r="1755" spans="1:28" ht="14.4" hidden="1">
      <c r="A1755" t="s">
        <v>213</v>
      </c>
      <c r="B1755" s="1">
        <v>108</v>
      </c>
      <c r="C1755" s="258" t="s">
        <v>4373</v>
      </c>
      <c r="D1755" t="s">
        <v>1255</v>
      </c>
      <c r="E1755" t="s">
        <v>3024</v>
      </c>
      <c r="F1755"/>
      <c r="H1755" s="1">
        <v>39900</v>
      </c>
      <c r="I1755"/>
      <c r="J1755" t="s">
        <v>4374</v>
      </c>
      <c r="K1755" s="170">
        <v>45930</v>
      </c>
      <c r="L1755" s="1">
        <v>0</v>
      </c>
      <c r="M1755" s="1">
        <v>45932</v>
      </c>
      <c r="V1755" s="1"/>
      <c r="Y1755"/>
      <c r="Z1755"/>
      <c r="AB1755"/>
    </row>
    <row r="1756" spans="1:28" ht="14.4" hidden="1">
      <c r="A1756" t="s">
        <v>213</v>
      </c>
      <c r="B1756" s="1">
        <v>109</v>
      </c>
      <c r="C1756" s="258" t="s">
        <v>4375</v>
      </c>
      <c r="D1756" t="s">
        <v>1255</v>
      </c>
      <c r="E1756" t="s">
        <v>3027</v>
      </c>
      <c r="F1756"/>
      <c r="H1756" s="1">
        <v>65710</v>
      </c>
      <c r="I1756"/>
      <c r="J1756" t="s">
        <v>4376</v>
      </c>
      <c r="K1756" s="170">
        <v>45961</v>
      </c>
      <c r="L1756" s="1">
        <v>0</v>
      </c>
      <c r="M1756" s="1">
        <v>45967</v>
      </c>
      <c r="V1756" s="1"/>
      <c r="Y1756"/>
      <c r="Z1756"/>
      <c r="AB1756"/>
    </row>
    <row r="1757" spans="1:28" ht="14.4" hidden="1">
      <c r="A1757" t="s">
        <v>213</v>
      </c>
      <c r="B1757" s="1">
        <v>110</v>
      </c>
      <c r="C1757" s="258" t="s">
        <v>4377</v>
      </c>
      <c r="D1757" t="s">
        <v>1255</v>
      </c>
      <c r="E1757" t="s">
        <v>3030</v>
      </c>
      <c r="F1757"/>
      <c r="H1757" s="1">
        <v>63700</v>
      </c>
      <c r="I1757"/>
      <c r="J1757" t="s">
        <v>4378</v>
      </c>
      <c r="K1757" s="170">
        <v>45991</v>
      </c>
      <c r="M1757" s="1">
        <v>45989</v>
      </c>
      <c r="V1757" s="1"/>
      <c r="Y1757"/>
      <c r="Z1757"/>
      <c r="AB1757"/>
    </row>
    <row r="1758" spans="1:28" ht="14.4" hidden="1">
      <c r="A1758" t="s">
        <v>213</v>
      </c>
      <c r="B1758" s="1">
        <v>111</v>
      </c>
      <c r="C1758" s="258" t="s">
        <v>4379</v>
      </c>
      <c r="D1758" t="s">
        <v>1255</v>
      </c>
      <c r="E1758" t="s">
        <v>3184</v>
      </c>
      <c r="F1758"/>
      <c r="H1758" s="1">
        <v>41230</v>
      </c>
      <c r="I1758"/>
      <c r="J1758" t="s">
        <v>4380</v>
      </c>
      <c r="K1758" s="170">
        <v>46022</v>
      </c>
      <c r="M1758" s="1">
        <v>46031</v>
      </c>
      <c r="V1758" s="1"/>
      <c r="Y1758"/>
      <c r="Z1758"/>
      <c r="AB1758"/>
    </row>
    <row r="1759" spans="1:28" ht="14.4" hidden="1">
      <c r="A1759" t="s">
        <v>213</v>
      </c>
      <c r="B1759" s="1">
        <v>112</v>
      </c>
      <c r="C1759" s="258" t="s">
        <v>4381</v>
      </c>
      <c r="D1759" t="s">
        <v>1255</v>
      </c>
      <c r="E1759" t="s">
        <v>4233</v>
      </c>
      <c r="F1759"/>
      <c r="H1759" s="1">
        <v>33900</v>
      </c>
      <c r="I1759"/>
      <c r="J1759" t="s">
        <v>4382</v>
      </c>
      <c r="K1759" s="170">
        <v>46053</v>
      </c>
      <c r="M1759" s="1">
        <v>46051</v>
      </c>
      <c r="V1759" s="1"/>
      <c r="Y1759"/>
      <c r="Z1759"/>
      <c r="AB1759"/>
    </row>
    <row r="1760" spans="1:28" ht="14.4" hidden="1">
      <c r="A1760" t="s">
        <v>213</v>
      </c>
      <c r="B1760" s="1">
        <v>115</v>
      </c>
      <c r="C1760" s="258" t="s">
        <v>4383</v>
      </c>
      <c r="D1760" t="s">
        <v>1255</v>
      </c>
      <c r="E1760" t="s">
        <v>1169</v>
      </c>
      <c r="F1760">
        <v>224731.13</v>
      </c>
      <c r="G1760">
        <v>0.1</v>
      </c>
      <c r="H1760" s="1">
        <v>22473.113000000001</v>
      </c>
      <c r="I1760" t="s">
        <v>4297</v>
      </c>
      <c r="J1760" t="s">
        <v>4298</v>
      </c>
      <c r="K1760" s="170">
        <v>45808</v>
      </c>
      <c r="L1760" s="1">
        <v>13755.818652350752</v>
      </c>
      <c r="M1760" s="1">
        <v>45813</v>
      </c>
      <c r="V1760" s="1"/>
      <c r="Y1760"/>
      <c r="Z1760"/>
      <c r="AB1760"/>
    </row>
    <row r="1761" spans="1:28" ht="14.4" hidden="1">
      <c r="A1761" t="s">
        <v>213</v>
      </c>
      <c r="B1761" s="1">
        <v>116</v>
      </c>
      <c r="C1761" s="258" t="s">
        <v>4384</v>
      </c>
      <c r="D1761" t="s">
        <v>1255</v>
      </c>
      <c r="E1761" t="s">
        <v>558</v>
      </c>
      <c r="F1761"/>
      <c r="G1761">
        <v>0.15</v>
      </c>
      <c r="H1761" s="1">
        <v>33709.67</v>
      </c>
      <c r="I1761"/>
      <c r="J1761" t="s">
        <v>4300</v>
      </c>
      <c r="K1761" s="170">
        <v>45838</v>
      </c>
      <c r="L1761" s="1">
        <v>21378.532448070888</v>
      </c>
      <c r="M1761" s="1">
        <v>45827</v>
      </c>
      <c r="V1761" s="1"/>
      <c r="Y1761"/>
      <c r="Z1761"/>
      <c r="AB1761"/>
    </row>
    <row r="1762" spans="1:28" ht="14.4" hidden="1">
      <c r="A1762" t="s">
        <v>213</v>
      </c>
      <c r="B1762" s="1">
        <v>117</v>
      </c>
      <c r="C1762" s="258" t="s">
        <v>4385</v>
      </c>
      <c r="D1762" t="s">
        <v>1255</v>
      </c>
      <c r="E1762" t="s">
        <v>1175</v>
      </c>
      <c r="F1762"/>
      <c r="G1762">
        <v>0.2</v>
      </c>
      <c r="H1762" s="1">
        <v>44946.226000000002</v>
      </c>
      <c r="I1762"/>
      <c r="J1762" t="s">
        <v>4302</v>
      </c>
      <c r="K1762" s="170">
        <v>45869</v>
      </c>
      <c r="L1762" s="1">
        <v>27377.769393766903</v>
      </c>
      <c r="M1762" s="1">
        <v>45946</v>
      </c>
      <c r="V1762" s="1"/>
      <c r="Y1762"/>
      <c r="Z1762"/>
      <c r="AB1762"/>
    </row>
    <row r="1763" spans="1:28" ht="14.4" hidden="1">
      <c r="A1763" t="s">
        <v>213</v>
      </c>
      <c r="B1763" s="1">
        <v>118</v>
      </c>
      <c r="C1763" s="258" t="s">
        <v>4386</v>
      </c>
      <c r="D1763" t="s">
        <v>1255</v>
      </c>
      <c r="E1763" t="s">
        <v>1178</v>
      </c>
      <c r="F1763"/>
      <c r="G1763">
        <v>0.25</v>
      </c>
      <c r="H1763" s="1">
        <v>56182.782500000001</v>
      </c>
      <c r="I1763"/>
      <c r="J1763" t="s">
        <v>4302</v>
      </c>
      <c r="K1763" s="170">
        <v>45869</v>
      </c>
      <c r="L1763" s="1">
        <v>34222.21174220863</v>
      </c>
      <c r="M1763" s="1">
        <v>45946</v>
      </c>
      <c r="V1763" s="1"/>
      <c r="Y1763"/>
      <c r="Z1763"/>
      <c r="AB1763"/>
    </row>
    <row r="1764" spans="1:28" ht="14.4" hidden="1">
      <c r="A1764" t="s">
        <v>213</v>
      </c>
      <c r="B1764" s="1">
        <v>119</v>
      </c>
      <c r="C1764" s="258" t="s">
        <v>4387</v>
      </c>
      <c r="D1764" t="s">
        <v>1255</v>
      </c>
      <c r="E1764" t="s">
        <v>1181</v>
      </c>
      <c r="F1764"/>
      <c r="G1764">
        <v>0.1</v>
      </c>
      <c r="H1764" s="1">
        <v>22473.113000000001</v>
      </c>
      <c r="I1764"/>
      <c r="J1764" t="s">
        <v>4302</v>
      </c>
      <c r="K1764" s="170">
        <v>45869</v>
      </c>
      <c r="L1764" s="1">
        <v>13688.884696883451</v>
      </c>
      <c r="M1764" s="1">
        <v>45946</v>
      </c>
      <c r="V1764" s="1"/>
      <c r="Y1764"/>
      <c r="Z1764"/>
      <c r="AB1764"/>
    </row>
    <row r="1765" spans="1:28" ht="14.4" hidden="1">
      <c r="A1765" t="s">
        <v>213</v>
      </c>
      <c r="B1765" s="1">
        <v>120</v>
      </c>
      <c r="C1765" s="258" t="s">
        <v>4388</v>
      </c>
      <c r="D1765" t="s">
        <v>1255</v>
      </c>
      <c r="E1765" t="s">
        <v>1184</v>
      </c>
      <c r="F1765"/>
      <c r="G1765">
        <v>0.1</v>
      </c>
      <c r="H1765" s="1">
        <v>22473.113000000001</v>
      </c>
      <c r="I1765"/>
      <c r="J1765" t="s">
        <v>4302</v>
      </c>
      <c r="K1765" s="170">
        <v>45869</v>
      </c>
      <c r="L1765" s="1">
        <v>13688.884696883451</v>
      </c>
      <c r="M1765" s="1">
        <v>46051</v>
      </c>
      <c r="V1765" s="1"/>
      <c r="Y1765"/>
      <c r="Z1765"/>
      <c r="AB1765"/>
    </row>
    <row r="1766" spans="1:28" ht="14.4" hidden="1">
      <c r="A1766" t="s">
        <v>213</v>
      </c>
      <c r="B1766" s="1">
        <v>121</v>
      </c>
      <c r="C1766" s="258" t="s">
        <v>4389</v>
      </c>
      <c r="D1766" t="s">
        <v>1255</v>
      </c>
      <c r="E1766" t="s">
        <v>1187</v>
      </c>
      <c r="F1766"/>
      <c r="G1766">
        <v>0.05</v>
      </c>
      <c r="H1766" s="1">
        <v>11236.556500000001</v>
      </c>
      <c r="I1766"/>
      <c r="J1766" t="s">
        <v>4302</v>
      </c>
      <c r="K1766" s="170">
        <v>45869</v>
      </c>
      <c r="L1766" s="1">
        <v>6844.4423484417266</v>
      </c>
      <c r="M1766" s="1">
        <v>46058</v>
      </c>
      <c r="V1766" s="1"/>
      <c r="Y1766"/>
      <c r="Z1766"/>
      <c r="AB1766"/>
    </row>
    <row r="1767" spans="1:28" ht="14.4" hidden="1">
      <c r="A1767" t="s">
        <v>213</v>
      </c>
      <c r="B1767" s="1">
        <v>122</v>
      </c>
      <c r="C1767" s="258" t="s">
        <v>4390</v>
      </c>
      <c r="D1767" t="s">
        <v>1255</v>
      </c>
      <c r="E1767" t="s">
        <v>1190</v>
      </c>
      <c r="F1767"/>
      <c r="G1767">
        <v>0.05</v>
      </c>
      <c r="H1767" s="1">
        <v>11236.556500000001</v>
      </c>
      <c r="I1767"/>
      <c r="J1767" t="s">
        <v>4302</v>
      </c>
      <c r="K1767" s="170">
        <v>45869</v>
      </c>
      <c r="L1767" s="1">
        <v>6844.4423484417266</v>
      </c>
      <c r="M1767" s="1">
        <v>46088</v>
      </c>
      <c r="V1767" s="1"/>
      <c r="Y1767"/>
      <c r="Z1767"/>
      <c r="AB1767"/>
    </row>
    <row r="1768" spans="1:28" ht="14.4" hidden="1">
      <c r="A1768" t="s">
        <v>213</v>
      </c>
      <c r="B1768" s="1">
        <v>127</v>
      </c>
      <c r="C1768" s="258" t="s">
        <v>4391</v>
      </c>
      <c r="D1768" t="s">
        <v>1264</v>
      </c>
      <c r="E1768" t="s">
        <v>1265</v>
      </c>
      <c r="F1768"/>
      <c r="H1768" s="1">
        <v>22655.83</v>
      </c>
      <c r="I1768"/>
      <c r="J1768" t="s">
        <v>3345</v>
      </c>
      <c r="K1768" s="170">
        <v>45869</v>
      </c>
      <c r="L1768" s="1">
        <v>96403.682050842326</v>
      </c>
      <c r="M1768" s="1">
        <v>45988</v>
      </c>
      <c r="N1768" s="1">
        <v>38467.58</v>
      </c>
      <c r="V1768" s="1"/>
      <c r="Y1768"/>
      <c r="Z1768"/>
      <c r="AB1768"/>
    </row>
    <row r="1769" spans="1:28" ht="14.4" hidden="1">
      <c r="A1769" t="s">
        <v>213</v>
      </c>
      <c r="B1769" s="1">
        <v>128</v>
      </c>
      <c r="C1769" s="258" t="s">
        <v>4392</v>
      </c>
      <c r="D1769" t="s">
        <v>1264</v>
      </c>
      <c r="E1769" t="s">
        <v>1268</v>
      </c>
      <c r="F1769"/>
      <c r="H1769" s="1">
        <v>7811.75</v>
      </c>
      <c r="I1769" t="s">
        <v>2845</v>
      </c>
      <c r="J1769" t="s">
        <v>4393</v>
      </c>
      <c r="K1769" s="170">
        <v>45777</v>
      </c>
      <c r="L1769" s="1">
        <v>35785.402989936403</v>
      </c>
      <c r="M1769" s="1">
        <v>45757</v>
      </c>
      <c r="V1769" s="1"/>
      <c r="Y1769"/>
      <c r="Z1769"/>
      <c r="AB1769"/>
    </row>
    <row r="1770" spans="1:28" ht="14.4" hidden="1">
      <c r="A1770" t="s">
        <v>213</v>
      </c>
      <c r="B1770" s="1">
        <v>129</v>
      </c>
      <c r="C1770" s="258" t="s">
        <v>4394</v>
      </c>
      <c r="D1770" t="s">
        <v>1264</v>
      </c>
      <c r="E1770" t="s">
        <v>808</v>
      </c>
      <c r="F1770"/>
      <c r="H1770" s="1">
        <v>8000</v>
      </c>
      <c r="I1770"/>
      <c r="J1770" t="s">
        <v>3571</v>
      </c>
      <c r="K1770" s="170">
        <v>45961</v>
      </c>
      <c r="L1770" s="1">
        <v>34709.441958504212</v>
      </c>
      <c r="M1770" s="1">
        <v>45989</v>
      </c>
      <c r="V1770" s="1"/>
      <c r="Y1770"/>
      <c r="Z1770"/>
      <c r="AB1770"/>
    </row>
    <row r="1771" spans="1:28" ht="14.4" hidden="1">
      <c r="A1771" t="s">
        <v>213</v>
      </c>
      <c r="B1771" s="1">
        <v>136</v>
      </c>
      <c r="C1771" s="258" t="s">
        <v>4395</v>
      </c>
      <c r="D1771" t="s">
        <v>1277</v>
      </c>
      <c r="E1771" t="s">
        <v>1278</v>
      </c>
      <c r="F1771"/>
      <c r="H1771" s="1">
        <v>111329.6875</v>
      </c>
      <c r="I1771"/>
      <c r="J1771" t="s">
        <v>3573</v>
      </c>
      <c r="K1771" s="170">
        <v>45961</v>
      </c>
      <c r="L1771" s="1">
        <v>302799.94194664032</v>
      </c>
      <c r="M1771" s="1">
        <v>45991</v>
      </c>
      <c r="N1771" s="1">
        <v>111329.6875</v>
      </c>
      <c r="V1771" s="1"/>
      <c r="Y1771"/>
      <c r="Z1771"/>
      <c r="AB1771"/>
    </row>
    <row r="1772" spans="1:28" ht="14.4" hidden="1">
      <c r="A1772" t="s">
        <v>213</v>
      </c>
      <c r="B1772" s="1">
        <v>137</v>
      </c>
      <c r="C1772" s="258" t="s">
        <v>4396</v>
      </c>
      <c r="D1772" t="s">
        <v>1277</v>
      </c>
      <c r="E1772" t="s">
        <v>1903</v>
      </c>
      <c r="F1772"/>
      <c r="H1772" s="1">
        <v>0</v>
      </c>
      <c r="I1772"/>
      <c r="J1772"/>
      <c r="K1772" s="170"/>
      <c r="L1772" s="1">
        <v>0</v>
      </c>
      <c r="V1772" s="1"/>
      <c r="Y1772"/>
      <c r="Z1772"/>
      <c r="AB1772"/>
    </row>
    <row r="1773" spans="1:28" ht="14.4" hidden="1">
      <c r="A1773" t="s">
        <v>213</v>
      </c>
      <c r="B1773" s="1">
        <v>138</v>
      </c>
      <c r="C1773" s="258" t="s">
        <v>4397</v>
      </c>
      <c r="D1773" t="s">
        <v>1277</v>
      </c>
      <c r="E1773" t="s">
        <v>1905</v>
      </c>
      <c r="F1773"/>
      <c r="H1773" s="1">
        <v>0</v>
      </c>
      <c r="I1773"/>
      <c r="J1773"/>
      <c r="K1773" s="170"/>
      <c r="L1773" s="1">
        <v>0</v>
      </c>
      <c r="V1773" s="1"/>
      <c r="Y1773"/>
      <c r="Z1773"/>
      <c r="AB1773"/>
    </row>
    <row r="1774" spans="1:28" ht="14.4" hidden="1">
      <c r="A1774" t="s">
        <v>213</v>
      </c>
      <c r="B1774" s="1">
        <v>139</v>
      </c>
      <c r="C1774" s="258" t="s">
        <v>4398</v>
      </c>
      <c r="D1774" t="s">
        <v>1277</v>
      </c>
      <c r="E1774" t="s">
        <v>1907</v>
      </c>
      <c r="F1774"/>
      <c r="H1774" s="1">
        <v>0</v>
      </c>
      <c r="I1774"/>
      <c r="J1774"/>
      <c r="K1774" s="170"/>
      <c r="L1774" s="1">
        <v>0</v>
      </c>
      <c r="V1774" s="1"/>
      <c r="Y1774"/>
      <c r="Z1774"/>
      <c r="AB1774"/>
    </row>
    <row r="1775" spans="1:28" ht="14.4" hidden="1">
      <c r="A1775" t="s">
        <v>213</v>
      </c>
      <c r="B1775" s="1">
        <v>140</v>
      </c>
      <c r="C1775" s="258" t="s">
        <v>4399</v>
      </c>
      <c r="D1775" t="s">
        <v>1277</v>
      </c>
      <c r="E1775" t="s">
        <v>1909</v>
      </c>
      <c r="F1775"/>
      <c r="H1775" s="1">
        <v>0</v>
      </c>
      <c r="I1775"/>
      <c r="J1775"/>
      <c r="K1775" s="170"/>
      <c r="L1775" s="1">
        <v>0</v>
      </c>
      <c r="V1775" s="1"/>
      <c r="Y1775"/>
      <c r="Z1775"/>
      <c r="AB1775"/>
    </row>
    <row r="1776" spans="1:28" ht="14.4" hidden="1">
      <c r="A1776" t="s">
        <v>213</v>
      </c>
      <c r="B1776" s="1">
        <v>143</v>
      </c>
      <c r="C1776" s="258" t="s">
        <v>4400</v>
      </c>
      <c r="D1776" t="s">
        <v>1280</v>
      </c>
      <c r="E1776" t="s">
        <v>1281</v>
      </c>
      <c r="F1776"/>
      <c r="H1776" s="1">
        <v>3414.34</v>
      </c>
      <c r="I1776"/>
      <c r="J1776" t="s">
        <v>2854</v>
      </c>
      <c r="K1776" s="170">
        <v>45777</v>
      </c>
      <c r="L1776" s="1">
        <v>3870.0669476577327</v>
      </c>
      <c r="M1776" s="1">
        <v>45785</v>
      </c>
      <c r="N1776" s="1">
        <v>10546.38</v>
      </c>
      <c r="V1776" s="1"/>
      <c r="Y1776"/>
      <c r="Z1776"/>
      <c r="AB1776"/>
    </row>
    <row r="1777" spans="1:28" ht="14.4" hidden="1">
      <c r="A1777" t="s">
        <v>213</v>
      </c>
      <c r="B1777" s="1">
        <v>144</v>
      </c>
      <c r="C1777" s="258" t="s">
        <v>4401</v>
      </c>
      <c r="D1777" t="s">
        <v>1280</v>
      </c>
      <c r="E1777" t="s">
        <v>1281</v>
      </c>
      <c r="F1777"/>
      <c r="H1777" s="1">
        <v>0</v>
      </c>
      <c r="I1777"/>
      <c r="J1777"/>
      <c r="K1777" s="170">
        <v>45777</v>
      </c>
      <c r="L1777" s="1">
        <v>0</v>
      </c>
      <c r="M1777" s="1">
        <v>45777</v>
      </c>
      <c r="V1777" s="1"/>
      <c r="Y1777"/>
      <c r="Z1777"/>
      <c r="AB1777"/>
    </row>
    <row r="1778" spans="1:28" ht="14.4" hidden="1">
      <c r="A1778" t="s">
        <v>213</v>
      </c>
      <c r="B1778" s="1">
        <v>145</v>
      </c>
      <c r="C1778" s="258" t="s">
        <v>4402</v>
      </c>
      <c r="D1778" t="s">
        <v>1280</v>
      </c>
      <c r="E1778" t="s">
        <v>1281</v>
      </c>
      <c r="F1778"/>
      <c r="H1778" s="1">
        <v>0</v>
      </c>
      <c r="I1778"/>
      <c r="J1778" t="s">
        <v>1604</v>
      </c>
      <c r="K1778" s="170">
        <v>45808</v>
      </c>
      <c r="L1778" s="1">
        <v>0</v>
      </c>
      <c r="M1778" s="1">
        <v>45808</v>
      </c>
      <c r="V1778" s="1"/>
      <c r="Y1778"/>
      <c r="Z1778"/>
      <c r="AB1778"/>
    </row>
    <row r="1779" spans="1:28" ht="14.4" hidden="1">
      <c r="A1779" t="s">
        <v>213</v>
      </c>
      <c r="B1779" s="1">
        <v>146</v>
      </c>
      <c r="C1779" s="258" t="s">
        <v>4403</v>
      </c>
      <c r="D1779" t="s">
        <v>1280</v>
      </c>
      <c r="E1779" t="s">
        <v>1281</v>
      </c>
      <c r="F1779"/>
      <c r="H1779" s="1">
        <v>4792.5600000000004</v>
      </c>
      <c r="I1779"/>
      <c r="J1779" t="s">
        <v>1604</v>
      </c>
      <c r="K1779" s="170">
        <v>45838</v>
      </c>
      <c r="L1779" s="1">
        <v>4968.4806142451598</v>
      </c>
      <c r="M1779" s="1">
        <v>45842</v>
      </c>
      <c r="V1779" s="1"/>
      <c r="Y1779"/>
      <c r="Z1779"/>
      <c r="AB1779"/>
    </row>
    <row r="1780" spans="1:28" ht="14.4" hidden="1">
      <c r="A1780" t="s">
        <v>213</v>
      </c>
      <c r="B1780" s="1">
        <v>147</v>
      </c>
      <c r="C1780" s="258" t="s">
        <v>4404</v>
      </c>
      <c r="D1780" t="s">
        <v>1280</v>
      </c>
      <c r="E1780" t="s">
        <v>1281</v>
      </c>
      <c r="F1780"/>
      <c r="H1780" s="1">
        <v>0</v>
      </c>
      <c r="I1780"/>
      <c r="J1780" t="s">
        <v>1604</v>
      </c>
      <c r="K1780" s="170">
        <v>45869</v>
      </c>
      <c r="L1780" s="1">
        <v>0</v>
      </c>
      <c r="M1780" s="1">
        <v>45869</v>
      </c>
      <c r="V1780" s="1"/>
      <c r="Y1780"/>
      <c r="Z1780"/>
      <c r="AB1780"/>
    </row>
    <row r="1781" spans="1:28" ht="14.4" hidden="1">
      <c r="A1781" t="s">
        <v>213</v>
      </c>
      <c r="B1781" s="1">
        <v>148</v>
      </c>
      <c r="C1781" s="258" t="s">
        <v>4405</v>
      </c>
      <c r="D1781" t="s">
        <v>1280</v>
      </c>
      <c r="E1781" t="s">
        <v>1281</v>
      </c>
      <c r="F1781"/>
      <c r="H1781" s="1">
        <v>1476.49</v>
      </c>
      <c r="I1781"/>
      <c r="J1781" t="s">
        <v>1604</v>
      </c>
      <c r="K1781" s="170">
        <v>45900</v>
      </c>
      <c r="L1781" s="1">
        <v>1494.1</v>
      </c>
      <c r="M1781" s="1">
        <v>45900</v>
      </c>
      <c r="V1781" s="1"/>
      <c r="Y1781"/>
      <c r="Z1781"/>
      <c r="AB1781"/>
    </row>
    <row r="1782" spans="1:28" ht="14.4" hidden="1">
      <c r="A1782" t="s">
        <v>213</v>
      </c>
      <c r="B1782" s="1">
        <v>149</v>
      </c>
      <c r="C1782" s="258" t="s">
        <v>4406</v>
      </c>
      <c r="D1782" t="s">
        <v>1280</v>
      </c>
      <c r="E1782" t="s">
        <v>1281</v>
      </c>
      <c r="F1782"/>
      <c r="H1782" s="1">
        <v>862.99</v>
      </c>
      <c r="I1782"/>
      <c r="J1782" t="s">
        <v>1604</v>
      </c>
      <c r="K1782" s="170">
        <v>45930</v>
      </c>
      <c r="L1782" s="1">
        <v>2060.3554930032315</v>
      </c>
      <c r="M1782" s="1">
        <v>45940</v>
      </c>
      <c r="V1782" s="1"/>
      <c r="Y1782"/>
      <c r="Z1782"/>
      <c r="AB1782"/>
    </row>
    <row r="1783" spans="1:28" ht="14.4" hidden="1">
      <c r="A1783" t="s">
        <v>213</v>
      </c>
      <c r="B1783" s="1">
        <v>150</v>
      </c>
      <c r="C1783" s="258" t="s">
        <v>4407</v>
      </c>
      <c r="D1783" t="s">
        <v>1280</v>
      </c>
      <c r="E1783" t="s">
        <v>1281</v>
      </c>
      <c r="F1783"/>
      <c r="H1783" s="1">
        <v>0</v>
      </c>
      <c r="I1783"/>
      <c r="J1783" t="s">
        <v>1604</v>
      </c>
      <c r="K1783" s="170">
        <v>45961</v>
      </c>
      <c r="L1783" s="1">
        <v>0</v>
      </c>
      <c r="M1783" s="1">
        <v>45961</v>
      </c>
      <c r="V1783" s="1"/>
      <c r="Y1783"/>
      <c r="Z1783"/>
      <c r="AB1783"/>
    </row>
    <row r="1784" spans="1:28" ht="14.4" hidden="1">
      <c r="A1784" t="s">
        <v>213</v>
      </c>
      <c r="B1784" s="1">
        <v>151</v>
      </c>
      <c r="C1784" s="258" t="s">
        <v>4408</v>
      </c>
      <c r="D1784" t="s">
        <v>1280</v>
      </c>
      <c r="E1784" t="s">
        <v>1281</v>
      </c>
      <c r="F1784"/>
      <c r="H1784" s="1">
        <v>0</v>
      </c>
      <c r="I1784"/>
      <c r="J1784" t="s">
        <v>1604</v>
      </c>
      <c r="K1784" s="170">
        <v>45991</v>
      </c>
      <c r="L1784" s="1">
        <v>4489.3500000000004</v>
      </c>
      <c r="M1784" s="1">
        <v>45996</v>
      </c>
      <c r="V1784" s="1"/>
      <c r="Y1784"/>
      <c r="Z1784"/>
      <c r="AB1784"/>
    </row>
    <row r="1785" spans="1:28" ht="14.4" hidden="1">
      <c r="A1785" t="s">
        <v>213</v>
      </c>
      <c r="B1785" s="1">
        <v>152</v>
      </c>
      <c r="C1785" s="258" t="s">
        <v>4409</v>
      </c>
      <c r="D1785" t="s">
        <v>1280</v>
      </c>
      <c r="E1785" t="s">
        <v>1281</v>
      </c>
      <c r="F1785"/>
      <c r="H1785" s="1">
        <v>0</v>
      </c>
      <c r="I1785"/>
      <c r="J1785"/>
      <c r="K1785" s="170"/>
      <c r="L1785" s="1">
        <v>0</v>
      </c>
      <c r="V1785" s="1"/>
      <c r="Y1785"/>
      <c r="Z1785"/>
      <c r="AB1785"/>
    </row>
    <row r="1786" spans="1:28" ht="14.4" hidden="1">
      <c r="A1786" t="s">
        <v>213</v>
      </c>
      <c r="B1786" s="1">
        <v>156</v>
      </c>
      <c r="C1786" s="258" t="s">
        <v>4410</v>
      </c>
      <c r="D1786" t="s">
        <v>1451</v>
      </c>
      <c r="E1786" t="s">
        <v>4411</v>
      </c>
      <c r="F1786"/>
      <c r="H1786" s="1">
        <v>668000</v>
      </c>
      <c r="I1786"/>
      <c r="J1786" t="s">
        <v>4412</v>
      </c>
      <c r="K1786" s="170">
        <v>45838</v>
      </c>
      <c r="L1786" s="1">
        <v>1094364.3512450852</v>
      </c>
      <c r="M1786" s="1">
        <v>45841</v>
      </c>
      <c r="N1786" s="1">
        <v>1449475</v>
      </c>
      <c r="V1786" s="1"/>
      <c r="Y1786"/>
      <c r="Z1786"/>
      <c r="AB1786"/>
    </row>
    <row r="1787" spans="1:28" ht="14.4" hidden="1">
      <c r="A1787" t="s">
        <v>213</v>
      </c>
      <c r="B1787" s="1">
        <v>157</v>
      </c>
      <c r="C1787" s="258" t="s">
        <v>4413</v>
      </c>
      <c r="D1787" t="s">
        <v>1451</v>
      </c>
      <c r="E1787" t="s">
        <v>2868</v>
      </c>
      <c r="F1787"/>
      <c r="H1787" s="1">
        <v>668000</v>
      </c>
      <c r="I1787"/>
      <c r="J1787" t="s">
        <v>4412</v>
      </c>
      <c r="K1787" s="170">
        <v>45838</v>
      </c>
      <c r="L1787" s="1">
        <v>1094364.3512450852</v>
      </c>
      <c r="M1787" s="1">
        <v>45954</v>
      </c>
      <c r="V1787" s="1"/>
      <c r="Y1787"/>
      <c r="Z1787"/>
      <c r="AB1787"/>
    </row>
    <row r="1788" spans="1:28" ht="14.4" hidden="1">
      <c r="A1788" t="s">
        <v>213</v>
      </c>
      <c r="B1788" s="1">
        <v>162</v>
      </c>
      <c r="C1788" s="258" t="s">
        <v>4414</v>
      </c>
      <c r="D1788" t="s">
        <v>1451</v>
      </c>
      <c r="E1788" t="s">
        <v>4415</v>
      </c>
      <c r="F1788"/>
      <c r="H1788" s="1">
        <v>0</v>
      </c>
      <c r="I1788"/>
      <c r="J1788"/>
      <c r="K1788" s="170"/>
      <c r="V1788" s="1"/>
      <c r="Y1788"/>
      <c r="Z1788"/>
      <c r="AB1788"/>
    </row>
    <row r="1789" spans="1:28" ht="14.4" hidden="1">
      <c r="A1789" t="s">
        <v>213</v>
      </c>
      <c r="B1789" s="1">
        <v>163</v>
      </c>
      <c r="C1789" s="258" t="s">
        <v>4416</v>
      </c>
      <c r="D1789" t="s">
        <v>1451</v>
      </c>
      <c r="E1789" t="s">
        <v>4265</v>
      </c>
      <c r="F1789">
        <v>0.5</v>
      </c>
      <c r="G1789">
        <v>113475</v>
      </c>
      <c r="H1789" s="1">
        <v>56737.5</v>
      </c>
      <c r="I1789" t="s">
        <v>4417</v>
      </c>
      <c r="J1789" t="s">
        <v>4418</v>
      </c>
      <c r="K1789" s="170">
        <v>45961</v>
      </c>
      <c r="M1789" s="1">
        <v>45967</v>
      </c>
      <c r="V1789" s="1"/>
      <c r="Y1789"/>
      <c r="Z1789"/>
      <c r="AB1789"/>
    </row>
    <row r="1790" spans="1:28" ht="14.4" hidden="1">
      <c r="A1790" t="s">
        <v>213</v>
      </c>
      <c r="B1790" s="1">
        <v>164</v>
      </c>
      <c r="C1790" s="258" t="s">
        <v>4419</v>
      </c>
      <c r="D1790" t="s">
        <v>1451</v>
      </c>
      <c r="F1790">
        <v>0.5</v>
      </c>
      <c r="H1790" s="1">
        <v>56737.5</v>
      </c>
      <c r="I1790"/>
      <c r="J1790" t="s">
        <v>4418</v>
      </c>
      <c r="K1790" s="170">
        <v>45961</v>
      </c>
      <c r="L1790" s="1" t="s">
        <v>170</v>
      </c>
      <c r="M1790" s="1">
        <v>46088</v>
      </c>
      <c r="V1790" s="1"/>
      <c r="Y1790"/>
      <c r="Z1790"/>
      <c r="AB1790"/>
    </row>
    <row r="1791" spans="1:28" ht="14.4" hidden="1">
      <c r="A1791" t="s">
        <v>214</v>
      </c>
      <c r="B1791" s="1">
        <v>4</v>
      </c>
      <c r="C1791" s="258" t="s">
        <v>4420</v>
      </c>
      <c r="D1791" t="s">
        <v>1780</v>
      </c>
      <c r="E1791" t="s">
        <v>1781</v>
      </c>
      <c r="F1791" t="s">
        <v>1782</v>
      </c>
      <c r="G1791" t="s">
        <v>1783</v>
      </c>
      <c r="H1791" s="1" t="s">
        <v>1784</v>
      </c>
      <c r="I1791" t="s">
        <v>1785</v>
      </c>
      <c r="J1791" t="s">
        <v>1786</v>
      </c>
      <c r="K1791" s="170" t="s">
        <v>1787</v>
      </c>
      <c r="L1791" s="1" t="s">
        <v>1788</v>
      </c>
      <c r="M1791" s="1" t="s">
        <v>1789</v>
      </c>
      <c r="N1791" s="1" t="s">
        <v>1790</v>
      </c>
      <c r="V1791" s="1"/>
      <c r="Y1791"/>
      <c r="Z1791"/>
      <c r="AB1791"/>
    </row>
    <row r="1792" spans="1:28" ht="14.4" hidden="1">
      <c r="A1792" t="s">
        <v>214</v>
      </c>
      <c r="B1792" s="1">
        <v>6</v>
      </c>
      <c r="C1792" s="258" t="s">
        <v>4421</v>
      </c>
      <c r="D1792" t="s">
        <v>1791</v>
      </c>
      <c r="E1792" t="s">
        <v>1146</v>
      </c>
      <c r="F1792" t="s">
        <v>4274</v>
      </c>
      <c r="G1792">
        <v>683.76068376068372</v>
      </c>
      <c r="H1792" s="1">
        <v>1327.95</v>
      </c>
      <c r="I1792" t="s">
        <v>4422</v>
      </c>
      <c r="J1792" t="s">
        <v>4423</v>
      </c>
      <c r="K1792" s="170">
        <v>45657</v>
      </c>
      <c r="L1792" s="1">
        <v>1146065.7029619529</v>
      </c>
      <c r="M1792" s="1">
        <v>45708</v>
      </c>
      <c r="N1792" s="1">
        <v>908317.8</v>
      </c>
      <c r="V1792" s="1"/>
      <c r="Y1792"/>
      <c r="Z1792"/>
      <c r="AB1792"/>
    </row>
    <row r="1793" spans="1:28" ht="14.4" hidden="1">
      <c r="A1793" t="s">
        <v>214</v>
      </c>
      <c r="B1793" s="1">
        <v>13</v>
      </c>
      <c r="C1793" s="258" t="s">
        <v>4424</v>
      </c>
      <c r="D1793" t="s">
        <v>1792</v>
      </c>
      <c r="E1793" t="s">
        <v>1157</v>
      </c>
      <c r="F1793" t="s">
        <v>1369</v>
      </c>
      <c r="G1793">
        <v>3</v>
      </c>
      <c r="H1793" s="1">
        <v>68870</v>
      </c>
      <c r="I1793" t="s">
        <v>4425</v>
      </c>
      <c r="J1793" t="s">
        <v>4423</v>
      </c>
      <c r="K1793" s="170">
        <v>45657</v>
      </c>
      <c r="L1793" s="1">
        <v>179134.84977088645</v>
      </c>
      <c r="M1793" s="1">
        <v>45708</v>
      </c>
      <c r="N1793" s="1">
        <v>180931.83</v>
      </c>
      <c r="V1793" s="1"/>
      <c r="Y1793"/>
      <c r="Z1793"/>
      <c r="AB1793"/>
    </row>
    <row r="1794" spans="1:28" ht="14.4" hidden="1">
      <c r="A1794" t="s">
        <v>214</v>
      </c>
      <c r="B1794" s="1">
        <v>14</v>
      </c>
      <c r="C1794" s="258" t="s">
        <v>4426</v>
      </c>
      <c r="D1794" t="s">
        <v>1792</v>
      </c>
      <c r="E1794" t="s">
        <v>1157</v>
      </c>
      <c r="F1794" t="s">
        <v>1804</v>
      </c>
      <c r="G1794">
        <v>1</v>
      </c>
      <c r="H1794" s="1">
        <v>43190.78</v>
      </c>
      <c r="I1794" t="s">
        <v>4427</v>
      </c>
      <c r="J1794" t="s">
        <v>4428</v>
      </c>
      <c r="K1794" s="170">
        <v>45747</v>
      </c>
      <c r="L1794" s="1">
        <v>49126.024181705885</v>
      </c>
      <c r="M1794" s="1">
        <v>45785</v>
      </c>
      <c r="V1794" s="1"/>
      <c r="Y1794"/>
      <c r="Z1794"/>
      <c r="AB1794"/>
    </row>
    <row r="1795" spans="1:28" ht="14.4" hidden="1">
      <c r="A1795" t="s">
        <v>214</v>
      </c>
      <c r="B1795" s="1">
        <v>15</v>
      </c>
      <c r="C1795" s="258" t="s">
        <v>4429</v>
      </c>
      <c r="D1795" t="s">
        <v>1792</v>
      </c>
      <c r="E1795" t="s">
        <v>1157</v>
      </c>
      <c r="F1795" t="s">
        <v>4430</v>
      </c>
      <c r="G1795">
        <v>1</v>
      </c>
      <c r="H1795" s="1">
        <v>-68870</v>
      </c>
      <c r="I1795" t="s">
        <v>4431</v>
      </c>
      <c r="J1795" t="s">
        <v>3889</v>
      </c>
      <c r="K1795" s="170">
        <v>46053</v>
      </c>
      <c r="L1795" s="1">
        <v>0</v>
      </c>
      <c r="M1795" s="1">
        <v>46053</v>
      </c>
      <c r="V1795" s="1"/>
      <c r="Y1795"/>
      <c r="Z1795"/>
      <c r="AB1795"/>
    </row>
    <row r="1796" spans="1:28" ht="14.4" hidden="1">
      <c r="A1796" t="s">
        <v>214</v>
      </c>
      <c r="B1796" s="1">
        <v>20</v>
      </c>
      <c r="C1796" s="258" t="s">
        <v>4432</v>
      </c>
      <c r="D1796" t="s">
        <v>4433</v>
      </c>
      <c r="E1796" t="s">
        <v>1160</v>
      </c>
      <c r="F1796" t="s">
        <v>4434</v>
      </c>
      <c r="G1796">
        <v>100</v>
      </c>
      <c r="H1796" s="1">
        <v>11.48</v>
      </c>
      <c r="I1796" t="s">
        <v>4435</v>
      </c>
      <c r="J1796" t="s">
        <v>1962</v>
      </c>
      <c r="K1796" s="170">
        <v>45747</v>
      </c>
      <c r="L1796" s="1">
        <v>0</v>
      </c>
      <c r="M1796" s="1">
        <v>45747</v>
      </c>
      <c r="V1796" s="1"/>
      <c r="Y1796"/>
      <c r="Z1796"/>
      <c r="AB1796"/>
    </row>
    <row r="1797" spans="1:28" ht="14.4" hidden="1">
      <c r="A1797" t="s">
        <v>214</v>
      </c>
      <c r="B1797" s="1">
        <v>21</v>
      </c>
      <c r="C1797" s="258" t="s">
        <v>4436</v>
      </c>
      <c r="D1797" t="s">
        <v>4433</v>
      </c>
      <c r="E1797" t="s">
        <v>1160</v>
      </c>
      <c r="F1797" t="s">
        <v>4437</v>
      </c>
      <c r="G1797">
        <v>100</v>
      </c>
      <c r="H1797" s="1">
        <v>11.48</v>
      </c>
      <c r="I1797" t="s">
        <v>4435</v>
      </c>
      <c r="J1797" t="s">
        <v>4438</v>
      </c>
      <c r="K1797" s="170">
        <v>45747</v>
      </c>
      <c r="M1797" s="1">
        <v>45777</v>
      </c>
      <c r="V1797" s="1"/>
      <c r="Y1797"/>
      <c r="Z1797"/>
      <c r="AB1797"/>
    </row>
    <row r="1798" spans="1:28" ht="14.4" hidden="1">
      <c r="A1798" t="s">
        <v>214</v>
      </c>
      <c r="B1798" s="1">
        <v>23</v>
      </c>
      <c r="C1798" s="258" t="s">
        <v>4439</v>
      </c>
      <c r="D1798" t="s">
        <v>1793</v>
      </c>
      <c r="E1798" t="s">
        <v>1165</v>
      </c>
      <c r="F1798" t="s">
        <v>3748</v>
      </c>
      <c r="G1798">
        <v>12000</v>
      </c>
      <c r="H1798" s="1">
        <v>13.3</v>
      </c>
      <c r="I1798" t="s">
        <v>4440</v>
      </c>
      <c r="J1798" t="s">
        <v>4423</v>
      </c>
      <c r="K1798" s="170">
        <v>45657</v>
      </c>
      <c r="L1798" s="1">
        <v>187862.44490114271</v>
      </c>
      <c r="M1798" s="1">
        <v>45708</v>
      </c>
      <c r="N1798" s="1">
        <v>362150</v>
      </c>
      <c r="V1798" s="1"/>
      <c r="Y1798"/>
      <c r="Z1798"/>
      <c r="AB1798"/>
    </row>
    <row r="1799" spans="1:28" ht="14.4" hidden="1">
      <c r="A1799" t="s">
        <v>214</v>
      </c>
      <c r="B1799" s="1">
        <v>25</v>
      </c>
      <c r="C1799" s="258" t="s">
        <v>4441</v>
      </c>
      <c r="D1799" t="s">
        <v>1793</v>
      </c>
      <c r="E1799" t="s">
        <v>1165</v>
      </c>
      <c r="F1799" t="s">
        <v>4442</v>
      </c>
      <c r="G1799">
        <v>4000</v>
      </c>
      <c r="H1799" s="1">
        <v>13.3</v>
      </c>
      <c r="I1799" t="s">
        <v>4443</v>
      </c>
      <c r="J1799" t="s">
        <v>4444</v>
      </c>
      <c r="K1799" s="170">
        <v>45716</v>
      </c>
      <c r="L1799" s="1">
        <v>72136.625518857516</v>
      </c>
      <c r="M1799" s="1">
        <v>45771</v>
      </c>
      <c r="V1799" s="1"/>
      <c r="Y1799"/>
      <c r="Z1799"/>
      <c r="AB1799"/>
    </row>
    <row r="1800" spans="1:28" ht="14.4" hidden="1">
      <c r="A1800" t="s">
        <v>214</v>
      </c>
      <c r="B1800" s="1">
        <v>26</v>
      </c>
      <c r="C1800" s="258" t="s">
        <v>4445</v>
      </c>
      <c r="D1800" t="s">
        <v>1793</v>
      </c>
      <c r="E1800" t="s">
        <v>1165</v>
      </c>
      <c r="F1800" t="s">
        <v>1169</v>
      </c>
      <c r="G1800">
        <v>94250</v>
      </c>
      <c r="H1800" s="1">
        <v>0.1</v>
      </c>
      <c r="I1800" t="s">
        <v>4446</v>
      </c>
      <c r="J1800" t="s">
        <v>4447</v>
      </c>
      <c r="K1800" s="170">
        <v>45688</v>
      </c>
      <c r="L1800" s="1">
        <v>11255.535941135646</v>
      </c>
      <c r="M1800" s="1">
        <v>45695</v>
      </c>
      <c r="V1800" s="1"/>
      <c r="Y1800"/>
      <c r="Z1800"/>
      <c r="AB1800"/>
    </row>
    <row r="1801" spans="1:28" ht="14.4" hidden="1">
      <c r="A1801" t="s">
        <v>214</v>
      </c>
      <c r="B1801" s="1">
        <v>27</v>
      </c>
      <c r="C1801" s="258" t="s">
        <v>4448</v>
      </c>
      <c r="D1801" t="s">
        <v>1793</v>
      </c>
      <c r="E1801" t="s">
        <v>1165</v>
      </c>
      <c r="F1801" t="s">
        <v>558</v>
      </c>
      <c r="H1801" s="1">
        <v>0.15</v>
      </c>
      <c r="I1801" t="s">
        <v>4449</v>
      </c>
      <c r="J1801" t="s">
        <v>4450</v>
      </c>
      <c r="K1801" s="170">
        <v>45688</v>
      </c>
      <c r="L1801" s="1">
        <v>16883.303911703468</v>
      </c>
      <c r="M1801" s="1">
        <v>45701</v>
      </c>
      <c r="V1801" s="1"/>
      <c r="Y1801"/>
      <c r="Z1801"/>
      <c r="AB1801"/>
    </row>
    <row r="1802" spans="1:28" ht="14.4" hidden="1">
      <c r="A1802" t="s">
        <v>214</v>
      </c>
      <c r="B1802" s="1">
        <v>28</v>
      </c>
      <c r="C1802" s="258" t="s">
        <v>4451</v>
      </c>
      <c r="D1802" t="s">
        <v>1793</v>
      </c>
      <c r="E1802" t="s">
        <v>1165</v>
      </c>
      <c r="F1802" t="s">
        <v>1175</v>
      </c>
      <c r="H1802" s="1">
        <v>0.2</v>
      </c>
      <c r="I1802" t="s">
        <v>4452</v>
      </c>
      <c r="J1802" t="s">
        <v>4453</v>
      </c>
      <c r="K1802" s="170">
        <v>45777</v>
      </c>
      <c r="L1802" s="1">
        <v>19482.908475349497</v>
      </c>
      <c r="M1802" s="1">
        <v>45771</v>
      </c>
      <c r="V1802" s="1"/>
      <c r="Y1802"/>
      <c r="Z1802"/>
      <c r="AB1802"/>
    </row>
    <row r="1803" spans="1:28" ht="14.4" hidden="1">
      <c r="A1803" t="s">
        <v>214</v>
      </c>
      <c r="B1803" s="1">
        <v>29</v>
      </c>
      <c r="C1803" s="258" t="s">
        <v>4454</v>
      </c>
      <c r="D1803" t="s">
        <v>1793</v>
      </c>
      <c r="E1803" t="s">
        <v>1165</v>
      </c>
      <c r="F1803" t="s">
        <v>1178</v>
      </c>
      <c r="H1803" s="1">
        <v>0.25</v>
      </c>
      <c r="I1803" t="s">
        <v>4455</v>
      </c>
      <c r="J1803" t="s">
        <v>4456</v>
      </c>
      <c r="K1803" s="170">
        <v>45777</v>
      </c>
      <c r="L1803" s="1">
        <v>24353.635594186875</v>
      </c>
      <c r="M1803" s="1">
        <v>45771</v>
      </c>
      <c r="V1803" s="1"/>
      <c r="Y1803"/>
      <c r="Z1803"/>
      <c r="AB1803"/>
    </row>
    <row r="1804" spans="1:28" ht="14.4" hidden="1">
      <c r="A1804" t="s">
        <v>214</v>
      </c>
      <c r="B1804" s="1">
        <v>30</v>
      </c>
      <c r="C1804" s="258" t="s">
        <v>4457</v>
      </c>
      <c r="D1804" t="s">
        <v>1793</v>
      </c>
      <c r="E1804" t="s">
        <v>1165</v>
      </c>
      <c r="F1804" t="s">
        <v>1181</v>
      </c>
      <c r="H1804" s="1">
        <v>0.1</v>
      </c>
      <c r="I1804" t="s">
        <v>4446</v>
      </c>
      <c r="J1804" t="s">
        <v>4458</v>
      </c>
      <c r="K1804" s="170">
        <v>45777</v>
      </c>
      <c r="L1804" s="1">
        <v>9741.4542376747486</v>
      </c>
      <c r="M1804" s="1">
        <v>45785</v>
      </c>
      <c r="V1804" s="1"/>
      <c r="Y1804"/>
      <c r="Z1804"/>
      <c r="AB1804"/>
    </row>
    <row r="1805" spans="1:28" ht="14.4" hidden="1">
      <c r="A1805" t="s">
        <v>214</v>
      </c>
      <c r="B1805" s="1">
        <v>31</v>
      </c>
      <c r="C1805" s="258" t="s">
        <v>4459</v>
      </c>
      <c r="D1805" t="s">
        <v>1793</v>
      </c>
      <c r="E1805" t="s">
        <v>1165</v>
      </c>
      <c r="F1805" t="s">
        <v>1184</v>
      </c>
      <c r="H1805" s="1">
        <v>0.1</v>
      </c>
      <c r="I1805" t="s">
        <v>4446</v>
      </c>
      <c r="J1805" t="s">
        <v>4460</v>
      </c>
      <c r="K1805" s="170">
        <v>45808</v>
      </c>
      <c r="L1805" s="1">
        <v>9741.4542376747486</v>
      </c>
      <c r="M1805" s="1">
        <v>45820</v>
      </c>
      <c r="V1805" s="1"/>
      <c r="Y1805"/>
      <c r="Z1805"/>
      <c r="AB1805"/>
    </row>
    <row r="1806" spans="1:28" ht="14.4" hidden="1">
      <c r="A1806" t="s">
        <v>214</v>
      </c>
      <c r="B1806" s="1">
        <v>32</v>
      </c>
      <c r="C1806" s="258" t="s">
        <v>4461</v>
      </c>
      <c r="D1806" t="s">
        <v>1793</v>
      </c>
      <c r="E1806" t="s">
        <v>1165</v>
      </c>
      <c r="F1806" t="s">
        <v>1187</v>
      </c>
      <c r="H1806" s="1">
        <v>0.05</v>
      </c>
      <c r="I1806" t="s">
        <v>4462</v>
      </c>
      <c r="J1806" t="s">
        <v>4463</v>
      </c>
      <c r="K1806" s="170">
        <v>45838</v>
      </c>
      <c r="L1806" s="1">
        <v>4870.7271188373743</v>
      </c>
      <c r="M1806" s="1">
        <v>45793</v>
      </c>
      <c r="V1806" s="1"/>
      <c r="Y1806"/>
      <c r="Z1806"/>
      <c r="AB1806"/>
    </row>
    <row r="1807" spans="1:28" ht="14.4" hidden="1">
      <c r="A1807" t="s">
        <v>214</v>
      </c>
      <c r="B1807" s="1">
        <v>33</v>
      </c>
      <c r="C1807" s="258" t="s">
        <v>4464</v>
      </c>
      <c r="D1807" t="s">
        <v>1793</v>
      </c>
      <c r="E1807" t="s">
        <v>1165</v>
      </c>
      <c r="F1807" t="s">
        <v>1190</v>
      </c>
      <c r="H1807" s="1">
        <v>0.05</v>
      </c>
      <c r="I1807" t="s">
        <v>4462</v>
      </c>
      <c r="J1807" t="s">
        <v>4465</v>
      </c>
      <c r="K1807" s="170">
        <v>45838</v>
      </c>
      <c r="L1807" s="1">
        <v>4870.7271188373743</v>
      </c>
      <c r="M1807" s="1">
        <v>45869</v>
      </c>
      <c r="V1807" s="1"/>
      <c r="Y1807"/>
      <c r="Z1807"/>
      <c r="AB1807"/>
    </row>
    <row r="1808" spans="1:28" ht="14.4" hidden="1">
      <c r="A1808" t="s">
        <v>214</v>
      </c>
      <c r="B1808" s="1">
        <v>44</v>
      </c>
      <c r="C1808" s="258" t="s">
        <v>4466</v>
      </c>
      <c r="D1808" t="s">
        <v>1795</v>
      </c>
      <c r="E1808" t="s">
        <v>1211</v>
      </c>
      <c r="F1808" t="s">
        <v>1169</v>
      </c>
      <c r="G1808">
        <v>1167527.6499999999</v>
      </c>
      <c r="H1808" s="1">
        <v>0.1</v>
      </c>
      <c r="I1808" t="s">
        <v>4467</v>
      </c>
      <c r="J1808" t="s">
        <v>4447</v>
      </c>
      <c r="K1808" s="170">
        <v>45688</v>
      </c>
      <c r="L1808" s="1">
        <v>41443.776083293342</v>
      </c>
      <c r="M1808" s="1">
        <v>45695</v>
      </c>
      <c r="V1808" s="1"/>
      <c r="Y1808"/>
      <c r="Z1808"/>
      <c r="AB1808"/>
    </row>
    <row r="1809" spans="1:28" ht="14.4" hidden="1">
      <c r="A1809" t="s">
        <v>214</v>
      </c>
      <c r="B1809" s="1">
        <v>45</v>
      </c>
      <c r="C1809" s="258" t="s">
        <v>4468</v>
      </c>
      <c r="D1809" t="s">
        <v>1795</v>
      </c>
      <c r="E1809" t="s">
        <v>1211</v>
      </c>
      <c r="F1809" t="s">
        <v>558</v>
      </c>
      <c r="H1809" s="1">
        <v>0.15</v>
      </c>
      <c r="I1809" t="s">
        <v>4469</v>
      </c>
      <c r="J1809" t="s">
        <v>4450</v>
      </c>
      <c r="K1809" s="170">
        <v>45688</v>
      </c>
      <c r="L1809" s="1">
        <v>62165.662350088074</v>
      </c>
      <c r="M1809" s="1">
        <v>45701</v>
      </c>
      <c r="V1809" s="1"/>
      <c r="Y1809"/>
      <c r="Z1809"/>
      <c r="AB1809"/>
    </row>
    <row r="1810" spans="1:28" ht="14.4" hidden="1">
      <c r="A1810" t="s">
        <v>214</v>
      </c>
      <c r="B1810" s="1">
        <v>46</v>
      </c>
      <c r="C1810" s="258" t="s">
        <v>4470</v>
      </c>
      <c r="D1810" t="s">
        <v>1795</v>
      </c>
      <c r="E1810" t="s">
        <v>1211</v>
      </c>
      <c r="F1810" t="s">
        <v>1175</v>
      </c>
      <c r="H1810" s="1">
        <v>0.2</v>
      </c>
      <c r="I1810" t="s">
        <v>4471</v>
      </c>
      <c r="J1810" t="s">
        <v>4453</v>
      </c>
      <c r="K1810" s="170">
        <v>45777</v>
      </c>
      <c r="L1810" s="1">
        <v>82887.548616882821</v>
      </c>
      <c r="M1810" s="1">
        <v>45771</v>
      </c>
      <c r="V1810" s="1"/>
      <c r="Y1810"/>
      <c r="Z1810"/>
      <c r="AB1810"/>
    </row>
    <row r="1811" spans="1:28" ht="14.4" hidden="1">
      <c r="A1811" t="s">
        <v>214</v>
      </c>
      <c r="B1811" s="1">
        <v>47</v>
      </c>
      <c r="C1811" s="258" t="s">
        <v>4472</v>
      </c>
      <c r="D1811" t="s">
        <v>1795</v>
      </c>
      <c r="E1811" t="s">
        <v>1211</v>
      </c>
      <c r="F1811" t="s">
        <v>1178</v>
      </c>
      <c r="H1811" s="1">
        <v>0.25</v>
      </c>
      <c r="I1811" t="s">
        <v>4473</v>
      </c>
      <c r="J1811" t="s">
        <v>4456</v>
      </c>
      <c r="K1811" s="170">
        <v>45777</v>
      </c>
      <c r="L1811" s="1">
        <v>103609.43577110353</v>
      </c>
      <c r="M1811" s="1">
        <v>45771</v>
      </c>
      <c r="V1811" s="1"/>
      <c r="Y1811"/>
      <c r="Z1811"/>
      <c r="AB1811"/>
    </row>
    <row r="1812" spans="1:28" ht="14.4" hidden="1">
      <c r="A1812" t="s">
        <v>214</v>
      </c>
      <c r="B1812" s="1">
        <v>48</v>
      </c>
      <c r="C1812" s="258" t="s">
        <v>4474</v>
      </c>
      <c r="D1812" t="s">
        <v>1795</v>
      </c>
      <c r="E1812" t="s">
        <v>1211</v>
      </c>
      <c r="F1812" t="s">
        <v>1181</v>
      </c>
      <c r="H1812" s="1">
        <v>0.1</v>
      </c>
      <c r="I1812" t="s">
        <v>4475</v>
      </c>
      <c r="J1812" t="s">
        <v>4458</v>
      </c>
      <c r="K1812" s="170">
        <v>45777</v>
      </c>
      <c r="L1812" s="1">
        <v>41443.774308441411</v>
      </c>
      <c r="M1812" s="1">
        <v>45785</v>
      </c>
      <c r="V1812" s="1"/>
      <c r="Y1812"/>
      <c r="Z1812"/>
      <c r="AB1812"/>
    </row>
    <row r="1813" spans="1:28" ht="14.4" hidden="1">
      <c r="A1813" t="s">
        <v>214</v>
      </c>
      <c r="B1813" s="1">
        <v>49</v>
      </c>
      <c r="C1813" s="258" t="s">
        <v>4476</v>
      </c>
      <c r="D1813" t="s">
        <v>1795</v>
      </c>
      <c r="E1813" t="s">
        <v>1211</v>
      </c>
      <c r="F1813" t="s">
        <v>1184</v>
      </c>
      <c r="H1813" s="1">
        <v>0.1</v>
      </c>
      <c r="I1813" t="s">
        <v>4475</v>
      </c>
      <c r="J1813" t="s">
        <v>4460</v>
      </c>
      <c r="K1813" s="170">
        <v>45808</v>
      </c>
      <c r="L1813" s="1">
        <v>41443.774308441411</v>
      </c>
      <c r="M1813" s="1">
        <v>45820</v>
      </c>
      <c r="V1813" s="1"/>
      <c r="Y1813"/>
      <c r="Z1813"/>
      <c r="AB1813"/>
    </row>
    <row r="1814" spans="1:28" ht="14.4" hidden="1">
      <c r="A1814" t="s">
        <v>214</v>
      </c>
      <c r="B1814" s="1">
        <v>50</v>
      </c>
      <c r="C1814" s="258" t="s">
        <v>4477</v>
      </c>
      <c r="D1814" t="s">
        <v>1795</v>
      </c>
      <c r="E1814" t="s">
        <v>1211</v>
      </c>
      <c r="F1814" t="s">
        <v>1187</v>
      </c>
      <c r="H1814" s="1">
        <v>0.05</v>
      </c>
      <c r="I1814" t="s">
        <v>4478</v>
      </c>
      <c r="J1814" t="s">
        <v>4463</v>
      </c>
      <c r="K1814" s="170">
        <v>45838</v>
      </c>
      <c r="L1814" s="1">
        <v>20721.887154220705</v>
      </c>
      <c r="M1814" s="1">
        <v>45793</v>
      </c>
      <c r="V1814" s="1"/>
      <c r="Y1814"/>
      <c r="Z1814"/>
      <c r="AB1814"/>
    </row>
    <row r="1815" spans="1:28" ht="14.4" hidden="1">
      <c r="A1815" t="s">
        <v>214</v>
      </c>
      <c r="B1815" s="1">
        <v>51</v>
      </c>
      <c r="C1815" s="258" t="s">
        <v>4479</v>
      </c>
      <c r="D1815" t="s">
        <v>1795</v>
      </c>
      <c r="E1815" t="s">
        <v>1211</v>
      </c>
      <c r="F1815" t="s">
        <v>1190</v>
      </c>
      <c r="H1815" s="1">
        <v>0.05</v>
      </c>
      <c r="I1815" t="s">
        <v>4478</v>
      </c>
      <c r="J1815" t="s">
        <v>4465</v>
      </c>
      <c r="K1815" s="170">
        <v>45838</v>
      </c>
      <c r="L1815" s="1">
        <v>20721.887154220705</v>
      </c>
      <c r="M1815" s="1">
        <v>45869</v>
      </c>
      <c r="V1815" s="1"/>
      <c r="Y1815"/>
      <c r="Z1815"/>
      <c r="AB1815"/>
    </row>
    <row r="1816" spans="1:28" ht="14.4" hidden="1">
      <c r="A1816" t="s">
        <v>214</v>
      </c>
      <c r="B1816" s="1">
        <v>57</v>
      </c>
      <c r="C1816" s="258" t="s">
        <v>4480</v>
      </c>
      <c r="D1816" t="s">
        <v>1796</v>
      </c>
      <c r="E1816" t="s">
        <v>1797</v>
      </c>
      <c r="F1816" t="s">
        <v>4481</v>
      </c>
      <c r="G1816">
        <v>2</v>
      </c>
      <c r="H1816" s="1">
        <v>2461447</v>
      </c>
      <c r="I1816" t="s">
        <v>4482</v>
      </c>
      <c r="J1816" t="s">
        <v>4483</v>
      </c>
      <c r="K1816" s="170">
        <v>45688</v>
      </c>
      <c r="L1816" s="1">
        <v>6148664.4049909934</v>
      </c>
      <c r="M1816" s="1">
        <v>45701</v>
      </c>
      <c r="V1816" s="1"/>
      <c r="Y1816"/>
      <c r="Z1816"/>
      <c r="AB1816"/>
    </row>
    <row r="1817" spans="1:28" ht="14.4" hidden="1">
      <c r="A1817" t="s">
        <v>214</v>
      </c>
      <c r="B1817" s="1">
        <v>66</v>
      </c>
      <c r="C1817" s="258" t="s">
        <v>4484</v>
      </c>
      <c r="D1817" t="s">
        <v>1798</v>
      </c>
      <c r="E1817" t="s">
        <v>1224</v>
      </c>
      <c r="F1817" t="s">
        <v>4485</v>
      </c>
      <c r="G1817">
        <v>0.7</v>
      </c>
      <c r="H1817" s="1">
        <v>135656</v>
      </c>
      <c r="I1817" t="s">
        <v>4486</v>
      </c>
      <c r="J1817" t="s">
        <v>4487</v>
      </c>
      <c r="K1817" s="170">
        <v>45657</v>
      </c>
      <c r="L1817" s="1">
        <v>43975.951045543385</v>
      </c>
      <c r="M1817" s="1">
        <v>45638</v>
      </c>
      <c r="N1817" s="1">
        <v>418886.97</v>
      </c>
      <c r="V1817" s="1"/>
      <c r="Y1817"/>
      <c r="Z1817"/>
      <c r="AB1817"/>
    </row>
    <row r="1818" spans="1:28" ht="14.4" hidden="1">
      <c r="A1818" t="s">
        <v>214</v>
      </c>
      <c r="B1818" s="1">
        <v>68</v>
      </c>
      <c r="C1818" s="258" t="s">
        <v>4488</v>
      </c>
      <c r="D1818" t="s">
        <v>1798</v>
      </c>
      <c r="E1818" t="s">
        <v>1224</v>
      </c>
      <c r="F1818" t="s">
        <v>4489</v>
      </c>
      <c r="G1818">
        <v>0.8</v>
      </c>
      <c r="H1818" s="1">
        <v>103835</v>
      </c>
      <c r="I1818" t="s">
        <v>4490</v>
      </c>
      <c r="J1818" t="s">
        <v>4491</v>
      </c>
      <c r="K1818" s="170">
        <v>45900</v>
      </c>
      <c r="L1818" s="1">
        <v>61634.14</v>
      </c>
      <c r="M1818" s="1">
        <v>45883</v>
      </c>
      <c r="V1818" s="1"/>
      <c r="Y1818"/>
      <c r="Z1818"/>
      <c r="AB1818"/>
    </row>
    <row r="1819" spans="1:28" ht="14.4" hidden="1">
      <c r="A1819" t="s">
        <v>214</v>
      </c>
      <c r="B1819" s="1">
        <v>78</v>
      </c>
      <c r="C1819" s="258" t="s">
        <v>4492</v>
      </c>
      <c r="D1819" t="s">
        <v>4493</v>
      </c>
      <c r="E1819" t="s">
        <v>1246</v>
      </c>
      <c r="F1819" t="s">
        <v>1169</v>
      </c>
      <c r="G1819">
        <v>676952</v>
      </c>
      <c r="H1819" s="1">
        <v>0.1</v>
      </c>
      <c r="I1819" t="s">
        <v>4494</v>
      </c>
      <c r="J1819" t="s">
        <v>4447</v>
      </c>
      <c r="K1819" s="170">
        <v>45688</v>
      </c>
      <c r="L1819" s="1">
        <v>40254.117647058811</v>
      </c>
      <c r="M1819" s="1">
        <v>45695</v>
      </c>
      <c r="N1819" s="1">
        <v>676951.99999999988</v>
      </c>
      <c r="V1819" s="1"/>
      <c r="Y1819"/>
      <c r="Z1819"/>
      <c r="AB1819"/>
    </row>
    <row r="1820" spans="1:28" ht="14.4" hidden="1">
      <c r="A1820" t="s">
        <v>214</v>
      </c>
      <c r="B1820" s="1">
        <v>79</v>
      </c>
      <c r="C1820" s="258" t="s">
        <v>4495</v>
      </c>
      <c r="D1820" t="s">
        <v>4493</v>
      </c>
      <c r="E1820" t="s">
        <v>1246</v>
      </c>
      <c r="F1820" t="s">
        <v>558</v>
      </c>
      <c r="H1820" s="1">
        <v>0.15</v>
      </c>
      <c r="I1820" t="s">
        <v>4496</v>
      </c>
      <c r="J1820" t="s">
        <v>4450</v>
      </c>
      <c r="K1820" s="170">
        <v>45688</v>
      </c>
      <c r="L1820" s="1">
        <v>60381.176470588209</v>
      </c>
      <c r="M1820" s="1">
        <v>45701</v>
      </c>
      <c r="V1820" s="1"/>
      <c r="Y1820"/>
      <c r="Z1820"/>
      <c r="AB1820"/>
    </row>
    <row r="1821" spans="1:28" ht="14.4" hidden="1">
      <c r="A1821" t="s">
        <v>214</v>
      </c>
      <c r="B1821" s="1">
        <v>80</v>
      </c>
      <c r="C1821" s="258" t="s">
        <v>4497</v>
      </c>
      <c r="D1821" t="s">
        <v>4493</v>
      </c>
      <c r="E1821" t="s">
        <v>1246</v>
      </c>
      <c r="F1821" t="s">
        <v>1175</v>
      </c>
      <c r="H1821" s="1">
        <v>0.2</v>
      </c>
      <c r="I1821" t="s">
        <v>4498</v>
      </c>
      <c r="J1821" t="s">
        <v>4453</v>
      </c>
      <c r="K1821" s="170">
        <v>45777</v>
      </c>
      <c r="L1821" s="1">
        <v>80508.235294117621</v>
      </c>
      <c r="M1821" s="1">
        <v>45771</v>
      </c>
      <c r="V1821" s="1"/>
      <c r="Y1821"/>
      <c r="Z1821"/>
      <c r="AB1821"/>
    </row>
    <row r="1822" spans="1:28" ht="14.4" hidden="1">
      <c r="A1822" t="s">
        <v>214</v>
      </c>
      <c r="B1822" s="1">
        <v>81</v>
      </c>
      <c r="C1822" s="258" t="s">
        <v>4499</v>
      </c>
      <c r="D1822" t="s">
        <v>4493</v>
      </c>
      <c r="E1822" t="s">
        <v>1246</v>
      </c>
      <c r="F1822" t="s">
        <v>1178</v>
      </c>
      <c r="H1822" s="1">
        <v>0.25</v>
      </c>
      <c r="I1822" t="s">
        <v>4500</v>
      </c>
      <c r="J1822" t="s">
        <v>4456</v>
      </c>
      <c r="K1822" s="170">
        <v>45777</v>
      </c>
      <c r="L1822" s="1">
        <v>100635.29411764703</v>
      </c>
      <c r="M1822" s="1">
        <v>45771</v>
      </c>
      <c r="V1822" s="1"/>
      <c r="Y1822"/>
      <c r="Z1822"/>
      <c r="AB1822"/>
    </row>
    <row r="1823" spans="1:28" ht="14.4" hidden="1">
      <c r="A1823" t="s">
        <v>214</v>
      </c>
      <c r="B1823" s="1">
        <v>82</v>
      </c>
      <c r="C1823" s="258" t="s">
        <v>4501</v>
      </c>
      <c r="D1823" t="s">
        <v>4493</v>
      </c>
      <c r="E1823" t="s">
        <v>1246</v>
      </c>
      <c r="F1823" t="s">
        <v>1181</v>
      </c>
      <c r="H1823" s="1">
        <v>0.1</v>
      </c>
      <c r="I1823" t="s">
        <v>4494</v>
      </c>
      <c r="J1823" t="s">
        <v>4458</v>
      </c>
      <c r="K1823" s="170">
        <v>45777</v>
      </c>
      <c r="L1823" s="1">
        <v>40254.117647058811</v>
      </c>
      <c r="M1823" s="1">
        <v>45785</v>
      </c>
      <c r="V1823" s="1"/>
      <c r="Y1823"/>
      <c r="Z1823"/>
      <c r="AB1823"/>
    </row>
    <row r="1824" spans="1:28" ht="14.4" hidden="1">
      <c r="A1824" t="s">
        <v>214</v>
      </c>
      <c r="B1824" s="1">
        <v>83</v>
      </c>
      <c r="C1824" s="258" t="s">
        <v>4502</v>
      </c>
      <c r="D1824" t="s">
        <v>4493</v>
      </c>
      <c r="E1824" t="s">
        <v>1246</v>
      </c>
      <c r="F1824" t="s">
        <v>1184</v>
      </c>
      <c r="H1824" s="1">
        <v>0.1</v>
      </c>
      <c r="I1824" t="s">
        <v>4494</v>
      </c>
      <c r="J1824" t="s">
        <v>4460</v>
      </c>
      <c r="K1824" s="170">
        <v>45808</v>
      </c>
      <c r="L1824" s="1">
        <v>40254.117647058811</v>
      </c>
      <c r="M1824" s="1">
        <v>45820</v>
      </c>
      <c r="V1824" s="1"/>
      <c r="Y1824"/>
      <c r="Z1824"/>
      <c r="AB1824"/>
    </row>
    <row r="1825" spans="1:28" ht="14.4" hidden="1">
      <c r="A1825" t="s">
        <v>214</v>
      </c>
      <c r="B1825" s="1">
        <v>84</v>
      </c>
      <c r="C1825" s="258" t="s">
        <v>4503</v>
      </c>
      <c r="D1825" t="s">
        <v>4493</v>
      </c>
      <c r="E1825" t="s">
        <v>1246</v>
      </c>
      <c r="F1825" t="s">
        <v>1187</v>
      </c>
      <c r="H1825" s="1">
        <v>0.05</v>
      </c>
      <c r="I1825" t="s">
        <v>4504</v>
      </c>
      <c r="J1825" t="s">
        <v>4463</v>
      </c>
      <c r="K1825" s="170">
        <v>45838</v>
      </c>
      <c r="L1825" s="1">
        <v>20127.058823529405</v>
      </c>
      <c r="M1825" s="1">
        <v>45793</v>
      </c>
      <c r="V1825" s="1"/>
      <c r="Y1825"/>
      <c r="Z1825"/>
      <c r="AB1825"/>
    </row>
    <row r="1826" spans="1:28" ht="14.4" hidden="1">
      <c r="A1826" t="s">
        <v>214</v>
      </c>
      <c r="B1826" s="1">
        <v>85</v>
      </c>
      <c r="C1826" s="258" t="s">
        <v>4505</v>
      </c>
      <c r="D1826" t="s">
        <v>4493</v>
      </c>
      <c r="E1826" t="s">
        <v>1246</v>
      </c>
      <c r="F1826" t="s">
        <v>1190</v>
      </c>
      <c r="H1826" s="1">
        <v>0.05</v>
      </c>
      <c r="I1826" t="s">
        <v>4504</v>
      </c>
      <c r="J1826" t="s">
        <v>4465</v>
      </c>
      <c r="K1826" s="170">
        <v>45838</v>
      </c>
      <c r="L1826" s="1">
        <v>20127.058823529405</v>
      </c>
      <c r="M1826" s="1">
        <v>45869</v>
      </c>
      <c r="V1826" s="1"/>
      <c r="Y1826"/>
      <c r="Z1826"/>
      <c r="AB1826"/>
    </row>
    <row r="1827" spans="1:28" ht="14.4" hidden="1">
      <c r="A1827" t="s">
        <v>214</v>
      </c>
      <c r="B1827" s="1">
        <v>89</v>
      </c>
      <c r="C1827" s="258" t="s">
        <v>4506</v>
      </c>
      <c r="D1827" t="s">
        <v>1799</v>
      </c>
      <c r="E1827" t="s">
        <v>1255</v>
      </c>
      <c r="F1827" t="s">
        <v>1169</v>
      </c>
      <c r="G1827">
        <v>91237</v>
      </c>
      <c r="H1827" s="1">
        <v>0.1</v>
      </c>
      <c r="I1827" t="s">
        <v>4507</v>
      </c>
      <c r="J1827" t="s">
        <v>4447</v>
      </c>
      <c r="K1827" s="170">
        <v>45688</v>
      </c>
      <c r="L1827" s="1">
        <v>6079.160758102219</v>
      </c>
      <c r="M1827" s="1">
        <v>45695</v>
      </c>
      <c r="V1827" s="1"/>
      <c r="Y1827"/>
      <c r="Z1827"/>
      <c r="AB1827"/>
    </row>
    <row r="1828" spans="1:28" ht="14.4" hidden="1">
      <c r="A1828" t="s">
        <v>214</v>
      </c>
      <c r="B1828" s="1">
        <v>90</v>
      </c>
      <c r="C1828" s="258" t="s">
        <v>4508</v>
      </c>
      <c r="D1828" t="s">
        <v>1799</v>
      </c>
      <c r="E1828" t="s">
        <v>1255</v>
      </c>
      <c r="F1828" t="s">
        <v>558</v>
      </c>
      <c r="H1828" s="1">
        <v>0.15</v>
      </c>
      <c r="I1828" t="s">
        <v>4509</v>
      </c>
      <c r="J1828" t="s">
        <v>4450</v>
      </c>
      <c r="K1828" s="170">
        <v>45688</v>
      </c>
      <c r="L1828" s="1">
        <v>9118.7411371533271</v>
      </c>
      <c r="M1828" s="1">
        <v>45701</v>
      </c>
      <c r="V1828" s="1"/>
      <c r="Y1828"/>
      <c r="Z1828"/>
      <c r="AB1828"/>
    </row>
    <row r="1829" spans="1:28" ht="14.4" hidden="1">
      <c r="A1829" t="s">
        <v>214</v>
      </c>
      <c r="B1829" s="1">
        <v>91</v>
      </c>
      <c r="C1829" s="258" t="s">
        <v>4510</v>
      </c>
      <c r="D1829" t="s">
        <v>1799</v>
      </c>
      <c r="E1829" t="s">
        <v>1255</v>
      </c>
      <c r="F1829" t="s">
        <v>1175</v>
      </c>
      <c r="H1829" s="1">
        <v>0.2</v>
      </c>
      <c r="I1829" t="s">
        <v>4511</v>
      </c>
      <c r="J1829" t="s">
        <v>4453</v>
      </c>
      <c r="K1829" s="170">
        <v>45777</v>
      </c>
      <c r="L1829" s="1">
        <v>12684.565018661742</v>
      </c>
      <c r="M1829" s="1">
        <v>45771</v>
      </c>
      <c r="V1829" s="1"/>
      <c r="Y1829"/>
      <c r="Z1829"/>
      <c r="AB1829"/>
    </row>
    <row r="1830" spans="1:28" ht="14.4" hidden="1">
      <c r="A1830" t="s">
        <v>214</v>
      </c>
      <c r="B1830" s="1">
        <v>92</v>
      </c>
      <c r="C1830" s="258" t="s">
        <v>4512</v>
      </c>
      <c r="D1830" t="s">
        <v>1799</v>
      </c>
      <c r="E1830" t="s">
        <v>1255</v>
      </c>
      <c r="F1830" t="s">
        <v>1178</v>
      </c>
      <c r="H1830" s="1">
        <v>0.25</v>
      </c>
      <c r="I1830" t="s">
        <v>4513</v>
      </c>
      <c r="J1830" t="s">
        <v>4456</v>
      </c>
      <c r="K1830" s="170">
        <v>45777</v>
      </c>
      <c r="L1830" s="1">
        <v>14824.168773327176</v>
      </c>
      <c r="M1830" s="1">
        <v>45771</v>
      </c>
      <c r="V1830" s="1"/>
      <c r="Y1830"/>
      <c r="Z1830"/>
      <c r="AB1830"/>
    </row>
    <row r="1831" spans="1:28" ht="14.4" hidden="1">
      <c r="A1831" t="s">
        <v>214</v>
      </c>
      <c r="B1831" s="1">
        <v>93</v>
      </c>
      <c r="C1831" s="258" t="s">
        <v>4514</v>
      </c>
      <c r="D1831" t="s">
        <v>1799</v>
      </c>
      <c r="E1831" t="s">
        <v>1255</v>
      </c>
      <c r="F1831" t="s">
        <v>1181</v>
      </c>
      <c r="H1831" s="1">
        <v>0.1</v>
      </c>
      <c r="I1831" t="s">
        <v>4507</v>
      </c>
      <c r="J1831" t="s">
        <v>4458</v>
      </c>
      <c r="K1831" s="170">
        <v>45777</v>
      </c>
      <c r="L1831" s="1">
        <v>5929.6675093308704</v>
      </c>
      <c r="M1831" s="1">
        <v>45785</v>
      </c>
      <c r="V1831" s="1"/>
      <c r="Y1831"/>
      <c r="Z1831"/>
      <c r="AB1831"/>
    </row>
    <row r="1832" spans="1:28" ht="14.4" hidden="1">
      <c r="A1832" t="s">
        <v>214</v>
      </c>
      <c r="B1832" s="1">
        <v>94</v>
      </c>
      <c r="C1832" s="258" t="s">
        <v>4515</v>
      </c>
      <c r="D1832" t="s">
        <v>1799</v>
      </c>
      <c r="E1832" t="s">
        <v>1255</v>
      </c>
      <c r="F1832" t="s">
        <v>1184</v>
      </c>
      <c r="H1832" s="1">
        <v>0.1</v>
      </c>
      <c r="I1832" t="s">
        <v>4507</v>
      </c>
      <c r="J1832" t="s">
        <v>4460</v>
      </c>
      <c r="K1832" s="170">
        <v>45808</v>
      </c>
      <c r="L1832" s="1">
        <v>5929.6675093308704</v>
      </c>
      <c r="M1832" s="1">
        <v>45820</v>
      </c>
      <c r="V1832" s="1"/>
      <c r="Y1832"/>
      <c r="Z1832"/>
      <c r="AB1832"/>
    </row>
    <row r="1833" spans="1:28" ht="14.4" hidden="1">
      <c r="A1833" t="s">
        <v>214</v>
      </c>
      <c r="B1833" s="1">
        <v>95</v>
      </c>
      <c r="C1833" s="258" t="s">
        <v>4516</v>
      </c>
      <c r="D1833" t="s">
        <v>1799</v>
      </c>
      <c r="E1833" t="s">
        <v>1255</v>
      </c>
      <c r="F1833" t="s">
        <v>1187</v>
      </c>
      <c r="H1833" s="1">
        <v>0.05</v>
      </c>
      <c r="I1833" t="s">
        <v>4517</v>
      </c>
      <c r="J1833" t="s">
        <v>4463</v>
      </c>
      <c r="K1833" s="170">
        <v>45838</v>
      </c>
      <c r="L1833" s="1">
        <v>2964.8337546654352</v>
      </c>
      <c r="M1833" s="1">
        <v>45793</v>
      </c>
      <c r="V1833" s="1"/>
      <c r="Y1833"/>
      <c r="Z1833"/>
      <c r="AB1833"/>
    </row>
    <row r="1834" spans="1:28" ht="14.4" hidden="1">
      <c r="A1834" t="s">
        <v>214</v>
      </c>
      <c r="B1834" s="1">
        <v>96</v>
      </c>
      <c r="C1834" s="258" t="s">
        <v>4518</v>
      </c>
      <c r="D1834" t="s">
        <v>1799</v>
      </c>
      <c r="E1834" t="s">
        <v>1255</v>
      </c>
      <c r="F1834" t="s">
        <v>1190</v>
      </c>
      <c r="H1834" s="1">
        <v>0.05</v>
      </c>
      <c r="I1834" t="s">
        <v>4517</v>
      </c>
      <c r="J1834" t="s">
        <v>4465</v>
      </c>
      <c r="K1834" s="170">
        <v>45838</v>
      </c>
      <c r="L1834" s="1">
        <v>2964.8337546654352</v>
      </c>
      <c r="M1834" s="1">
        <v>45869</v>
      </c>
      <c r="V1834" s="1"/>
      <c r="Y1834"/>
      <c r="Z1834"/>
      <c r="AB1834"/>
    </row>
    <row r="1835" spans="1:28" ht="14.4" hidden="1">
      <c r="A1835" t="s">
        <v>214</v>
      </c>
      <c r="B1835" s="1">
        <v>136</v>
      </c>
      <c r="C1835" s="258" t="s">
        <v>4519</v>
      </c>
      <c r="D1835" t="s">
        <v>4520</v>
      </c>
      <c r="E1835" t="s">
        <v>1451</v>
      </c>
      <c r="F1835" t="s">
        <v>4521</v>
      </c>
      <c r="H1835" s="1">
        <v>0.5</v>
      </c>
      <c r="I1835" t="s">
        <v>4522</v>
      </c>
      <c r="J1835" t="s">
        <v>4523</v>
      </c>
      <c r="K1835" s="170">
        <v>45777</v>
      </c>
      <c r="M1835" s="1">
        <v>45771</v>
      </c>
    </row>
    <row r="1836" spans="1:28" ht="14.4" hidden="1">
      <c r="A1836" t="s">
        <v>214</v>
      </c>
      <c r="B1836" s="1">
        <v>140</v>
      </c>
      <c r="C1836" s="258" t="s">
        <v>4524</v>
      </c>
      <c r="D1836" t="s">
        <v>4520</v>
      </c>
      <c r="E1836" t="s">
        <v>1451</v>
      </c>
      <c r="F1836" t="s">
        <v>4525</v>
      </c>
      <c r="H1836" s="1">
        <v>0.5</v>
      </c>
      <c r="I1836" t="s">
        <v>4522</v>
      </c>
      <c r="J1836" t="s">
        <v>4523</v>
      </c>
      <c r="K1836" s="170">
        <v>45777</v>
      </c>
      <c r="M1836" s="1">
        <v>45855</v>
      </c>
    </row>
    <row r="1837" spans="1:28" ht="14.4" hidden="1">
      <c r="A1837" t="s">
        <v>214</v>
      </c>
      <c r="B1837" s="1">
        <v>141</v>
      </c>
      <c r="C1837" s="258" t="s">
        <v>9273</v>
      </c>
      <c r="D1837" t="s">
        <v>4520</v>
      </c>
      <c r="E1837" t="s">
        <v>1451</v>
      </c>
      <c r="F1837" t="s">
        <v>4526</v>
      </c>
      <c r="H1837" s="1">
        <v>0.5</v>
      </c>
      <c r="I1837" t="s">
        <v>9274</v>
      </c>
      <c r="J1837" t="s">
        <v>9275</v>
      </c>
      <c r="K1837" s="170">
        <v>46081</v>
      </c>
      <c r="M1837" s="1">
        <v>46081</v>
      </c>
    </row>
    <row r="1838" spans="1:28" ht="14.4" hidden="1">
      <c r="A1838" t="s">
        <v>214</v>
      </c>
      <c r="B1838" s="1">
        <v>144</v>
      </c>
      <c r="C1838" s="258" t="s">
        <v>9276</v>
      </c>
      <c r="D1838" t="s">
        <v>4520</v>
      </c>
      <c r="E1838" t="s">
        <v>1451</v>
      </c>
      <c r="F1838" t="s">
        <v>4526</v>
      </c>
      <c r="H1838" s="1">
        <v>0.5</v>
      </c>
      <c r="I1838" t="s">
        <v>4527</v>
      </c>
      <c r="J1838"/>
      <c r="K1838" s="170">
        <v>46081</v>
      </c>
      <c r="M1838" s="1">
        <v>46112</v>
      </c>
    </row>
    <row r="1839" spans="1:28" ht="14.4" hidden="1">
      <c r="A1839" t="s">
        <v>217</v>
      </c>
      <c r="B1839" s="1">
        <v>6</v>
      </c>
      <c r="C1839" s="258" t="s">
        <v>4528</v>
      </c>
      <c r="D1839" t="s">
        <v>4529</v>
      </c>
      <c r="E1839" t="s">
        <v>4530</v>
      </c>
      <c r="F1839">
        <v>3182</v>
      </c>
      <c r="G1839">
        <v>0.1</v>
      </c>
      <c r="H1839" s="1">
        <v>799123.4462675706</v>
      </c>
      <c r="I1839" t="s">
        <v>4531</v>
      </c>
      <c r="J1839"/>
      <c r="K1839" s="170">
        <v>2093284.6164242504</v>
      </c>
      <c r="L1839" s="1">
        <v>45107</v>
      </c>
      <c r="N1839" s="1" t="s">
        <v>4532</v>
      </c>
    </row>
    <row r="1840" spans="1:28" ht="14.4" hidden="1">
      <c r="A1840" t="s">
        <v>217</v>
      </c>
      <c r="B1840" s="1">
        <v>7</v>
      </c>
      <c r="C1840" s="258" t="s">
        <v>4533</v>
      </c>
      <c r="D1840" t="s">
        <v>4529</v>
      </c>
      <c r="F1840"/>
      <c r="H1840" s="1">
        <v>379626.82425146003</v>
      </c>
      <c r="I1840" t="s">
        <v>4534</v>
      </c>
      <c r="J1840"/>
      <c r="K1840" s="170"/>
      <c r="L1840" s="1">
        <v>45107</v>
      </c>
    </row>
    <row r="1841" spans="1:14" ht="14.4" hidden="1">
      <c r="A1841" t="s">
        <v>217</v>
      </c>
      <c r="B1841" s="1">
        <v>8</v>
      </c>
      <c r="C1841" s="258" t="s">
        <v>4535</v>
      </c>
      <c r="D1841" t="s">
        <v>4529</v>
      </c>
      <c r="F1841"/>
      <c r="H1841" s="1">
        <v>881171.97199999995</v>
      </c>
      <c r="I1841" t="s">
        <v>4536</v>
      </c>
      <c r="J1841"/>
      <c r="K1841" s="170"/>
      <c r="L1841" s="1">
        <v>45107</v>
      </c>
    </row>
    <row r="1842" spans="1:14" ht="14.4" hidden="1">
      <c r="A1842" t="s">
        <v>217</v>
      </c>
      <c r="B1842" s="1">
        <v>9</v>
      </c>
      <c r="C1842" s="258" t="s">
        <v>4537</v>
      </c>
      <c r="D1842" t="s">
        <v>4529</v>
      </c>
      <c r="F1842"/>
      <c r="H1842" s="1">
        <v>1554041.55</v>
      </c>
      <c r="I1842" t="s">
        <v>4538</v>
      </c>
      <c r="J1842"/>
      <c r="K1842" s="170"/>
      <c r="L1842" s="1">
        <v>45107</v>
      </c>
    </row>
    <row r="1843" spans="1:14" ht="14.4" hidden="1">
      <c r="A1843" t="s">
        <v>217</v>
      </c>
      <c r="B1843" s="1">
        <v>10</v>
      </c>
      <c r="C1843" s="258" t="s">
        <v>4539</v>
      </c>
      <c r="D1843" t="s">
        <v>4529</v>
      </c>
      <c r="F1843"/>
      <c r="H1843" s="1">
        <v>3083109.5</v>
      </c>
      <c r="I1843" t="s">
        <v>4540</v>
      </c>
      <c r="J1843"/>
      <c r="K1843" s="170"/>
      <c r="L1843" s="1">
        <v>45107</v>
      </c>
    </row>
    <row r="1844" spans="1:14" ht="14.4" hidden="1">
      <c r="A1844" t="s">
        <v>217</v>
      </c>
      <c r="B1844" s="1">
        <v>11</v>
      </c>
      <c r="C1844" s="258" t="s">
        <v>4541</v>
      </c>
      <c r="D1844" t="s">
        <v>4529</v>
      </c>
      <c r="E1844" t="s">
        <v>4542</v>
      </c>
      <c r="F1844"/>
      <c r="G1844">
        <v>0.9</v>
      </c>
      <c r="H1844" s="1">
        <v>1294161.17015668</v>
      </c>
      <c r="I1844" t="s">
        <v>4540</v>
      </c>
      <c r="J1844"/>
      <c r="K1844" s="170"/>
      <c r="L1844" s="1">
        <v>45107</v>
      </c>
    </row>
    <row r="1845" spans="1:14" ht="14.4" hidden="1">
      <c r="A1845" t="s">
        <v>217</v>
      </c>
      <c r="B1845" s="1">
        <v>12</v>
      </c>
      <c r="C1845" s="258" t="s">
        <v>4543</v>
      </c>
      <c r="D1845" t="s">
        <v>4529</v>
      </c>
      <c r="E1845" t="s">
        <v>4544</v>
      </c>
      <c r="F1845">
        <v>-75</v>
      </c>
      <c r="G1845">
        <v>2511.39</v>
      </c>
      <c r="H1845" s="1">
        <v>-188354.25</v>
      </c>
      <c r="I1845" t="s">
        <v>4545</v>
      </c>
      <c r="J1845"/>
      <c r="K1845" s="170"/>
      <c r="L1845" s="1">
        <v>45443</v>
      </c>
    </row>
    <row r="1846" spans="1:14" ht="14.4" hidden="1">
      <c r="A1846" t="s">
        <v>217</v>
      </c>
      <c r="B1846" s="1">
        <v>13</v>
      </c>
      <c r="C1846" s="258" t="s">
        <v>4546</v>
      </c>
      <c r="D1846" t="s">
        <v>4529</v>
      </c>
      <c r="E1846" t="s">
        <v>4547</v>
      </c>
      <c r="F1846"/>
      <c r="H1846" s="1">
        <v>39939.25</v>
      </c>
      <c r="I1846" t="s">
        <v>4548</v>
      </c>
      <c r="J1846"/>
      <c r="K1846" s="170"/>
      <c r="L1846" s="1">
        <v>45169</v>
      </c>
      <c r="N1846" s="1" t="s">
        <v>4549</v>
      </c>
    </row>
    <row r="1847" spans="1:14" ht="14.4" hidden="1">
      <c r="A1847" t="s">
        <v>217</v>
      </c>
      <c r="B1847" s="1">
        <v>14</v>
      </c>
      <c r="C1847" s="258" t="s">
        <v>4550</v>
      </c>
      <c r="D1847" t="s">
        <v>4529</v>
      </c>
      <c r="F1847"/>
      <c r="H1847" s="1">
        <v>3997.43</v>
      </c>
      <c r="I1847" t="s">
        <v>4551</v>
      </c>
      <c r="J1847"/>
      <c r="K1847" s="170"/>
      <c r="L1847" s="1">
        <v>45169</v>
      </c>
    </row>
    <row r="1848" spans="1:14" ht="14.4" hidden="1">
      <c r="A1848" t="s">
        <v>217</v>
      </c>
      <c r="B1848" s="1">
        <v>20</v>
      </c>
      <c r="C1848" s="258" t="s">
        <v>4552</v>
      </c>
      <c r="D1848" t="s">
        <v>4529</v>
      </c>
      <c r="E1848" t="s">
        <v>4553</v>
      </c>
      <c r="F1848"/>
      <c r="H1848" s="1">
        <v>5328.39</v>
      </c>
      <c r="I1848" t="s">
        <v>4554</v>
      </c>
      <c r="J1848"/>
      <c r="K1848" s="170"/>
      <c r="L1848" s="1">
        <v>45107</v>
      </c>
    </row>
    <row r="1849" spans="1:14" ht="14.4" hidden="1">
      <c r="A1849" t="s">
        <v>217</v>
      </c>
      <c r="B1849" s="1">
        <v>22</v>
      </c>
      <c r="C1849" s="258" t="s">
        <v>4555</v>
      </c>
      <c r="D1849" t="s">
        <v>4529</v>
      </c>
      <c r="E1849" t="s">
        <v>4556</v>
      </c>
      <c r="F1849"/>
      <c r="H1849" s="1">
        <v>4300</v>
      </c>
      <c r="I1849" t="s">
        <v>4557</v>
      </c>
      <c r="J1849"/>
      <c r="K1849" s="170"/>
      <c r="L1849" s="1">
        <v>45230</v>
      </c>
    </row>
    <row r="1850" spans="1:14" ht="14.4" hidden="1">
      <c r="A1850" t="s">
        <v>217</v>
      </c>
      <c r="B1850" s="1">
        <v>24</v>
      </c>
      <c r="C1850" s="258" t="s">
        <v>4558</v>
      </c>
      <c r="D1850" t="s">
        <v>4529</v>
      </c>
      <c r="E1850" t="s">
        <v>4559</v>
      </c>
      <c r="F1850"/>
      <c r="H1850" s="1">
        <v>4550</v>
      </c>
      <c r="I1850" t="s">
        <v>4560</v>
      </c>
      <c r="J1850"/>
      <c r="K1850" s="170"/>
      <c r="L1850" s="1">
        <v>45230</v>
      </c>
    </row>
    <row r="1851" spans="1:14" ht="14.4" hidden="1">
      <c r="A1851" t="s">
        <v>217</v>
      </c>
      <c r="B1851" s="1">
        <v>25</v>
      </c>
      <c r="C1851" s="258" t="s">
        <v>4561</v>
      </c>
      <c r="D1851" t="s">
        <v>4529</v>
      </c>
      <c r="E1851" t="s">
        <v>4562</v>
      </c>
      <c r="F1851"/>
      <c r="H1851" s="1">
        <v>420</v>
      </c>
      <c r="I1851" t="s">
        <v>4560</v>
      </c>
      <c r="J1851"/>
      <c r="K1851" s="170"/>
      <c r="L1851" s="1">
        <v>45230</v>
      </c>
    </row>
    <row r="1852" spans="1:14" ht="14.4" hidden="1">
      <c r="A1852" t="s">
        <v>217</v>
      </c>
      <c r="B1852" s="1">
        <v>28</v>
      </c>
      <c r="C1852" s="258" t="s">
        <v>4563</v>
      </c>
      <c r="D1852" t="s">
        <v>4564</v>
      </c>
      <c r="E1852" t="s">
        <v>4565</v>
      </c>
      <c r="F1852">
        <v>12</v>
      </c>
      <c r="G1852">
        <v>89060</v>
      </c>
      <c r="H1852" s="1">
        <v>106872</v>
      </c>
      <c r="I1852" t="s">
        <v>4566</v>
      </c>
      <c r="J1852"/>
      <c r="K1852" s="170"/>
      <c r="L1852" s="1">
        <v>45169</v>
      </c>
      <c r="M1852" s="1" t="s">
        <v>4567</v>
      </c>
    </row>
    <row r="1853" spans="1:14" ht="14.4" hidden="1">
      <c r="A1853" t="s">
        <v>217</v>
      </c>
      <c r="B1853" s="1">
        <v>29</v>
      </c>
      <c r="C1853" s="258" t="s">
        <v>4568</v>
      </c>
      <c r="D1853" t="s">
        <v>4564</v>
      </c>
      <c r="E1853" t="s">
        <v>4569</v>
      </c>
      <c r="F1853"/>
      <c r="H1853" s="1">
        <v>961848</v>
      </c>
      <c r="I1853" t="s">
        <v>4570</v>
      </c>
      <c r="J1853"/>
      <c r="K1853" s="170"/>
      <c r="L1853" s="1">
        <v>45169</v>
      </c>
    </row>
    <row r="1854" spans="1:14" ht="14.4" hidden="1">
      <c r="A1854" t="s">
        <v>217</v>
      </c>
      <c r="B1854" s="1">
        <v>30</v>
      </c>
      <c r="C1854" s="258" t="s">
        <v>4571</v>
      </c>
      <c r="D1854" t="s">
        <v>4564</v>
      </c>
      <c r="E1854" t="s">
        <v>4572</v>
      </c>
      <c r="F1854"/>
      <c r="H1854" s="1">
        <v>76795</v>
      </c>
      <c r="I1854" t="s">
        <v>4573</v>
      </c>
      <c r="J1854"/>
      <c r="K1854" s="170"/>
      <c r="L1854" s="1">
        <v>45443</v>
      </c>
    </row>
    <row r="1855" spans="1:14" ht="14.4" hidden="1">
      <c r="A1855" t="s">
        <v>217</v>
      </c>
      <c r="B1855" s="1">
        <v>31</v>
      </c>
      <c r="C1855" s="258" t="s">
        <v>4574</v>
      </c>
      <c r="D1855" t="s">
        <v>4564</v>
      </c>
      <c r="E1855" t="s">
        <v>4575</v>
      </c>
      <c r="F1855"/>
      <c r="H1855" s="1">
        <v>-89060</v>
      </c>
      <c r="I1855" t="s">
        <v>4576</v>
      </c>
      <c r="J1855"/>
      <c r="K1855" s="170"/>
      <c r="L1855" s="1">
        <v>45535</v>
      </c>
    </row>
    <row r="1856" spans="1:14" ht="14.4" hidden="1">
      <c r="A1856" t="s">
        <v>217</v>
      </c>
      <c r="B1856" s="1">
        <v>34</v>
      </c>
      <c r="C1856" s="258" t="s">
        <v>4577</v>
      </c>
      <c r="D1856" t="s">
        <v>4578</v>
      </c>
      <c r="E1856" t="s">
        <v>4579</v>
      </c>
      <c r="F1856"/>
      <c r="G1856">
        <v>0.18316275508163185</v>
      </c>
      <c r="H1856" s="1">
        <v>320522</v>
      </c>
      <c r="I1856" t="s">
        <v>4580</v>
      </c>
      <c r="J1856"/>
      <c r="K1856" s="170"/>
      <c r="L1856" s="1">
        <v>45107</v>
      </c>
    </row>
    <row r="1857" spans="1:12" ht="14.4" hidden="1">
      <c r="A1857" t="s">
        <v>217</v>
      </c>
      <c r="B1857" s="1">
        <v>35</v>
      </c>
      <c r="C1857" s="258" t="s">
        <v>4581</v>
      </c>
      <c r="D1857" t="s">
        <v>4578</v>
      </c>
      <c r="F1857"/>
      <c r="H1857" s="1">
        <v>24371</v>
      </c>
      <c r="I1857" t="s">
        <v>4580</v>
      </c>
      <c r="J1857"/>
      <c r="K1857" s="170"/>
      <c r="L1857" s="1">
        <v>45107</v>
      </c>
    </row>
    <row r="1858" spans="1:12" ht="14.4" hidden="1">
      <c r="A1858" t="s">
        <v>217</v>
      </c>
      <c r="B1858" s="1">
        <v>36</v>
      </c>
      <c r="C1858" s="258" t="s">
        <v>4582</v>
      </c>
      <c r="D1858" t="s">
        <v>4578</v>
      </c>
      <c r="E1858" t="s">
        <v>4583</v>
      </c>
      <c r="F1858"/>
      <c r="H1858" s="1">
        <v>6553.8</v>
      </c>
      <c r="I1858" t="s">
        <v>4584</v>
      </c>
      <c r="J1858"/>
      <c r="K1858" s="170"/>
      <c r="L1858" s="1">
        <v>45351</v>
      </c>
    </row>
    <row r="1859" spans="1:12" ht="14.4" hidden="1">
      <c r="A1859" t="s">
        <v>217</v>
      </c>
      <c r="B1859" s="1">
        <v>37</v>
      </c>
      <c r="C1859" s="258" t="s">
        <v>4585</v>
      </c>
      <c r="D1859" t="s">
        <v>4578</v>
      </c>
      <c r="E1859" t="s">
        <v>4586</v>
      </c>
      <c r="F1859"/>
      <c r="H1859" s="1">
        <v>-18280.34</v>
      </c>
      <c r="I1859" t="s">
        <v>4587</v>
      </c>
      <c r="J1859"/>
      <c r="K1859" s="170"/>
      <c r="L1859" s="1">
        <v>45107</v>
      </c>
    </row>
    <row r="1860" spans="1:12" ht="14.4" hidden="1">
      <c r="A1860" t="s">
        <v>217</v>
      </c>
      <c r="B1860" s="1">
        <v>38</v>
      </c>
      <c r="C1860" s="258" t="s">
        <v>4588</v>
      </c>
      <c r="D1860" t="s">
        <v>4578</v>
      </c>
      <c r="E1860" t="s">
        <v>4589</v>
      </c>
      <c r="F1860"/>
      <c r="H1860" s="1">
        <v>18280.34</v>
      </c>
      <c r="I1860" t="s">
        <v>4587</v>
      </c>
      <c r="J1860"/>
      <c r="K1860" s="170"/>
      <c r="L1860" s="1">
        <v>45107</v>
      </c>
    </row>
    <row r="1861" spans="1:12" ht="14.4" hidden="1">
      <c r="A1861" t="s">
        <v>217</v>
      </c>
      <c r="B1861" s="1">
        <v>40</v>
      </c>
      <c r="C1861" s="258" t="s">
        <v>4590</v>
      </c>
      <c r="D1861" t="s">
        <v>4591</v>
      </c>
      <c r="E1861" t="s">
        <v>4592</v>
      </c>
      <c r="F1861">
        <v>20000</v>
      </c>
      <c r="G1861">
        <v>13.92</v>
      </c>
      <c r="H1861" s="1">
        <v>278400</v>
      </c>
      <c r="I1861" t="s">
        <v>4593</v>
      </c>
      <c r="J1861"/>
      <c r="K1861" s="170" t="s">
        <v>4594</v>
      </c>
      <c r="L1861" s="1">
        <v>45169</v>
      </c>
    </row>
    <row r="1862" spans="1:12" ht="14.4" hidden="1">
      <c r="A1862" t="s">
        <v>217</v>
      </c>
      <c r="B1862" s="1">
        <v>41</v>
      </c>
      <c r="C1862" s="258" t="s">
        <v>4595</v>
      </c>
      <c r="D1862" t="s">
        <v>4591</v>
      </c>
      <c r="E1862" t="s">
        <v>4596</v>
      </c>
      <c r="F1862">
        <v>20000</v>
      </c>
      <c r="G1862">
        <v>13.92</v>
      </c>
      <c r="H1862" s="1">
        <v>278400</v>
      </c>
      <c r="I1862" t="s">
        <v>4593</v>
      </c>
      <c r="J1862"/>
      <c r="K1862" s="170" t="s">
        <v>4594</v>
      </c>
      <c r="L1862" s="1">
        <v>45169</v>
      </c>
    </row>
    <row r="1863" spans="1:12" ht="14.4" hidden="1">
      <c r="A1863" t="s">
        <v>217</v>
      </c>
      <c r="B1863" s="1">
        <v>43</v>
      </c>
      <c r="C1863" s="258" t="s">
        <v>4597</v>
      </c>
      <c r="D1863" t="s">
        <v>4591</v>
      </c>
      <c r="E1863" t="s">
        <v>4598</v>
      </c>
      <c r="F1863">
        <v>3500</v>
      </c>
      <c r="G1863">
        <v>15.47</v>
      </c>
      <c r="H1863" s="1">
        <v>54145</v>
      </c>
      <c r="I1863" t="s">
        <v>4599</v>
      </c>
      <c r="J1863"/>
      <c r="K1863" s="170"/>
      <c r="L1863" s="1">
        <v>45169</v>
      </c>
    </row>
    <row r="1864" spans="1:12" ht="14.4" hidden="1">
      <c r="A1864" t="s">
        <v>217</v>
      </c>
      <c r="B1864" s="1">
        <v>44</v>
      </c>
      <c r="C1864" s="258" t="s">
        <v>4600</v>
      </c>
      <c r="D1864" t="s">
        <v>4591</v>
      </c>
      <c r="E1864" t="s">
        <v>4601</v>
      </c>
      <c r="F1864">
        <v>3500</v>
      </c>
      <c r="G1864">
        <v>14.6</v>
      </c>
      <c r="H1864" s="1">
        <v>51100</v>
      </c>
      <c r="I1864" t="s">
        <v>4599</v>
      </c>
      <c r="J1864"/>
      <c r="K1864" s="170"/>
      <c r="L1864" s="1">
        <v>45169</v>
      </c>
    </row>
    <row r="1865" spans="1:12" ht="14.4" hidden="1">
      <c r="A1865" t="s">
        <v>217</v>
      </c>
      <c r="B1865" s="1">
        <v>46</v>
      </c>
      <c r="C1865" s="258" t="s">
        <v>4602</v>
      </c>
      <c r="D1865" t="s">
        <v>4591</v>
      </c>
      <c r="E1865" t="s">
        <v>4603</v>
      </c>
      <c r="F1865">
        <v>3000</v>
      </c>
      <c r="G1865">
        <v>14.28</v>
      </c>
      <c r="H1865" s="1">
        <v>42841.93</v>
      </c>
      <c r="I1865" t="s">
        <v>4604</v>
      </c>
      <c r="J1865"/>
      <c r="K1865" s="170">
        <v>85683.86</v>
      </c>
      <c r="L1865" s="1">
        <v>45230</v>
      </c>
    </row>
    <row r="1866" spans="1:12" ht="14.4" hidden="1">
      <c r="A1866" t="s">
        <v>217</v>
      </c>
      <c r="B1866" s="1">
        <v>47</v>
      </c>
      <c r="C1866" s="258" t="s">
        <v>4605</v>
      </c>
      <c r="D1866" t="s">
        <v>4591</v>
      </c>
      <c r="E1866" t="s">
        <v>4606</v>
      </c>
      <c r="F1866">
        <v>3000</v>
      </c>
      <c r="G1866">
        <v>14.28</v>
      </c>
      <c r="H1866" s="1">
        <v>42841.93</v>
      </c>
      <c r="I1866" t="s">
        <v>4604</v>
      </c>
      <c r="J1866"/>
      <c r="K1866" s="170"/>
      <c r="L1866" s="1">
        <v>45230</v>
      </c>
    </row>
    <row r="1867" spans="1:12" ht="14.4" hidden="1">
      <c r="A1867" t="s">
        <v>217</v>
      </c>
      <c r="B1867" s="1">
        <v>48</v>
      </c>
      <c r="C1867" s="258" t="s">
        <v>4607</v>
      </c>
      <c r="F1867"/>
      <c r="H1867" s="1">
        <v>725</v>
      </c>
      <c r="I1867" t="s">
        <v>4604</v>
      </c>
      <c r="J1867"/>
      <c r="K1867" s="170"/>
      <c r="L1867" s="1">
        <v>45230</v>
      </c>
    </row>
    <row r="1868" spans="1:12" ht="14.4" hidden="1">
      <c r="A1868" t="s">
        <v>217</v>
      </c>
      <c r="B1868" s="1">
        <v>49</v>
      </c>
      <c r="C1868" s="258" t="s">
        <v>4608</v>
      </c>
      <c r="D1868" t="s">
        <v>4591</v>
      </c>
      <c r="E1868" t="s">
        <v>1794</v>
      </c>
      <c r="F1868">
        <v>0.5</v>
      </c>
      <c r="G1868">
        <v>420555</v>
      </c>
      <c r="H1868" s="1">
        <v>210277.5</v>
      </c>
      <c r="I1868" t="s">
        <v>4609</v>
      </c>
      <c r="J1868"/>
      <c r="K1868" s="170"/>
      <c r="L1868" s="1">
        <v>45107</v>
      </c>
    </row>
    <row r="1869" spans="1:12" ht="14.4" hidden="1">
      <c r="A1869" t="s">
        <v>217</v>
      </c>
      <c r="B1869" s="1">
        <v>50</v>
      </c>
      <c r="C1869" s="258" t="s">
        <v>4610</v>
      </c>
      <c r="D1869" t="s">
        <v>4591</v>
      </c>
      <c r="E1869" t="s">
        <v>4611</v>
      </c>
      <c r="F1869">
        <v>0.4</v>
      </c>
      <c r="H1869" s="1">
        <v>168222</v>
      </c>
      <c r="I1869" t="s">
        <v>4593</v>
      </c>
      <c r="J1869"/>
      <c r="K1869" s="170"/>
      <c r="L1869" s="1">
        <v>45169</v>
      </c>
    </row>
    <row r="1870" spans="1:12" ht="14.4" hidden="1">
      <c r="A1870" t="s">
        <v>217</v>
      </c>
      <c r="B1870" s="1">
        <v>51</v>
      </c>
      <c r="C1870" s="258" t="s">
        <v>4612</v>
      </c>
      <c r="D1870" t="s">
        <v>4591</v>
      </c>
      <c r="E1870" t="s">
        <v>4613</v>
      </c>
      <c r="F1870">
        <v>0.1</v>
      </c>
      <c r="G1870">
        <v>42055.5</v>
      </c>
      <c r="H1870" s="1">
        <v>33644.400000000001</v>
      </c>
      <c r="I1870" t="s">
        <v>4614</v>
      </c>
      <c r="J1870"/>
      <c r="K1870" s="170"/>
      <c r="L1870" s="1">
        <v>45473</v>
      </c>
    </row>
    <row r="1871" spans="1:12" ht="14.4" hidden="1">
      <c r="A1871" t="s">
        <v>217</v>
      </c>
      <c r="B1871" s="1">
        <v>52</v>
      </c>
      <c r="C1871" s="258" t="s">
        <v>4615</v>
      </c>
      <c r="D1871" t="s">
        <v>4591</v>
      </c>
      <c r="E1871" t="s">
        <v>4613</v>
      </c>
      <c r="F1871"/>
      <c r="H1871" s="1">
        <v>8411.1</v>
      </c>
      <c r="I1871" t="s">
        <v>4616</v>
      </c>
      <c r="J1871"/>
      <c r="K1871" s="170"/>
      <c r="L1871" s="1">
        <v>45473</v>
      </c>
    </row>
    <row r="1872" spans="1:12" ht="14.4" hidden="1">
      <c r="A1872" t="s">
        <v>217</v>
      </c>
      <c r="B1872" s="1">
        <v>54</v>
      </c>
      <c r="C1872" s="258" t="s">
        <v>4617</v>
      </c>
      <c r="D1872" t="s">
        <v>4618</v>
      </c>
      <c r="E1872" t="s">
        <v>4619</v>
      </c>
      <c r="F1872"/>
      <c r="H1872" s="1">
        <v>749.9000000000002</v>
      </c>
      <c r="I1872" t="s">
        <v>4566</v>
      </c>
      <c r="J1872"/>
      <c r="K1872" s="170"/>
      <c r="L1872" s="1">
        <v>45169</v>
      </c>
    </row>
    <row r="1873" spans="1:12" ht="14.4" hidden="1">
      <c r="A1873" t="s">
        <v>217</v>
      </c>
      <c r="B1873" s="1">
        <v>55</v>
      </c>
      <c r="C1873" s="258" t="s">
        <v>4620</v>
      </c>
      <c r="D1873" t="s">
        <v>4618</v>
      </c>
      <c r="E1873" t="s">
        <v>4621</v>
      </c>
      <c r="F1873"/>
      <c r="H1873" s="1">
        <v>6749.1</v>
      </c>
      <c r="I1873" t="s">
        <v>4570</v>
      </c>
      <c r="J1873"/>
      <c r="K1873" s="170"/>
      <c r="L1873" s="1">
        <v>45169</v>
      </c>
    </row>
    <row r="1874" spans="1:12" ht="14.4" hidden="1">
      <c r="A1874" t="s">
        <v>217</v>
      </c>
      <c r="B1874" s="1">
        <v>56</v>
      </c>
      <c r="C1874" s="258" t="s">
        <v>4622</v>
      </c>
      <c r="D1874" t="s">
        <v>4618</v>
      </c>
      <c r="E1874" t="s">
        <v>4623</v>
      </c>
      <c r="F1874"/>
      <c r="H1874" s="1">
        <v>9011</v>
      </c>
      <c r="I1874" t="s">
        <v>4584</v>
      </c>
      <c r="J1874"/>
      <c r="K1874" s="170"/>
      <c r="L1874" s="1">
        <v>45322</v>
      </c>
    </row>
    <row r="1875" spans="1:12" ht="14.4" hidden="1">
      <c r="A1875" t="s">
        <v>217</v>
      </c>
      <c r="B1875" s="1">
        <v>57</v>
      </c>
      <c r="C1875" s="258" t="s">
        <v>4624</v>
      </c>
      <c r="D1875" t="s">
        <v>4618</v>
      </c>
      <c r="E1875" t="s">
        <v>4625</v>
      </c>
      <c r="F1875"/>
      <c r="H1875" s="1">
        <v>26788</v>
      </c>
      <c r="I1875" t="s">
        <v>4626</v>
      </c>
      <c r="J1875"/>
      <c r="K1875" s="170" t="s">
        <v>4627</v>
      </c>
      <c r="L1875" s="1">
        <v>45322</v>
      </c>
    </row>
    <row r="1876" spans="1:12" ht="14.4" hidden="1">
      <c r="A1876" t="s">
        <v>217</v>
      </c>
      <c r="B1876" s="1">
        <v>58</v>
      </c>
      <c r="C1876" s="258" t="s">
        <v>4628</v>
      </c>
      <c r="D1876" t="s">
        <v>4618</v>
      </c>
      <c r="E1876" t="s">
        <v>4629</v>
      </c>
      <c r="F1876"/>
      <c r="H1876" s="1">
        <v>242.39</v>
      </c>
      <c r="I1876" t="s">
        <v>4584</v>
      </c>
      <c r="J1876"/>
      <c r="K1876" s="170" t="s">
        <v>4630</v>
      </c>
      <c r="L1876" s="1">
        <v>45322</v>
      </c>
    </row>
    <row r="1877" spans="1:12" ht="14.4" hidden="1">
      <c r="A1877" t="s">
        <v>217</v>
      </c>
      <c r="B1877" s="1">
        <v>59</v>
      </c>
      <c r="C1877" s="258" t="s">
        <v>4631</v>
      </c>
      <c r="D1877" t="s">
        <v>4618</v>
      </c>
      <c r="E1877" t="s">
        <v>4632</v>
      </c>
      <c r="F1877"/>
      <c r="H1877" s="1">
        <v>1655</v>
      </c>
      <c r="I1877" t="s">
        <v>4633</v>
      </c>
      <c r="J1877"/>
      <c r="K1877" s="170" t="s">
        <v>4634</v>
      </c>
      <c r="L1877" s="1">
        <v>45176</v>
      </c>
    </row>
    <row r="1878" spans="1:12" ht="14.4" hidden="1">
      <c r="A1878" t="s">
        <v>217</v>
      </c>
      <c r="B1878" s="1">
        <v>60</v>
      </c>
      <c r="C1878" s="258" t="s">
        <v>4635</v>
      </c>
      <c r="D1878" t="s">
        <v>4618</v>
      </c>
      <c r="E1878" t="s">
        <v>4636</v>
      </c>
      <c r="F1878">
        <v>0</v>
      </c>
      <c r="G1878">
        <v>15000</v>
      </c>
      <c r="H1878" s="1">
        <v>0</v>
      </c>
      <c r="I1878"/>
      <c r="J1878"/>
      <c r="K1878" s="170"/>
    </row>
    <row r="1879" spans="1:12" ht="14.4" hidden="1">
      <c r="A1879" t="s">
        <v>217</v>
      </c>
      <c r="B1879" s="1">
        <v>61</v>
      </c>
      <c r="C1879" s="258" t="s">
        <v>4637</v>
      </c>
      <c r="D1879" t="s">
        <v>4618</v>
      </c>
      <c r="E1879" t="s">
        <v>4638</v>
      </c>
      <c r="F1879"/>
      <c r="H1879" s="1">
        <v>9006.66</v>
      </c>
      <c r="I1879" t="s">
        <v>4584</v>
      </c>
      <c r="J1879"/>
      <c r="K1879" s="170"/>
      <c r="L1879" s="1">
        <v>45322</v>
      </c>
    </row>
    <row r="1880" spans="1:12" ht="14.4" hidden="1">
      <c r="A1880" t="s">
        <v>217</v>
      </c>
      <c r="B1880" s="1">
        <v>62</v>
      </c>
      <c r="C1880" s="258" t="s">
        <v>4639</v>
      </c>
      <c r="D1880" t="s">
        <v>4618</v>
      </c>
      <c r="E1880" t="s">
        <v>4640</v>
      </c>
      <c r="F1880"/>
      <c r="H1880" s="1">
        <v>4910</v>
      </c>
      <c r="I1880" t="s">
        <v>4641</v>
      </c>
      <c r="J1880"/>
      <c r="K1880" s="170" t="s">
        <v>4642</v>
      </c>
      <c r="L1880" s="1">
        <v>45322</v>
      </c>
    </row>
    <row r="1881" spans="1:12" ht="14.4" hidden="1">
      <c r="A1881" t="s">
        <v>217</v>
      </c>
      <c r="B1881" s="1">
        <v>63</v>
      </c>
      <c r="C1881" s="258" t="s">
        <v>4643</v>
      </c>
      <c r="D1881" t="s">
        <v>4618</v>
      </c>
      <c r="E1881" t="s">
        <v>2768</v>
      </c>
      <c r="F1881"/>
      <c r="H1881" s="1">
        <v>2082.61</v>
      </c>
      <c r="I1881" t="s">
        <v>4644</v>
      </c>
      <c r="J1881"/>
      <c r="K1881" s="170"/>
      <c r="L1881" s="1">
        <v>45107</v>
      </c>
    </row>
    <row r="1882" spans="1:12" ht="14.4" hidden="1">
      <c r="A1882" t="s">
        <v>217</v>
      </c>
      <c r="B1882" s="1">
        <v>64</v>
      </c>
      <c r="C1882" s="258" t="s">
        <v>4645</v>
      </c>
      <c r="D1882" t="s">
        <v>4618</v>
      </c>
      <c r="F1882"/>
      <c r="H1882" s="1">
        <v>1999.13</v>
      </c>
      <c r="I1882" t="s">
        <v>4646</v>
      </c>
      <c r="J1882"/>
      <c r="K1882" s="170" t="s">
        <v>4647</v>
      </c>
      <c r="L1882" s="1">
        <v>45322</v>
      </c>
    </row>
    <row r="1883" spans="1:12" ht="14.4" hidden="1">
      <c r="A1883" t="s">
        <v>217</v>
      </c>
      <c r="B1883" s="1">
        <v>65</v>
      </c>
      <c r="C1883" s="258" t="s">
        <v>4648</v>
      </c>
      <c r="D1883" t="s">
        <v>4618</v>
      </c>
      <c r="E1883" t="s">
        <v>4649</v>
      </c>
      <c r="F1883"/>
      <c r="H1883" s="1">
        <v>239.13</v>
      </c>
      <c r="I1883" t="s">
        <v>4650</v>
      </c>
      <c r="J1883"/>
      <c r="K1883" s="170"/>
      <c r="L1883" s="1">
        <v>45077</v>
      </c>
    </row>
    <row r="1884" spans="1:12" ht="14.4" hidden="1">
      <c r="A1884" t="s">
        <v>217</v>
      </c>
      <c r="B1884" s="1">
        <v>66</v>
      </c>
      <c r="C1884" s="258" t="s">
        <v>4651</v>
      </c>
      <c r="D1884" t="s">
        <v>4618</v>
      </c>
      <c r="F1884"/>
      <c r="H1884" s="1">
        <v>6225</v>
      </c>
      <c r="I1884" t="s">
        <v>4641</v>
      </c>
      <c r="J1884"/>
      <c r="K1884" s="170" t="s">
        <v>4652</v>
      </c>
      <c r="L1884" s="1">
        <v>45322</v>
      </c>
    </row>
    <row r="1885" spans="1:12" ht="14.4" hidden="1">
      <c r="A1885" t="s">
        <v>217</v>
      </c>
      <c r="B1885" s="1">
        <v>67</v>
      </c>
      <c r="C1885" s="258" t="s">
        <v>4653</v>
      </c>
      <c r="D1885" t="s">
        <v>4618</v>
      </c>
      <c r="E1885" t="s">
        <v>2149</v>
      </c>
      <c r="F1885">
        <v>1</v>
      </c>
      <c r="G1885">
        <v>2694</v>
      </c>
      <c r="H1885" s="1">
        <v>2969.31</v>
      </c>
      <c r="I1885" t="s">
        <v>4654</v>
      </c>
      <c r="J1885"/>
      <c r="K1885" s="170"/>
      <c r="L1885" s="1">
        <v>45138</v>
      </c>
    </row>
    <row r="1886" spans="1:12" ht="14.4" hidden="1">
      <c r="A1886" t="s">
        <v>217</v>
      </c>
      <c r="B1886" s="1">
        <v>68</v>
      </c>
      <c r="C1886" s="258" t="s">
        <v>4655</v>
      </c>
      <c r="D1886" t="s">
        <v>4618</v>
      </c>
      <c r="E1886" t="s">
        <v>4656</v>
      </c>
      <c r="F1886"/>
      <c r="H1886" s="1">
        <v>2606.09</v>
      </c>
      <c r="I1886" t="s">
        <v>4657</v>
      </c>
      <c r="J1886"/>
      <c r="K1886" s="170" t="s">
        <v>4658</v>
      </c>
      <c r="L1886" s="1">
        <v>45322</v>
      </c>
    </row>
    <row r="1887" spans="1:12" ht="14.4" hidden="1">
      <c r="A1887" t="s">
        <v>217</v>
      </c>
      <c r="B1887" s="1">
        <v>69</v>
      </c>
      <c r="C1887" s="258" t="s">
        <v>4659</v>
      </c>
      <c r="D1887" t="s">
        <v>4618</v>
      </c>
      <c r="E1887" t="s">
        <v>4660</v>
      </c>
      <c r="F1887"/>
      <c r="H1887" s="1">
        <v>1039</v>
      </c>
      <c r="I1887" t="s">
        <v>4580</v>
      </c>
      <c r="J1887"/>
      <c r="K1887" s="170"/>
      <c r="L1887" s="1">
        <v>45169</v>
      </c>
    </row>
    <row r="1888" spans="1:12" ht="14.4" hidden="1">
      <c r="A1888" t="s">
        <v>217</v>
      </c>
      <c r="B1888" s="1">
        <v>70</v>
      </c>
      <c r="C1888" s="258" t="s">
        <v>4661</v>
      </c>
      <c r="D1888" t="s">
        <v>4618</v>
      </c>
      <c r="F1888"/>
      <c r="H1888" s="1">
        <v>2463</v>
      </c>
      <c r="I1888" t="s">
        <v>4662</v>
      </c>
      <c r="J1888"/>
      <c r="K1888" s="170" t="s">
        <v>4663</v>
      </c>
      <c r="L1888" s="1">
        <v>45322</v>
      </c>
    </row>
    <row r="1889" spans="1:13" ht="14.4" hidden="1">
      <c r="A1889" t="s">
        <v>217</v>
      </c>
      <c r="B1889" s="1">
        <v>71</v>
      </c>
      <c r="C1889" s="258" t="s">
        <v>4664</v>
      </c>
      <c r="D1889" t="s">
        <v>4618</v>
      </c>
      <c r="E1889" t="s">
        <v>4665</v>
      </c>
      <c r="F1889"/>
      <c r="H1889" s="1">
        <v>11667.2</v>
      </c>
      <c r="I1889" t="s">
        <v>4666</v>
      </c>
      <c r="J1889"/>
      <c r="K1889" s="170" t="s">
        <v>4667</v>
      </c>
      <c r="L1889" s="1">
        <v>45412</v>
      </c>
    </row>
    <row r="1890" spans="1:13" ht="14.4" hidden="1">
      <c r="A1890" t="s">
        <v>217</v>
      </c>
      <c r="B1890" s="1">
        <v>72</v>
      </c>
      <c r="C1890" s="258" t="s">
        <v>4668</v>
      </c>
      <c r="D1890" t="s">
        <v>4618</v>
      </c>
      <c r="E1890" t="s">
        <v>4669</v>
      </c>
      <c r="F1890"/>
      <c r="H1890" s="1">
        <v>433.29</v>
      </c>
      <c r="I1890" t="s">
        <v>4545</v>
      </c>
      <c r="J1890"/>
      <c r="K1890" s="170"/>
      <c r="L1890" s="1">
        <v>45412</v>
      </c>
    </row>
    <row r="1891" spans="1:13" ht="14.4" hidden="1">
      <c r="A1891" t="s">
        <v>217</v>
      </c>
      <c r="B1891" s="1">
        <v>73</v>
      </c>
      <c r="C1891" s="258" t="s">
        <v>4670</v>
      </c>
      <c r="D1891" t="s">
        <v>4618</v>
      </c>
      <c r="E1891" t="s">
        <v>1209</v>
      </c>
      <c r="F1891"/>
      <c r="H1891" s="1">
        <v>1201.79</v>
      </c>
      <c r="I1891" t="s">
        <v>4646</v>
      </c>
      <c r="J1891"/>
      <c r="K1891" s="170" t="s">
        <v>4647</v>
      </c>
      <c r="L1891" s="1">
        <v>45322</v>
      </c>
    </row>
    <row r="1892" spans="1:13" ht="14.4" hidden="1">
      <c r="A1892" t="s">
        <v>217</v>
      </c>
      <c r="B1892" s="1">
        <v>74</v>
      </c>
      <c r="C1892" s="258" t="s">
        <v>4671</v>
      </c>
      <c r="D1892" t="s">
        <v>4618</v>
      </c>
      <c r="E1892" t="s">
        <v>4672</v>
      </c>
      <c r="F1892"/>
      <c r="H1892" s="1">
        <v>10469</v>
      </c>
      <c r="I1892" t="s">
        <v>4584</v>
      </c>
      <c r="J1892"/>
      <c r="K1892" s="170" t="s">
        <v>4673</v>
      </c>
      <c r="L1892" s="1">
        <v>45322</v>
      </c>
    </row>
    <row r="1893" spans="1:13" ht="14.4" hidden="1">
      <c r="A1893" t="s">
        <v>217</v>
      </c>
      <c r="B1893" s="1">
        <v>76</v>
      </c>
      <c r="C1893" s="258" t="s">
        <v>4674</v>
      </c>
      <c r="D1893" t="s">
        <v>4675</v>
      </c>
      <c r="E1893" t="s">
        <v>4676</v>
      </c>
      <c r="F1893">
        <v>388553.54</v>
      </c>
      <c r="G1893">
        <v>0.5</v>
      </c>
      <c r="H1893" s="1">
        <v>194276.77</v>
      </c>
      <c r="I1893" t="s">
        <v>4609</v>
      </c>
      <c r="J1893"/>
      <c r="K1893" s="170"/>
      <c r="L1893" s="1">
        <v>45107</v>
      </c>
    </row>
    <row r="1894" spans="1:13" ht="14.4" hidden="1">
      <c r="A1894" t="s">
        <v>217</v>
      </c>
      <c r="B1894" s="1">
        <v>77</v>
      </c>
      <c r="C1894" s="258" t="s">
        <v>4677</v>
      </c>
      <c r="D1894" t="s">
        <v>4675</v>
      </c>
      <c r="E1894" t="s">
        <v>4678</v>
      </c>
      <c r="F1894"/>
      <c r="G1894">
        <v>0.4</v>
      </c>
      <c r="H1894" s="1">
        <v>86956.521739130447</v>
      </c>
      <c r="I1894" t="s">
        <v>4679</v>
      </c>
      <c r="J1894"/>
      <c r="K1894" s="170"/>
      <c r="L1894" s="1">
        <v>45291</v>
      </c>
    </row>
    <row r="1895" spans="1:13" ht="14.4" hidden="1">
      <c r="A1895" t="s">
        <v>217</v>
      </c>
      <c r="B1895" s="1">
        <v>78</v>
      </c>
      <c r="C1895" s="258" t="s">
        <v>4680</v>
      </c>
      <c r="D1895" t="s">
        <v>4675</v>
      </c>
      <c r="E1895" t="s">
        <v>4678</v>
      </c>
      <c r="F1895"/>
      <c r="H1895" s="1">
        <v>68464.894260869551</v>
      </c>
      <c r="I1895" t="s">
        <v>4681</v>
      </c>
      <c r="J1895"/>
      <c r="K1895" s="170"/>
      <c r="L1895" s="1">
        <v>45291</v>
      </c>
    </row>
    <row r="1896" spans="1:13" ht="14.4" hidden="1">
      <c r="A1896" t="s">
        <v>217</v>
      </c>
      <c r="B1896" s="1">
        <v>79</v>
      </c>
      <c r="C1896" s="258" t="s">
        <v>4682</v>
      </c>
      <c r="D1896" t="s">
        <v>4675</v>
      </c>
      <c r="E1896" t="s">
        <v>4683</v>
      </c>
      <c r="F1896">
        <v>38855.353999999999</v>
      </c>
      <c r="G1896">
        <v>0.1</v>
      </c>
      <c r="H1896" s="1">
        <v>31084.283200000002</v>
      </c>
      <c r="I1896" t="s">
        <v>4614</v>
      </c>
      <c r="J1896"/>
      <c r="K1896" s="170"/>
      <c r="L1896" s="1">
        <v>45473</v>
      </c>
    </row>
    <row r="1897" spans="1:13" ht="14.4" hidden="1">
      <c r="A1897" t="s">
        <v>217</v>
      </c>
      <c r="B1897" s="1">
        <v>80</v>
      </c>
      <c r="C1897" s="258" t="s">
        <v>4684</v>
      </c>
      <c r="F1897"/>
      <c r="H1897" s="1">
        <v>7771.0708000000004</v>
      </c>
      <c r="I1897" t="s">
        <v>4616</v>
      </c>
      <c r="J1897"/>
      <c r="K1897" s="170"/>
      <c r="L1897" s="1">
        <v>45473</v>
      </c>
    </row>
    <row r="1898" spans="1:13" ht="14.4" hidden="1">
      <c r="A1898" t="s">
        <v>217</v>
      </c>
      <c r="B1898" s="1">
        <v>81</v>
      </c>
      <c r="C1898" s="258" t="s">
        <v>4685</v>
      </c>
      <c r="E1898" t="s">
        <v>4686</v>
      </c>
      <c r="F1898"/>
      <c r="H1898" s="1">
        <v>434902.77</v>
      </c>
      <c r="I1898" t="s">
        <v>4687</v>
      </c>
      <c r="J1898"/>
      <c r="K1898" s="170"/>
      <c r="L1898" s="1">
        <v>45138</v>
      </c>
    </row>
    <row r="1899" spans="1:13" ht="14.4" hidden="1">
      <c r="A1899" t="s">
        <v>217</v>
      </c>
      <c r="B1899" s="1">
        <v>82</v>
      </c>
      <c r="C1899" s="258" t="s">
        <v>4688</v>
      </c>
      <c r="E1899" t="s">
        <v>4689</v>
      </c>
      <c r="F1899"/>
      <c r="H1899" s="1">
        <v>6757.02</v>
      </c>
      <c r="I1899" t="s">
        <v>4687</v>
      </c>
      <c r="J1899"/>
      <c r="K1899" s="170"/>
      <c r="L1899" s="1">
        <v>45138</v>
      </c>
    </row>
    <row r="1900" spans="1:13" ht="14.4" hidden="1">
      <c r="A1900" t="s">
        <v>217</v>
      </c>
      <c r="B1900" s="1">
        <v>83</v>
      </c>
      <c r="C1900" s="258" t="s">
        <v>4690</v>
      </c>
      <c r="E1900" t="s">
        <v>4691</v>
      </c>
      <c r="F1900"/>
      <c r="H1900" s="1">
        <v>87414.48</v>
      </c>
      <c r="I1900" t="s">
        <v>4687</v>
      </c>
      <c r="J1900"/>
      <c r="K1900" s="170"/>
      <c r="L1900" s="1">
        <v>45138</v>
      </c>
    </row>
    <row r="1901" spans="1:13" ht="14.4" hidden="1">
      <c r="A1901" t="s">
        <v>217</v>
      </c>
      <c r="B1901" s="1">
        <v>84</v>
      </c>
      <c r="C1901" s="258" t="s">
        <v>4692</v>
      </c>
      <c r="E1901" t="s">
        <v>4693</v>
      </c>
      <c r="F1901"/>
      <c r="H1901" s="1">
        <v>37103.54</v>
      </c>
      <c r="I1901" t="s">
        <v>4694</v>
      </c>
      <c r="J1901"/>
      <c r="K1901" s="170"/>
      <c r="L1901" s="1">
        <v>45230</v>
      </c>
      <c r="M1901" s="1" t="s">
        <v>4695</v>
      </c>
    </row>
    <row r="1902" spans="1:13" ht="14.4" hidden="1">
      <c r="A1902" t="s">
        <v>217</v>
      </c>
      <c r="B1902" s="1">
        <v>88</v>
      </c>
      <c r="C1902" s="258" t="s">
        <v>4696</v>
      </c>
      <c r="D1902" t="s">
        <v>4697</v>
      </c>
      <c r="E1902" t="s">
        <v>4698</v>
      </c>
      <c r="F1902">
        <v>281640.57391304348</v>
      </c>
      <c r="H1902" s="1">
        <v>281640.57391304348</v>
      </c>
      <c r="I1902" t="s">
        <v>4699</v>
      </c>
      <c r="J1902"/>
      <c r="K1902" s="170" t="s">
        <v>4700</v>
      </c>
      <c r="L1902" s="1">
        <v>45443</v>
      </c>
    </row>
    <row r="1903" spans="1:13" ht="14.4" hidden="1">
      <c r="A1903" t="s">
        <v>217</v>
      </c>
      <c r="B1903" s="1">
        <v>89</v>
      </c>
      <c r="C1903" s="258" t="s">
        <v>4701</v>
      </c>
      <c r="E1903" t="s">
        <v>4702</v>
      </c>
      <c r="F1903"/>
      <c r="H1903" s="1">
        <v>41579.582608695651</v>
      </c>
      <c r="I1903" t="s">
        <v>4584</v>
      </c>
      <c r="J1903"/>
      <c r="K1903" s="170" t="s">
        <v>4703</v>
      </c>
      <c r="L1903" s="1">
        <v>45351</v>
      </c>
    </row>
    <row r="1904" spans="1:13" ht="14.4" hidden="1">
      <c r="A1904" t="s">
        <v>217</v>
      </c>
      <c r="B1904" s="1">
        <v>90</v>
      </c>
      <c r="C1904" s="258" t="s">
        <v>4704</v>
      </c>
      <c r="E1904" t="s">
        <v>4705</v>
      </c>
      <c r="F1904"/>
      <c r="H1904" s="1">
        <v>62369.367391304346</v>
      </c>
      <c r="I1904" t="s">
        <v>4706</v>
      </c>
      <c r="J1904"/>
      <c r="K1904" s="170"/>
      <c r="L1904" s="1">
        <v>45351</v>
      </c>
    </row>
    <row r="1905" spans="1:13" ht="14.4" hidden="1">
      <c r="A1905" t="s">
        <v>217</v>
      </c>
      <c r="B1905" s="1">
        <v>91</v>
      </c>
      <c r="C1905" s="258" t="s">
        <v>4707</v>
      </c>
      <c r="D1905" t="s">
        <v>4697</v>
      </c>
      <c r="E1905" t="s">
        <v>2811</v>
      </c>
      <c r="F1905"/>
      <c r="H1905" s="1">
        <v>21664</v>
      </c>
      <c r="I1905" t="s">
        <v>4614</v>
      </c>
      <c r="J1905"/>
      <c r="K1905" s="170" t="s">
        <v>4708</v>
      </c>
      <c r="L1905" s="1">
        <v>45473</v>
      </c>
    </row>
    <row r="1906" spans="1:13" ht="14.4" hidden="1">
      <c r="A1906" t="s">
        <v>217</v>
      </c>
      <c r="B1906" s="1">
        <v>94</v>
      </c>
      <c r="C1906" s="258" t="s">
        <v>4709</v>
      </c>
      <c r="E1906" t="s">
        <v>4710</v>
      </c>
      <c r="F1906"/>
      <c r="H1906" s="1">
        <v>28620</v>
      </c>
      <c r="I1906" t="s">
        <v>4711</v>
      </c>
      <c r="J1906"/>
      <c r="K1906" s="170"/>
      <c r="L1906" s="1">
        <v>45322</v>
      </c>
    </row>
    <row r="1907" spans="1:13" ht="14.4" hidden="1">
      <c r="A1907" t="s">
        <v>217</v>
      </c>
      <c r="B1907" s="1">
        <v>95</v>
      </c>
      <c r="C1907" s="258" t="s">
        <v>4712</v>
      </c>
      <c r="E1907" t="s">
        <v>4713</v>
      </c>
      <c r="F1907"/>
      <c r="H1907" s="1">
        <v>14675</v>
      </c>
      <c r="I1907" t="s">
        <v>4538</v>
      </c>
      <c r="J1907"/>
      <c r="K1907" s="170" t="s">
        <v>4714</v>
      </c>
      <c r="L1907" s="1">
        <v>45382</v>
      </c>
    </row>
    <row r="1908" spans="1:13" ht="14.4" hidden="1">
      <c r="A1908" t="s">
        <v>217</v>
      </c>
      <c r="B1908" s="1">
        <v>96</v>
      </c>
      <c r="C1908" s="258" t="s">
        <v>4715</v>
      </c>
      <c r="F1908"/>
      <c r="H1908" s="1">
        <v>14675</v>
      </c>
      <c r="I1908" t="s">
        <v>4706</v>
      </c>
      <c r="J1908"/>
      <c r="K1908" s="170"/>
      <c r="L1908" s="1">
        <v>45382</v>
      </c>
    </row>
    <row r="1909" spans="1:13" ht="14.4" hidden="1">
      <c r="A1909" t="s">
        <v>217</v>
      </c>
      <c r="B1909" s="1">
        <v>97</v>
      </c>
      <c r="C1909" s="258" t="s">
        <v>4716</v>
      </c>
      <c r="E1909" t="s">
        <v>4717</v>
      </c>
      <c r="F1909"/>
      <c r="H1909" s="1">
        <v>2850</v>
      </c>
      <c r="I1909" t="s">
        <v>4666</v>
      </c>
      <c r="J1909"/>
      <c r="K1909" s="170"/>
      <c r="L1909" s="1">
        <v>45443</v>
      </c>
      <c r="M1909" s="1" t="s">
        <v>4718</v>
      </c>
    </row>
    <row r="1910" spans="1:13" ht="14.4" hidden="1">
      <c r="A1910" t="s">
        <v>217</v>
      </c>
      <c r="B1910" s="1">
        <v>98</v>
      </c>
      <c r="C1910" s="258" t="s">
        <v>4719</v>
      </c>
      <c r="E1910" t="s">
        <v>4720</v>
      </c>
      <c r="F1910"/>
      <c r="H1910" s="1">
        <v>29745</v>
      </c>
      <c r="I1910" t="s">
        <v>4721</v>
      </c>
      <c r="J1910"/>
      <c r="K1910" s="170"/>
      <c r="L1910" s="1">
        <v>45107</v>
      </c>
    </row>
    <row r="1911" spans="1:13" ht="14.4" hidden="1">
      <c r="A1911" t="s">
        <v>217</v>
      </c>
      <c r="B1911" s="1">
        <v>99</v>
      </c>
      <c r="C1911" s="258" t="s">
        <v>4722</v>
      </c>
      <c r="E1911" t="s">
        <v>4723</v>
      </c>
      <c r="F1911"/>
      <c r="H1911" s="1">
        <v>19942.5</v>
      </c>
      <c r="I1911" t="s">
        <v>4662</v>
      </c>
      <c r="J1911"/>
      <c r="K1911" s="170" t="s">
        <v>4724</v>
      </c>
      <c r="L1911" s="1">
        <v>45260</v>
      </c>
    </row>
    <row r="1912" spans="1:13" ht="14.4" hidden="1">
      <c r="A1912" t="s">
        <v>217</v>
      </c>
      <c r="B1912" s="1">
        <v>100</v>
      </c>
      <c r="C1912" s="258" t="s">
        <v>4725</v>
      </c>
      <c r="E1912" t="s">
        <v>4726</v>
      </c>
      <c r="F1912"/>
      <c r="H1912" s="1">
        <v>19942.5</v>
      </c>
      <c r="I1912" t="s">
        <v>4662</v>
      </c>
      <c r="J1912"/>
      <c r="K1912" s="170" t="s">
        <v>4724</v>
      </c>
      <c r="L1912" s="1">
        <v>45260</v>
      </c>
    </row>
    <row r="1913" spans="1:13" ht="14.4" hidden="1">
      <c r="A1913" t="s">
        <v>217</v>
      </c>
      <c r="B1913" s="1">
        <v>101</v>
      </c>
      <c r="C1913" s="258" t="s">
        <v>4727</v>
      </c>
      <c r="E1913" t="s">
        <v>4728</v>
      </c>
      <c r="F1913"/>
      <c r="H1913" s="1">
        <v>10780</v>
      </c>
      <c r="I1913" t="s">
        <v>4729</v>
      </c>
      <c r="J1913"/>
      <c r="K1913" s="170"/>
      <c r="L1913" s="1">
        <v>45260</v>
      </c>
    </row>
    <row r="1914" spans="1:13" ht="14.4" hidden="1">
      <c r="A1914" t="s">
        <v>217</v>
      </c>
      <c r="B1914" s="1">
        <v>102</v>
      </c>
      <c r="C1914" s="258" t="s">
        <v>4730</v>
      </c>
      <c r="E1914" t="s">
        <v>4731</v>
      </c>
      <c r="F1914"/>
      <c r="H1914" s="1">
        <v>76795</v>
      </c>
      <c r="I1914" t="s">
        <v>4573</v>
      </c>
      <c r="J1914"/>
      <c r="K1914" s="170"/>
      <c r="L1914" s="1">
        <v>45443</v>
      </c>
    </row>
    <row r="1915" spans="1:13" ht="14.4" hidden="1">
      <c r="A1915" t="s">
        <v>217</v>
      </c>
      <c r="B1915" s="1">
        <v>103</v>
      </c>
      <c r="C1915" s="258" t="s">
        <v>4732</v>
      </c>
      <c r="E1915" t="s">
        <v>4733</v>
      </c>
      <c r="F1915"/>
      <c r="H1915" s="1">
        <v>0</v>
      </c>
      <c r="I1915"/>
      <c r="J1915"/>
      <c r="K1915" s="170"/>
    </row>
    <row r="1916" spans="1:13" ht="14.4" hidden="1">
      <c r="A1916" t="s">
        <v>217</v>
      </c>
      <c r="B1916" s="1">
        <v>104</v>
      </c>
      <c r="C1916" s="258" t="s">
        <v>4734</v>
      </c>
      <c r="D1916" t="s">
        <v>4697</v>
      </c>
      <c r="E1916" t="s">
        <v>4735</v>
      </c>
      <c r="F1916"/>
      <c r="H1916" s="1">
        <v>0</v>
      </c>
      <c r="I1916"/>
      <c r="J1916"/>
      <c r="K1916" s="170"/>
      <c r="M1916" s="1" t="s">
        <v>4736</v>
      </c>
    </row>
    <row r="1917" spans="1:13" ht="14.4" hidden="1">
      <c r="A1917" t="s">
        <v>217</v>
      </c>
      <c r="B1917" s="1">
        <v>106</v>
      </c>
      <c r="C1917" s="258" t="s">
        <v>4737</v>
      </c>
      <c r="D1917" t="s">
        <v>4738</v>
      </c>
      <c r="E1917" t="s">
        <v>4739</v>
      </c>
      <c r="F1917">
        <v>360000</v>
      </c>
      <c r="G1917">
        <v>0.2</v>
      </c>
      <c r="H1917" s="1">
        <v>275600</v>
      </c>
      <c r="I1917" t="s">
        <v>4609</v>
      </c>
      <c r="J1917"/>
      <c r="K1917" s="170"/>
      <c r="L1917" s="1">
        <v>45107</v>
      </c>
    </row>
    <row r="1918" spans="1:13" ht="14.4" hidden="1">
      <c r="A1918" t="s">
        <v>217</v>
      </c>
      <c r="B1918" s="1">
        <v>107</v>
      </c>
      <c r="C1918" s="258" t="s">
        <v>4740</v>
      </c>
      <c r="D1918" t="s">
        <v>4738</v>
      </c>
      <c r="E1918" t="s">
        <v>4741</v>
      </c>
      <c r="F1918">
        <v>1018000</v>
      </c>
      <c r="G1918">
        <v>0.15</v>
      </c>
      <c r="H1918" s="1">
        <v>168222</v>
      </c>
      <c r="I1918" t="s">
        <v>4593</v>
      </c>
      <c r="J1918"/>
      <c r="K1918" s="170"/>
      <c r="L1918" s="1">
        <v>45169</v>
      </c>
    </row>
    <row r="1919" spans="1:13" ht="14.4" hidden="1">
      <c r="A1919" t="s">
        <v>217</v>
      </c>
      <c r="B1919" s="1">
        <v>108</v>
      </c>
      <c r="C1919" s="258" t="s">
        <v>4742</v>
      </c>
      <c r="D1919" t="s">
        <v>4738</v>
      </c>
      <c r="E1919" t="s">
        <v>4741</v>
      </c>
      <c r="F1919"/>
      <c r="G1919">
        <v>0.15</v>
      </c>
      <c r="H1919" s="1">
        <v>38478</v>
      </c>
      <c r="I1919" t="s">
        <v>4580</v>
      </c>
      <c r="J1919"/>
      <c r="K1919" s="170"/>
      <c r="L1919" s="1">
        <v>45169</v>
      </c>
    </row>
    <row r="1920" spans="1:13" ht="14.4" hidden="1">
      <c r="A1920" t="s">
        <v>217</v>
      </c>
      <c r="B1920" s="1">
        <v>109</v>
      </c>
      <c r="C1920" s="258" t="s">
        <v>4743</v>
      </c>
      <c r="D1920" t="s">
        <v>4738</v>
      </c>
      <c r="E1920" t="s">
        <v>4744</v>
      </c>
      <c r="F1920"/>
      <c r="G1920">
        <v>0.15</v>
      </c>
      <c r="H1920" s="1">
        <v>206700</v>
      </c>
      <c r="I1920" t="s">
        <v>4745</v>
      </c>
      <c r="J1920"/>
      <c r="K1920" s="170"/>
      <c r="L1920" s="1">
        <v>45260</v>
      </c>
    </row>
    <row r="1921" spans="1:13" ht="14.4" hidden="1">
      <c r="A1921" t="s">
        <v>217</v>
      </c>
      <c r="B1921" s="1">
        <v>110</v>
      </c>
      <c r="C1921" s="258" t="s">
        <v>4746</v>
      </c>
      <c r="D1921" t="s">
        <v>4738</v>
      </c>
      <c r="E1921" t="s">
        <v>4747</v>
      </c>
      <c r="F1921"/>
      <c r="G1921">
        <v>0.15</v>
      </c>
      <c r="H1921" s="1">
        <v>195861.42</v>
      </c>
      <c r="I1921" t="s">
        <v>4748</v>
      </c>
      <c r="J1921"/>
      <c r="K1921" s="170"/>
      <c r="L1921" s="1">
        <v>45291</v>
      </c>
    </row>
    <row r="1922" spans="1:13" ht="14.4" hidden="1">
      <c r="A1922" t="s">
        <v>217</v>
      </c>
      <c r="B1922" s="1">
        <v>111</v>
      </c>
      <c r="C1922" s="258" t="s">
        <v>4749</v>
      </c>
      <c r="F1922"/>
      <c r="H1922" s="1">
        <v>10838.579999999987</v>
      </c>
      <c r="I1922" t="s">
        <v>4641</v>
      </c>
      <c r="J1922"/>
      <c r="K1922" s="170"/>
      <c r="L1922" s="1">
        <v>45291</v>
      </c>
    </row>
    <row r="1923" spans="1:13" ht="14.4" hidden="1">
      <c r="A1923" t="s">
        <v>217</v>
      </c>
      <c r="B1923" s="1">
        <v>112</v>
      </c>
      <c r="C1923" s="258" t="s">
        <v>4750</v>
      </c>
      <c r="D1923" t="s">
        <v>4738</v>
      </c>
      <c r="E1923" t="s">
        <v>169</v>
      </c>
      <c r="F1923"/>
      <c r="G1923">
        <v>0.2</v>
      </c>
      <c r="H1923" s="1">
        <v>275600</v>
      </c>
      <c r="I1923" t="s">
        <v>4751</v>
      </c>
      <c r="J1923"/>
      <c r="K1923" s="170"/>
      <c r="L1923" s="1">
        <v>45382</v>
      </c>
    </row>
    <row r="1924" spans="1:13" ht="14.4" hidden="1">
      <c r="A1924" t="s">
        <v>217</v>
      </c>
      <c r="B1924" s="1">
        <v>113</v>
      </c>
      <c r="C1924" s="258" t="s">
        <v>4752</v>
      </c>
      <c r="D1924" t="s">
        <v>4738</v>
      </c>
      <c r="E1924" t="s">
        <v>2138</v>
      </c>
      <c r="F1924">
        <v>206700</v>
      </c>
      <c r="G1924">
        <v>0.15</v>
      </c>
      <c r="H1924" s="1">
        <v>165360</v>
      </c>
      <c r="I1924" t="s">
        <v>4614</v>
      </c>
      <c r="J1924"/>
      <c r="K1924" s="170"/>
      <c r="L1924" s="1">
        <v>45473</v>
      </c>
    </row>
    <row r="1925" spans="1:13" ht="14.4" hidden="1">
      <c r="A1925" t="s">
        <v>217</v>
      </c>
      <c r="B1925" s="1">
        <v>114</v>
      </c>
      <c r="C1925" s="258" t="s">
        <v>4753</v>
      </c>
      <c r="D1925" t="s">
        <v>4738</v>
      </c>
      <c r="F1925"/>
      <c r="H1925" s="1">
        <v>41340</v>
      </c>
      <c r="I1925" t="s">
        <v>4754</v>
      </c>
      <c r="J1925"/>
      <c r="K1925" s="170"/>
      <c r="L1925" s="1">
        <v>45473</v>
      </c>
    </row>
    <row r="1926" spans="1:13" ht="14.4" hidden="1">
      <c r="A1926" t="s">
        <v>217</v>
      </c>
      <c r="B1926" s="1">
        <v>116</v>
      </c>
      <c r="C1926" s="258" t="s">
        <v>4755</v>
      </c>
      <c r="D1926" t="s">
        <v>4756</v>
      </c>
      <c r="E1926" t="s">
        <v>4757</v>
      </c>
      <c r="F1926">
        <v>0.5</v>
      </c>
      <c r="H1926" s="1">
        <v>50550</v>
      </c>
      <c r="I1926" t="s">
        <v>4609</v>
      </c>
      <c r="J1926"/>
      <c r="K1926" s="170"/>
      <c r="L1926" s="1">
        <v>45107</v>
      </c>
    </row>
    <row r="1927" spans="1:13" ht="14.4" hidden="1">
      <c r="A1927" t="s">
        <v>217</v>
      </c>
      <c r="B1927" s="1">
        <v>117</v>
      </c>
      <c r="C1927" s="258" t="s">
        <v>4758</v>
      </c>
      <c r="D1927" t="s">
        <v>4759</v>
      </c>
      <c r="E1927" t="s">
        <v>4760</v>
      </c>
      <c r="F1927">
        <v>0.4</v>
      </c>
      <c r="H1927" s="1">
        <v>40440</v>
      </c>
      <c r="I1927" t="s">
        <v>4761</v>
      </c>
      <c r="J1927"/>
      <c r="K1927" s="170"/>
      <c r="L1927" s="1">
        <v>45291</v>
      </c>
    </row>
    <row r="1928" spans="1:13" ht="14.4" hidden="1">
      <c r="A1928" t="s">
        <v>217</v>
      </c>
      <c r="B1928" s="1">
        <v>118</v>
      </c>
      <c r="C1928" s="258" t="s">
        <v>4762</v>
      </c>
      <c r="E1928" t="s">
        <v>4763</v>
      </c>
      <c r="F1928">
        <v>0.1</v>
      </c>
      <c r="G1928">
        <v>10110</v>
      </c>
      <c r="H1928" s="1">
        <v>8088</v>
      </c>
      <c r="I1928" t="s">
        <v>4616</v>
      </c>
      <c r="J1928"/>
      <c r="K1928" s="170"/>
      <c r="L1928" s="1">
        <v>45473</v>
      </c>
    </row>
    <row r="1929" spans="1:13" ht="14.4" hidden="1">
      <c r="A1929" t="s">
        <v>217</v>
      </c>
      <c r="B1929" s="1">
        <v>119</v>
      </c>
      <c r="C1929" s="258" t="s">
        <v>4764</v>
      </c>
      <c r="F1929"/>
      <c r="H1929" s="1">
        <v>2022</v>
      </c>
      <c r="I1929" t="s">
        <v>4616</v>
      </c>
      <c r="J1929"/>
      <c r="K1929" s="170"/>
      <c r="L1929" s="1">
        <v>45473</v>
      </c>
    </row>
    <row r="1930" spans="1:13" ht="14.4" hidden="1">
      <c r="A1930" t="s">
        <v>217</v>
      </c>
      <c r="B1930" s="1">
        <v>120</v>
      </c>
      <c r="C1930" s="258" t="s">
        <v>4765</v>
      </c>
      <c r="E1930" t="s">
        <v>4766</v>
      </c>
      <c r="F1930"/>
      <c r="H1930" s="1">
        <v>4300</v>
      </c>
      <c r="I1930" t="s">
        <v>4557</v>
      </c>
      <c r="J1930"/>
      <c r="K1930" s="170"/>
      <c r="L1930" s="1">
        <v>45230</v>
      </c>
      <c r="M1930" s="1" t="s">
        <v>4767</v>
      </c>
    </row>
    <row r="1931" spans="1:13" ht="14.4" hidden="1">
      <c r="A1931" t="s">
        <v>217</v>
      </c>
      <c r="B1931" s="1">
        <v>121</v>
      </c>
      <c r="C1931" s="258" t="s">
        <v>4768</v>
      </c>
      <c r="E1931" t="s">
        <v>4769</v>
      </c>
      <c r="F1931"/>
      <c r="H1931" s="1">
        <v>33700</v>
      </c>
      <c r="I1931" t="s">
        <v>4770</v>
      </c>
      <c r="J1931"/>
      <c r="K1931" s="170"/>
      <c r="L1931" s="1">
        <v>45382</v>
      </c>
    </row>
    <row r="1932" spans="1:13" ht="14.4" hidden="1">
      <c r="A1932" t="s">
        <v>217</v>
      </c>
      <c r="B1932" s="1">
        <v>124</v>
      </c>
      <c r="C1932" s="258" t="s">
        <v>4771</v>
      </c>
      <c r="D1932" t="s">
        <v>4772</v>
      </c>
      <c r="E1932" t="s">
        <v>1343</v>
      </c>
      <c r="F1932"/>
      <c r="H1932" s="1">
        <v>0</v>
      </c>
      <c r="I1932"/>
      <c r="J1932"/>
      <c r="K1932" s="170"/>
    </row>
    <row r="1933" spans="1:13" ht="14.4" hidden="1">
      <c r="A1933" t="s">
        <v>217</v>
      </c>
      <c r="B1933" s="1">
        <v>125</v>
      </c>
      <c r="C1933" s="258" t="s">
        <v>4773</v>
      </c>
      <c r="E1933" t="s">
        <v>4774</v>
      </c>
      <c r="F1933"/>
      <c r="H1933" s="1">
        <v>739.83</v>
      </c>
      <c r="I1933" t="s">
        <v>4775</v>
      </c>
      <c r="J1933"/>
      <c r="K1933" s="170"/>
      <c r="L1933" s="1">
        <v>45291</v>
      </c>
    </row>
    <row r="1934" spans="1:13" ht="14.4" hidden="1">
      <c r="A1934" t="s">
        <v>217</v>
      </c>
      <c r="B1934" s="1">
        <v>126</v>
      </c>
      <c r="C1934" s="258" t="s">
        <v>4776</v>
      </c>
      <c r="F1934"/>
      <c r="H1934" s="1">
        <v>573.91</v>
      </c>
      <c r="I1934" t="s">
        <v>4775</v>
      </c>
      <c r="J1934"/>
      <c r="K1934" s="170"/>
      <c r="L1934" s="1">
        <v>45260</v>
      </c>
    </row>
    <row r="1935" spans="1:13" ht="14.4" hidden="1">
      <c r="A1935" t="s">
        <v>217</v>
      </c>
      <c r="B1935" s="1">
        <v>127</v>
      </c>
      <c r="C1935" s="258" t="s">
        <v>4777</v>
      </c>
      <c r="F1935"/>
      <c r="H1935" s="1">
        <v>584.11</v>
      </c>
      <c r="I1935" t="s">
        <v>4775</v>
      </c>
      <c r="J1935"/>
      <c r="K1935" s="170"/>
      <c r="L1935" s="1">
        <v>45260</v>
      </c>
    </row>
    <row r="1936" spans="1:13" ht="14.4" hidden="1">
      <c r="A1936" t="s">
        <v>217</v>
      </c>
      <c r="B1936" s="1">
        <v>128</v>
      </c>
      <c r="C1936" s="258" t="s">
        <v>4778</v>
      </c>
      <c r="F1936"/>
      <c r="H1936" s="1">
        <v>585.29999999999995</v>
      </c>
      <c r="I1936" t="s">
        <v>4775</v>
      </c>
      <c r="J1936"/>
      <c r="K1936" s="170"/>
      <c r="L1936" s="1">
        <v>45260</v>
      </c>
    </row>
    <row r="1937" spans="1:13" ht="14.4" hidden="1">
      <c r="A1937" t="s">
        <v>217</v>
      </c>
      <c r="B1937" s="1">
        <v>129</v>
      </c>
      <c r="C1937" s="258" t="s">
        <v>4779</v>
      </c>
      <c r="F1937"/>
      <c r="H1937" s="1">
        <v>470.22</v>
      </c>
      <c r="I1937" t="s">
        <v>4780</v>
      </c>
      <c r="J1937"/>
      <c r="K1937" s="170"/>
      <c r="L1937" s="1">
        <v>45322</v>
      </c>
    </row>
    <row r="1938" spans="1:13" ht="14.4" hidden="1">
      <c r="A1938" t="s">
        <v>217</v>
      </c>
      <c r="B1938" s="1">
        <v>130</v>
      </c>
      <c r="C1938" s="258" t="s">
        <v>4781</v>
      </c>
      <c r="F1938"/>
      <c r="H1938" s="1">
        <v>972.84</v>
      </c>
      <c r="I1938" t="s">
        <v>4782</v>
      </c>
      <c r="J1938"/>
      <c r="K1938" s="170" t="s">
        <v>4783</v>
      </c>
      <c r="L1938" s="1">
        <v>45382</v>
      </c>
    </row>
    <row r="1939" spans="1:13" ht="14.4" hidden="1">
      <c r="A1939" t="s">
        <v>217</v>
      </c>
      <c r="B1939" s="1">
        <v>131</v>
      </c>
      <c r="C1939" s="258" t="s">
        <v>4784</v>
      </c>
      <c r="F1939"/>
      <c r="H1939" s="1">
        <v>68.650000000000006</v>
      </c>
      <c r="I1939" t="s">
        <v>4785</v>
      </c>
      <c r="J1939"/>
      <c r="K1939" s="170"/>
      <c r="L1939" s="1">
        <v>45412</v>
      </c>
    </row>
    <row r="1940" spans="1:13" ht="14.4" hidden="1">
      <c r="A1940" t="s">
        <v>217</v>
      </c>
      <c r="B1940" s="1">
        <v>134</v>
      </c>
      <c r="C1940" s="258" t="s">
        <v>4786</v>
      </c>
      <c r="D1940" t="s">
        <v>4787</v>
      </c>
      <c r="E1940" t="s">
        <v>1594</v>
      </c>
      <c r="F1940"/>
      <c r="H1940" s="1">
        <v>11750</v>
      </c>
      <c r="I1940" t="s">
        <v>4788</v>
      </c>
      <c r="J1940"/>
      <c r="K1940" s="170"/>
      <c r="L1940" s="1">
        <v>45077</v>
      </c>
    </row>
    <row r="1941" spans="1:13" ht="14.4" hidden="1">
      <c r="A1941" t="s">
        <v>217</v>
      </c>
      <c r="B1941" s="1">
        <v>135</v>
      </c>
      <c r="C1941" s="258" t="s">
        <v>4789</v>
      </c>
      <c r="D1941" t="s">
        <v>4787</v>
      </c>
      <c r="E1941" t="s">
        <v>4790</v>
      </c>
      <c r="F1941"/>
      <c r="H1941" s="1">
        <v>16250</v>
      </c>
      <c r="I1941" t="s">
        <v>4770</v>
      </c>
      <c r="J1941"/>
      <c r="K1941" s="170"/>
      <c r="L1941" s="1">
        <v>45412</v>
      </c>
      <c r="M1941" s="1" t="s">
        <v>4791</v>
      </c>
    </row>
    <row r="1942" spans="1:13" ht="14.4" hidden="1">
      <c r="A1942" t="s">
        <v>217</v>
      </c>
      <c r="B1942" s="1">
        <v>136</v>
      </c>
      <c r="C1942" s="258" t="s">
        <v>4792</v>
      </c>
      <c r="E1942" t="s">
        <v>4793</v>
      </c>
      <c r="F1942"/>
      <c r="H1942" s="1">
        <v>16276</v>
      </c>
      <c r="I1942" t="s">
        <v>4794</v>
      </c>
      <c r="J1942"/>
      <c r="K1942" s="170"/>
      <c r="L1942" s="1">
        <v>45077</v>
      </c>
    </row>
    <row r="1943" spans="1:13" ht="14.4" hidden="1">
      <c r="A1943" t="s">
        <v>217</v>
      </c>
      <c r="B1943" s="1">
        <v>138</v>
      </c>
      <c r="C1943" s="258" t="s">
        <v>4795</v>
      </c>
      <c r="E1943" t="s">
        <v>3853</v>
      </c>
      <c r="F1943"/>
      <c r="H1943" s="1">
        <v>621.75</v>
      </c>
      <c r="I1943" t="s">
        <v>4796</v>
      </c>
      <c r="J1943"/>
      <c r="K1943" s="170"/>
      <c r="L1943" s="1">
        <v>45260</v>
      </c>
    </row>
    <row r="1944" spans="1:13" ht="14.4" hidden="1">
      <c r="A1944" t="s">
        <v>217</v>
      </c>
      <c r="B1944" s="1">
        <v>139</v>
      </c>
      <c r="C1944" s="258" t="s">
        <v>4797</v>
      </c>
      <c r="F1944"/>
      <c r="H1944" s="1">
        <v>10000</v>
      </c>
      <c r="I1944" t="s">
        <v>4798</v>
      </c>
      <c r="J1944"/>
      <c r="K1944" s="170"/>
      <c r="L1944" s="1">
        <v>45412</v>
      </c>
    </row>
    <row r="1945" spans="1:13" ht="14.4" hidden="1">
      <c r="A1945" t="s">
        <v>217</v>
      </c>
      <c r="B1945" s="1">
        <v>144</v>
      </c>
      <c r="C1945" s="258" t="s">
        <v>4799</v>
      </c>
      <c r="D1945" t="s">
        <v>335</v>
      </c>
      <c r="E1945" t="s">
        <v>4800</v>
      </c>
      <c r="F1945"/>
      <c r="H1945" s="1">
        <v>3786.92</v>
      </c>
      <c r="I1945" t="s">
        <v>4801</v>
      </c>
      <c r="J1945"/>
      <c r="K1945" s="170"/>
      <c r="L1945" s="1">
        <v>45077</v>
      </c>
    </row>
    <row r="1946" spans="1:13" ht="14.4" hidden="1">
      <c r="A1946" t="s">
        <v>217</v>
      </c>
      <c r="B1946" s="1">
        <v>145</v>
      </c>
      <c r="C1946" s="258" t="s">
        <v>4802</v>
      </c>
      <c r="F1946"/>
      <c r="H1946" s="1">
        <v>3769.9</v>
      </c>
      <c r="I1946" t="s">
        <v>4803</v>
      </c>
      <c r="J1946"/>
      <c r="K1946" s="170"/>
      <c r="L1946" s="1">
        <v>45107</v>
      </c>
    </row>
    <row r="1947" spans="1:13" ht="14.4" hidden="1">
      <c r="A1947" t="s">
        <v>217</v>
      </c>
      <c r="B1947" s="1">
        <v>146</v>
      </c>
      <c r="C1947" s="258" t="s">
        <v>4804</v>
      </c>
      <c r="F1947"/>
      <c r="H1947" s="1">
        <v>5504.7800000000007</v>
      </c>
      <c r="I1947" t="s">
        <v>4805</v>
      </c>
      <c r="J1947"/>
      <c r="K1947" s="170"/>
      <c r="L1947" s="1">
        <v>45138</v>
      </c>
    </row>
    <row r="1948" spans="1:13" ht="14.4" hidden="1">
      <c r="A1948" t="s">
        <v>217</v>
      </c>
      <c r="B1948" s="1">
        <v>147</v>
      </c>
      <c r="C1948" s="258" t="s">
        <v>4806</v>
      </c>
      <c r="F1948"/>
      <c r="H1948" s="1">
        <v>5016.82</v>
      </c>
      <c r="I1948" t="s">
        <v>4807</v>
      </c>
      <c r="J1948"/>
      <c r="K1948" s="170"/>
      <c r="L1948" s="1">
        <v>45169</v>
      </c>
    </row>
    <row r="1949" spans="1:13" ht="14.4" hidden="1">
      <c r="A1949" t="s">
        <v>217</v>
      </c>
      <c r="B1949" s="1">
        <v>148</v>
      </c>
      <c r="C1949" s="258" t="s">
        <v>4808</v>
      </c>
      <c r="F1949"/>
      <c r="H1949" s="1">
        <v>0</v>
      </c>
      <c r="I1949" t="s">
        <v>4809</v>
      </c>
      <c r="J1949"/>
      <c r="K1949" s="170"/>
      <c r="L1949" s="1">
        <v>45199</v>
      </c>
    </row>
    <row r="1950" spans="1:13" ht="14.4" hidden="1">
      <c r="A1950" t="s">
        <v>217</v>
      </c>
      <c r="B1950" s="1">
        <v>149</v>
      </c>
      <c r="C1950" s="258" t="s">
        <v>4810</v>
      </c>
      <c r="F1950"/>
      <c r="H1950" s="1">
        <v>3515.63</v>
      </c>
      <c r="I1950" t="s">
        <v>4811</v>
      </c>
      <c r="J1950"/>
      <c r="K1950" s="170"/>
      <c r="L1950" s="1">
        <v>45230</v>
      </c>
    </row>
    <row r="1951" spans="1:13" ht="14.4" hidden="1">
      <c r="A1951" t="s">
        <v>217</v>
      </c>
      <c r="B1951" s="1">
        <v>150</v>
      </c>
      <c r="C1951" s="258" t="s">
        <v>4812</v>
      </c>
      <c r="F1951"/>
      <c r="H1951" s="1">
        <v>5859.38</v>
      </c>
      <c r="I1951" t="s">
        <v>4813</v>
      </c>
      <c r="J1951"/>
      <c r="K1951" s="170"/>
      <c r="L1951" s="1">
        <v>45260</v>
      </c>
    </row>
    <row r="1952" spans="1:13" ht="14.4" hidden="1">
      <c r="A1952" t="s">
        <v>217</v>
      </c>
      <c r="B1952" s="1">
        <v>151</v>
      </c>
      <c r="C1952" s="258" t="s">
        <v>4814</v>
      </c>
      <c r="F1952"/>
      <c r="H1952" s="1">
        <v>0</v>
      </c>
      <c r="I1952" t="s">
        <v>4815</v>
      </c>
      <c r="J1952"/>
      <c r="K1952" s="170"/>
      <c r="L1952" s="1">
        <v>45291</v>
      </c>
    </row>
    <row r="1953" spans="1:13" ht="14.4" hidden="1">
      <c r="A1953" t="s">
        <v>217</v>
      </c>
      <c r="B1953" s="1">
        <v>152</v>
      </c>
      <c r="C1953" s="258" t="s">
        <v>4816</v>
      </c>
      <c r="F1953"/>
      <c r="H1953" s="1">
        <v>1367.85</v>
      </c>
      <c r="I1953" t="s">
        <v>4662</v>
      </c>
      <c r="J1953"/>
      <c r="K1953" s="170"/>
      <c r="L1953" s="1">
        <v>45322</v>
      </c>
    </row>
    <row r="1954" spans="1:13" ht="14.4" hidden="1">
      <c r="A1954" t="s">
        <v>217</v>
      </c>
      <c r="B1954" s="1">
        <v>153</v>
      </c>
      <c r="C1954" s="258" t="s">
        <v>4817</v>
      </c>
      <c r="D1954" t="s">
        <v>335</v>
      </c>
      <c r="E1954" t="s">
        <v>2105</v>
      </c>
      <c r="F1954"/>
      <c r="H1954" s="1">
        <v>104695.04384863548</v>
      </c>
      <c r="I1954" t="s">
        <v>4798</v>
      </c>
      <c r="J1954"/>
      <c r="K1954" s="170"/>
      <c r="L1954" s="1">
        <v>45412</v>
      </c>
    </row>
    <row r="1955" spans="1:13" ht="14.4" hidden="1">
      <c r="A1955" t="s">
        <v>217</v>
      </c>
      <c r="B1955" s="1">
        <v>155</v>
      </c>
      <c r="C1955" s="258" t="s">
        <v>4818</v>
      </c>
      <c r="D1955" t="s">
        <v>4819</v>
      </c>
      <c r="E1955" t="s">
        <v>2112</v>
      </c>
      <c r="F1955"/>
      <c r="H1955" s="1">
        <v>715.28</v>
      </c>
      <c r="I1955" t="s">
        <v>4820</v>
      </c>
      <c r="J1955"/>
      <c r="K1955" s="170"/>
      <c r="L1955" s="1">
        <v>45077</v>
      </c>
    </row>
    <row r="1956" spans="1:13" ht="14.4" hidden="1">
      <c r="A1956" t="s">
        <v>217</v>
      </c>
      <c r="B1956" s="1">
        <v>156</v>
      </c>
      <c r="C1956" s="258" t="s">
        <v>4821</v>
      </c>
      <c r="D1956" t="s">
        <v>4819</v>
      </c>
      <c r="F1956"/>
      <c r="H1956" s="1">
        <v>106.72</v>
      </c>
      <c r="I1956" t="s">
        <v>4822</v>
      </c>
      <c r="J1956"/>
      <c r="K1956" s="170"/>
      <c r="L1956" s="1">
        <v>45107</v>
      </c>
    </row>
    <row r="1957" spans="1:13" ht="14.4" hidden="1">
      <c r="A1957" t="s">
        <v>217</v>
      </c>
      <c r="B1957" s="1">
        <v>157</v>
      </c>
      <c r="C1957" s="258" t="s">
        <v>4823</v>
      </c>
      <c r="F1957"/>
      <c r="H1957" s="1">
        <v>69.599999999999994</v>
      </c>
      <c r="I1957" t="s">
        <v>4824</v>
      </c>
      <c r="J1957"/>
      <c r="K1957" s="170"/>
      <c r="L1957" s="1">
        <v>45138</v>
      </c>
    </row>
    <row r="1958" spans="1:13" ht="14.4" hidden="1">
      <c r="A1958" t="s">
        <v>217</v>
      </c>
      <c r="B1958" s="1">
        <v>158</v>
      </c>
      <c r="C1958" s="258" t="s">
        <v>4825</v>
      </c>
      <c r="F1958"/>
      <c r="H1958" s="1">
        <v>69.599999999999994</v>
      </c>
      <c r="I1958" t="s">
        <v>4633</v>
      </c>
      <c r="J1958"/>
      <c r="K1958" s="170"/>
      <c r="L1958" s="1">
        <v>45169</v>
      </c>
    </row>
    <row r="1959" spans="1:13" ht="14.4" hidden="1">
      <c r="A1959" t="s">
        <v>217</v>
      </c>
      <c r="B1959" s="1">
        <v>159</v>
      </c>
      <c r="C1959" s="258" t="s">
        <v>4826</v>
      </c>
      <c r="F1959"/>
      <c r="H1959" s="1">
        <v>1005.16</v>
      </c>
      <c r="I1959" t="s">
        <v>4827</v>
      </c>
      <c r="J1959"/>
      <c r="K1959" s="170"/>
      <c r="L1959" s="1">
        <v>45199</v>
      </c>
    </row>
    <row r="1960" spans="1:13" ht="14.4" hidden="1">
      <c r="A1960" t="s">
        <v>217</v>
      </c>
      <c r="B1960" s="1">
        <v>160</v>
      </c>
      <c r="C1960" s="258" t="s">
        <v>4828</v>
      </c>
      <c r="F1960"/>
      <c r="H1960" s="1">
        <v>139.19999999999999</v>
      </c>
      <c r="I1960" t="s">
        <v>4829</v>
      </c>
      <c r="J1960"/>
      <c r="K1960" s="170"/>
      <c r="L1960" s="1">
        <v>45230</v>
      </c>
    </row>
    <row r="1961" spans="1:13" ht="14.4" hidden="1">
      <c r="A1961" t="s">
        <v>217</v>
      </c>
      <c r="B1961" s="1">
        <v>161</v>
      </c>
      <c r="C1961" s="258" t="s">
        <v>4830</v>
      </c>
      <c r="F1961"/>
      <c r="H1961" s="1">
        <v>533.59999999999991</v>
      </c>
      <c r="I1961" t="s">
        <v>4748</v>
      </c>
      <c r="J1961"/>
      <c r="K1961" s="170"/>
      <c r="L1961" s="1">
        <v>45260</v>
      </c>
    </row>
    <row r="1962" spans="1:13" ht="14.4" hidden="1">
      <c r="A1962" t="s">
        <v>217</v>
      </c>
      <c r="B1962" s="1">
        <v>162</v>
      </c>
      <c r="C1962" s="258" t="s">
        <v>4831</v>
      </c>
      <c r="D1962" t="s">
        <v>4819</v>
      </c>
      <c r="F1962">
        <v>1</v>
      </c>
      <c r="H1962" s="1">
        <v>0</v>
      </c>
      <c r="I1962" t="s">
        <v>4832</v>
      </c>
      <c r="J1962"/>
      <c r="K1962" s="170" t="s">
        <v>4833</v>
      </c>
      <c r="M1962" s="1" t="s">
        <v>4834</v>
      </c>
    </row>
    <row r="1963" spans="1:13" ht="14.4" hidden="1">
      <c r="A1963" t="s">
        <v>217</v>
      </c>
      <c r="B1963" s="1">
        <v>163</v>
      </c>
      <c r="C1963" s="258" t="s">
        <v>4835</v>
      </c>
      <c r="F1963"/>
      <c r="H1963" s="1">
        <v>607.84</v>
      </c>
      <c r="I1963" t="s">
        <v>4646</v>
      </c>
      <c r="J1963"/>
      <c r="K1963" s="170"/>
      <c r="L1963" s="1">
        <v>45322</v>
      </c>
    </row>
    <row r="1964" spans="1:13" ht="14.4" hidden="1">
      <c r="A1964" t="s">
        <v>217</v>
      </c>
      <c r="B1964" s="1">
        <v>164</v>
      </c>
      <c r="C1964" s="258" t="s">
        <v>4836</v>
      </c>
      <c r="F1964"/>
      <c r="H1964" s="1">
        <v>948.8</v>
      </c>
      <c r="I1964" t="s">
        <v>4837</v>
      </c>
      <c r="J1964"/>
      <c r="K1964" s="170"/>
      <c r="L1964" s="1">
        <v>45351</v>
      </c>
    </row>
    <row r="1965" spans="1:13" ht="14.4" hidden="1">
      <c r="A1965" t="s">
        <v>217</v>
      </c>
      <c r="B1965" s="1">
        <v>165</v>
      </c>
      <c r="C1965" s="258" t="s">
        <v>4838</v>
      </c>
      <c r="F1965"/>
      <c r="H1965" s="1">
        <v>909.92</v>
      </c>
      <c r="I1965" t="s">
        <v>4839</v>
      </c>
      <c r="J1965"/>
      <c r="K1965" s="170"/>
      <c r="L1965" s="1">
        <v>45382</v>
      </c>
    </row>
    <row r="1966" spans="1:13" ht="14.4" hidden="1">
      <c r="A1966" t="s">
        <v>217</v>
      </c>
      <c r="B1966" s="1">
        <v>166</v>
      </c>
      <c r="C1966" s="258" t="s">
        <v>4840</v>
      </c>
      <c r="F1966"/>
      <c r="H1966" s="1">
        <v>208.8</v>
      </c>
      <c r="I1966" t="s">
        <v>4841</v>
      </c>
      <c r="J1966"/>
      <c r="K1966" s="170"/>
      <c r="L1966" s="1">
        <v>45412</v>
      </c>
    </row>
    <row r="1967" spans="1:13" ht="14.4" hidden="1">
      <c r="A1967" t="s">
        <v>217</v>
      </c>
      <c r="B1967" s="1">
        <v>167</v>
      </c>
      <c r="C1967" s="258" t="s">
        <v>4842</v>
      </c>
      <c r="F1967"/>
      <c r="H1967" s="1">
        <v>58.08</v>
      </c>
      <c r="I1967" t="s">
        <v>4843</v>
      </c>
      <c r="J1967"/>
      <c r="K1967" s="170"/>
      <c r="L1967" s="1">
        <v>45473</v>
      </c>
    </row>
    <row r="1968" spans="1:13" ht="14.4" hidden="1">
      <c r="A1968" t="s">
        <v>217</v>
      </c>
      <c r="B1968" s="1">
        <v>170</v>
      </c>
      <c r="C1968" s="258" t="s">
        <v>4844</v>
      </c>
      <c r="D1968" t="s">
        <v>4845</v>
      </c>
      <c r="E1968" t="s">
        <v>4846</v>
      </c>
      <c r="F1968"/>
      <c r="H1968" s="1">
        <v>2000000</v>
      </c>
      <c r="I1968" t="s">
        <v>4841</v>
      </c>
      <c r="J1968"/>
      <c r="K1968" s="170" t="s">
        <v>4847</v>
      </c>
      <c r="L1968" s="1">
        <v>45443</v>
      </c>
    </row>
    <row r="1969" spans="1:13" ht="14.4" hidden="1">
      <c r="A1969" t="s">
        <v>217</v>
      </c>
      <c r="B1969" s="1">
        <v>171</v>
      </c>
      <c r="C1969" s="258" t="s">
        <v>4848</v>
      </c>
      <c r="D1969" t="s">
        <v>4845</v>
      </c>
      <c r="F1969"/>
      <c r="H1969" s="1">
        <v>1000000</v>
      </c>
      <c r="I1969" t="s">
        <v>4699</v>
      </c>
      <c r="J1969"/>
      <c r="K1969" s="170" t="s">
        <v>4847</v>
      </c>
      <c r="L1969" s="1">
        <v>45443</v>
      </c>
    </row>
    <row r="1970" spans="1:13" ht="14.4" hidden="1">
      <c r="A1970" t="s">
        <v>217</v>
      </c>
      <c r="B1970" s="1">
        <v>172</v>
      </c>
      <c r="C1970" s="258" t="s">
        <v>4849</v>
      </c>
      <c r="D1970" t="s">
        <v>4845</v>
      </c>
      <c r="F1970"/>
      <c r="H1970" s="1">
        <v>1000000</v>
      </c>
      <c r="I1970" t="s">
        <v>4850</v>
      </c>
      <c r="J1970"/>
      <c r="K1970" s="170" t="s">
        <v>4847</v>
      </c>
      <c r="L1970" s="1">
        <v>45443</v>
      </c>
    </row>
    <row r="1971" spans="1:13" ht="14.4" hidden="1">
      <c r="A1971" t="s">
        <v>217</v>
      </c>
      <c r="B1971" s="1">
        <v>173</v>
      </c>
      <c r="C1971" s="258" t="s">
        <v>4851</v>
      </c>
      <c r="D1971" t="s">
        <v>4845</v>
      </c>
      <c r="E1971" t="s">
        <v>4852</v>
      </c>
      <c r="F1971"/>
      <c r="H1971" s="1">
        <v>75000</v>
      </c>
      <c r="I1971" t="s">
        <v>4780</v>
      </c>
      <c r="J1971"/>
      <c r="K1971" s="170" t="s">
        <v>4853</v>
      </c>
      <c r="L1971" s="1">
        <v>45322</v>
      </c>
    </row>
    <row r="1972" spans="1:13" ht="14.4" hidden="1">
      <c r="A1972" t="s">
        <v>217</v>
      </c>
      <c r="B1972" s="1">
        <v>174</v>
      </c>
      <c r="C1972" s="258" t="s">
        <v>4854</v>
      </c>
      <c r="D1972" t="s">
        <v>4845</v>
      </c>
      <c r="E1972" t="s">
        <v>4855</v>
      </c>
      <c r="F1972"/>
      <c r="H1972" s="1">
        <v>75000</v>
      </c>
      <c r="I1972" t="s">
        <v>4780</v>
      </c>
      <c r="J1972"/>
      <c r="K1972" s="170" t="s">
        <v>4856</v>
      </c>
      <c r="L1972" s="1">
        <v>45322</v>
      </c>
    </row>
    <row r="1973" spans="1:13" ht="14.4" hidden="1">
      <c r="A1973" t="s">
        <v>217</v>
      </c>
      <c r="B1973" s="1">
        <v>175</v>
      </c>
      <c r="C1973" s="258" t="s">
        <v>4857</v>
      </c>
      <c r="D1973" t="s">
        <v>4845</v>
      </c>
      <c r="F1973"/>
      <c r="H1973" s="1">
        <v>75000</v>
      </c>
      <c r="I1973" t="s">
        <v>4782</v>
      </c>
      <c r="J1973"/>
      <c r="K1973" s="170" t="s">
        <v>4783</v>
      </c>
      <c r="L1973" s="1">
        <v>45382</v>
      </c>
    </row>
    <row r="1974" spans="1:13" ht="14.4" hidden="1">
      <c r="A1974" t="s">
        <v>217</v>
      </c>
      <c r="B1974" s="1">
        <v>177</v>
      </c>
      <c r="C1974" s="258" t="s">
        <v>4858</v>
      </c>
      <c r="D1974" t="s">
        <v>4845</v>
      </c>
      <c r="E1974" t="s">
        <v>4859</v>
      </c>
      <c r="F1974"/>
      <c r="H1974" s="1">
        <v>626.88</v>
      </c>
      <c r="I1974" t="s">
        <v>4860</v>
      </c>
      <c r="J1974"/>
      <c r="K1974" s="170"/>
      <c r="L1974" s="1">
        <v>45596</v>
      </c>
    </row>
    <row r="1975" spans="1:13" ht="14.4" hidden="1">
      <c r="A1975" t="s">
        <v>217</v>
      </c>
      <c r="B1975" s="1">
        <v>178</v>
      </c>
      <c r="C1975" s="258" t="s">
        <v>4861</v>
      </c>
      <c r="D1975" t="s">
        <v>4845</v>
      </c>
      <c r="E1975" t="s">
        <v>4859</v>
      </c>
      <c r="F1975"/>
      <c r="H1975" s="1">
        <v>358.16</v>
      </c>
      <c r="I1975" t="s">
        <v>4862</v>
      </c>
      <c r="J1975"/>
      <c r="K1975" s="170"/>
      <c r="L1975" s="1">
        <v>45626</v>
      </c>
    </row>
    <row r="1976" spans="1:13" ht="14.4" hidden="1">
      <c r="A1976" t="s">
        <v>217</v>
      </c>
      <c r="B1976" s="1">
        <v>179</v>
      </c>
      <c r="C1976" s="258" t="s">
        <v>4863</v>
      </c>
      <c r="D1976" t="s">
        <v>4845</v>
      </c>
      <c r="E1976" t="s">
        <v>4859</v>
      </c>
      <c r="F1976"/>
      <c r="H1976" s="1">
        <v>164.54</v>
      </c>
      <c r="I1976" t="s">
        <v>4864</v>
      </c>
      <c r="J1976"/>
      <c r="K1976" s="170"/>
      <c r="L1976" s="1">
        <v>45688</v>
      </c>
    </row>
    <row r="1977" spans="1:13" ht="14.4" hidden="1">
      <c r="A1977" t="s">
        <v>217</v>
      </c>
      <c r="B1977" s="1">
        <v>180</v>
      </c>
      <c r="C1977" s="258" t="s">
        <v>4865</v>
      </c>
      <c r="D1977" t="s">
        <v>4845</v>
      </c>
      <c r="E1977" t="s">
        <v>4859</v>
      </c>
      <c r="F1977"/>
      <c r="H1977" s="1">
        <v>280.72000000000003</v>
      </c>
      <c r="I1977" t="s">
        <v>4866</v>
      </c>
      <c r="J1977"/>
      <c r="K1977" s="170"/>
      <c r="L1977" s="1">
        <v>45716</v>
      </c>
    </row>
    <row r="1978" spans="1:13" ht="14.4" hidden="1">
      <c r="A1978" t="s">
        <v>217</v>
      </c>
      <c r="B1978" s="1">
        <v>181</v>
      </c>
      <c r="C1978" s="258" t="s">
        <v>4867</v>
      </c>
      <c r="D1978" t="s">
        <v>4845</v>
      </c>
      <c r="E1978" t="s">
        <v>4859</v>
      </c>
      <c r="F1978"/>
      <c r="H1978" s="1">
        <v>582.54</v>
      </c>
      <c r="I1978" t="s">
        <v>4868</v>
      </c>
      <c r="J1978"/>
      <c r="K1978" s="170"/>
      <c r="L1978" s="1">
        <v>45747</v>
      </c>
    </row>
    <row r="1979" spans="1:13" ht="14.4" hidden="1">
      <c r="A1979" t="s">
        <v>217</v>
      </c>
      <c r="B1979" s="1">
        <v>182</v>
      </c>
      <c r="C1979" s="258" t="s">
        <v>4869</v>
      </c>
      <c r="D1979" t="s">
        <v>4845</v>
      </c>
      <c r="E1979" t="s">
        <v>4859</v>
      </c>
      <c r="F1979"/>
      <c r="H1979" s="1">
        <v>499.32</v>
      </c>
      <c r="I1979" t="s">
        <v>4870</v>
      </c>
      <c r="J1979"/>
      <c r="K1979" s="170"/>
      <c r="L1979" s="1">
        <v>45777</v>
      </c>
    </row>
    <row r="1980" spans="1:13" ht="14.4" hidden="1">
      <c r="A1980" t="s">
        <v>217</v>
      </c>
      <c r="B1980" s="1">
        <v>183</v>
      </c>
      <c r="C1980" s="258" t="s">
        <v>4871</v>
      </c>
      <c r="D1980" t="s">
        <v>4845</v>
      </c>
      <c r="E1980" t="s">
        <v>4872</v>
      </c>
      <c r="F1980"/>
      <c r="H1980" s="1">
        <v>543170.74</v>
      </c>
      <c r="I1980" t="s">
        <v>4873</v>
      </c>
      <c r="J1980"/>
      <c r="K1980" s="170"/>
      <c r="L1980" s="1">
        <v>45626</v>
      </c>
    </row>
    <row r="1981" spans="1:13" ht="14.4" hidden="1">
      <c r="A1981" t="s">
        <v>217</v>
      </c>
      <c r="B1981" s="1">
        <v>184</v>
      </c>
      <c r="C1981" s="258" t="s">
        <v>4874</v>
      </c>
      <c r="D1981" t="s">
        <v>4845</v>
      </c>
      <c r="E1981" t="s">
        <v>1489</v>
      </c>
      <c r="F1981"/>
      <c r="H1981" s="1">
        <v>7639.55</v>
      </c>
      <c r="I1981" t="s">
        <v>4875</v>
      </c>
      <c r="J1981"/>
      <c r="K1981" s="170"/>
      <c r="L1981" s="1">
        <v>45688</v>
      </c>
    </row>
    <row r="1982" spans="1:13" ht="14.4" hidden="1">
      <c r="A1982" t="s">
        <v>217</v>
      </c>
      <c r="B1982" s="1">
        <v>185</v>
      </c>
      <c r="C1982" s="258" t="s">
        <v>4876</v>
      </c>
      <c r="D1982" t="s">
        <v>4845</v>
      </c>
      <c r="E1982" t="s">
        <v>4877</v>
      </c>
      <c r="F1982"/>
      <c r="H1982" s="1">
        <v>18000</v>
      </c>
      <c r="I1982" t="s">
        <v>4878</v>
      </c>
      <c r="J1982"/>
      <c r="K1982" s="170"/>
      <c r="L1982" s="1">
        <v>45747</v>
      </c>
      <c r="M1982" s="1" t="s">
        <v>4879</v>
      </c>
    </row>
    <row r="1983" spans="1:13" ht="14.4" hidden="1">
      <c r="A1983" t="s">
        <v>217</v>
      </c>
      <c r="B1983" s="1">
        <v>186</v>
      </c>
      <c r="C1983" s="258" t="s">
        <v>4880</v>
      </c>
      <c r="D1983" t="s">
        <v>4845</v>
      </c>
      <c r="E1983" t="s">
        <v>4881</v>
      </c>
      <c r="F1983"/>
      <c r="H1983" s="1">
        <v>24772</v>
      </c>
      <c r="I1983" t="s">
        <v>4878</v>
      </c>
      <c r="J1983"/>
      <c r="K1983" s="170"/>
      <c r="L1983" s="1">
        <v>45747</v>
      </c>
      <c r="M1983" s="1" t="s">
        <v>4882</v>
      </c>
    </row>
    <row r="1984" spans="1:13" ht="14.4" hidden="1">
      <c r="A1984" t="s">
        <v>217</v>
      </c>
      <c r="B1984" s="1">
        <v>187</v>
      </c>
      <c r="C1984" s="258" t="s">
        <v>4883</v>
      </c>
      <c r="D1984" t="s">
        <v>4845</v>
      </c>
      <c r="E1984" t="s">
        <v>4884</v>
      </c>
      <c r="F1984">
        <v>283043.05</v>
      </c>
      <c r="G1984">
        <v>0.1</v>
      </c>
      <c r="H1984" s="1">
        <v>28304.305</v>
      </c>
      <c r="I1984" t="s">
        <v>4885</v>
      </c>
      <c r="J1984"/>
      <c r="K1984" s="170"/>
      <c r="L1984" s="1">
        <v>45991</v>
      </c>
      <c r="M1984" s="1" t="s">
        <v>4886</v>
      </c>
    </row>
    <row r="1985" spans="1:14" ht="14.4" hidden="1">
      <c r="A1985" t="s">
        <v>217</v>
      </c>
      <c r="B1985" s="1">
        <v>188</v>
      </c>
      <c r="C1985" s="258" t="s">
        <v>4887</v>
      </c>
      <c r="D1985" t="s">
        <v>4845</v>
      </c>
      <c r="E1985" t="s">
        <v>4888</v>
      </c>
      <c r="F1985"/>
      <c r="G1985">
        <v>0.9</v>
      </c>
      <c r="H1985" s="1">
        <v>254738.745</v>
      </c>
      <c r="I1985" t="s">
        <v>4889</v>
      </c>
      <c r="J1985"/>
      <c r="K1985" s="170"/>
      <c r="L1985" s="1">
        <v>45991</v>
      </c>
    </row>
    <row r="1986" spans="1:14" ht="14.4" hidden="1">
      <c r="A1986" t="s">
        <v>217</v>
      </c>
      <c r="B1986" s="1">
        <v>204</v>
      </c>
      <c r="C1986" s="258" t="s">
        <v>4890</v>
      </c>
      <c r="D1986" t="s">
        <v>4845</v>
      </c>
      <c r="E1986" t="s">
        <v>4891</v>
      </c>
      <c r="F1986"/>
      <c r="H1986" s="1">
        <v>32128.959999999999</v>
      </c>
      <c r="I1986" t="s">
        <v>4892</v>
      </c>
      <c r="J1986"/>
      <c r="K1986" s="170"/>
      <c r="L1986" s="1">
        <v>45777</v>
      </c>
      <c r="M1986" s="1" t="s">
        <v>4893</v>
      </c>
    </row>
    <row r="1987" spans="1:14" ht="14.4" hidden="1">
      <c r="A1987" t="s">
        <v>217</v>
      </c>
      <c r="B1987" s="1">
        <v>205</v>
      </c>
      <c r="C1987" s="258" t="s">
        <v>4894</v>
      </c>
      <c r="D1987" t="s">
        <v>4845</v>
      </c>
      <c r="E1987" t="s">
        <v>4895</v>
      </c>
      <c r="F1987"/>
      <c r="H1987" s="1">
        <v>21322.79</v>
      </c>
      <c r="I1987" t="s">
        <v>4896</v>
      </c>
      <c r="J1987"/>
      <c r="K1987" s="170"/>
      <c r="L1987" s="1">
        <v>45747</v>
      </c>
      <c r="M1987" s="1" t="s">
        <v>4897</v>
      </c>
    </row>
    <row r="1988" spans="1:14" ht="14.4" hidden="1">
      <c r="A1988" t="s">
        <v>217</v>
      </c>
      <c r="B1988" s="1">
        <v>206</v>
      </c>
      <c r="C1988" s="258" t="s">
        <v>4898</v>
      </c>
      <c r="D1988" t="s">
        <v>4845</v>
      </c>
      <c r="E1988" t="s">
        <v>4899</v>
      </c>
      <c r="F1988"/>
      <c r="H1988" s="1">
        <v>3905</v>
      </c>
      <c r="I1988" t="s">
        <v>4900</v>
      </c>
      <c r="J1988"/>
      <c r="K1988" s="170"/>
      <c r="L1988" s="1">
        <v>45657</v>
      </c>
    </row>
    <row r="1989" spans="1:14" ht="14.4" hidden="1">
      <c r="A1989" t="s">
        <v>217</v>
      </c>
      <c r="B1989" s="1">
        <v>207</v>
      </c>
      <c r="C1989" s="258" t="s">
        <v>4901</v>
      </c>
      <c r="D1989" t="s">
        <v>4845</v>
      </c>
      <c r="E1989" t="s">
        <v>4902</v>
      </c>
      <c r="F1989"/>
      <c r="G1989">
        <v>30099.98</v>
      </c>
      <c r="H1989" s="1">
        <v>30839.11</v>
      </c>
      <c r="I1989" t="s">
        <v>4903</v>
      </c>
      <c r="J1989"/>
      <c r="K1989" s="170"/>
      <c r="L1989" s="1">
        <v>45688</v>
      </c>
      <c r="M1989" s="1" t="s">
        <v>4904</v>
      </c>
    </row>
    <row r="1990" spans="1:14" ht="14.4" hidden="1">
      <c r="A1990" t="s">
        <v>217</v>
      </c>
      <c r="B1990" s="1">
        <v>208</v>
      </c>
      <c r="C1990" s="258" t="s">
        <v>4905</v>
      </c>
      <c r="D1990" t="s">
        <v>4845</v>
      </c>
      <c r="E1990" t="s">
        <v>4906</v>
      </c>
      <c r="F1990"/>
      <c r="H1990" s="1">
        <v>80752.14</v>
      </c>
      <c r="I1990" t="s">
        <v>4907</v>
      </c>
      <c r="J1990"/>
      <c r="K1990" s="170"/>
      <c r="L1990" s="1">
        <v>45657</v>
      </c>
      <c r="M1990" s="1" t="s">
        <v>4908</v>
      </c>
    </row>
    <row r="1991" spans="1:14" ht="14.4" hidden="1">
      <c r="A1991" t="s">
        <v>217</v>
      </c>
      <c r="B1991" s="1">
        <v>209</v>
      </c>
      <c r="C1991" s="258" t="s">
        <v>4909</v>
      </c>
      <c r="D1991" t="s">
        <v>4845</v>
      </c>
      <c r="E1991" t="s">
        <v>4910</v>
      </c>
      <c r="F1991"/>
      <c r="H1991" s="1">
        <v>32566</v>
      </c>
      <c r="I1991" t="s">
        <v>4875</v>
      </c>
      <c r="J1991"/>
      <c r="K1991" s="170"/>
      <c r="L1991" s="1">
        <v>45838</v>
      </c>
      <c r="M1991" s="1" t="s">
        <v>4911</v>
      </c>
    </row>
    <row r="1992" spans="1:14" ht="14.4" hidden="1">
      <c r="A1992" t="s">
        <v>217</v>
      </c>
      <c r="B1992" s="1">
        <v>210</v>
      </c>
      <c r="C1992" s="258" t="s">
        <v>4912</v>
      </c>
      <c r="D1992" t="s">
        <v>4845</v>
      </c>
      <c r="E1992" t="s">
        <v>4913</v>
      </c>
      <c r="F1992"/>
      <c r="H1992" s="1">
        <v>93894</v>
      </c>
      <c r="I1992" t="s">
        <v>4878</v>
      </c>
      <c r="J1992"/>
      <c r="K1992" s="170"/>
      <c r="L1992" s="1">
        <v>45747</v>
      </c>
      <c r="M1992" s="1" t="s">
        <v>4914</v>
      </c>
    </row>
    <row r="1993" spans="1:14" ht="14.4" hidden="1">
      <c r="A1993" t="s">
        <v>217</v>
      </c>
      <c r="B1993" s="1">
        <v>211</v>
      </c>
      <c r="C1993" s="258" t="s">
        <v>4915</v>
      </c>
      <c r="D1993" t="s">
        <v>4845</v>
      </c>
      <c r="E1993" t="s">
        <v>4916</v>
      </c>
      <c r="F1993"/>
      <c r="H1993" s="1">
        <v>3705</v>
      </c>
      <c r="I1993" t="s">
        <v>4875</v>
      </c>
      <c r="J1993"/>
      <c r="K1993" s="170" t="s">
        <v>4917</v>
      </c>
      <c r="L1993" s="1">
        <v>45838</v>
      </c>
      <c r="M1993" s="1" t="s">
        <v>4918</v>
      </c>
    </row>
    <row r="1994" spans="1:14" ht="14.4" hidden="1">
      <c r="A1994" t="s">
        <v>217</v>
      </c>
      <c r="B1994" s="1">
        <v>212</v>
      </c>
      <c r="C1994" s="258" t="s">
        <v>4919</v>
      </c>
      <c r="D1994" t="s">
        <v>4845</v>
      </c>
      <c r="E1994" t="s">
        <v>4920</v>
      </c>
      <c r="F1994"/>
      <c r="H1994" s="1">
        <v>3733.92</v>
      </c>
      <c r="I1994" t="s">
        <v>4921</v>
      </c>
      <c r="J1994"/>
      <c r="K1994" s="170" t="s">
        <v>4922</v>
      </c>
      <c r="L1994" s="1">
        <v>45626</v>
      </c>
      <c r="M1994" s="1" t="s">
        <v>4923</v>
      </c>
    </row>
    <row r="1995" spans="1:14" ht="14.4" hidden="1">
      <c r="A1995" t="s">
        <v>524</v>
      </c>
      <c r="B1995" s="1">
        <v>6</v>
      </c>
      <c r="C1995" s="258" t="s">
        <v>4924</v>
      </c>
      <c r="D1995" t="s">
        <v>1146</v>
      </c>
      <c r="E1995" t="s">
        <v>4925</v>
      </c>
      <c r="F1995">
        <v>149</v>
      </c>
      <c r="G1995">
        <v>1203.95</v>
      </c>
      <c r="H1995" s="1">
        <v>179388.55000000002</v>
      </c>
      <c r="I1995" t="s">
        <v>4926</v>
      </c>
      <c r="J1995" t="s">
        <v>4927</v>
      </c>
      <c r="K1995" s="170">
        <v>45716</v>
      </c>
      <c r="L1995" s="1">
        <v>316418.62749999994</v>
      </c>
      <c r="M1995" s="1">
        <v>45771</v>
      </c>
      <c r="N1995" s="1">
        <v>195122.27</v>
      </c>
    </row>
    <row r="1996" spans="1:14" ht="14.4" hidden="1">
      <c r="A1996" t="s">
        <v>524</v>
      </c>
      <c r="B1996" s="1">
        <v>8</v>
      </c>
      <c r="C1996" s="258" t="s">
        <v>4928</v>
      </c>
      <c r="D1996" t="s">
        <v>1146</v>
      </c>
      <c r="F1996"/>
      <c r="H1996" s="1">
        <v>1217.72</v>
      </c>
      <c r="I1996"/>
      <c r="J1996" t="s">
        <v>4929</v>
      </c>
      <c r="K1996" s="170">
        <v>45900</v>
      </c>
      <c r="L1996" s="1">
        <v>0</v>
      </c>
      <c r="M1996" s="1">
        <v>45961</v>
      </c>
    </row>
    <row r="1997" spans="1:14" ht="14.4" hidden="1">
      <c r="A1997" t="s">
        <v>524</v>
      </c>
      <c r="B1997" s="1">
        <v>9</v>
      </c>
      <c r="C1997" s="258" t="s">
        <v>4930</v>
      </c>
      <c r="D1997" t="s">
        <v>1146</v>
      </c>
      <c r="F1997"/>
      <c r="H1997" s="1">
        <v>14516</v>
      </c>
      <c r="I1997"/>
      <c r="J1997" t="s">
        <v>4931</v>
      </c>
      <c r="K1997" s="170">
        <v>45930</v>
      </c>
      <c r="L1997" s="1">
        <v>0</v>
      </c>
      <c r="M1997" s="1">
        <v>45989</v>
      </c>
    </row>
    <row r="1998" spans="1:14" ht="14.4" hidden="1">
      <c r="A1998" t="s">
        <v>524</v>
      </c>
      <c r="B1998" s="1">
        <v>13</v>
      </c>
      <c r="C1998" s="258" t="s">
        <v>4932</v>
      </c>
      <c r="D1998" t="s">
        <v>1157</v>
      </c>
      <c r="E1998" t="s">
        <v>4933</v>
      </c>
      <c r="F1998">
        <v>1</v>
      </c>
      <c r="G1998">
        <v>19380</v>
      </c>
      <c r="H1998" s="1">
        <v>19380</v>
      </c>
      <c r="I1998" t="s">
        <v>4934</v>
      </c>
      <c r="J1998" t="s">
        <v>4935</v>
      </c>
      <c r="K1998" s="170">
        <v>45716</v>
      </c>
      <c r="L1998" s="1">
        <v>25962.949959137488</v>
      </c>
      <c r="M1998" s="1">
        <v>45744</v>
      </c>
      <c r="N1998" s="1">
        <v>153956.99</v>
      </c>
    </row>
    <row r="1999" spans="1:14" ht="14.4" hidden="1">
      <c r="A1999" t="s">
        <v>524</v>
      </c>
      <c r="B1999" s="1">
        <v>14</v>
      </c>
      <c r="C1999" s="258" t="s">
        <v>4936</v>
      </c>
      <c r="D1999" t="s">
        <v>1157</v>
      </c>
      <c r="E1999" t="s">
        <v>4937</v>
      </c>
      <c r="F1999">
        <v>3</v>
      </c>
      <c r="G1999">
        <v>16020</v>
      </c>
      <c r="H1999" s="1">
        <v>48060</v>
      </c>
      <c r="I1999"/>
      <c r="J1999" t="s">
        <v>4935</v>
      </c>
      <c r="K1999" s="170">
        <v>45716</v>
      </c>
      <c r="L1999" s="1">
        <v>64384.900672659838</v>
      </c>
      <c r="M1999" s="1">
        <v>45744</v>
      </c>
    </row>
    <row r="2000" spans="1:14" ht="14.4" hidden="1">
      <c r="A2000" t="s">
        <v>524</v>
      </c>
      <c r="B2000" s="1">
        <v>15</v>
      </c>
      <c r="C2000" s="258" t="s">
        <v>4938</v>
      </c>
      <c r="D2000" t="s">
        <v>1157</v>
      </c>
      <c r="E2000" t="s">
        <v>4939</v>
      </c>
      <c r="F2000">
        <v>77</v>
      </c>
      <c r="G2000">
        <v>1190</v>
      </c>
      <c r="H2000" s="1">
        <v>91630</v>
      </c>
      <c r="I2000"/>
      <c r="J2000" t="s">
        <v>4935</v>
      </c>
      <c r="K2000" s="170">
        <v>45716</v>
      </c>
      <c r="L2000" s="1">
        <v>122754.64936820266</v>
      </c>
      <c r="M2000" s="1">
        <v>45744</v>
      </c>
    </row>
    <row r="2001" spans="1:14" ht="14.4" hidden="1">
      <c r="A2001" t="s">
        <v>524</v>
      </c>
      <c r="B2001" s="1">
        <v>16</v>
      </c>
      <c r="C2001" s="258" t="s">
        <v>4940</v>
      </c>
      <c r="D2001" t="s">
        <v>1157</v>
      </c>
      <c r="E2001" t="s">
        <v>4941</v>
      </c>
      <c r="F2001"/>
      <c r="H2001" s="1">
        <v>296.99</v>
      </c>
      <c r="I2001"/>
      <c r="J2001" t="s">
        <v>4942</v>
      </c>
      <c r="K2001" s="170">
        <v>45808</v>
      </c>
      <c r="L2001" s="1">
        <v>0</v>
      </c>
      <c r="M2001" s="1">
        <v>45835</v>
      </c>
    </row>
    <row r="2002" spans="1:14" ht="14.4" hidden="1">
      <c r="A2002" t="s">
        <v>524</v>
      </c>
      <c r="B2002" s="1">
        <v>17</v>
      </c>
      <c r="C2002" s="258" t="s">
        <v>4943</v>
      </c>
      <c r="D2002" t="s">
        <v>1157</v>
      </c>
      <c r="E2002" t="s">
        <v>4944</v>
      </c>
      <c r="F2002"/>
      <c r="H2002" s="1">
        <v>-67440</v>
      </c>
      <c r="I2002"/>
      <c r="J2002"/>
      <c r="K2002" s="170">
        <v>46081</v>
      </c>
      <c r="M2002" s="1">
        <v>46081</v>
      </c>
    </row>
    <row r="2003" spans="1:14" ht="14.4" hidden="1">
      <c r="A2003" t="s">
        <v>524</v>
      </c>
      <c r="B2003" s="1">
        <v>18</v>
      </c>
      <c r="C2003" s="258" t="s">
        <v>4945</v>
      </c>
      <c r="D2003" t="s">
        <v>1157</v>
      </c>
      <c r="E2003" t="s">
        <v>4946</v>
      </c>
      <c r="F2003"/>
      <c r="H2003" s="1">
        <v>52730</v>
      </c>
      <c r="I2003" t="s">
        <v>4947</v>
      </c>
      <c r="J2003" t="s">
        <v>4948</v>
      </c>
      <c r="K2003" s="170">
        <v>45869</v>
      </c>
      <c r="M2003" s="1">
        <v>45899</v>
      </c>
    </row>
    <row r="2004" spans="1:14" ht="14.4" hidden="1">
      <c r="A2004" t="s">
        <v>524</v>
      </c>
      <c r="B2004" s="1">
        <v>19</v>
      </c>
      <c r="C2004" s="258" t="s">
        <v>4949</v>
      </c>
      <c r="D2004" t="s">
        <v>1157</v>
      </c>
      <c r="E2004" t="s">
        <v>4939</v>
      </c>
      <c r="F2004"/>
      <c r="H2004" s="1">
        <v>9500</v>
      </c>
      <c r="I2004" t="s">
        <v>4950</v>
      </c>
      <c r="J2004" t="s">
        <v>4951</v>
      </c>
      <c r="K2004" s="170">
        <v>45869</v>
      </c>
      <c r="M2004" s="1">
        <v>45899</v>
      </c>
    </row>
    <row r="2005" spans="1:14" ht="14.4" hidden="1">
      <c r="A2005" t="s">
        <v>524</v>
      </c>
      <c r="B2005" s="1">
        <v>20</v>
      </c>
      <c r="C2005" s="258" t="s">
        <v>4952</v>
      </c>
      <c r="D2005" t="s">
        <v>1157</v>
      </c>
      <c r="F2005"/>
      <c r="H2005" s="1">
        <v>-200</v>
      </c>
      <c r="I2005"/>
      <c r="J2005" t="s">
        <v>4953</v>
      </c>
      <c r="K2005" s="170">
        <v>45869</v>
      </c>
      <c r="M2005" s="1">
        <v>45869</v>
      </c>
    </row>
    <row r="2006" spans="1:14" ht="14.4" hidden="1">
      <c r="A2006" t="s">
        <v>524</v>
      </c>
      <c r="B2006" s="1">
        <v>21</v>
      </c>
      <c r="C2006" s="258" t="s">
        <v>4954</v>
      </c>
      <c r="D2006" t="s">
        <v>1157</v>
      </c>
      <c r="E2006" t="s">
        <v>4955</v>
      </c>
      <c r="F2006"/>
      <c r="H2006" s="1">
        <v>19380</v>
      </c>
      <c r="I2006" t="s">
        <v>4956</v>
      </c>
      <c r="J2006" t="s">
        <v>4957</v>
      </c>
      <c r="K2006" s="170">
        <v>45808</v>
      </c>
      <c r="L2006" s="1">
        <v>0</v>
      </c>
      <c r="M2006" s="1">
        <v>45808</v>
      </c>
    </row>
    <row r="2007" spans="1:14" ht="14.4" hidden="1">
      <c r="A2007" t="s">
        <v>524</v>
      </c>
      <c r="B2007" s="1">
        <v>22</v>
      </c>
      <c r="C2007" s="258" t="s">
        <v>4958</v>
      </c>
      <c r="D2007" t="s">
        <v>1157</v>
      </c>
      <c r="F2007"/>
      <c r="H2007" s="1">
        <v>-19380</v>
      </c>
      <c r="I2007"/>
      <c r="J2007" t="s">
        <v>4959</v>
      </c>
      <c r="K2007" s="170">
        <v>45808</v>
      </c>
      <c r="L2007" s="1">
        <v>0</v>
      </c>
      <c r="M2007" s="1">
        <v>45808</v>
      </c>
    </row>
    <row r="2008" spans="1:14" ht="14.4" hidden="1">
      <c r="A2008" t="s">
        <v>524</v>
      </c>
      <c r="B2008" s="1">
        <v>24</v>
      </c>
      <c r="C2008" s="258" t="s">
        <v>4960</v>
      </c>
      <c r="D2008" t="s">
        <v>1160</v>
      </c>
      <c r="E2008" t="s">
        <v>4579</v>
      </c>
      <c r="F2008"/>
      <c r="H2008" s="1">
        <v>19322.8</v>
      </c>
      <c r="I2008" t="s">
        <v>4961</v>
      </c>
      <c r="J2008" t="s">
        <v>4962</v>
      </c>
      <c r="K2008" s="170">
        <v>45716</v>
      </c>
      <c r="L2008" s="1">
        <v>29396.117625602856</v>
      </c>
      <c r="M2008" s="1">
        <v>45744</v>
      </c>
      <c r="N2008" s="1">
        <v>29609.199999999997</v>
      </c>
    </row>
    <row r="2009" spans="1:14" ht="14.4" hidden="1">
      <c r="A2009" t="s">
        <v>524</v>
      </c>
      <c r="B2009" s="1">
        <v>25</v>
      </c>
      <c r="C2009" s="258" t="s">
        <v>4963</v>
      </c>
      <c r="D2009" t="s">
        <v>1160</v>
      </c>
      <c r="E2009" t="s">
        <v>4964</v>
      </c>
      <c r="F2009"/>
      <c r="H2009" s="1">
        <v>10286.4</v>
      </c>
      <c r="I2009" t="s">
        <v>4965</v>
      </c>
      <c r="J2009" t="s">
        <v>4966</v>
      </c>
      <c r="K2009" s="170">
        <v>45716</v>
      </c>
      <c r="L2009" s="1">
        <v>15648.882374397148</v>
      </c>
      <c r="M2009" s="1">
        <v>45744</v>
      </c>
    </row>
    <row r="2010" spans="1:14" ht="14.4" hidden="1">
      <c r="A2010" t="s">
        <v>524</v>
      </c>
      <c r="B2010" s="1">
        <v>30</v>
      </c>
      <c r="C2010" s="258" t="s">
        <v>4967</v>
      </c>
      <c r="D2010" t="s">
        <v>1165</v>
      </c>
      <c r="E2010" t="s">
        <v>836</v>
      </c>
      <c r="F2010">
        <v>2000</v>
      </c>
      <c r="G2010">
        <v>13.89</v>
      </c>
      <c r="H2010" s="1">
        <v>27780</v>
      </c>
      <c r="I2010" t="s">
        <v>4926</v>
      </c>
      <c r="J2010" t="s">
        <v>4927</v>
      </c>
      <c r="K2010" s="170">
        <v>45716</v>
      </c>
      <c r="L2010" s="1">
        <v>29465.215398335316</v>
      </c>
      <c r="M2010" s="1">
        <v>45771</v>
      </c>
    </row>
    <row r="2011" spans="1:14" ht="14.4" hidden="1">
      <c r="A2011" t="s">
        <v>524</v>
      </c>
      <c r="B2011" s="1">
        <v>33</v>
      </c>
      <c r="C2011" s="258" t="s">
        <v>4968</v>
      </c>
      <c r="D2011" t="s">
        <v>1165</v>
      </c>
      <c r="E2011" t="s">
        <v>1169</v>
      </c>
      <c r="F2011">
        <v>56320</v>
      </c>
      <c r="G2011">
        <v>0.1</v>
      </c>
      <c r="H2011" s="1">
        <v>5632</v>
      </c>
      <c r="I2011" t="s">
        <v>4969</v>
      </c>
      <c r="J2011" t="s">
        <v>4970</v>
      </c>
      <c r="K2011" s="170">
        <v>45716</v>
      </c>
      <c r="L2011" s="1">
        <v>5973.6534601664689</v>
      </c>
      <c r="M2011" s="1">
        <v>45708</v>
      </c>
    </row>
    <row r="2012" spans="1:14" ht="14.4" hidden="1">
      <c r="A2012" t="s">
        <v>524</v>
      </c>
      <c r="B2012" s="1">
        <v>34</v>
      </c>
      <c r="C2012" s="258" t="s">
        <v>4971</v>
      </c>
      <c r="D2012" t="s">
        <v>1165</v>
      </c>
      <c r="E2012" t="s">
        <v>558</v>
      </c>
      <c r="F2012"/>
      <c r="G2012">
        <v>0.15</v>
      </c>
      <c r="H2012" s="1">
        <v>8448</v>
      </c>
      <c r="I2012"/>
      <c r="J2012" t="s">
        <v>4972</v>
      </c>
      <c r="K2012" s="170">
        <v>45716</v>
      </c>
      <c r="L2012" s="1">
        <v>8960.480190249702</v>
      </c>
      <c r="M2012" s="1">
        <v>45722</v>
      </c>
    </row>
    <row r="2013" spans="1:14" ht="14.4" hidden="1">
      <c r="A2013" t="s">
        <v>524</v>
      </c>
      <c r="B2013" s="1">
        <v>35</v>
      </c>
      <c r="C2013" s="258" t="s">
        <v>4973</v>
      </c>
      <c r="D2013" t="s">
        <v>1165</v>
      </c>
      <c r="E2013" t="s">
        <v>1175</v>
      </c>
      <c r="F2013"/>
      <c r="G2013">
        <v>0.2</v>
      </c>
      <c r="H2013" s="1">
        <v>11264</v>
      </c>
      <c r="I2013"/>
      <c r="J2013" t="s">
        <v>4974</v>
      </c>
      <c r="K2013" s="170">
        <v>45747</v>
      </c>
      <c r="L2013" s="1">
        <v>11947.306920332938</v>
      </c>
      <c r="M2013" s="1">
        <v>45729</v>
      </c>
    </row>
    <row r="2014" spans="1:14" ht="14.4" hidden="1">
      <c r="A2014" t="s">
        <v>524</v>
      </c>
      <c r="B2014" s="1">
        <v>36</v>
      </c>
      <c r="C2014" s="258" t="s">
        <v>4975</v>
      </c>
      <c r="D2014" t="s">
        <v>1165</v>
      </c>
      <c r="E2014" t="s">
        <v>1178</v>
      </c>
      <c r="F2014"/>
      <c r="G2014">
        <v>0.25</v>
      </c>
      <c r="H2014" s="1">
        <v>14080</v>
      </c>
      <c r="I2014"/>
      <c r="J2014" t="s">
        <v>4976</v>
      </c>
      <c r="K2014" s="170">
        <v>45747</v>
      </c>
      <c r="L2014" s="1">
        <v>14934.133650416172</v>
      </c>
      <c r="M2014" s="1">
        <v>45729</v>
      </c>
    </row>
    <row r="2015" spans="1:14" ht="14.4" hidden="1">
      <c r="A2015" t="s">
        <v>524</v>
      </c>
      <c r="B2015" s="1">
        <v>37</v>
      </c>
      <c r="C2015" s="258" t="s">
        <v>4977</v>
      </c>
      <c r="D2015" t="s">
        <v>1165</v>
      </c>
      <c r="E2015" t="s">
        <v>1181</v>
      </c>
      <c r="F2015"/>
      <c r="G2015">
        <v>0.1</v>
      </c>
      <c r="H2015" s="1">
        <v>5632</v>
      </c>
      <c r="I2015"/>
      <c r="J2015" t="s">
        <v>4978</v>
      </c>
      <c r="K2015" s="170">
        <v>45747</v>
      </c>
      <c r="L2015" s="1">
        <v>5973.6534601664689</v>
      </c>
      <c r="M2015" s="1">
        <v>45750</v>
      </c>
    </row>
    <row r="2016" spans="1:14" ht="14.4" hidden="1">
      <c r="A2016" t="s">
        <v>524</v>
      </c>
      <c r="B2016" s="1">
        <v>38</v>
      </c>
      <c r="C2016" s="258" t="s">
        <v>4979</v>
      </c>
      <c r="D2016" t="s">
        <v>1165</v>
      </c>
      <c r="E2016" t="s">
        <v>1184</v>
      </c>
      <c r="F2016"/>
      <c r="G2016">
        <v>0.1</v>
      </c>
      <c r="H2016" s="1">
        <v>5632</v>
      </c>
      <c r="I2016"/>
      <c r="J2016" t="s">
        <v>4980</v>
      </c>
      <c r="K2016" s="170">
        <v>45747</v>
      </c>
      <c r="L2016" s="1">
        <v>5973.6534601664689</v>
      </c>
      <c r="M2016" s="1">
        <v>45757</v>
      </c>
    </row>
    <row r="2017" spans="1:14" ht="14.4" hidden="1">
      <c r="A2017" t="s">
        <v>524</v>
      </c>
      <c r="B2017" s="1">
        <v>39</v>
      </c>
      <c r="C2017" s="258" t="s">
        <v>4981</v>
      </c>
      <c r="D2017" t="s">
        <v>1165</v>
      </c>
      <c r="E2017" t="s">
        <v>1187</v>
      </c>
      <c r="F2017"/>
      <c r="G2017">
        <v>0.05</v>
      </c>
      <c r="H2017" s="1">
        <v>2816</v>
      </c>
      <c r="I2017"/>
      <c r="J2017" t="s">
        <v>4982</v>
      </c>
      <c r="K2017" s="170">
        <v>45808</v>
      </c>
      <c r="L2017" s="1">
        <v>2986.8267300832345</v>
      </c>
      <c r="M2017" s="1">
        <v>45826</v>
      </c>
    </row>
    <row r="2018" spans="1:14" ht="14.4" hidden="1">
      <c r="A2018" t="s">
        <v>524</v>
      </c>
      <c r="B2018" s="1">
        <v>40</v>
      </c>
      <c r="C2018" s="258" t="s">
        <v>4983</v>
      </c>
      <c r="D2018" t="s">
        <v>1165</v>
      </c>
      <c r="E2018" t="s">
        <v>1190</v>
      </c>
      <c r="F2018"/>
      <c r="G2018">
        <v>0.05</v>
      </c>
      <c r="H2018" s="1">
        <v>2816</v>
      </c>
      <c r="I2018"/>
      <c r="J2018" t="s">
        <v>4982</v>
      </c>
      <c r="K2018" s="170">
        <v>45808</v>
      </c>
      <c r="L2018" s="1">
        <v>2986.8267300832345</v>
      </c>
      <c r="M2018" s="1">
        <v>45841</v>
      </c>
    </row>
    <row r="2019" spans="1:14" ht="14.4" hidden="1">
      <c r="A2019" t="s">
        <v>524</v>
      </c>
      <c r="B2019" s="1">
        <v>43</v>
      </c>
      <c r="C2019" s="258" t="s">
        <v>4984</v>
      </c>
      <c r="D2019" t="s">
        <v>1193</v>
      </c>
      <c r="E2019" t="s">
        <v>1982</v>
      </c>
      <c r="F2019"/>
      <c r="H2019" s="1">
        <v>1860</v>
      </c>
      <c r="I2019" t="s">
        <v>4985</v>
      </c>
      <c r="J2019" t="s">
        <v>4986</v>
      </c>
      <c r="K2019" s="170">
        <v>45716</v>
      </c>
      <c r="L2019" s="1">
        <v>0</v>
      </c>
      <c r="M2019" s="1">
        <v>45744</v>
      </c>
    </row>
    <row r="2020" spans="1:14" ht="14.4" hidden="1">
      <c r="A2020" t="s">
        <v>524</v>
      </c>
      <c r="B2020" s="1">
        <v>44</v>
      </c>
      <c r="C2020" s="258" t="s">
        <v>4987</v>
      </c>
      <c r="D2020" t="s">
        <v>1193</v>
      </c>
      <c r="E2020" t="s">
        <v>4988</v>
      </c>
      <c r="F2020"/>
      <c r="H2020" s="1">
        <v>294.95</v>
      </c>
      <c r="I2020"/>
      <c r="J2020" t="s">
        <v>4989</v>
      </c>
      <c r="K2020" s="170">
        <v>45747</v>
      </c>
      <c r="L2020" s="1">
        <v>0</v>
      </c>
      <c r="M2020" s="1">
        <v>45777</v>
      </c>
    </row>
    <row r="2021" spans="1:14" ht="14.4" hidden="1">
      <c r="A2021" t="s">
        <v>524</v>
      </c>
      <c r="B2021" s="1">
        <v>45</v>
      </c>
      <c r="C2021" s="258" t="s">
        <v>4990</v>
      </c>
      <c r="D2021" t="s">
        <v>1193</v>
      </c>
      <c r="E2021" t="s">
        <v>4638</v>
      </c>
      <c r="F2021"/>
      <c r="H2021" s="1">
        <v>5490</v>
      </c>
      <c r="I2021" t="s">
        <v>4991</v>
      </c>
      <c r="J2021" t="s">
        <v>4992</v>
      </c>
      <c r="K2021" s="170">
        <v>45869</v>
      </c>
      <c r="L2021" s="1">
        <v>0</v>
      </c>
      <c r="M2021" s="1">
        <v>45899</v>
      </c>
    </row>
    <row r="2022" spans="1:14" ht="14.4" hidden="1">
      <c r="A2022" t="s">
        <v>524</v>
      </c>
      <c r="B2022" s="1">
        <v>50</v>
      </c>
      <c r="C2022" s="258" t="s">
        <v>4993</v>
      </c>
      <c r="D2022" t="s">
        <v>1211</v>
      </c>
      <c r="E2022" t="s">
        <v>1169</v>
      </c>
      <c r="F2022">
        <v>128120</v>
      </c>
      <c r="G2022">
        <v>0.1</v>
      </c>
      <c r="H2022" s="1">
        <v>12812</v>
      </c>
      <c r="I2022" t="s">
        <v>4969</v>
      </c>
      <c r="J2022" t="s">
        <v>4970</v>
      </c>
      <c r="K2022" s="170">
        <v>45716</v>
      </c>
      <c r="L2022" s="1">
        <v>17501.319021739131</v>
      </c>
      <c r="M2022" s="1">
        <v>45708</v>
      </c>
    </row>
    <row r="2023" spans="1:14" ht="14.4" hidden="1">
      <c r="A2023" t="s">
        <v>524</v>
      </c>
      <c r="B2023" s="1">
        <v>51</v>
      </c>
      <c r="C2023" s="258" t="s">
        <v>4994</v>
      </c>
      <c r="D2023" t="s">
        <v>1211</v>
      </c>
      <c r="E2023" t="s">
        <v>558</v>
      </c>
      <c r="F2023"/>
      <c r="G2023">
        <v>0.15</v>
      </c>
      <c r="H2023" s="1">
        <v>19218</v>
      </c>
      <c r="I2023"/>
      <c r="J2023" t="s">
        <v>4972</v>
      </c>
      <c r="K2023" s="170">
        <v>45716</v>
      </c>
      <c r="L2023" s="1">
        <v>26251.978532608693</v>
      </c>
      <c r="M2023" s="1">
        <v>45722</v>
      </c>
    </row>
    <row r="2024" spans="1:14" ht="14.4" hidden="1">
      <c r="A2024" t="s">
        <v>524</v>
      </c>
      <c r="B2024" s="1">
        <v>52</v>
      </c>
      <c r="C2024" s="258" t="s">
        <v>4995</v>
      </c>
      <c r="D2024" t="s">
        <v>1211</v>
      </c>
      <c r="E2024" t="s">
        <v>1175</v>
      </c>
      <c r="F2024"/>
      <c r="G2024">
        <v>0.2</v>
      </c>
      <c r="H2024" s="1">
        <v>25624</v>
      </c>
      <c r="I2024"/>
      <c r="J2024" t="s">
        <v>4974</v>
      </c>
      <c r="K2024" s="170">
        <v>45747</v>
      </c>
      <c r="L2024" s="1">
        <v>35002.638043478262</v>
      </c>
      <c r="M2024" s="1">
        <v>45729</v>
      </c>
    </row>
    <row r="2025" spans="1:14" ht="14.4" hidden="1">
      <c r="A2025" t="s">
        <v>524</v>
      </c>
      <c r="B2025" s="1">
        <v>53</v>
      </c>
      <c r="C2025" s="258" t="s">
        <v>4996</v>
      </c>
      <c r="D2025" t="s">
        <v>1211</v>
      </c>
      <c r="E2025" t="s">
        <v>1178</v>
      </c>
      <c r="F2025"/>
      <c r="G2025">
        <v>0.25</v>
      </c>
      <c r="H2025" s="1">
        <v>32030</v>
      </c>
      <c r="I2025"/>
      <c r="J2025" t="s">
        <v>4976</v>
      </c>
      <c r="K2025" s="170">
        <v>45747</v>
      </c>
      <c r="L2025" s="1">
        <v>43753.297554347824</v>
      </c>
      <c r="M2025" s="1">
        <v>45729</v>
      </c>
    </row>
    <row r="2026" spans="1:14" ht="14.4" hidden="1">
      <c r="A2026" t="s">
        <v>524</v>
      </c>
      <c r="B2026" s="1">
        <v>54</v>
      </c>
      <c r="C2026" s="258" t="s">
        <v>4997</v>
      </c>
      <c r="D2026" t="s">
        <v>1211</v>
      </c>
      <c r="E2026" t="s">
        <v>1181</v>
      </c>
      <c r="F2026"/>
      <c r="G2026">
        <v>0.1</v>
      </c>
      <c r="H2026" s="1">
        <v>12812</v>
      </c>
      <c r="I2026"/>
      <c r="J2026" t="s">
        <v>4978</v>
      </c>
      <c r="K2026" s="170">
        <v>45747</v>
      </c>
      <c r="L2026" s="1">
        <v>17501.319021739131</v>
      </c>
      <c r="M2026" s="1">
        <v>45750</v>
      </c>
    </row>
    <row r="2027" spans="1:14" ht="14.4" hidden="1">
      <c r="A2027" t="s">
        <v>524</v>
      </c>
      <c r="B2027" s="1">
        <v>55</v>
      </c>
      <c r="C2027" s="258" t="s">
        <v>4998</v>
      </c>
      <c r="D2027" t="s">
        <v>1211</v>
      </c>
      <c r="E2027" t="s">
        <v>1184</v>
      </c>
      <c r="F2027"/>
      <c r="G2027">
        <v>0.1</v>
      </c>
      <c r="H2027" s="1">
        <v>12812</v>
      </c>
      <c r="I2027"/>
      <c r="J2027" t="s">
        <v>4980</v>
      </c>
      <c r="K2027" s="170">
        <v>45747</v>
      </c>
      <c r="L2027" s="1">
        <v>17501.319021739131</v>
      </c>
      <c r="M2027" s="1">
        <v>45757</v>
      </c>
    </row>
    <row r="2028" spans="1:14" ht="14.4" hidden="1">
      <c r="A2028" t="s">
        <v>524</v>
      </c>
      <c r="B2028" s="1">
        <v>56</v>
      </c>
      <c r="C2028" s="258" t="s">
        <v>4999</v>
      </c>
      <c r="D2028" t="s">
        <v>1211</v>
      </c>
      <c r="E2028" t="s">
        <v>1187</v>
      </c>
      <c r="F2028"/>
      <c r="G2028">
        <v>0.05</v>
      </c>
      <c r="H2028" s="1">
        <v>6406</v>
      </c>
      <c r="I2028"/>
      <c r="J2028" t="s">
        <v>4982</v>
      </c>
      <c r="K2028" s="170">
        <v>45808</v>
      </c>
      <c r="L2028" s="1">
        <v>8750.6595108695656</v>
      </c>
      <c r="M2028" s="1">
        <v>45826</v>
      </c>
    </row>
    <row r="2029" spans="1:14" ht="14.4" hidden="1">
      <c r="A2029" t="s">
        <v>524</v>
      </c>
      <c r="B2029" s="1">
        <v>57</v>
      </c>
      <c r="C2029" s="258" t="s">
        <v>5000</v>
      </c>
      <c r="D2029" t="s">
        <v>1211</v>
      </c>
      <c r="E2029" t="s">
        <v>1190</v>
      </c>
      <c r="F2029"/>
      <c r="G2029">
        <v>0.05</v>
      </c>
      <c r="H2029" s="1">
        <v>6406</v>
      </c>
      <c r="I2029"/>
      <c r="J2029" t="s">
        <v>4982</v>
      </c>
      <c r="K2029" s="170">
        <v>45808</v>
      </c>
      <c r="L2029" s="1">
        <v>8750.6595108695656</v>
      </c>
      <c r="M2029" s="1">
        <v>45841</v>
      </c>
    </row>
    <row r="2030" spans="1:14" ht="14.4" hidden="1">
      <c r="A2030" t="s">
        <v>524</v>
      </c>
      <c r="B2030" s="1">
        <v>68</v>
      </c>
      <c r="C2030" s="258" t="s">
        <v>5001</v>
      </c>
      <c r="D2030" t="s">
        <v>1224</v>
      </c>
      <c r="E2030" t="s">
        <v>5002</v>
      </c>
      <c r="F2030"/>
      <c r="H2030" s="1">
        <v>11169</v>
      </c>
      <c r="I2030"/>
      <c r="J2030" t="s">
        <v>5003</v>
      </c>
      <c r="K2030" s="170">
        <v>45869</v>
      </c>
      <c r="L2030" s="1">
        <v>0</v>
      </c>
      <c r="M2030" s="1">
        <v>45869</v>
      </c>
      <c r="N2030" s="1">
        <v>37066.619999999995</v>
      </c>
    </row>
    <row r="2031" spans="1:14" ht="14.4" hidden="1">
      <c r="A2031" t="s">
        <v>524</v>
      </c>
      <c r="B2031" s="1">
        <v>69</v>
      </c>
      <c r="C2031" s="258" t="s">
        <v>5004</v>
      </c>
      <c r="D2031" t="s">
        <v>1224</v>
      </c>
      <c r="E2031" t="s">
        <v>5005</v>
      </c>
      <c r="F2031"/>
      <c r="H2031" s="1">
        <v>11169</v>
      </c>
      <c r="I2031" t="s">
        <v>5006</v>
      </c>
      <c r="J2031" t="s">
        <v>5003</v>
      </c>
      <c r="K2031" s="170">
        <v>45869</v>
      </c>
      <c r="L2031" s="1">
        <v>0</v>
      </c>
      <c r="M2031" s="1">
        <v>45869</v>
      </c>
    </row>
    <row r="2032" spans="1:14" ht="14.4" hidden="1">
      <c r="A2032" t="s">
        <v>524</v>
      </c>
      <c r="B2032" s="1">
        <v>70</v>
      </c>
      <c r="C2032" s="258" t="s">
        <v>5007</v>
      </c>
      <c r="D2032" t="s">
        <v>1224</v>
      </c>
      <c r="E2032" t="s">
        <v>5008</v>
      </c>
      <c r="F2032"/>
      <c r="H2032" s="1">
        <v>1428.62</v>
      </c>
      <c r="I2032"/>
      <c r="J2032" t="s">
        <v>5009</v>
      </c>
      <c r="K2032" s="170">
        <v>45869</v>
      </c>
      <c r="L2032" s="1">
        <v>0</v>
      </c>
      <c r="M2032" s="1">
        <v>45898</v>
      </c>
    </row>
    <row r="2033" spans="1:14" ht="14.4" hidden="1">
      <c r="A2033" t="s">
        <v>524</v>
      </c>
      <c r="B2033" s="1">
        <v>71</v>
      </c>
      <c r="C2033" s="258" t="s">
        <v>5010</v>
      </c>
      <c r="D2033" t="s">
        <v>1224</v>
      </c>
      <c r="E2033" t="s">
        <v>5011</v>
      </c>
      <c r="F2033"/>
      <c r="H2033" s="1">
        <v>1500</v>
      </c>
      <c r="I2033" t="s">
        <v>5012</v>
      </c>
      <c r="J2033" t="s">
        <v>5013</v>
      </c>
      <c r="K2033" s="170">
        <v>45900</v>
      </c>
      <c r="L2033" s="1">
        <v>0</v>
      </c>
      <c r="M2033" s="1">
        <v>45930</v>
      </c>
    </row>
    <row r="2034" spans="1:14" ht="14.4" hidden="1">
      <c r="A2034" t="s">
        <v>524</v>
      </c>
      <c r="B2034" s="1">
        <v>72</v>
      </c>
      <c r="C2034" s="258" t="s">
        <v>5014</v>
      </c>
      <c r="D2034" t="s">
        <v>1224</v>
      </c>
      <c r="E2034" t="s">
        <v>5015</v>
      </c>
      <c r="F2034"/>
      <c r="H2034" s="1">
        <v>11800</v>
      </c>
      <c r="I2034" t="s">
        <v>5016</v>
      </c>
      <c r="J2034" t="s">
        <v>5017</v>
      </c>
      <c r="K2034" s="170">
        <v>45991</v>
      </c>
      <c r="M2034" s="1">
        <v>46009</v>
      </c>
    </row>
    <row r="2035" spans="1:14" ht="14.4" hidden="1">
      <c r="A2035" t="s">
        <v>524</v>
      </c>
      <c r="B2035" s="1">
        <v>75</v>
      </c>
      <c r="C2035" s="258" t="s">
        <v>5018</v>
      </c>
      <c r="D2035" t="s">
        <v>1246</v>
      </c>
      <c r="E2035" t="s">
        <v>1169</v>
      </c>
      <c r="F2035">
        <v>97233</v>
      </c>
      <c r="G2035">
        <v>0.1</v>
      </c>
      <c r="H2035" s="1">
        <v>9723.3000000000011</v>
      </c>
      <c r="I2035" t="s">
        <v>4969</v>
      </c>
      <c r="J2035" t="s">
        <v>4970</v>
      </c>
      <c r="K2035" s="170">
        <v>45716</v>
      </c>
      <c r="L2035" s="1">
        <v>8673.8235294117658</v>
      </c>
      <c r="M2035" s="1">
        <v>45708</v>
      </c>
      <c r="N2035" s="1">
        <v>97233</v>
      </c>
    </row>
    <row r="2036" spans="1:14" ht="14.4" hidden="1">
      <c r="A2036" t="s">
        <v>524</v>
      </c>
      <c r="B2036" s="1">
        <v>76</v>
      </c>
      <c r="C2036" s="258" t="s">
        <v>5019</v>
      </c>
      <c r="D2036" t="s">
        <v>1246</v>
      </c>
      <c r="E2036" t="s">
        <v>558</v>
      </c>
      <c r="F2036"/>
      <c r="G2036">
        <v>0.15</v>
      </c>
      <c r="H2036" s="1">
        <v>14584.95</v>
      </c>
      <c r="I2036"/>
      <c r="J2036" t="s">
        <v>4972</v>
      </c>
      <c r="K2036" s="170">
        <v>45716</v>
      </c>
      <c r="L2036" s="1">
        <v>13010.735294117649</v>
      </c>
      <c r="M2036" s="1">
        <v>45722</v>
      </c>
    </row>
    <row r="2037" spans="1:14" ht="14.4" hidden="1">
      <c r="A2037" t="s">
        <v>524</v>
      </c>
      <c r="B2037" s="1">
        <v>77</v>
      </c>
      <c r="C2037" s="258" t="s">
        <v>5020</v>
      </c>
      <c r="D2037" t="s">
        <v>1246</v>
      </c>
      <c r="E2037" t="s">
        <v>1175</v>
      </c>
      <c r="F2037"/>
      <c r="G2037">
        <v>0.2</v>
      </c>
      <c r="H2037" s="1">
        <v>19446.599999999999</v>
      </c>
      <c r="I2037"/>
      <c r="J2037" t="s">
        <v>4974</v>
      </c>
      <c r="K2037" s="170">
        <v>45747</v>
      </c>
      <c r="L2037" s="1">
        <v>17347.647058823532</v>
      </c>
      <c r="M2037" s="1">
        <v>45729</v>
      </c>
    </row>
    <row r="2038" spans="1:14" ht="14.4" hidden="1">
      <c r="A2038" t="s">
        <v>524</v>
      </c>
      <c r="B2038" s="1">
        <v>78</v>
      </c>
      <c r="C2038" s="258" t="s">
        <v>5021</v>
      </c>
      <c r="D2038" t="s">
        <v>1246</v>
      </c>
      <c r="E2038" t="s">
        <v>1178</v>
      </c>
      <c r="F2038"/>
      <c r="G2038">
        <v>0.25</v>
      </c>
      <c r="H2038" s="1">
        <v>24308.25</v>
      </c>
      <c r="I2038"/>
      <c r="J2038" t="s">
        <v>4976</v>
      </c>
      <c r="K2038" s="170">
        <v>45747</v>
      </c>
      <c r="L2038" s="1">
        <v>21684.558823529413</v>
      </c>
      <c r="M2038" s="1">
        <v>45729</v>
      </c>
    </row>
    <row r="2039" spans="1:14" ht="14.4" hidden="1">
      <c r="A2039" t="s">
        <v>524</v>
      </c>
      <c r="B2039" s="1">
        <v>79</v>
      </c>
      <c r="C2039" s="258" t="s">
        <v>5022</v>
      </c>
      <c r="D2039" t="s">
        <v>1246</v>
      </c>
      <c r="E2039" t="s">
        <v>1181</v>
      </c>
      <c r="F2039"/>
      <c r="G2039">
        <v>0.1</v>
      </c>
      <c r="H2039" s="1">
        <v>9723.3000000000011</v>
      </c>
      <c r="I2039"/>
      <c r="J2039" t="s">
        <v>4978</v>
      </c>
      <c r="K2039" s="170">
        <v>45747</v>
      </c>
      <c r="L2039" s="1">
        <v>8673.8235294117658</v>
      </c>
      <c r="M2039" s="1">
        <v>45750</v>
      </c>
    </row>
    <row r="2040" spans="1:14" ht="14.4" hidden="1">
      <c r="A2040" t="s">
        <v>524</v>
      </c>
      <c r="B2040" s="1">
        <v>80</v>
      </c>
      <c r="C2040" s="258" t="s">
        <v>5023</v>
      </c>
      <c r="D2040" t="s">
        <v>1246</v>
      </c>
      <c r="E2040" t="s">
        <v>1184</v>
      </c>
      <c r="F2040"/>
      <c r="G2040">
        <v>0.1</v>
      </c>
      <c r="H2040" s="1">
        <v>9723.3000000000011</v>
      </c>
      <c r="I2040"/>
      <c r="J2040" t="s">
        <v>4980</v>
      </c>
      <c r="K2040" s="170">
        <v>45747</v>
      </c>
      <c r="L2040" s="1">
        <v>8673.8235294117658</v>
      </c>
      <c r="M2040" s="1">
        <v>45757</v>
      </c>
    </row>
    <row r="2041" spans="1:14" ht="14.4" hidden="1">
      <c r="A2041" t="s">
        <v>524</v>
      </c>
      <c r="B2041" s="1">
        <v>81</v>
      </c>
      <c r="C2041" s="258" t="s">
        <v>5024</v>
      </c>
      <c r="D2041" t="s">
        <v>1246</v>
      </c>
      <c r="E2041" t="s">
        <v>1187</v>
      </c>
      <c r="F2041"/>
      <c r="G2041">
        <v>0.05</v>
      </c>
      <c r="H2041" s="1">
        <v>4861.6500000000005</v>
      </c>
      <c r="I2041"/>
      <c r="J2041" t="s">
        <v>4982</v>
      </c>
      <c r="K2041" s="170">
        <v>45808</v>
      </c>
      <c r="L2041" s="1">
        <v>4336.9117647058829</v>
      </c>
      <c r="M2041" s="1">
        <v>45826</v>
      </c>
    </row>
    <row r="2042" spans="1:14" ht="14.4" hidden="1">
      <c r="A2042" t="s">
        <v>524</v>
      </c>
      <c r="B2042" s="1">
        <v>82</v>
      </c>
      <c r="C2042" s="258" t="s">
        <v>5025</v>
      </c>
      <c r="D2042" t="s">
        <v>1246</v>
      </c>
      <c r="E2042" t="s">
        <v>1190</v>
      </c>
      <c r="F2042"/>
      <c r="G2042">
        <v>0.05</v>
      </c>
      <c r="H2042" s="1">
        <v>4861.6500000000005</v>
      </c>
      <c r="I2042"/>
      <c r="J2042" t="s">
        <v>4982</v>
      </c>
      <c r="K2042" s="170">
        <v>45808</v>
      </c>
      <c r="L2042" s="1">
        <v>4336.9117647058829</v>
      </c>
      <c r="M2042" s="1">
        <v>45841</v>
      </c>
    </row>
    <row r="2043" spans="1:14" ht="14.4" hidden="1">
      <c r="A2043" t="s">
        <v>524</v>
      </c>
      <c r="B2043" s="1">
        <v>85</v>
      </c>
      <c r="C2043" s="258" t="s">
        <v>5026</v>
      </c>
      <c r="D2043" t="s">
        <v>1255</v>
      </c>
      <c r="E2043" t="s">
        <v>1169</v>
      </c>
      <c r="F2043">
        <v>33725</v>
      </c>
      <c r="G2043">
        <v>0.1</v>
      </c>
      <c r="H2043" s="1">
        <v>3372.5</v>
      </c>
      <c r="I2043" t="s">
        <v>4969</v>
      </c>
      <c r="J2043" t="s">
        <v>4970</v>
      </c>
      <c r="K2043" s="170">
        <v>45716</v>
      </c>
      <c r="L2043" s="1">
        <v>5860.3882352941182</v>
      </c>
      <c r="M2043" s="1">
        <v>45708</v>
      </c>
    </row>
    <row r="2044" spans="1:14" ht="14.4" hidden="1">
      <c r="A2044" t="s">
        <v>524</v>
      </c>
      <c r="B2044" s="1">
        <v>86</v>
      </c>
      <c r="C2044" s="258" t="s">
        <v>5027</v>
      </c>
      <c r="D2044" t="s">
        <v>1255</v>
      </c>
      <c r="E2044" t="s">
        <v>558</v>
      </c>
      <c r="F2044"/>
      <c r="G2044">
        <v>0.15</v>
      </c>
      <c r="H2044" s="1">
        <v>5058.75</v>
      </c>
      <c r="I2044"/>
      <c r="J2044" t="s">
        <v>4972</v>
      </c>
      <c r="K2044" s="170">
        <v>45716</v>
      </c>
      <c r="L2044" s="1">
        <v>8790.5823529411755</v>
      </c>
      <c r="M2044" s="1">
        <v>45722</v>
      </c>
    </row>
    <row r="2045" spans="1:14" ht="14.4" hidden="1">
      <c r="A2045" t="s">
        <v>524</v>
      </c>
      <c r="B2045" s="1">
        <v>87</v>
      </c>
      <c r="C2045" s="258" t="s">
        <v>5028</v>
      </c>
      <c r="D2045" t="s">
        <v>1255</v>
      </c>
      <c r="E2045" t="s">
        <v>1175</v>
      </c>
      <c r="F2045"/>
      <c r="G2045">
        <v>0.2</v>
      </c>
      <c r="H2045" s="1">
        <v>6745</v>
      </c>
      <c r="I2045"/>
      <c r="J2045" t="s">
        <v>4974</v>
      </c>
      <c r="K2045" s="170">
        <v>45747</v>
      </c>
      <c r="L2045" s="1">
        <v>11720.776470588236</v>
      </c>
      <c r="M2045" s="1">
        <v>45729</v>
      </c>
    </row>
    <row r="2046" spans="1:14" ht="14.4" hidden="1">
      <c r="A2046" t="s">
        <v>524</v>
      </c>
      <c r="B2046" s="1">
        <v>88</v>
      </c>
      <c r="C2046" s="258" t="s">
        <v>5029</v>
      </c>
      <c r="D2046" t="s">
        <v>1255</v>
      </c>
      <c r="E2046" t="s">
        <v>1178</v>
      </c>
      <c r="F2046"/>
      <c r="G2046">
        <v>0.25</v>
      </c>
      <c r="H2046" s="1">
        <v>8431.25</v>
      </c>
      <c r="I2046"/>
      <c r="J2046" t="s">
        <v>4976</v>
      </c>
      <c r="K2046" s="170">
        <v>45747</v>
      </c>
      <c r="L2046" s="1">
        <v>14650.970588235294</v>
      </c>
      <c r="M2046" s="1">
        <v>45729</v>
      </c>
    </row>
    <row r="2047" spans="1:14" ht="14.4" hidden="1">
      <c r="A2047" t="s">
        <v>524</v>
      </c>
      <c r="B2047" s="1">
        <v>89</v>
      </c>
      <c r="C2047" s="258" t="s">
        <v>5030</v>
      </c>
      <c r="D2047" t="s">
        <v>1255</v>
      </c>
      <c r="E2047" t="s">
        <v>1181</v>
      </c>
      <c r="F2047"/>
      <c r="G2047">
        <v>0.1</v>
      </c>
      <c r="H2047" s="1">
        <v>3372.5</v>
      </c>
      <c r="I2047"/>
      <c r="J2047" t="s">
        <v>4978</v>
      </c>
      <c r="K2047" s="170">
        <v>45747</v>
      </c>
      <c r="L2047" s="1">
        <v>5860.3882352941182</v>
      </c>
      <c r="M2047" s="1">
        <v>45750</v>
      </c>
    </row>
    <row r="2048" spans="1:14" ht="14.4" hidden="1">
      <c r="A2048" t="s">
        <v>524</v>
      </c>
      <c r="B2048" s="1">
        <v>90</v>
      </c>
      <c r="C2048" s="258" t="s">
        <v>5031</v>
      </c>
      <c r="D2048" t="s">
        <v>1255</v>
      </c>
      <c r="E2048" t="s">
        <v>1184</v>
      </c>
      <c r="F2048"/>
      <c r="G2048">
        <v>0.1</v>
      </c>
      <c r="H2048" s="1">
        <v>3372.5</v>
      </c>
      <c r="I2048"/>
      <c r="J2048" t="s">
        <v>4980</v>
      </c>
      <c r="K2048" s="170">
        <v>45747</v>
      </c>
      <c r="L2048" s="1">
        <v>5860.3882352941182</v>
      </c>
      <c r="M2048" s="1">
        <v>45757</v>
      </c>
    </row>
    <row r="2049" spans="1:14" ht="14.4" hidden="1">
      <c r="A2049" t="s">
        <v>524</v>
      </c>
      <c r="B2049" s="1">
        <v>91</v>
      </c>
      <c r="C2049" s="258" t="s">
        <v>5032</v>
      </c>
      <c r="D2049" t="s">
        <v>1255</v>
      </c>
      <c r="E2049" t="s">
        <v>1187</v>
      </c>
      <c r="F2049"/>
      <c r="G2049">
        <v>0.05</v>
      </c>
      <c r="H2049" s="1">
        <v>1686.25</v>
      </c>
      <c r="I2049"/>
      <c r="J2049" t="s">
        <v>4982</v>
      </c>
      <c r="K2049" s="170">
        <v>45808</v>
      </c>
      <c r="L2049" s="1">
        <v>2930.1623799495796</v>
      </c>
      <c r="M2049" s="1">
        <v>45826</v>
      </c>
    </row>
    <row r="2050" spans="1:14" ht="14.4" hidden="1">
      <c r="A2050" t="s">
        <v>524</v>
      </c>
      <c r="B2050" s="1">
        <v>92</v>
      </c>
      <c r="C2050" s="258" t="s">
        <v>5033</v>
      </c>
      <c r="D2050" t="s">
        <v>1255</v>
      </c>
      <c r="E2050" t="s">
        <v>1190</v>
      </c>
      <c r="F2050"/>
      <c r="G2050">
        <v>0.05</v>
      </c>
      <c r="H2050" s="1">
        <v>1686.27</v>
      </c>
      <c r="I2050"/>
      <c r="J2050" t="s">
        <v>4982</v>
      </c>
      <c r="K2050" s="170">
        <v>45808</v>
      </c>
      <c r="L2050" s="1">
        <v>2930.2271338992273</v>
      </c>
      <c r="M2050" s="1">
        <v>45841</v>
      </c>
    </row>
    <row r="2051" spans="1:14" ht="14.4" hidden="1">
      <c r="A2051" t="s">
        <v>524</v>
      </c>
      <c r="B2051" s="1">
        <v>94</v>
      </c>
      <c r="C2051" s="258" t="s">
        <v>5034</v>
      </c>
      <c r="D2051" t="s">
        <v>1264</v>
      </c>
      <c r="E2051" t="s">
        <v>1265</v>
      </c>
      <c r="F2051"/>
      <c r="H2051" s="1">
        <v>16160</v>
      </c>
      <c r="I2051" t="s">
        <v>5035</v>
      </c>
      <c r="J2051" t="s">
        <v>5036</v>
      </c>
      <c r="K2051" s="170">
        <v>45747</v>
      </c>
      <c r="L2051" s="1">
        <v>9437.2478233170532</v>
      </c>
      <c r="M2051" s="1">
        <v>45757</v>
      </c>
      <c r="N2051" s="1">
        <v>22160</v>
      </c>
    </row>
    <row r="2052" spans="1:14" ht="14.4" hidden="1">
      <c r="A2052" t="s">
        <v>524</v>
      </c>
      <c r="B2052" s="1">
        <v>95</v>
      </c>
      <c r="C2052" s="258" t="s">
        <v>5037</v>
      </c>
      <c r="D2052" t="s">
        <v>1264</v>
      </c>
      <c r="E2052" t="s">
        <v>3853</v>
      </c>
      <c r="F2052"/>
      <c r="H2052" s="1">
        <v>6000</v>
      </c>
      <c r="I2052"/>
      <c r="J2052" t="s">
        <v>5038</v>
      </c>
      <c r="K2052" s="170">
        <v>45747</v>
      </c>
      <c r="L2052" s="1">
        <v>3503.9286472711833</v>
      </c>
      <c r="M2052" s="1">
        <v>45747</v>
      </c>
    </row>
    <row r="2053" spans="1:14" ht="14.4" hidden="1">
      <c r="A2053" t="s">
        <v>524</v>
      </c>
      <c r="B2053" s="1">
        <v>103</v>
      </c>
      <c r="C2053" s="258" t="s">
        <v>5039</v>
      </c>
      <c r="D2053" t="s">
        <v>1277</v>
      </c>
      <c r="E2053" t="s">
        <v>2105</v>
      </c>
      <c r="F2053"/>
      <c r="H2053" s="1">
        <v>13057.909052944626</v>
      </c>
      <c r="I2053"/>
      <c r="J2053" t="s">
        <v>5040</v>
      </c>
      <c r="K2053" s="170">
        <v>45747</v>
      </c>
      <c r="L2053" s="1">
        <v>45715.421224061269</v>
      </c>
      <c r="M2053" s="1">
        <v>45747</v>
      </c>
      <c r="N2053" s="1">
        <v>13057.909052944626</v>
      </c>
    </row>
    <row r="2054" spans="1:14" ht="14.4" hidden="1">
      <c r="A2054" t="s">
        <v>524</v>
      </c>
      <c r="B2054" s="1">
        <v>111</v>
      </c>
      <c r="C2054" s="258" t="s">
        <v>5041</v>
      </c>
      <c r="D2054" t="s">
        <v>1280</v>
      </c>
      <c r="E2054" t="s">
        <v>2112</v>
      </c>
      <c r="F2054"/>
      <c r="H2054" s="1">
        <v>1015.63</v>
      </c>
      <c r="I2054"/>
      <c r="J2054" t="s">
        <v>1282</v>
      </c>
      <c r="K2054" s="170">
        <v>45688</v>
      </c>
      <c r="L2054" s="1">
        <v>95.210860825525089</v>
      </c>
      <c r="M2054" s="1">
        <v>45695</v>
      </c>
      <c r="N2054" s="1">
        <v>14965.260000000002</v>
      </c>
    </row>
    <row r="2055" spans="1:14" ht="14.4" hidden="1">
      <c r="A2055" t="s">
        <v>524</v>
      </c>
      <c r="B2055" s="1">
        <v>112</v>
      </c>
      <c r="C2055" s="258" t="s">
        <v>5042</v>
      </c>
      <c r="D2055" t="s">
        <v>1280</v>
      </c>
      <c r="F2055"/>
      <c r="H2055" s="1">
        <v>5525.96</v>
      </c>
      <c r="I2055"/>
      <c r="J2055" t="s">
        <v>1282</v>
      </c>
      <c r="K2055" s="170">
        <v>45716</v>
      </c>
      <c r="L2055" s="1">
        <v>541.35234396546775</v>
      </c>
      <c r="M2055" s="1">
        <v>45722</v>
      </c>
    </row>
    <row r="2056" spans="1:14" ht="14.4" hidden="1">
      <c r="A2056" t="s">
        <v>524</v>
      </c>
      <c r="B2056" s="1">
        <v>113</v>
      </c>
      <c r="C2056" s="258" t="s">
        <v>5043</v>
      </c>
      <c r="D2056" t="s">
        <v>1280</v>
      </c>
      <c r="F2056"/>
      <c r="H2056" s="1">
        <v>0</v>
      </c>
      <c r="I2056"/>
      <c r="J2056" t="s">
        <v>1282</v>
      </c>
      <c r="K2056" s="170">
        <v>45747</v>
      </c>
      <c r="L2056" s="1">
        <v>0</v>
      </c>
      <c r="M2056" s="1">
        <v>45754</v>
      </c>
    </row>
    <row r="2057" spans="1:14" ht="14.4" hidden="1">
      <c r="A2057" t="s">
        <v>524</v>
      </c>
      <c r="B2057" s="1">
        <v>114</v>
      </c>
      <c r="C2057" s="258" t="s">
        <v>5044</v>
      </c>
      <c r="D2057" t="s">
        <v>1280</v>
      </c>
      <c r="F2057"/>
      <c r="H2057" s="1">
        <v>2740.7</v>
      </c>
      <c r="I2057"/>
      <c r="J2057" t="s">
        <v>1282</v>
      </c>
      <c r="K2057" s="170">
        <v>45777</v>
      </c>
      <c r="L2057" s="1">
        <v>1216.3816184963991</v>
      </c>
      <c r="M2057" s="1">
        <v>45785</v>
      </c>
    </row>
    <row r="2058" spans="1:14" ht="14.4" hidden="1">
      <c r="A2058" t="s">
        <v>524</v>
      </c>
      <c r="B2058" s="1">
        <v>115</v>
      </c>
      <c r="C2058" s="258" t="s">
        <v>5045</v>
      </c>
      <c r="D2058" t="s">
        <v>1280</v>
      </c>
      <c r="F2058"/>
      <c r="H2058" s="1">
        <v>2167.79</v>
      </c>
      <c r="I2058"/>
      <c r="J2058" t="s">
        <v>1282</v>
      </c>
      <c r="K2058" s="170">
        <v>45808</v>
      </c>
      <c r="M2058" s="1">
        <v>45814</v>
      </c>
    </row>
    <row r="2059" spans="1:14" ht="14.4" hidden="1">
      <c r="A2059" t="s">
        <v>524</v>
      </c>
      <c r="B2059" s="1">
        <v>116</v>
      </c>
      <c r="C2059" s="258" t="s">
        <v>5046</v>
      </c>
      <c r="D2059" t="s">
        <v>1280</v>
      </c>
      <c r="F2059"/>
      <c r="H2059" s="1">
        <v>1567.41</v>
      </c>
      <c r="I2059"/>
      <c r="J2059" t="s">
        <v>1282</v>
      </c>
      <c r="K2059" s="170">
        <v>45869</v>
      </c>
      <c r="L2059" s="1">
        <v>0</v>
      </c>
      <c r="M2059" s="1">
        <v>45876</v>
      </c>
    </row>
    <row r="2060" spans="1:14" ht="14.4" hidden="1">
      <c r="A2060" t="s">
        <v>524</v>
      </c>
      <c r="B2060" s="1">
        <v>117</v>
      </c>
      <c r="C2060" s="258" t="s">
        <v>5047</v>
      </c>
      <c r="D2060" t="s">
        <v>1280</v>
      </c>
      <c r="F2060"/>
      <c r="H2060" s="1">
        <v>1947.77</v>
      </c>
      <c r="I2060"/>
      <c r="J2060" t="s">
        <v>1282</v>
      </c>
      <c r="K2060" s="170">
        <v>45961</v>
      </c>
      <c r="L2060" s="1">
        <v>0</v>
      </c>
      <c r="M2060" s="1">
        <v>45967</v>
      </c>
    </row>
    <row r="2061" spans="1:14" ht="14.4" hidden="1">
      <c r="A2061" t="s">
        <v>524</v>
      </c>
      <c r="B2061" s="1">
        <v>119</v>
      </c>
      <c r="C2061" s="258" t="s">
        <v>5048</v>
      </c>
      <c r="D2061" t="s">
        <v>1451</v>
      </c>
      <c r="E2061" t="s">
        <v>5049</v>
      </c>
      <c r="F2061"/>
      <c r="H2061" s="1">
        <v>3774.4</v>
      </c>
      <c r="I2061"/>
      <c r="J2061" t="s">
        <v>5050</v>
      </c>
      <c r="K2061" s="170">
        <v>45688</v>
      </c>
      <c r="M2061" s="1">
        <v>45715</v>
      </c>
      <c r="N2061" s="1">
        <v>335786.11</v>
      </c>
    </row>
    <row r="2062" spans="1:14" ht="14.4" hidden="1">
      <c r="A2062" t="s">
        <v>524</v>
      </c>
      <c r="B2062" s="1">
        <v>120</v>
      </c>
      <c r="C2062" s="258" t="s">
        <v>5051</v>
      </c>
      <c r="D2062" t="s">
        <v>1451</v>
      </c>
      <c r="E2062" t="s">
        <v>5052</v>
      </c>
      <c r="F2062"/>
      <c r="H2062" s="1">
        <v>2598</v>
      </c>
      <c r="I2062"/>
      <c r="J2062" t="s">
        <v>5053</v>
      </c>
      <c r="K2062" s="170">
        <v>45808</v>
      </c>
      <c r="M2062" s="1">
        <v>45806</v>
      </c>
    </row>
    <row r="2063" spans="1:14" ht="14.4" hidden="1">
      <c r="A2063" t="s">
        <v>524</v>
      </c>
      <c r="B2063" s="1">
        <v>121</v>
      </c>
      <c r="C2063" s="258" t="s">
        <v>5054</v>
      </c>
      <c r="D2063" t="s">
        <v>1451</v>
      </c>
      <c r="E2063" t="s">
        <v>5055</v>
      </c>
      <c r="F2063"/>
      <c r="H2063" s="1">
        <v>41038.57</v>
      </c>
      <c r="I2063" t="s">
        <v>5056</v>
      </c>
      <c r="J2063" t="s">
        <v>5057</v>
      </c>
      <c r="K2063" s="170">
        <v>45900</v>
      </c>
      <c r="M2063" s="1">
        <v>45883</v>
      </c>
    </row>
    <row r="2064" spans="1:14" ht="14.4" hidden="1">
      <c r="A2064" t="s">
        <v>524</v>
      </c>
      <c r="B2064" s="1">
        <v>122</v>
      </c>
      <c r="C2064" s="258" t="s">
        <v>5058</v>
      </c>
      <c r="D2064" t="s">
        <v>1451</v>
      </c>
      <c r="E2064" t="s">
        <v>5059</v>
      </c>
      <c r="F2064"/>
      <c r="H2064" s="1">
        <v>7548.83</v>
      </c>
      <c r="I2064"/>
      <c r="J2064" t="s">
        <v>5060</v>
      </c>
      <c r="K2064" s="170">
        <v>45808</v>
      </c>
      <c r="L2064" s="1">
        <v>0</v>
      </c>
      <c r="M2064" s="1">
        <v>45841</v>
      </c>
    </row>
    <row r="2065" spans="1:14" ht="14.4" hidden="1">
      <c r="A2065" t="s">
        <v>524</v>
      </c>
      <c r="B2065" s="1">
        <v>123</v>
      </c>
      <c r="C2065" s="258" t="s">
        <v>5061</v>
      </c>
      <c r="D2065" t="s">
        <v>1451</v>
      </c>
      <c r="E2065" t="s">
        <v>5062</v>
      </c>
      <c r="F2065"/>
      <c r="H2065" s="1">
        <v>15800</v>
      </c>
      <c r="I2065"/>
      <c r="J2065" t="s">
        <v>5063</v>
      </c>
      <c r="K2065" s="170">
        <v>45869</v>
      </c>
      <c r="L2065" s="1">
        <v>0</v>
      </c>
      <c r="M2065" s="1">
        <v>45849</v>
      </c>
    </row>
    <row r="2066" spans="1:14" ht="14.4" hidden="1">
      <c r="A2066" t="s">
        <v>524</v>
      </c>
      <c r="B2066" s="1">
        <v>124</v>
      </c>
      <c r="C2066" s="258" t="s">
        <v>5064</v>
      </c>
      <c r="D2066" t="s">
        <v>1451</v>
      </c>
      <c r="E2066" t="s">
        <v>5065</v>
      </c>
      <c r="F2066"/>
      <c r="H2066" s="1">
        <v>30339</v>
      </c>
      <c r="I2066" t="s">
        <v>5066</v>
      </c>
      <c r="J2066" t="s">
        <v>5067</v>
      </c>
      <c r="K2066" s="170">
        <v>45961</v>
      </c>
      <c r="L2066" s="1">
        <v>0</v>
      </c>
      <c r="M2066" s="1">
        <v>45974</v>
      </c>
    </row>
    <row r="2067" spans="1:14" ht="14.4" hidden="1">
      <c r="A2067" t="s">
        <v>524</v>
      </c>
      <c r="B2067" s="1">
        <v>125</v>
      </c>
      <c r="C2067" s="258" t="s">
        <v>5068</v>
      </c>
      <c r="D2067" t="s">
        <v>1451</v>
      </c>
      <c r="E2067" t="s">
        <v>5069</v>
      </c>
      <c r="F2067"/>
      <c r="H2067" s="1">
        <v>483.03</v>
      </c>
      <c r="I2067"/>
      <c r="J2067" t="s">
        <v>5070</v>
      </c>
      <c r="K2067" s="170">
        <v>45869</v>
      </c>
      <c r="M2067" s="1">
        <v>45898</v>
      </c>
    </row>
    <row r="2068" spans="1:14" ht="14.4" hidden="1">
      <c r="A2068" t="s">
        <v>524</v>
      </c>
      <c r="B2068" s="1">
        <v>126</v>
      </c>
      <c r="C2068" s="258" t="s">
        <v>5071</v>
      </c>
      <c r="D2068" t="s">
        <v>1451</v>
      </c>
      <c r="E2068" t="s">
        <v>5072</v>
      </c>
      <c r="F2068"/>
      <c r="H2068" s="1">
        <v>223.56</v>
      </c>
      <c r="I2068"/>
      <c r="J2068" t="s">
        <v>5073</v>
      </c>
      <c r="K2068" s="170">
        <v>45930</v>
      </c>
      <c r="M2068" s="1">
        <v>45961</v>
      </c>
    </row>
    <row r="2069" spans="1:14" ht="14.4" hidden="1">
      <c r="A2069" t="s">
        <v>524</v>
      </c>
      <c r="B2069" s="1">
        <v>127</v>
      </c>
      <c r="C2069" s="258" t="s">
        <v>5074</v>
      </c>
      <c r="D2069" t="s">
        <v>1451</v>
      </c>
      <c r="E2069" t="s">
        <v>5075</v>
      </c>
      <c r="F2069"/>
      <c r="H2069" s="1">
        <v>69571.56</v>
      </c>
      <c r="I2069"/>
      <c r="J2069" t="s">
        <v>5076</v>
      </c>
      <c r="K2069" s="170">
        <v>45930</v>
      </c>
      <c r="M2069" s="1">
        <v>45932</v>
      </c>
    </row>
    <row r="2070" spans="1:14" ht="14.4" hidden="1">
      <c r="A2070" t="s">
        <v>524</v>
      </c>
      <c r="B2070" s="1">
        <v>128</v>
      </c>
      <c r="C2070" s="258" t="s">
        <v>5077</v>
      </c>
      <c r="D2070" t="s">
        <v>1451</v>
      </c>
      <c r="E2070" t="s">
        <v>5078</v>
      </c>
      <c r="F2070"/>
      <c r="H2070" s="1">
        <v>7328.61</v>
      </c>
      <c r="I2070" t="s">
        <v>5079</v>
      </c>
      <c r="J2070" t="s">
        <v>5080</v>
      </c>
      <c r="K2070" s="170">
        <v>46053</v>
      </c>
      <c r="M2070" s="1">
        <v>46076</v>
      </c>
    </row>
    <row r="2071" spans="1:14" ht="14.4" hidden="1">
      <c r="A2071" t="s">
        <v>524</v>
      </c>
      <c r="B2071" s="1">
        <v>129</v>
      </c>
      <c r="C2071" s="258" t="s">
        <v>5081</v>
      </c>
      <c r="D2071" t="s">
        <v>1451</v>
      </c>
      <c r="E2071" t="s">
        <v>5082</v>
      </c>
      <c r="F2071"/>
      <c r="H2071" s="1">
        <v>6542.61</v>
      </c>
      <c r="I2071" t="s">
        <v>5083</v>
      </c>
      <c r="J2071" t="s">
        <v>5084</v>
      </c>
      <c r="K2071" s="170">
        <v>46053</v>
      </c>
      <c r="M2071" s="1">
        <v>46045</v>
      </c>
    </row>
    <row r="2072" spans="1:14" ht="14.4" hidden="1">
      <c r="A2072" t="s">
        <v>524</v>
      </c>
      <c r="B2072" s="1">
        <v>130</v>
      </c>
      <c r="C2072" s="258" t="s">
        <v>5085</v>
      </c>
      <c r="D2072" t="s">
        <v>1451</v>
      </c>
      <c r="E2072" t="s">
        <v>5086</v>
      </c>
      <c r="F2072"/>
      <c r="H2072" s="1">
        <v>537.94000000000005</v>
      </c>
      <c r="I2072"/>
      <c r="J2072" t="s">
        <v>5087</v>
      </c>
      <c r="K2072" s="170">
        <v>45961</v>
      </c>
      <c r="M2072" s="1">
        <v>45989</v>
      </c>
    </row>
    <row r="2073" spans="1:14" ht="14.4" hidden="1">
      <c r="A2073" t="s">
        <v>524</v>
      </c>
      <c r="B2073" s="1">
        <v>131</v>
      </c>
      <c r="C2073" s="258" t="s">
        <v>5088</v>
      </c>
      <c r="D2073" t="s">
        <v>1451</v>
      </c>
      <c r="E2073" t="s">
        <v>5089</v>
      </c>
      <c r="F2073"/>
      <c r="H2073" s="1">
        <v>150000</v>
      </c>
      <c r="I2073"/>
      <c r="J2073"/>
      <c r="K2073" s="170">
        <v>46112</v>
      </c>
      <c r="M2073" s="1">
        <v>46142</v>
      </c>
    </row>
    <row r="2074" spans="1:14" ht="14.4" hidden="1">
      <c r="A2074" t="s">
        <v>218</v>
      </c>
      <c r="B2074" s="1">
        <v>6</v>
      </c>
      <c r="C2074" s="258" t="s">
        <v>5090</v>
      </c>
      <c r="D2074" t="s">
        <v>1146</v>
      </c>
      <c r="E2074" t="s">
        <v>5091</v>
      </c>
      <c r="F2074">
        <v>662</v>
      </c>
      <c r="G2074">
        <v>1227.5999999999999</v>
      </c>
      <c r="H2074" s="1">
        <v>812671.2</v>
      </c>
      <c r="I2074"/>
      <c r="J2074" t="s">
        <v>5092</v>
      </c>
      <c r="K2074" s="170">
        <v>45900</v>
      </c>
      <c r="L2074" s="1">
        <v>1282693.4810316446</v>
      </c>
      <c r="M2074" s="1">
        <v>45954</v>
      </c>
      <c r="N2074" s="1">
        <v>756608.39999999979</v>
      </c>
    </row>
    <row r="2075" spans="1:14" ht="14.4" hidden="1">
      <c r="A2075" t="s">
        <v>218</v>
      </c>
      <c r="B2075" s="1">
        <v>8</v>
      </c>
      <c r="C2075" s="258" t="s">
        <v>5093</v>
      </c>
      <c r="D2075" t="s">
        <v>1146</v>
      </c>
      <c r="E2075" t="s">
        <v>5094</v>
      </c>
      <c r="F2075"/>
      <c r="H2075" s="1">
        <v>9000</v>
      </c>
      <c r="I2075"/>
      <c r="J2075" t="s">
        <v>5092</v>
      </c>
      <c r="K2075" s="170">
        <v>45900</v>
      </c>
      <c r="L2075" s="1">
        <v>14205.30385386464</v>
      </c>
      <c r="M2075" s="1">
        <v>45954</v>
      </c>
    </row>
    <row r="2076" spans="1:14" ht="14.4" hidden="1">
      <c r="A2076" t="s">
        <v>218</v>
      </c>
      <c r="B2076" s="1">
        <v>9</v>
      </c>
      <c r="C2076" s="258" t="s">
        <v>5095</v>
      </c>
      <c r="D2076" t="s">
        <v>1146</v>
      </c>
      <c r="E2076" t="s">
        <v>5096</v>
      </c>
      <c r="F2076"/>
      <c r="H2076" s="1">
        <v>-49104</v>
      </c>
      <c r="I2076"/>
      <c r="J2076" t="s">
        <v>5097</v>
      </c>
      <c r="K2076" s="170">
        <v>45900</v>
      </c>
      <c r="L2076" s="1">
        <v>-77504.137826685488</v>
      </c>
      <c r="M2076" s="1">
        <v>45900</v>
      </c>
    </row>
    <row r="2077" spans="1:14" ht="14.4" hidden="1">
      <c r="A2077" t="s">
        <v>218</v>
      </c>
      <c r="B2077" s="1">
        <v>10</v>
      </c>
      <c r="C2077" s="258" t="s">
        <v>5098</v>
      </c>
      <c r="D2077" t="s">
        <v>1146</v>
      </c>
      <c r="E2077" t="s">
        <v>5099</v>
      </c>
      <c r="F2077">
        <v>-13</v>
      </c>
      <c r="G2077">
        <v>1227.5999999999999</v>
      </c>
      <c r="H2077" s="1">
        <v>-15958.8</v>
      </c>
      <c r="I2077"/>
      <c r="J2077" t="s">
        <v>5100</v>
      </c>
      <c r="K2077" s="170">
        <v>45961</v>
      </c>
      <c r="M2077" s="1">
        <v>45961</v>
      </c>
    </row>
    <row r="2078" spans="1:14" ht="14.4" hidden="1">
      <c r="A2078" t="s">
        <v>218</v>
      </c>
      <c r="B2078" s="1">
        <v>13</v>
      </c>
      <c r="C2078" s="258" t="s">
        <v>5101</v>
      </c>
      <c r="D2078" t="s">
        <v>1157</v>
      </c>
      <c r="E2078" t="s">
        <v>1369</v>
      </c>
      <c r="F2078">
        <v>3</v>
      </c>
      <c r="G2078">
        <v>68870.350000000006</v>
      </c>
      <c r="H2078" s="1">
        <v>206611.05</v>
      </c>
      <c r="I2078"/>
      <c r="J2078" t="s">
        <v>5102</v>
      </c>
      <c r="K2078" s="170">
        <v>45900</v>
      </c>
      <c r="L2078" s="1">
        <v>278463.5294117647</v>
      </c>
      <c r="M2078" s="1">
        <v>45954</v>
      </c>
      <c r="N2078" s="1">
        <v>206611.05</v>
      </c>
    </row>
    <row r="2079" spans="1:14" ht="14.4" hidden="1">
      <c r="A2079" t="s">
        <v>218</v>
      </c>
      <c r="B2079" s="1">
        <v>21</v>
      </c>
      <c r="C2079" s="258" t="s">
        <v>5103</v>
      </c>
      <c r="D2079" t="s">
        <v>1160</v>
      </c>
      <c r="E2079" t="s">
        <v>1161</v>
      </c>
      <c r="F2079"/>
      <c r="H2079" s="1">
        <v>96112.72</v>
      </c>
      <c r="I2079" t="s">
        <v>5104</v>
      </c>
      <c r="J2079" t="s">
        <v>5105</v>
      </c>
      <c r="K2079" s="170">
        <v>45930</v>
      </c>
      <c r="L2079" s="1">
        <v>181694.11764705885</v>
      </c>
      <c r="M2079" s="1">
        <v>45960</v>
      </c>
      <c r="N2079" s="1">
        <v>96112.72</v>
      </c>
    </row>
    <row r="2080" spans="1:14" ht="14.4" hidden="1">
      <c r="A2080" t="s">
        <v>218</v>
      </c>
      <c r="B2080" s="1">
        <v>28</v>
      </c>
      <c r="C2080" s="258" t="s">
        <v>5106</v>
      </c>
      <c r="D2080" t="s">
        <v>1165</v>
      </c>
      <c r="E2080" t="s">
        <v>836</v>
      </c>
      <c r="F2080">
        <v>8000</v>
      </c>
      <c r="G2080">
        <v>13.5</v>
      </c>
      <c r="H2080" s="1">
        <v>108000</v>
      </c>
      <c r="I2080"/>
      <c r="J2080" t="s">
        <v>5102</v>
      </c>
      <c r="K2080" s="170">
        <v>45900</v>
      </c>
      <c r="L2080" s="1">
        <v>102014.51618395575</v>
      </c>
      <c r="M2080" s="1">
        <v>45954</v>
      </c>
      <c r="N2080" s="1">
        <v>310459.24750000006</v>
      </c>
    </row>
    <row r="2081" spans="1:14" ht="14.4" hidden="1">
      <c r="A2081" t="s">
        <v>218</v>
      </c>
      <c r="B2081" s="1">
        <v>29</v>
      </c>
      <c r="C2081" s="258" t="s">
        <v>5107</v>
      </c>
      <c r="D2081" t="s">
        <v>1165</v>
      </c>
      <c r="E2081" t="s">
        <v>5108</v>
      </c>
      <c r="F2081">
        <v>6000</v>
      </c>
      <c r="G2081">
        <v>13.5</v>
      </c>
      <c r="H2081" s="1">
        <v>81000</v>
      </c>
      <c r="I2081"/>
      <c r="J2081" t="s">
        <v>5109</v>
      </c>
      <c r="K2081" s="170">
        <v>45930</v>
      </c>
      <c r="L2081" s="1">
        <v>0</v>
      </c>
      <c r="M2081" s="1">
        <v>45930</v>
      </c>
    </row>
    <row r="2082" spans="1:14" ht="14.4" hidden="1">
      <c r="A2082" t="s">
        <v>218</v>
      </c>
      <c r="B2082" s="1">
        <v>32</v>
      </c>
      <c r="C2082" s="258" t="s">
        <v>5110</v>
      </c>
      <c r="D2082" t="s">
        <v>1165</v>
      </c>
      <c r="E2082" t="s">
        <v>1169</v>
      </c>
      <c r="F2082">
        <v>121459.25</v>
      </c>
      <c r="G2082">
        <v>0.1</v>
      </c>
      <c r="H2082" s="1">
        <v>12145.93</v>
      </c>
      <c r="I2082" t="s">
        <v>5111</v>
      </c>
      <c r="J2082" t="s">
        <v>5112</v>
      </c>
      <c r="K2082" s="170">
        <v>45900</v>
      </c>
      <c r="L2082" s="1">
        <v>11472.788634761057</v>
      </c>
      <c r="M2082" s="1">
        <v>45901</v>
      </c>
    </row>
    <row r="2083" spans="1:14" ht="14.4" hidden="1">
      <c r="A2083" t="s">
        <v>218</v>
      </c>
      <c r="B2083" s="1">
        <v>33</v>
      </c>
      <c r="C2083" s="258" t="s">
        <v>5113</v>
      </c>
      <c r="D2083" t="s">
        <v>1165</v>
      </c>
      <c r="E2083" t="s">
        <v>558</v>
      </c>
      <c r="F2083"/>
      <c r="G2083">
        <v>0.15</v>
      </c>
      <c r="H2083" s="1">
        <v>18218.88</v>
      </c>
      <c r="I2083"/>
      <c r="J2083" t="s">
        <v>5112</v>
      </c>
      <c r="K2083" s="170">
        <v>45900</v>
      </c>
      <c r="L2083" s="1">
        <v>17209.168783458779</v>
      </c>
      <c r="M2083" s="1">
        <v>45911</v>
      </c>
    </row>
    <row r="2084" spans="1:14" ht="14.4" hidden="1">
      <c r="A2084" t="s">
        <v>218</v>
      </c>
      <c r="B2084" s="1">
        <v>34</v>
      </c>
      <c r="C2084" s="258" t="s">
        <v>5114</v>
      </c>
      <c r="D2084" t="s">
        <v>1165</v>
      </c>
      <c r="E2084" t="s">
        <v>1175</v>
      </c>
      <c r="F2084"/>
      <c r="G2084">
        <v>0.2</v>
      </c>
      <c r="H2084" s="1">
        <v>24291.85</v>
      </c>
      <c r="I2084"/>
      <c r="J2084" t="s">
        <v>5115</v>
      </c>
      <c r="K2084" s="170">
        <v>45900</v>
      </c>
      <c r="L2084" s="1">
        <v>22945.567823733574</v>
      </c>
      <c r="M2084" s="1">
        <v>45960</v>
      </c>
    </row>
    <row r="2085" spans="1:14" ht="14.4" hidden="1">
      <c r="A2085" t="s">
        <v>218</v>
      </c>
      <c r="B2085" s="1">
        <v>35</v>
      </c>
      <c r="C2085" s="258" t="s">
        <v>5116</v>
      </c>
      <c r="D2085" t="s">
        <v>1165</v>
      </c>
      <c r="E2085" t="s">
        <v>1178</v>
      </c>
      <c r="F2085"/>
      <c r="G2085">
        <v>0.25</v>
      </c>
      <c r="H2085" s="1">
        <v>30364.8125</v>
      </c>
      <c r="I2085"/>
      <c r="J2085" t="s">
        <v>5115</v>
      </c>
      <c r="K2085" s="170">
        <v>45900</v>
      </c>
      <c r="L2085" s="1">
        <v>28681.95977966697</v>
      </c>
      <c r="M2085" s="1">
        <v>45939</v>
      </c>
    </row>
    <row r="2086" spans="1:14" ht="14.4" hidden="1">
      <c r="A2086" t="s">
        <v>218</v>
      </c>
      <c r="B2086" s="1">
        <v>36</v>
      </c>
      <c r="C2086" s="258" t="s">
        <v>5117</v>
      </c>
      <c r="D2086" t="s">
        <v>1165</v>
      </c>
      <c r="E2086" t="s">
        <v>1181</v>
      </c>
      <c r="F2086"/>
      <c r="G2086">
        <v>0.1</v>
      </c>
      <c r="H2086" s="1">
        <v>12145.924999999999</v>
      </c>
      <c r="I2086"/>
      <c r="J2086" t="s">
        <v>5115</v>
      </c>
      <c r="K2086" s="170">
        <v>45900</v>
      </c>
      <c r="L2086" s="1">
        <v>11472.783911866787</v>
      </c>
      <c r="M2086" s="1">
        <v>45960</v>
      </c>
    </row>
    <row r="2087" spans="1:14" ht="14.4" hidden="1">
      <c r="A2087" t="s">
        <v>218</v>
      </c>
      <c r="B2087" s="1">
        <v>37</v>
      </c>
      <c r="C2087" s="258" t="s">
        <v>5118</v>
      </c>
      <c r="D2087" t="s">
        <v>1165</v>
      </c>
      <c r="E2087" t="s">
        <v>1184</v>
      </c>
      <c r="F2087"/>
      <c r="G2087">
        <v>0.1</v>
      </c>
      <c r="H2087" s="1">
        <v>12145.924999999999</v>
      </c>
      <c r="I2087"/>
      <c r="J2087" t="s">
        <v>5115</v>
      </c>
      <c r="K2087" s="170">
        <v>45900</v>
      </c>
      <c r="L2087" s="1">
        <v>11472.783911866787</v>
      </c>
      <c r="M2087" s="1">
        <v>45960</v>
      </c>
    </row>
    <row r="2088" spans="1:14" ht="14.4" hidden="1">
      <c r="A2088" t="s">
        <v>218</v>
      </c>
      <c r="B2088" s="1">
        <v>38</v>
      </c>
      <c r="C2088" s="258" t="s">
        <v>5119</v>
      </c>
      <c r="D2088" t="s">
        <v>1165</v>
      </c>
      <c r="E2088" t="s">
        <v>1187</v>
      </c>
      <c r="F2088"/>
      <c r="G2088">
        <v>0.05</v>
      </c>
      <c r="H2088" s="1">
        <v>6072.9625000000005</v>
      </c>
      <c r="I2088"/>
      <c r="J2088" t="s">
        <v>5115</v>
      </c>
      <c r="K2088" s="170">
        <v>45900</v>
      </c>
      <c r="L2088" s="1">
        <v>5736.3919559333935</v>
      </c>
      <c r="M2088" s="1">
        <v>45980</v>
      </c>
    </row>
    <row r="2089" spans="1:14" ht="14.4" hidden="1">
      <c r="A2089" t="s">
        <v>218</v>
      </c>
      <c r="B2089" s="1">
        <v>39</v>
      </c>
      <c r="C2089" s="258" t="s">
        <v>5120</v>
      </c>
      <c r="D2089" t="s">
        <v>1165</v>
      </c>
      <c r="E2089" t="s">
        <v>1190</v>
      </c>
      <c r="F2089"/>
      <c r="G2089">
        <v>0.05</v>
      </c>
      <c r="H2089" s="1">
        <v>6072.9625000000005</v>
      </c>
      <c r="I2089"/>
      <c r="J2089" t="s">
        <v>5115</v>
      </c>
      <c r="K2089" s="170">
        <v>45900</v>
      </c>
      <c r="L2089" s="1">
        <v>5736.3919559333935</v>
      </c>
      <c r="M2089" s="1">
        <v>45980</v>
      </c>
    </row>
    <row r="2090" spans="1:14" ht="14.4" hidden="1">
      <c r="A2090" t="s">
        <v>218</v>
      </c>
      <c r="B2090" s="1">
        <v>44</v>
      </c>
      <c r="C2090" s="258" t="s">
        <v>5121</v>
      </c>
      <c r="D2090" t="s">
        <v>1193</v>
      </c>
      <c r="E2090" t="s">
        <v>1489</v>
      </c>
      <c r="F2090"/>
      <c r="H2090" s="1">
        <v>8598.34</v>
      </c>
      <c r="I2090"/>
      <c r="J2090" t="s">
        <v>5102</v>
      </c>
      <c r="K2090" s="170">
        <v>45900</v>
      </c>
      <c r="L2090" s="1">
        <v>12898.48934869312</v>
      </c>
      <c r="M2090" s="1">
        <v>45954</v>
      </c>
      <c r="N2090" s="1">
        <v>128277.96</v>
      </c>
    </row>
    <row r="2091" spans="1:14" ht="14.4" hidden="1">
      <c r="A2091" t="s">
        <v>218</v>
      </c>
      <c r="B2091" s="1">
        <v>45</v>
      </c>
      <c r="C2091" s="258" t="s">
        <v>5122</v>
      </c>
      <c r="D2091" t="s">
        <v>1193</v>
      </c>
      <c r="E2091" t="s">
        <v>1196</v>
      </c>
      <c r="F2091"/>
      <c r="H2091" s="1">
        <v>21048</v>
      </c>
      <c r="I2091" t="s">
        <v>5123</v>
      </c>
      <c r="J2091" t="s">
        <v>5124</v>
      </c>
      <c r="K2091" s="170">
        <v>45869</v>
      </c>
      <c r="L2091" s="1">
        <v>28715.140566783335</v>
      </c>
      <c r="M2091" s="1">
        <v>45898</v>
      </c>
    </row>
    <row r="2092" spans="1:14" ht="14.4" hidden="1">
      <c r="A2092" t="s">
        <v>218</v>
      </c>
      <c r="B2092" s="1">
        <v>46</v>
      </c>
      <c r="C2092" s="258" t="s">
        <v>5125</v>
      </c>
      <c r="D2092" t="s">
        <v>1193</v>
      </c>
      <c r="E2092" t="s">
        <v>1200</v>
      </c>
      <c r="F2092"/>
      <c r="H2092" s="1">
        <v>11169</v>
      </c>
      <c r="I2092"/>
      <c r="J2092" t="s">
        <v>1201</v>
      </c>
      <c r="K2092" s="170">
        <v>45961</v>
      </c>
      <c r="L2092" s="1">
        <v>17959.990875310363</v>
      </c>
      <c r="M2092" s="1">
        <v>45974</v>
      </c>
    </row>
    <row r="2093" spans="1:14" ht="14.4" hidden="1">
      <c r="A2093" t="s">
        <v>218</v>
      </c>
      <c r="B2093" s="1">
        <v>47</v>
      </c>
      <c r="C2093" s="258" t="s">
        <v>5126</v>
      </c>
      <c r="D2093" t="s">
        <v>1193</v>
      </c>
      <c r="E2093" t="s">
        <v>5127</v>
      </c>
      <c r="F2093"/>
      <c r="H2093" s="1">
        <v>297.62</v>
      </c>
      <c r="I2093"/>
      <c r="J2093" t="s">
        <v>2871</v>
      </c>
      <c r="K2093" s="170">
        <v>45930</v>
      </c>
      <c r="L2093" s="1">
        <v>478.57932530305936</v>
      </c>
      <c r="M2093" s="1">
        <v>45960</v>
      </c>
    </row>
    <row r="2094" spans="1:14" ht="14.4" hidden="1">
      <c r="A2094" t="s">
        <v>218</v>
      </c>
      <c r="B2094" s="1">
        <v>48</v>
      </c>
      <c r="C2094" s="258" t="s">
        <v>5128</v>
      </c>
      <c r="D2094" t="s">
        <v>1193</v>
      </c>
      <c r="E2094" t="s">
        <v>5129</v>
      </c>
      <c r="F2094"/>
      <c r="H2094" s="1">
        <v>85000</v>
      </c>
      <c r="I2094" t="s">
        <v>5130</v>
      </c>
      <c r="J2094" t="s">
        <v>5131</v>
      </c>
      <c r="K2094" s="170">
        <v>45930</v>
      </c>
      <c r="L2094" s="1">
        <v>142740.13792473639</v>
      </c>
      <c r="M2094" s="1">
        <v>45960</v>
      </c>
    </row>
    <row r="2095" spans="1:14" ht="14.4" hidden="1">
      <c r="A2095" t="s">
        <v>218</v>
      </c>
      <c r="B2095" s="1">
        <v>49</v>
      </c>
      <c r="C2095" s="258" t="s">
        <v>5132</v>
      </c>
      <c r="D2095" t="s">
        <v>1193</v>
      </c>
      <c r="E2095" t="s">
        <v>1851</v>
      </c>
      <c r="F2095"/>
      <c r="H2095" s="1">
        <v>1190</v>
      </c>
      <c r="I2095"/>
      <c r="J2095" t="s">
        <v>5133</v>
      </c>
      <c r="K2095" s="170">
        <v>45930</v>
      </c>
      <c r="L2095" s="1">
        <v>1913.5454509463095</v>
      </c>
      <c r="M2095" s="1">
        <v>45911</v>
      </c>
    </row>
    <row r="2096" spans="1:14" ht="14.4" hidden="1">
      <c r="A2096" t="s">
        <v>218</v>
      </c>
      <c r="B2096" s="1">
        <v>50</v>
      </c>
      <c r="C2096" s="258" t="s">
        <v>5134</v>
      </c>
      <c r="D2096" t="s">
        <v>1193</v>
      </c>
      <c r="E2096" t="s">
        <v>1206</v>
      </c>
      <c r="F2096"/>
      <c r="H2096" s="1">
        <v>975</v>
      </c>
      <c r="I2096"/>
      <c r="J2096" t="s">
        <v>5135</v>
      </c>
      <c r="K2096" s="170">
        <v>46053</v>
      </c>
      <c r="L2096" s="1">
        <v>0</v>
      </c>
      <c r="M2096" s="1">
        <v>46053</v>
      </c>
    </row>
    <row r="2097" spans="1:14" ht="14.4" hidden="1">
      <c r="A2097" t="s">
        <v>218</v>
      </c>
      <c r="B2097" s="1">
        <v>53</v>
      </c>
      <c r="C2097" s="258" t="s">
        <v>5136</v>
      </c>
      <c r="D2097" t="s">
        <v>1211</v>
      </c>
      <c r="E2097" t="s">
        <v>5137</v>
      </c>
      <c r="F2097"/>
      <c r="H2097" s="1">
        <v>91311.8</v>
      </c>
      <c r="I2097" t="s">
        <v>5138</v>
      </c>
      <c r="J2097" t="s">
        <v>5139</v>
      </c>
      <c r="K2097" s="170">
        <v>45900</v>
      </c>
      <c r="L2097" s="1">
        <v>182324.47639632277</v>
      </c>
      <c r="M2097" s="1">
        <v>45930</v>
      </c>
      <c r="N2097" s="1">
        <v>185011.8</v>
      </c>
    </row>
    <row r="2098" spans="1:14" ht="14.4" hidden="1">
      <c r="A2098" t="s">
        <v>218</v>
      </c>
      <c r="B2098" s="1">
        <v>55</v>
      </c>
      <c r="C2098" s="258" t="s">
        <v>5140</v>
      </c>
      <c r="D2098" t="s">
        <v>1211</v>
      </c>
      <c r="E2098" t="s">
        <v>1169</v>
      </c>
      <c r="F2098">
        <v>93700</v>
      </c>
      <c r="G2098">
        <v>0.1</v>
      </c>
      <c r="H2098" s="1">
        <v>9370</v>
      </c>
      <c r="I2098" t="s">
        <v>5111</v>
      </c>
      <c r="J2098" t="s">
        <v>5112</v>
      </c>
      <c r="K2098" s="170">
        <v>45900</v>
      </c>
      <c r="L2098" s="1">
        <v>18709.305301544209</v>
      </c>
      <c r="M2098" s="1">
        <v>45901</v>
      </c>
    </row>
    <row r="2099" spans="1:14" ht="14.4" hidden="1">
      <c r="A2099" t="s">
        <v>218</v>
      </c>
      <c r="B2099" s="1">
        <v>56</v>
      </c>
      <c r="C2099" s="258" t="s">
        <v>5141</v>
      </c>
      <c r="D2099" t="s">
        <v>1211</v>
      </c>
      <c r="E2099" t="s">
        <v>558</v>
      </c>
      <c r="F2099"/>
      <c r="G2099">
        <v>0.15</v>
      </c>
      <c r="H2099" s="1">
        <v>14055</v>
      </c>
      <c r="I2099"/>
      <c r="J2099" t="s">
        <v>5112</v>
      </c>
      <c r="K2099" s="170">
        <v>45900</v>
      </c>
      <c r="L2099" s="1">
        <v>28063.957952316305</v>
      </c>
      <c r="M2099" s="1">
        <v>45911</v>
      </c>
    </row>
    <row r="2100" spans="1:14" ht="14.4" hidden="1">
      <c r="A2100" t="s">
        <v>218</v>
      </c>
      <c r="B2100" s="1">
        <v>57</v>
      </c>
      <c r="C2100" s="258" t="s">
        <v>5142</v>
      </c>
      <c r="D2100" t="s">
        <v>1211</v>
      </c>
      <c r="E2100" t="s">
        <v>1175</v>
      </c>
      <c r="F2100"/>
      <c r="G2100">
        <v>0.2</v>
      </c>
      <c r="H2100" s="1">
        <v>18740</v>
      </c>
      <c r="I2100"/>
      <c r="J2100" t="s">
        <v>5115</v>
      </c>
      <c r="K2100" s="170">
        <v>45900</v>
      </c>
      <c r="L2100" s="1">
        <v>37418.610603088411</v>
      </c>
      <c r="M2100" s="1">
        <v>45960</v>
      </c>
    </row>
    <row r="2101" spans="1:14" ht="14.4" hidden="1">
      <c r="A2101" t="s">
        <v>218</v>
      </c>
      <c r="B2101" s="1">
        <v>58</v>
      </c>
      <c r="C2101" s="258" t="s">
        <v>5143</v>
      </c>
      <c r="D2101" t="s">
        <v>1211</v>
      </c>
      <c r="E2101" t="s">
        <v>1178</v>
      </c>
      <c r="F2101"/>
      <c r="G2101">
        <v>0.25</v>
      </c>
      <c r="H2101" s="1">
        <v>23425</v>
      </c>
      <c r="I2101"/>
      <c r="J2101" t="s">
        <v>5115</v>
      </c>
      <c r="K2101" s="170">
        <v>45900</v>
      </c>
      <c r="L2101" s="1">
        <v>46773.26325386051</v>
      </c>
      <c r="M2101" s="1">
        <v>45939</v>
      </c>
    </row>
    <row r="2102" spans="1:14" ht="14.4" hidden="1">
      <c r="A2102" t="s">
        <v>218</v>
      </c>
      <c r="B2102" s="1">
        <v>59</v>
      </c>
      <c r="C2102" s="258" t="s">
        <v>5144</v>
      </c>
      <c r="D2102" t="s">
        <v>1211</v>
      </c>
      <c r="E2102" t="s">
        <v>1181</v>
      </c>
      <c r="F2102"/>
      <c r="G2102">
        <v>0.1</v>
      </c>
      <c r="H2102" s="1">
        <v>9370</v>
      </c>
      <c r="I2102"/>
      <c r="J2102" t="s">
        <v>5115</v>
      </c>
      <c r="K2102" s="170">
        <v>45900</v>
      </c>
      <c r="L2102" s="1">
        <v>18709.305301544209</v>
      </c>
      <c r="M2102" s="1">
        <v>45960</v>
      </c>
    </row>
    <row r="2103" spans="1:14" ht="14.4" hidden="1">
      <c r="A2103" t="s">
        <v>218</v>
      </c>
      <c r="B2103" s="1">
        <v>60</v>
      </c>
      <c r="C2103" s="258" t="s">
        <v>5145</v>
      </c>
      <c r="D2103" t="s">
        <v>1211</v>
      </c>
      <c r="E2103" t="s">
        <v>1184</v>
      </c>
      <c r="F2103"/>
      <c r="G2103">
        <v>0.1</v>
      </c>
      <c r="H2103" s="1">
        <v>9370</v>
      </c>
      <c r="I2103"/>
      <c r="J2103" t="s">
        <v>5115</v>
      </c>
      <c r="K2103" s="170">
        <v>45900</v>
      </c>
      <c r="L2103" s="1">
        <v>18709.305301544209</v>
      </c>
      <c r="M2103" s="1">
        <v>45960</v>
      </c>
    </row>
    <row r="2104" spans="1:14" ht="14.4" hidden="1">
      <c r="A2104" t="s">
        <v>218</v>
      </c>
      <c r="B2104" s="1">
        <v>61</v>
      </c>
      <c r="C2104" s="258" t="s">
        <v>5146</v>
      </c>
      <c r="D2104" t="s">
        <v>1211</v>
      </c>
      <c r="E2104" t="s">
        <v>1187</v>
      </c>
      <c r="F2104"/>
      <c r="G2104">
        <v>0.05</v>
      </c>
      <c r="H2104" s="1">
        <v>4685</v>
      </c>
      <c r="I2104"/>
      <c r="J2104" t="s">
        <v>5115</v>
      </c>
      <c r="K2104" s="170">
        <v>45900</v>
      </c>
      <c r="L2104" s="1">
        <v>9354.6526507721028</v>
      </c>
      <c r="M2104" s="1">
        <v>45980</v>
      </c>
    </row>
    <row r="2105" spans="1:14" ht="14.4" hidden="1">
      <c r="A2105" t="s">
        <v>218</v>
      </c>
      <c r="B2105" s="1">
        <v>62</v>
      </c>
      <c r="C2105" s="258" t="s">
        <v>5147</v>
      </c>
      <c r="D2105" t="s">
        <v>1211</v>
      </c>
      <c r="E2105" t="s">
        <v>1190</v>
      </c>
      <c r="F2105"/>
      <c r="G2105">
        <v>0.05</v>
      </c>
      <c r="H2105" s="1">
        <v>4685</v>
      </c>
      <c r="I2105"/>
      <c r="J2105" t="s">
        <v>5115</v>
      </c>
      <c r="K2105" s="170">
        <v>45900</v>
      </c>
      <c r="L2105" s="1">
        <v>9354.6526507721028</v>
      </c>
      <c r="M2105" s="1">
        <v>45980</v>
      </c>
    </row>
    <row r="2106" spans="1:14" ht="14.4" hidden="1">
      <c r="A2106" t="s">
        <v>218</v>
      </c>
      <c r="B2106" s="1">
        <v>78</v>
      </c>
      <c r="C2106" s="258" t="s">
        <v>5148</v>
      </c>
      <c r="D2106" t="s">
        <v>1224</v>
      </c>
      <c r="E2106" t="s">
        <v>5149</v>
      </c>
      <c r="F2106"/>
      <c r="H2106" s="1">
        <v>18600</v>
      </c>
      <c r="I2106" t="s">
        <v>5150</v>
      </c>
      <c r="J2106" t="s">
        <v>5151</v>
      </c>
      <c r="K2106" s="170">
        <v>45961</v>
      </c>
      <c r="M2106" s="1">
        <v>45954</v>
      </c>
    </row>
    <row r="2107" spans="1:14" ht="14.4" hidden="1">
      <c r="A2107" t="s">
        <v>218</v>
      </c>
      <c r="B2107" s="1">
        <v>87</v>
      </c>
      <c r="C2107" s="258" t="s">
        <v>5152</v>
      </c>
      <c r="D2107" t="s">
        <v>1246</v>
      </c>
      <c r="E2107" t="s">
        <v>1169</v>
      </c>
      <c r="F2107">
        <v>462250</v>
      </c>
      <c r="G2107">
        <v>0.1</v>
      </c>
      <c r="H2107" s="1">
        <v>46225</v>
      </c>
      <c r="I2107" t="s">
        <v>5111</v>
      </c>
      <c r="J2107" t="s">
        <v>5112</v>
      </c>
      <c r="K2107" s="170">
        <v>45900</v>
      </c>
      <c r="L2107" s="1">
        <v>37173.529411764706</v>
      </c>
      <c r="M2107" s="1">
        <v>45901</v>
      </c>
    </row>
    <row r="2108" spans="1:14" ht="14.4" hidden="1">
      <c r="A2108" t="s">
        <v>218</v>
      </c>
      <c r="B2108" s="1">
        <v>88</v>
      </c>
      <c r="C2108" s="258" t="s">
        <v>5153</v>
      </c>
      <c r="D2108" t="s">
        <v>1246</v>
      </c>
      <c r="E2108" t="s">
        <v>558</v>
      </c>
      <c r="F2108"/>
      <c r="G2108">
        <v>0.15</v>
      </c>
      <c r="H2108" s="1">
        <v>69337.5</v>
      </c>
      <c r="I2108"/>
      <c r="J2108" t="s">
        <v>5112</v>
      </c>
      <c r="K2108" s="170">
        <v>45900</v>
      </c>
      <c r="L2108" s="1">
        <v>55760.294117647056</v>
      </c>
      <c r="M2108" s="1">
        <v>45911</v>
      </c>
    </row>
    <row r="2109" spans="1:14" ht="14.4" hidden="1">
      <c r="A2109" t="s">
        <v>218</v>
      </c>
      <c r="B2109" s="1">
        <v>89</v>
      </c>
      <c r="C2109" s="258" t="s">
        <v>5154</v>
      </c>
      <c r="D2109" t="s">
        <v>1246</v>
      </c>
      <c r="E2109" t="s">
        <v>1175</v>
      </c>
      <c r="F2109"/>
      <c r="G2109">
        <v>0.2</v>
      </c>
      <c r="H2109" s="1">
        <v>92450</v>
      </c>
      <c r="I2109"/>
      <c r="J2109" t="s">
        <v>5155</v>
      </c>
      <c r="K2109" s="170">
        <v>45961</v>
      </c>
      <c r="L2109" s="1">
        <v>74347.058823529413</v>
      </c>
      <c r="M2109" s="1">
        <v>45960</v>
      </c>
    </row>
    <row r="2110" spans="1:14" ht="14.4" hidden="1">
      <c r="A2110" t="s">
        <v>218</v>
      </c>
      <c r="B2110" s="1">
        <v>90</v>
      </c>
      <c r="C2110" s="258" t="s">
        <v>5156</v>
      </c>
      <c r="D2110" t="s">
        <v>1246</v>
      </c>
      <c r="E2110" t="s">
        <v>1178</v>
      </c>
      <c r="F2110"/>
      <c r="G2110">
        <v>0.25</v>
      </c>
      <c r="H2110" s="1">
        <v>115562.5</v>
      </c>
      <c r="I2110"/>
      <c r="J2110" t="s">
        <v>5157</v>
      </c>
      <c r="K2110" s="170">
        <v>45961</v>
      </c>
      <c r="L2110" s="1">
        <v>92933.823529411762</v>
      </c>
      <c r="M2110" s="1">
        <v>45939</v>
      </c>
    </row>
    <row r="2111" spans="1:14" ht="14.4" hidden="1">
      <c r="A2111" t="s">
        <v>218</v>
      </c>
      <c r="B2111" s="1">
        <v>91</v>
      </c>
      <c r="C2111" s="258" t="s">
        <v>5158</v>
      </c>
      <c r="D2111" t="s">
        <v>1246</v>
      </c>
      <c r="E2111" t="s">
        <v>1181</v>
      </c>
      <c r="F2111"/>
      <c r="G2111">
        <v>0.1</v>
      </c>
      <c r="H2111" s="1">
        <v>46225</v>
      </c>
      <c r="I2111"/>
      <c r="J2111" t="s">
        <v>5159</v>
      </c>
      <c r="K2111" s="170">
        <v>45961</v>
      </c>
      <c r="L2111" s="1">
        <v>37173.529411764706</v>
      </c>
      <c r="M2111" s="1">
        <v>45960</v>
      </c>
    </row>
    <row r="2112" spans="1:14" ht="14.4" hidden="1">
      <c r="A2112" t="s">
        <v>218</v>
      </c>
      <c r="B2112" s="1">
        <v>92</v>
      </c>
      <c r="C2112" s="258" t="s">
        <v>5160</v>
      </c>
      <c r="D2112" t="s">
        <v>1246</v>
      </c>
      <c r="E2112" t="s">
        <v>1184</v>
      </c>
      <c r="F2112"/>
      <c r="G2112">
        <v>0.1</v>
      </c>
      <c r="H2112" s="1">
        <v>46225</v>
      </c>
      <c r="I2112"/>
      <c r="J2112" t="s">
        <v>5161</v>
      </c>
      <c r="K2112" s="170">
        <v>45961</v>
      </c>
      <c r="L2112" s="1">
        <v>37173.529411764706</v>
      </c>
      <c r="M2112" s="1">
        <v>45960</v>
      </c>
    </row>
    <row r="2113" spans="1:14" ht="14.4" hidden="1">
      <c r="A2113" t="s">
        <v>218</v>
      </c>
      <c r="B2113" s="1">
        <v>93</v>
      </c>
      <c r="C2113" s="258" t="s">
        <v>5162</v>
      </c>
      <c r="D2113" t="s">
        <v>1246</v>
      </c>
      <c r="E2113" t="s">
        <v>1187</v>
      </c>
      <c r="F2113"/>
      <c r="G2113">
        <v>0.05</v>
      </c>
      <c r="H2113" s="1">
        <v>23112.5</v>
      </c>
      <c r="I2113"/>
      <c r="J2113" t="s">
        <v>5163</v>
      </c>
      <c r="K2113" s="170">
        <v>45961</v>
      </c>
      <c r="L2113" s="1">
        <v>18586.764705882353</v>
      </c>
      <c r="M2113" s="1">
        <v>45980</v>
      </c>
    </row>
    <row r="2114" spans="1:14" ht="14.4" hidden="1">
      <c r="A2114" t="s">
        <v>218</v>
      </c>
      <c r="B2114" s="1">
        <v>94</v>
      </c>
      <c r="C2114" s="258" t="s">
        <v>5164</v>
      </c>
      <c r="D2114" t="s">
        <v>1246</v>
      </c>
      <c r="E2114" t="s">
        <v>1190</v>
      </c>
      <c r="F2114"/>
      <c r="G2114">
        <v>0.05</v>
      </c>
      <c r="H2114" s="1">
        <v>23112.5</v>
      </c>
      <c r="I2114"/>
      <c r="J2114" t="s">
        <v>5165</v>
      </c>
      <c r="K2114" s="170">
        <v>45991</v>
      </c>
      <c r="L2114" s="1">
        <v>18586.764705882353</v>
      </c>
      <c r="M2114" s="1">
        <v>45980</v>
      </c>
    </row>
    <row r="2115" spans="1:14" ht="14.4" hidden="1">
      <c r="A2115" t="s">
        <v>218</v>
      </c>
      <c r="B2115" s="1">
        <v>103</v>
      </c>
      <c r="C2115" s="258" t="s">
        <v>5166</v>
      </c>
      <c r="D2115" t="s">
        <v>1255</v>
      </c>
      <c r="E2115" t="s">
        <v>1169</v>
      </c>
      <c r="F2115">
        <v>16050</v>
      </c>
      <c r="G2115">
        <v>0.1</v>
      </c>
      <c r="H2115" s="1">
        <v>1605</v>
      </c>
      <c r="I2115" t="s">
        <v>5111</v>
      </c>
      <c r="J2115" t="s">
        <v>5112</v>
      </c>
      <c r="K2115" s="170">
        <v>45900</v>
      </c>
      <c r="L2115" s="1">
        <v>6177.6196078431376</v>
      </c>
      <c r="M2115" s="1">
        <v>45901</v>
      </c>
    </row>
    <row r="2116" spans="1:14" ht="14.4" hidden="1">
      <c r="A2116" t="s">
        <v>218</v>
      </c>
      <c r="B2116" s="1">
        <v>104</v>
      </c>
      <c r="C2116" s="258" t="s">
        <v>5167</v>
      </c>
      <c r="D2116" t="s">
        <v>1255</v>
      </c>
      <c r="E2116" t="s">
        <v>558</v>
      </c>
      <c r="F2116"/>
      <c r="G2116">
        <v>0.15</v>
      </c>
      <c r="H2116" s="1">
        <v>2407.5</v>
      </c>
      <c r="I2116"/>
      <c r="J2116" t="s">
        <v>5112</v>
      </c>
      <c r="K2116" s="170">
        <v>45900</v>
      </c>
      <c r="L2116" s="1">
        <v>9266.4294117647059</v>
      </c>
      <c r="M2116" s="1">
        <v>45911</v>
      </c>
    </row>
    <row r="2117" spans="1:14" ht="14.4" hidden="1">
      <c r="A2117" t="s">
        <v>218</v>
      </c>
      <c r="B2117" s="1">
        <v>105</v>
      </c>
      <c r="C2117" s="258" t="s">
        <v>5168</v>
      </c>
      <c r="D2117" t="s">
        <v>1255</v>
      </c>
      <c r="E2117" t="s">
        <v>1175</v>
      </c>
      <c r="F2117"/>
      <c r="G2117">
        <v>0.2</v>
      </c>
      <c r="H2117" s="1">
        <v>3210</v>
      </c>
      <c r="I2117"/>
      <c r="J2117" t="s">
        <v>5115</v>
      </c>
      <c r="K2117" s="170">
        <v>45900</v>
      </c>
      <c r="L2117" s="1">
        <v>12355.239215686275</v>
      </c>
      <c r="M2117" s="1">
        <v>45960</v>
      </c>
    </row>
    <row r="2118" spans="1:14" ht="14.4" hidden="1">
      <c r="A2118" t="s">
        <v>218</v>
      </c>
      <c r="B2118" s="1">
        <v>106</v>
      </c>
      <c r="C2118" s="258" t="s">
        <v>5169</v>
      </c>
      <c r="D2118" t="s">
        <v>1255</v>
      </c>
      <c r="E2118" t="s">
        <v>1178</v>
      </c>
      <c r="F2118"/>
      <c r="G2118">
        <v>0.25</v>
      </c>
      <c r="H2118" s="1">
        <v>4012.5</v>
      </c>
      <c r="I2118"/>
      <c r="J2118" t="s">
        <v>5115</v>
      </c>
      <c r="K2118" s="170">
        <v>45900</v>
      </c>
      <c r="L2118" s="1">
        <v>15444.049019607844</v>
      </c>
      <c r="M2118" s="1">
        <v>45939</v>
      </c>
    </row>
    <row r="2119" spans="1:14" ht="14.4" hidden="1">
      <c r="A2119" t="s">
        <v>218</v>
      </c>
      <c r="B2119" s="1">
        <v>107</v>
      </c>
      <c r="C2119" s="258" t="s">
        <v>5170</v>
      </c>
      <c r="D2119" t="s">
        <v>1255</v>
      </c>
      <c r="E2119" t="s">
        <v>1181</v>
      </c>
      <c r="F2119"/>
      <c r="G2119">
        <v>0.1</v>
      </c>
      <c r="H2119" s="1">
        <v>1605</v>
      </c>
      <c r="I2119"/>
      <c r="J2119" t="s">
        <v>5115</v>
      </c>
      <c r="K2119" s="170">
        <v>45900</v>
      </c>
      <c r="L2119" s="1">
        <v>6177.6196078431376</v>
      </c>
      <c r="M2119" s="1">
        <v>45960</v>
      </c>
    </row>
    <row r="2120" spans="1:14" ht="14.4" hidden="1">
      <c r="A2120" t="s">
        <v>218</v>
      </c>
      <c r="B2120" s="1">
        <v>108</v>
      </c>
      <c r="C2120" s="258" t="s">
        <v>5171</v>
      </c>
      <c r="D2120" t="s">
        <v>1255</v>
      </c>
      <c r="E2120" t="s">
        <v>1184</v>
      </c>
      <c r="F2120"/>
      <c r="G2120">
        <v>0.1</v>
      </c>
      <c r="H2120" s="1">
        <v>1605</v>
      </c>
      <c r="I2120"/>
      <c r="J2120" t="s">
        <v>5115</v>
      </c>
      <c r="K2120" s="170">
        <v>45900</v>
      </c>
      <c r="L2120" s="1">
        <v>6177.6196078431376</v>
      </c>
      <c r="M2120" s="1">
        <v>45960</v>
      </c>
    </row>
    <row r="2121" spans="1:14" ht="14.4" hidden="1">
      <c r="A2121" t="s">
        <v>218</v>
      </c>
      <c r="B2121" s="1">
        <v>109</v>
      </c>
      <c r="C2121" s="258" t="s">
        <v>5172</v>
      </c>
      <c r="D2121" t="s">
        <v>1255</v>
      </c>
      <c r="E2121" t="s">
        <v>1187</v>
      </c>
      <c r="F2121"/>
      <c r="G2121">
        <v>0.05</v>
      </c>
      <c r="H2121" s="1">
        <v>802.5</v>
      </c>
      <c r="I2121"/>
      <c r="J2121" t="s">
        <v>5115</v>
      </c>
      <c r="K2121" s="170">
        <v>45900</v>
      </c>
      <c r="L2121" s="1">
        <v>3088.8098039215688</v>
      </c>
      <c r="M2121" s="1">
        <v>45980</v>
      </c>
    </row>
    <row r="2122" spans="1:14" ht="14.4" hidden="1">
      <c r="A2122" t="s">
        <v>218</v>
      </c>
      <c r="B2122" s="1">
        <v>110</v>
      </c>
      <c r="C2122" s="258" t="s">
        <v>5173</v>
      </c>
      <c r="D2122" t="s">
        <v>1255</v>
      </c>
      <c r="E2122" t="s">
        <v>1190</v>
      </c>
      <c r="F2122"/>
      <c r="G2122">
        <v>0.05</v>
      </c>
      <c r="H2122" s="1">
        <v>802.5</v>
      </c>
      <c r="I2122"/>
      <c r="J2122" t="s">
        <v>5115</v>
      </c>
      <c r="K2122" s="170">
        <v>45900</v>
      </c>
      <c r="L2122" s="1">
        <v>3088.8098039215688</v>
      </c>
      <c r="M2122" s="1">
        <v>45980</v>
      </c>
    </row>
    <row r="2123" spans="1:14" ht="14.4" hidden="1">
      <c r="A2123" t="s">
        <v>218</v>
      </c>
      <c r="B2123" s="1">
        <v>115</v>
      </c>
      <c r="C2123" s="258" t="s">
        <v>5174</v>
      </c>
      <c r="D2123" t="s">
        <v>1264</v>
      </c>
      <c r="E2123" t="s">
        <v>1265</v>
      </c>
      <c r="F2123"/>
      <c r="H2123" s="1">
        <v>20180</v>
      </c>
      <c r="I2123"/>
      <c r="J2123" t="s">
        <v>5175</v>
      </c>
      <c r="K2123" s="170">
        <v>46053</v>
      </c>
      <c r="L2123" s="1">
        <v>83969.19973981037</v>
      </c>
      <c r="M2123" s="1">
        <v>46058</v>
      </c>
      <c r="N2123" s="1">
        <v>26180</v>
      </c>
    </row>
    <row r="2124" spans="1:14" ht="14.4" hidden="1">
      <c r="A2124" t="s">
        <v>218</v>
      </c>
      <c r="B2124" s="1">
        <v>116</v>
      </c>
      <c r="C2124" s="258" t="s">
        <v>5176</v>
      </c>
      <c r="D2124" t="s">
        <v>1264</v>
      </c>
      <c r="E2124" t="s">
        <v>1268</v>
      </c>
      <c r="F2124"/>
      <c r="H2124" s="1">
        <v>0</v>
      </c>
      <c r="I2124"/>
      <c r="J2124"/>
      <c r="K2124" s="170" t="s">
        <v>51</v>
      </c>
      <c r="L2124" s="1">
        <v>0</v>
      </c>
    </row>
    <row r="2125" spans="1:14" ht="14.4" hidden="1">
      <c r="A2125" t="s">
        <v>218</v>
      </c>
      <c r="B2125" s="1">
        <v>117</v>
      </c>
      <c r="C2125" s="258" t="s">
        <v>5177</v>
      </c>
      <c r="D2125" t="s">
        <v>1264</v>
      </c>
      <c r="E2125" t="s">
        <v>2090</v>
      </c>
      <c r="F2125"/>
      <c r="H2125" s="1">
        <v>0</v>
      </c>
      <c r="I2125"/>
      <c r="J2125"/>
      <c r="K2125" s="170"/>
      <c r="L2125" s="1">
        <v>0</v>
      </c>
    </row>
    <row r="2126" spans="1:14" ht="14.4" hidden="1">
      <c r="A2126" t="s">
        <v>218</v>
      </c>
      <c r="B2126" s="1">
        <v>118</v>
      </c>
      <c r="C2126" s="258" t="s">
        <v>5178</v>
      </c>
      <c r="D2126" t="s">
        <v>1264</v>
      </c>
      <c r="E2126" t="s">
        <v>3853</v>
      </c>
      <c r="F2126"/>
      <c r="H2126" s="1">
        <v>6000</v>
      </c>
      <c r="I2126"/>
      <c r="J2126" t="s">
        <v>3571</v>
      </c>
      <c r="K2126" s="170">
        <v>45961</v>
      </c>
      <c r="L2126" s="1">
        <v>45801.384083044992</v>
      </c>
      <c r="M2126" s="1">
        <v>45991</v>
      </c>
    </row>
    <row r="2127" spans="1:14" ht="14.4" hidden="1">
      <c r="A2127" t="s">
        <v>218</v>
      </c>
      <c r="B2127" s="1">
        <v>121</v>
      </c>
      <c r="C2127" s="258" t="s">
        <v>5179</v>
      </c>
      <c r="D2127" t="s">
        <v>1274</v>
      </c>
      <c r="F2127"/>
      <c r="H2127" s="1">
        <v>11878.895</v>
      </c>
      <c r="I2127"/>
      <c r="J2127" t="s">
        <v>3861</v>
      </c>
      <c r="K2127" s="170">
        <v>45869</v>
      </c>
      <c r="M2127" s="1">
        <v>45867</v>
      </c>
      <c r="N2127" s="1">
        <v>23757.79</v>
      </c>
    </row>
    <row r="2128" spans="1:14" ht="14.4" hidden="1">
      <c r="A2128" t="s">
        <v>218</v>
      </c>
      <c r="B2128" s="1">
        <v>122</v>
      </c>
      <c r="C2128" s="258" t="s">
        <v>5180</v>
      </c>
      <c r="D2128" t="s">
        <v>1274</v>
      </c>
      <c r="F2128"/>
      <c r="H2128" s="1">
        <v>11878.895</v>
      </c>
      <c r="I2128"/>
      <c r="J2128" t="s">
        <v>3861</v>
      </c>
      <c r="K2128" s="170">
        <v>45869</v>
      </c>
      <c r="M2128" s="1">
        <v>45960</v>
      </c>
    </row>
    <row r="2129" spans="1:14" ht="14.4" hidden="1">
      <c r="A2129" t="s">
        <v>218</v>
      </c>
      <c r="B2129" s="1">
        <v>124</v>
      </c>
      <c r="C2129" s="258" t="s">
        <v>5181</v>
      </c>
      <c r="D2129" t="s">
        <v>1277</v>
      </c>
      <c r="E2129" t="s">
        <v>1278</v>
      </c>
      <c r="F2129"/>
      <c r="H2129" s="1">
        <v>39216.49</v>
      </c>
      <c r="I2129"/>
      <c r="J2129" t="s">
        <v>3573</v>
      </c>
      <c r="K2129" s="170">
        <v>45961</v>
      </c>
      <c r="L2129" s="1">
        <v>157727.79995265152</v>
      </c>
      <c r="M2129" s="1">
        <v>45991</v>
      </c>
      <c r="N2129" s="1">
        <v>39216.49</v>
      </c>
    </row>
    <row r="2130" spans="1:14" ht="14.4" hidden="1">
      <c r="A2130" t="s">
        <v>218</v>
      </c>
      <c r="B2130" s="1">
        <v>125</v>
      </c>
      <c r="C2130" s="258" t="s">
        <v>5182</v>
      </c>
      <c r="D2130" t="s">
        <v>1277</v>
      </c>
      <c r="E2130" t="s">
        <v>1903</v>
      </c>
      <c r="F2130"/>
      <c r="H2130" s="1">
        <v>0</v>
      </c>
      <c r="I2130"/>
      <c r="J2130"/>
      <c r="K2130" s="170"/>
      <c r="L2130" s="1">
        <v>0</v>
      </c>
    </row>
    <row r="2131" spans="1:14" ht="14.4" hidden="1">
      <c r="A2131" t="s">
        <v>218</v>
      </c>
      <c r="B2131" s="1">
        <v>126</v>
      </c>
      <c r="C2131" s="258" t="s">
        <v>5183</v>
      </c>
      <c r="D2131" t="s">
        <v>1277</v>
      </c>
      <c r="E2131" t="s">
        <v>1905</v>
      </c>
      <c r="F2131"/>
      <c r="H2131" s="1">
        <v>0</v>
      </c>
      <c r="I2131"/>
      <c r="J2131"/>
      <c r="K2131" s="170"/>
      <c r="L2131" s="1">
        <v>0</v>
      </c>
    </row>
    <row r="2132" spans="1:14" ht="14.4" hidden="1">
      <c r="A2132" t="s">
        <v>218</v>
      </c>
      <c r="B2132" s="1">
        <v>127</v>
      </c>
      <c r="C2132" s="258" t="s">
        <v>5184</v>
      </c>
      <c r="D2132" t="s">
        <v>1277</v>
      </c>
      <c r="E2132" t="s">
        <v>1907</v>
      </c>
      <c r="F2132"/>
      <c r="H2132" s="1">
        <v>0</v>
      </c>
      <c r="I2132"/>
      <c r="J2132"/>
      <c r="K2132" s="170"/>
      <c r="L2132" s="1">
        <v>0</v>
      </c>
    </row>
    <row r="2133" spans="1:14" ht="14.4" hidden="1">
      <c r="A2133" t="s">
        <v>218</v>
      </c>
      <c r="B2133" s="1">
        <v>128</v>
      </c>
      <c r="C2133" s="258" t="s">
        <v>5185</v>
      </c>
      <c r="D2133" t="s">
        <v>1277</v>
      </c>
      <c r="E2133" t="s">
        <v>1909</v>
      </c>
      <c r="F2133"/>
      <c r="H2133" s="1">
        <v>0</v>
      </c>
      <c r="I2133"/>
      <c r="J2133"/>
      <c r="K2133" s="170"/>
      <c r="L2133" s="1">
        <v>0</v>
      </c>
    </row>
    <row r="2134" spans="1:14" ht="14.4" hidden="1">
      <c r="A2134" t="s">
        <v>218</v>
      </c>
      <c r="B2134" s="1">
        <v>131</v>
      </c>
      <c r="C2134" s="258" t="s">
        <v>5186</v>
      </c>
      <c r="D2134" t="s">
        <v>1280</v>
      </c>
      <c r="E2134" t="s">
        <v>1281</v>
      </c>
      <c r="F2134"/>
      <c r="H2134" s="1">
        <v>0</v>
      </c>
      <c r="I2134"/>
      <c r="J2134"/>
      <c r="K2134" s="170">
        <v>45777</v>
      </c>
      <c r="L2134" s="1">
        <v>0</v>
      </c>
      <c r="M2134" s="1">
        <v>45777</v>
      </c>
      <c r="N2134" s="1">
        <v>5786.02</v>
      </c>
    </row>
    <row r="2135" spans="1:14" ht="14.4" hidden="1">
      <c r="A2135" t="s">
        <v>218</v>
      </c>
      <c r="B2135" s="1">
        <v>132</v>
      </c>
      <c r="C2135" s="258" t="s">
        <v>5187</v>
      </c>
      <c r="D2135" t="s">
        <v>1280</v>
      </c>
      <c r="E2135" t="s">
        <v>1281</v>
      </c>
      <c r="F2135"/>
      <c r="H2135" s="1">
        <v>0</v>
      </c>
      <c r="I2135"/>
      <c r="J2135" t="s">
        <v>1604</v>
      </c>
      <c r="K2135" s="170">
        <v>45808</v>
      </c>
      <c r="L2135" s="1">
        <v>0</v>
      </c>
      <c r="M2135" s="1">
        <v>45808</v>
      </c>
    </row>
    <row r="2136" spans="1:14" ht="14.4" hidden="1">
      <c r="A2136" t="s">
        <v>218</v>
      </c>
      <c r="B2136" s="1">
        <v>133</v>
      </c>
      <c r="C2136" s="258" t="s">
        <v>5188</v>
      </c>
      <c r="D2136" t="s">
        <v>1280</v>
      </c>
      <c r="E2136" t="s">
        <v>1281</v>
      </c>
      <c r="F2136"/>
      <c r="H2136" s="1">
        <v>0</v>
      </c>
      <c r="I2136"/>
      <c r="J2136" t="s">
        <v>1604</v>
      </c>
      <c r="K2136" s="170">
        <v>45838</v>
      </c>
      <c r="L2136" s="1">
        <v>0</v>
      </c>
      <c r="M2136" s="1">
        <v>45838</v>
      </c>
    </row>
    <row r="2137" spans="1:14" ht="14.4" hidden="1">
      <c r="A2137" t="s">
        <v>218</v>
      </c>
      <c r="B2137" s="1">
        <v>134</v>
      </c>
      <c r="C2137" s="258" t="s">
        <v>5189</v>
      </c>
      <c r="D2137" t="s">
        <v>1280</v>
      </c>
      <c r="E2137" t="s">
        <v>1281</v>
      </c>
      <c r="F2137"/>
      <c r="H2137" s="1">
        <v>2954.75</v>
      </c>
      <c r="I2137"/>
      <c r="J2137" t="s">
        <v>1604</v>
      </c>
      <c r="K2137" s="170">
        <v>45869</v>
      </c>
      <c r="L2137" s="1">
        <v>3027.8101482578691</v>
      </c>
      <c r="M2137" s="1">
        <v>45868</v>
      </c>
    </row>
    <row r="2138" spans="1:14" ht="14.4" hidden="1">
      <c r="A2138" t="s">
        <v>218</v>
      </c>
      <c r="B2138" s="1">
        <v>135</v>
      </c>
      <c r="C2138" s="258" t="s">
        <v>5190</v>
      </c>
      <c r="D2138" t="s">
        <v>1280</v>
      </c>
      <c r="E2138" t="s">
        <v>1281</v>
      </c>
      <c r="F2138"/>
      <c r="H2138" s="1">
        <v>0</v>
      </c>
      <c r="I2138"/>
      <c r="J2138" t="s">
        <v>1604</v>
      </c>
      <c r="K2138" s="170">
        <v>45900</v>
      </c>
      <c r="L2138" s="1">
        <v>0</v>
      </c>
      <c r="M2138" s="1">
        <v>45900</v>
      </c>
    </row>
    <row r="2139" spans="1:14" ht="14.4" hidden="1">
      <c r="A2139" t="s">
        <v>218</v>
      </c>
      <c r="B2139" s="1">
        <v>136</v>
      </c>
      <c r="C2139" s="258" t="s">
        <v>5191</v>
      </c>
      <c r="D2139" t="s">
        <v>1280</v>
      </c>
      <c r="E2139" t="s">
        <v>1281</v>
      </c>
      <c r="F2139"/>
      <c r="H2139" s="1">
        <v>2831.27</v>
      </c>
      <c r="I2139"/>
      <c r="J2139" t="s">
        <v>1604</v>
      </c>
      <c r="K2139" s="170">
        <v>45930</v>
      </c>
      <c r="L2139" s="1">
        <v>2054.9406214725609</v>
      </c>
      <c r="M2139" s="1">
        <v>45940</v>
      </c>
    </row>
    <row r="2140" spans="1:14" ht="14.4" hidden="1">
      <c r="A2140" t="s">
        <v>218</v>
      </c>
      <c r="B2140" s="1">
        <v>137</v>
      </c>
      <c r="C2140" s="258" t="s">
        <v>5192</v>
      </c>
      <c r="D2140" t="s">
        <v>1280</v>
      </c>
      <c r="E2140" t="s">
        <v>1281</v>
      </c>
      <c r="F2140"/>
      <c r="H2140" s="1">
        <v>0</v>
      </c>
      <c r="I2140"/>
      <c r="J2140" t="s">
        <v>1604</v>
      </c>
      <c r="K2140" s="170">
        <v>45961</v>
      </c>
      <c r="L2140" s="1">
        <v>0</v>
      </c>
      <c r="M2140" s="1">
        <v>45960</v>
      </c>
    </row>
    <row r="2141" spans="1:14" ht="14.4" hidden="1">
      <c r="A2141" t="s">
        <v>218</v>
      </c>
      <c r="B2141" s="1">
        <v>138</v>
      </c>
      <c r="C2141" s="258" t="s">
        <v>5193</v>
      </c>
      <c r="D2141" t="s">
        <v>1280</v>
      </c>
      <c r="E2141" t="s">
        <v>1281</v>
      </c>
      <c r="F2141"/>
      <c r="H2141" s="1">
        <v>0</v>
      </c>
      <c r="I2141"/>
      <c r="J2141" t="s">
        <v>1604</v>
      </c>
      <c r="K2141" s="170">
        <v>45991</v>
      </c>
      <c r="L2141" s="1">
        <v>0</v>
      </c>
      <c r="M2141" s="1">
        <v>45991</v>
      </c>
    </row>
    <row r="2142" spans="1:14" ht="14.4" hidden="1">
      <c r="A2142" t="s">
        <v>218</v>
      </c>
      <c r="B2142" s="1">
        <v>139</v>
      </c>
      <c r="C2142" s="258" t="s">
        <v>5194</v>
      </c>
      <c r="D2142" t="s">
        <v>1280</v>
      </c>
      <c r="E2142" t="s">
        <v>1281</v>
      </c>
      <c r="F2142"/>
      <c r="H2142" s="1">
        <v>0</v>
      </c>
      <c r="I2142"/>
      <c r="J2142" t="s">
        <v>1604</v>
      </c>
      <c r="K2142" s="170">
        <v>46022</v>
      </c>
      <c r="L2142" s="1">
        <v>2740.78</v>
      </c>
      <c r="M2142" s="1">
        <v>46030</v>
      </c>
    </row>
    <row r="2143" spans="1:14" ht="14.4" hidden="1">
      <c r="A2143" t="s">
        <v>218</v>
      </c>
      <c r="B2143" s="1">
        <v>140</v>
      </c>
      <c r="C2143" s="258" t="s">
        <v>5195</v>
      </c>
      <c r="D2143" t="s">
        <v>1280</v>
      </c>
      <c r="E2143" t="s">
        <v>1281</v>
      </c>
      <c r="F2143"/>
      <c r="H2143" s="1">
        <v>0</v>
      </c>
      <c r="I2143"/>
      <c r="J2143"/>
      <c r="K2143" s="170"/>
      <c r="L2143" s="1">
        <v>0</v>
      </c>
    </row>
    <row r="2144" spans="1:14" ht="14.4" hidden="1">
      <c r="A2144" t="s">
        <v>525</v>
      </c>
      <c r="B2144" s="1">
        <v>6</v>
      </c>
      <c r="C2144" s="258" t="s">
        <v>5196</v>
      </c>
      <c r="D2144" t="s">
        <v>1146</v>
      </c>
      <c r="E2144" t="s">
        <v>5197</v>
      </c>
      <c r="F2144"/>
      <c r="G2144">
        <v>1568.45</v>
      </c>
      <c r="H2144" s="1">
        <v>2624330.5400000005</v>
      </c>
      <c r="I2144"/>
      <c r="J2144"/>
      <c r="K2144" s="170">
        <v>46173</v>
      </c>
      <c r="L2144" s="1">
        <v>2491946.9394303174</v>
      </c>
      <c r="M2144" s="1">
        <v>46072</v>
      </c>
      <c r="N2144" s="1">
        <v>36303127.799999997</v>
      </c>
    </row>
    <row r="2145" spans="1:14" ht="14.4" hidden="1">
      <c r="A2145" t="s">
        <v>525</v>
      </c>
      <c r="B2145" s="1">
        <v>7</v>
      </c>
      <c r="C2145" s="258" t="s">
        <v>5198</v>
      </c>
      <c r="D2145" t="s">
        <v>1146</v>
      </c>
      <c r="E2145" t="s">
        <v>5199</v>
      </c>
      <c r="F2145">
        <v>5577.333333333333</v>
      </c>
      <c r="H2145" s="1">
        <v>7872991.6200000001</v>
      </c>
      <c r="I2145" t="s">
        <v>5200</v>
      </c>
      <c r="J2145"/>
      <c r="K2145" s="170">
        <v>46173</v>
      </c>
      <c r="L2145" s="1">
        <v>7475840.8182909517</v>
      </c>
      <c r="M2145" s="1">
        <v>46215</v>
      </c>
    </row>
    <row r="2146" spans="1:14" ht="14.4" hidden="1">
      <c r="A2146" t="s">
        <v>525</v>
      </c>
      <c r="B2146" s="1">
        <v>8</v>
      </c>
      <c r="C2146" s="258" t="s">
        <v>5201</v>
      </c>
      <c r="D2146" t="s">
        <v>1146</v>
      </c>
      <c r="E2146" t="s">
        <v>5202</v>
      </c>
      <c r="F2146">
        <v>5577.333333333333</v>
      </c>
      <c r="H2146" s="1">
        <v>7872991.6200000001</v>
      </c>
      <c r="I2146" t="s">
        <v>5203</v>
      </c>
      <c r="J2146"/>
      <c r="K2146" s="170">
        <v>46203</v>
      </c>
      <c r="L2146" s="1">
        <v>7475840.8182909517</v>
      </c>
      <c r="M2146" s="1">
        <v>46242</v>
      </c>
    </row>
    <row r="2147" spans="1:14" ht="14.4" hidden="1">
      <c r="A2147" t="s">
        <v>525</v>
      </c>
      <c r="B2147" s="1">
        <v>9</v>
      </c>
      <c r="C2147" s="258" t="s">
        <v>5204</v>
      </c>
      <c r="D2147" t="s">
        <v>1146</v>
      </c>
      <c r="E2147" t="s">
        <v>5205</v>
      </c>
      <c r="F2147">
        <v>5577.333333333333</v>
      </c>
      <c r="H2147" s="1">
        <v>7872991.6200000001</v>
      </c>
      <c r="I2147" t="s">
        <v>5206</v>
      </c>
      <c r="J2147"/>
      <c r="K2147" s="170">
        <v>46234</v>
      </c>
      <c r="L2147" s="1">
        <v>7475840.8182909517</v>
      </c>
      <c r="M2147" s="1">
        <v>46280</v>
      </c>
    </row>
    <row r="2148" spans="1:14" ht="14.4" hidden="1">
      <c r="A2148" t="s">
        <v>525</v>
      </c>
      <c r="B2148" s="1">
        <v>11</v>
      </c>
      <c r="C2148" s="258" t="s">
        <v>5207</v>
      </c>
      <c r="D2148" t="s">
        <v>1146</v>
      </c>
      <c r="E2148" t="s">
        <v>5208</v>
      </c>
      <c r="F2148">
        <v>5090</v>
      </c>
      <c r="G2148">
        <v>1797.05</v>
      </c>
      <c r="H2148" s="1">
        <v>914698.45</v>
      </c>
      <c r="I2148"/>
      <c r="J2148"/>
      <c r="K2148" s="170">
        <v>46173</v>
      </c>
      <c r="L2148" s="1">
        <v>868556.74932592723</v>
      </c>
      <c r="M2148" s="1">
        <v>46072</v>
      </c>
    </row>
    <row r="2149" spans="1:14" ht="14.4" hidden="1">
      <c r="A2149" t="s">
        <v>525</v>
      </c>
      <c r="B2149" s="1">
        <v>12</v>
      </c>
      <c r="C2149" s="258" t="s">
        <v>5209</v>
      </c>
      <c r="D2149" t="s">
        <v>1146</v>
      </c>
      <c r="E2149" t="s">
        <v>5210</v>
      </c>
      <c r="F2149"/>
      <c r="H2149" s="1">
        <v>8232286.0499999998</v>
      </c>
      <c r="I2149"/>
      <c r="J2149"/>
      <c r="K2149" s="170">
        <v>46173</v>
      </c>
      <c r="L2149" s="1">
        <v>7817010.7439333443</v>
      </c>
      <c r="M2149" s="1">
        <v>46215</v>
      </c>
    </row>
    <row r="2150" spans="1:14" ht="14.4" hidden="1">
      <c r="A2150" t="s">
        <v>525</v>
      </c>
      <c r="B2150" s="1">
        <v>14</v>
      </c>
      <c r="C2150" s="258" t="s">
        <v>5211</v>
      </c>
      <c r="D2150" t="s">
        <v>1146</v>
      </c>
      <c r="E2150" t="s">
        <v>5212</v>
      </c>
      <c r="F2150">
        <v>312</v>
      </c>
      <c r="G2150">
        <v>1568.45</v>
      </c>
      <c r="H2150" s="1">
        <v>48935.640000000007</v>
      </c>
      <c r="I2150"/>
      <c r="J2150"/>
      <c r="K2150" s="170">
        <v>46173</v>
      </c>
      <c r="L2150" s="1">
        <v>46467.09569102672</v>
      </c>
      <c r="M2150" s="1">
        <v>46072</v>
      </c>
    </row>
    <row r="2151" spans="1:14" ht="14.4" hidden="1">
      <c r="A2151" t="s">
        <v>525</v>
      </c>
      <c r="B2151" s="1">
        <v>15</v>
      </c>
      <c r="C2151" s="258" t="s">
        <v>5213</v>
      </c>
      <c r="D2151" t="s">
        <v>1146</v>
      </c>
      <c r="E2151" t="s">
        <v>5214</v>
      </c>
      <c r="F2151"/>
      <c r="H2151" s="1">
        <v>440420.76</v>
      </c>
      <c r="I2151"/>
      <c r="J2151"/>
      <c r="K2151" s="170">
        <v>46234</v>
      </c>
      <c r="L2151" s="1">
        <v>418203.86121924047</v>
      </c>
      <c r="M2151" s="1">
        <v>46271</v>
      </c>
    </row>
    <row r="2152" spans="1:14" ht="14.4" hidden="1">
      <c r="A2152" t="s">
        <v>525</v>
      </c>
      <c r="B2152" s="1">
        <v>17</v>
      </c>
      <c r="C2152" s="258" t="s">
        <v>5215</v>
      </c>
      <c r="D2152" t="s">
        <v>1146</v>
      </c>
      <c r="E2152" t="s">
        <v>5216</v>
      </c>
      <c r="F2152">
        <v>270</v>
      </c>
      <c r="G2152">
        <v>1568.45</v>
      </c>
      <c r="H2152" s="1">
        <v>423481.5</v>
      </c>
      <c r="I2152"/>
      <c r="J2152"/>
      <c r="K2152" s="170">
        <v>46265</v>
      </c>
      <c r="L2152" s="1">
        <v>402119.09732619271</v>
      </c>
      <c r="M2152" s="1">
        <v>46325</v>
      </c>
    </row>
    <row r="2153" spans="1:14" ht="14.4" hidden="1">
      <c r="A2153" t="s">
        <v>525</v>
      </c>
      <c r="B2153" s="1">
        <v>20</v>
      </c>
      <c r="C2153" s="258" t="s">
        <v>5217</v>
      </c>
      <c r="D2153" t="s">
        <v>1157</v>
      </c>
      <c r="E2153" t="s">
        <v>5218</v>
      </c>
      <c r="F2153">
        <v>34</v>
      </c>
      <c r="G2153">
        <v>98750.73</v>
      </c>
      <c r="H2153" s="1">
        <v>167876.24100000001</v>
      </c>
      <c r="I2153" t="s">
        <v>5219</v>
      </c>
      <c r="J2153" t="s">
        <v>5220</v>
      </c>
      <c r="K2153" s="170">
        <v>46142</v>
      </c>
      <c r="L2153" s="1">
        <v>470933.13476285979</v>
      </c>
      <c r="M2153" s="1">
        <v>46052</v>
      </c>
      <c r="N2153" s="1">
        <v>3679305.0099999993</v>
      </c>
    </row>
    <row r="2154" spans="1:14" ht="14.4" hidden="1">
      <c r="A2154" t="s">
        <v>525</v>
      </c>
      <c r="B2154" s="1">
        <v>21</v>
      </c>
      <c r="C2154" s="258" t="s">
        <v>5221</v>
      </c>
      <c r="D2154" t="s">
        <v>1157</v>
      </c>
      <c r="E2154" t="s">
        <v>5222</v>
      </c>
      <c r="F2154"/>
      <c r="H2154" s="1">
        <v>839381.20499999996</v>
      </c>
      <c r="I2154"/>
      <c r="J2154" t="s">
        <v>5220</v>
      </c>
      <c r="K2154" s="170">
        <v>46142</v>
      </c>
      <c r="L2154" s="1">
        <v>2354665.6738142986</v>
      </c>
      <c r="M2154" s="1">
        <v>46072</v>
      </c>
    </row>
    <row r="2155" spans="1:14" ht="14.4" hidden="1">
      <c r="A2155" t="s">
        <v>525</v>
      </c>
      <c r="B2155" s="1">
        <v>22</v>
      </c>
      <c r="C2155" s="258" t="s">
        <v>5223</v>
      </c>
      <c r="D2155" t="s">
        <v>1157</v>
      </c>
      <c r="E2155" t="s">
        <v>5224</v>
      </c>
      <c r="F2155"/>
      <c r="H2155" s="1">
        <v>587566.84349999996</v>
      </c>
      <c r="I2155"/>
      <c r="J2155" t="s">
        <v>5220</v>
      </c>
      <c r="K2155" s="170">
        <v>46142</v>
      </c>
      <c r="L2155" s="1">
        <v>1648265.971670009</v>
      </c>
      <c r="M2155" s="1">
        <v>46140</v>
      </c>
    </row>
    <row r="2156" spans="1:14" ht="14.4" hidden="1">
      <c r="A2156" t="s">
        <v>525</v>
      </c>
      <c r="B2156" s="1">
        <v>23</v>
      </c>
      <c r="C2156" s="258" t="s">
        <v>5225</v>
      </c>
      <c r="D2156" t="s">
        <v>1157</v>
      </c>
      <c r="E2156" t="s">
        <v>5226</v>
      </c>
      <c r="F2156"/>
      <c r="H2156" s="1">
        <v>587566.84349999996</v>
      </c>
      <c r="I2156"/>
      <c r="J2156" t="s">
        <v>5220</v>
      </c>
      <c r="K2156" s="170">
        <v>46142</v>
      </c>
      <c r="L2156" s="1">
        <v>1648265.971670009</v>
      </c>
      <c r="M2156" s="1">
        <v>46140</v>
      </c>
    </row>
    <row r="2157" spans="1:14" ht="14.4" hidden="1">
      <c r="A2157" t="s">
        <v>525</v>
      </c>
      <c r="B2157" s="1">
        <v>24</v>
      </c>
      <c r="C2157" s="258" t="s">
        <v>5227</v>
      </c>
      <c r="D2157" t="s">
        <v>1157</v>
      </c>
      <c r="E2157" t="s">
        <v>5228</v>
      </c>
      <c r="F2157"/>
      <c r="H2157" s="1">
        <v>587566.84349999996</v>
      </c>
      <c r="I2157"/>
      <c r="J2157" t="s">
        <v>5220</v>
      </c>
      <c r="K2157" s="170">
        <v>46142</v>
      </c>
      <c r="L2157" s="1">
        <v>1648265.971670009</v>
      </c>
      <c r="M2157" s="1">
        <v>46140</v>
      </c>
    </row>
    <row r="2158" spans="1:14" ht="14.4" hidden="1">
      <c r="A2158" t="s">
        <v>525</v>
      </c>
      <c r="B2158" s="1">
        <v>25</v>
      </c>
      <c r="C2158" s="258" t="s">
        <v>5229</v>
      </c>
      <c r="D2158" t="s">
        <v>1157</v>
      </c>
      <c r="E2158" t="s">
        <v>5230</v>
      </c>
      <c r="F2158"/>
      <c r="H2158" s="1">
        <v>587566.84349999996</v>
      </c>
      <c r="I2158"/>
      <c r="J2158" t="s">
        <v>5220</v>
      </c>
      <c r="K2158" s="170">
        <v>46142</v>
      </c>
      <c r="L2158" s="1">
        <v>1648265.971670009</v>
      </c>
      <c r="M2158" s="1">
        <v>46140</v>
      </c>
    </row>
    <row r="2159" spans="1:14" ht="14.4" hidden="1">
      <c r="A2159" t="s">
        <v>525</v>
      </c>
      <c r="B2159" s="1">
        <v>27</v>
      </c>
      <c r="C2159" s="258" t="s">
        <v>5231</v>
      </c>
      <c r="D2159" t="s">
        <v>1157</v>
      </c>
      <c r="E2159" t="s">
        <v>5232</v>
      </c>
      <c r="F2159">
        <v>3</v>
      </c>
      <c r="G2159">
        <v>98750.73</v>
      </c>
      <c r="H2159" s="1">
        <v>14812.6095</v>
      </c>
      <c r="I2159"/>
      <c r="J2159" t="s">
        <v>5220</v>
      </c>
      <c r="K2159" s="170">
        <v>46142</v>
      </c>
      <c r="L2159" s="1">
        <v>41552.923655546445</v>
      </c>
      <c r="M2159" s="1">
        <v>46052</v>
      </c>
    </row>
    <row r="2160" spans="1:14" ht="14.4" hidden="1">
      <c r="A2160" t="s">
        <v>525</v>
      </c>
      <c r="B2160" s="1">
        <v>28</v>
      </c>
      <c r="C2160" s="258" t="s">
        <v>5233</v>
      </c>
      <c r="D2160" t="s">
        <v>1157</v>
      </c>
      <c r="E2160" t="s">
        <v>5234</v>
      </c>
      <c r="F2160"/>
      <c r="H2160" s="1">
        <v>74063.047500000001</v>
      </c>
      <c r="I2160"/>
      <c r="J2160" t="s">
        <v>5220</v>
      </c>
      <c r="K2160" s="170">
        <v>46142</v>
      </c>
      <c r="L2160" s="1">
        <v>207764.6182777322</v>
      </c>
      <c r="M2160" s="1">
        <v>46072</v>
      </c>
    </row>
    <row r="2161" spans="1:14" ht="14.4" hidden="1">
      <c r="A2161" t="s">
        <v>525</v>
      </c>
      <c r="B2161" s="1">
        <v>29</v>
      </c>
      <c r="C2161" s="258" t="s">
        <v>5235</v>
      </c>
      <c r="D2161" t="s">
        <v>1157</v>
      </c>
      <c r="E2161" t="s">
        <v>5236</v>
      </c>
      <c r="F2161"/>
      <c r="H2161" s="1">
        <v>207376.533</v>
      </c>
      <c r="I2161"/>
      <c r="J2161" t="s">
        <v>5220</v>
      </c>
      <c r="K2161" s="170">
        <v>46142</v>
      </c>
      <c r="L2161" s="1">
        <v>581740.93117765011</v>
      </c>
      <c r="M2161" s="1">
        <v>46140</v>
      </c>
    </row>
    <row r="2162" spans="1:14" ht="14.4" hidden="1">
      <c r="A2162" t="s">
        <v>525</v>
      </c>
      <c r="B2162" s="1">
        <v>31</v>
      </c>
      <c r="C2162" s="258" t="s">
        <v>5237</v>
      </c>
      <c r="D2162" t="s">
        <v>1157</v>
      </c>
      <c r="E2162" t="s">
        <v>5238</v>
      </c>
      <c r="F2162">
        <v>1</v>
      </c>
      <c r="G2162">
        <v>8944</v>
      </c>
      <c r="H2162" s="1">
        <v>8944</v>
      </c>
      <c r="I2162"/>
      <c r="J2162"/>
      <c r="K2162" s="170">
        <v>46234</v>
      </c>
      <c r="L2162" s="1">
        <v>25090.065945180519</v>
      </c>
      <c r="M2162" s="1">
        <v>46234</v>
      </c>
    </row>
    <row r="2163" spans="1:14" ht="14.4" hidden="1">
      <c r="A2163" t="s">
        <v>525</v>
      </c>
      <c r="B2163" s="1">
        <v>32</v>
      </c>
      <c r="C2163" s="258" t="s">
        <v>5239</v>
      </c>
      <c r="D2163" t="s">
        <v>1157</v>
      </c>
      <c r="E2163" t="s">
        <v>5240</v>
      </c>
      <c r="F2163">
        <v>1</v>
      </c>
      <c r="G2163">
        <v>3424</v>
      </c>
      <c r="H2163" s="1">
        <v>3424</v>
      </c>
      <c r="I2163"/>
      <c r="J2163"/>
      <c r="K2163" s="170">
        <v>46234</v>
      </c>
      <c r="L2163" s="1">
        <v>9605.1415246308225</v>
      </c>
      <c r="M2163" s="1">
        <v>46234</v>
      </c>
    </row>
    <row r="2164" spans="1:14" ht="14.4" hidden="1">
      <c r="A2164" t="s">
        <v>525</v>
      </c>
      <c r="B2164" s="1">
        <v>33</v>
      </c>
      <c r="C2164" s="258" t="s">
        <v>5241</v>
      </c>
      <c r="D2164" t="s">
        <v>1157</v>
      </c>
      <c r="E2164" t="s">
        <v>5242</v>
      </c>
      <c r="F2164">
        <v>1</v>
      </c>
      <c r="G2164">
        <v>13160</v>
      </c>
      <c r="H2164" s="1">
        <v>13160</v>
      </c>
      <c r="I2164"/>
      <c r="J2164"/>
      <c r="K2164" s="170">
        <v>46234</v>
      </c>
      <c r="L2164" s="1">
        <v>36916.957495368471</v>
      </c>
      <c r="M2164" s="1">
        <v>46234</v>
      </c>
    </row>
    <row r="2165" spans="1:14" ht="14.4" hidden="1">
      <c r="A2165" t="s">
        <v>525</v>
      </c>
      <c r="B2165" s="1">
        <v>45</v>
      </c>
      <c r="C2165" s="258" t="s">
        <v>5243</v>
      </c>
      <c r="D2165" t="s">
        <v>1160</v>
      </c>
      <c r="E2165" t="s">
        <v>5244</v>
      </c>
      <c r="F2165">
        <v>0.3</v>
      </c>
      <c r="G2165">
        <v>2982663.1307500806</v>
      </c>
      <c r="H2165" s="1">
        <v>894798.93922502419</v>
      </c>
      <c r="I2165" t="s">
        <v>5245</v>
      </c>
      <c r="J2165" t="s">
        <v>5246</v>
      </c>
      <c r="K2165" s="170">
        <v>46142</v>
      </c>
      <c r="L2165" s="1">
        <v>2076309.4418193656</v>
      </c>
      <c r="M2165" s="1">
        <v>46072</v>
      </c>
    </row>
    <row r="2166" spans="1:14" ht="14.4" hidden="1">
      <c r="A2166" t="s">
        <v>525</v>
      </c>
      <c r="B2166" s="1">
        <v>46</v>
      </c>
      <c r="C2166" s="258" t="s">
        <v>5247</v>
      </c>
      <c r="D2166" t="s">
        <v>1160</v>
      </c>
      <c r="E2166" t="s">
        <v>5248</v>
      </c>
      <c r="F2166">
        <v>0.7</v>
      </c>
      <c r="H2166" s="1">
        <v>2087864.1915250565</v>
      </c>
      <c r="I2166"/>
      <c r="J2166"/>
      <c r="K2166" s="170">
        <v>46142</v>
      </c>
      <c r="L2166" s="1">
        <v>4844722.0309118526</v>
      </c>
      <c r="M2166" s="1">
        <v>46142</v>
      </c>
    </row>
    <row r="2167" spans="1:14" ht="14.4" hidden="1">
      <c r="A2167" t="s">
        <v>525</v>
      </c>
      <c r="B2167" s="1">
        <v>48</v>
      </c>
      <c r="C2167" s="258" t="s">
        <v>5249</v>
      </c>
      <c r="D2167" t="s">
        <v>1160</v>
      </c>
      <c r="E2167" t="s">
        <v>5250</v>
      </c>
      <c r="F2167">
        <v>0.3</v>
      </c>
      <c r="G2167">
        <v>2982663.1307500806</v>
      </c>
      <c r="H2167" s="1">
        <v>894798.93922502419</v>
      </c>
      <c r="I2167"/>
      <c r="J2167" t="s">
        <v>5246</v>
      </c>
      <c r="K2167" s="170">
        <v>46173</v>
      </c>
      <c r="L2167" s="1">
        <v>2076309.4418193656</v>
      </c>
      <c r="M2167" s="1">
        <v>46072</v>
      </c>
    </row>
    <row r="2168" spans="1:14" ht="14.4" hidden="1">
      <c r="A2168" t="s">
        <v>525</v>
      </c>
      <c r="B2168" s="1">
        <v>49</v>
      </c>
      <c r="C2168" s="258" t="s">
        <v>5251</v>
      </c>
      <c r="D2168" t="s">
        <v>1160</v>
      </c>
      <c r="E2168" t="s">
        <v>5252</v>
      </c>
      <c r="F2168">
        <v>0.7</v>
      </c>
      <c r="H2168" s="1">
        <v>2087864.1915250565</v>
      </c>
      <c r="I2168"/>
      <c r="J2168"/>
      <c r="K2168" s="170">
        <v>46173</v>
      </c>
      <c r="L2168" s="1">
        <v>4844722.0309118526</v>
      </c>
      <c r="M2168" s="1">
        <v>46171</v>
      </c>
    </row>
    <row r="2169" spans="1:14" ht="14.4" hidden="1">
      <c r="A2169" t="s">
        <v>525</v>
      </c>
      <c r="B2169" s="1">
        <v>51</v>
      </c>
      <c r="C2169" s="258" t="s">
        <v>5253</v>
      </c>
      <c r="D2169" t="s">
        <v>1160</v>
      </c>
      <c r="E2169" t="s">
        <v>5254</v>
      </c>
      <c r="F2169">
        <v>0.3</v>
      </c>
      <c r="G2169">
        <v>3355496.0220938404</v>
      </c>
      <c r="H2169" s="1">
        <v>1006648.806628152</v>
      </c>
      <c r="I2169"/>
      <c r="J2169" t="s">
        <v>5246</v>
      </c>
      <c r="K2169" s="170">
        <v>46203</v>
      </c>
      <c r="L2169" s="1">
        <v>2335848.1220467859</v>
      </c>
      <c r="M2169" s="1">
        <v>46072</v>
      </c>
    </row>
    <row r="2170" spans="1:14" ht="14.4" hidden="1">
      <c r="A2170" t="s">
        <v>525</v>
      </c>
      <c r="B2170" s="1">
        <v>52</v>
      </c>
      <c r="C2170" s="258" t="s">
        <v>5255</v>
      </c>
      <c r="D2170" t="s">
        <v>1160</v>
      </c>
      <c r="E2170" t="s">
        <v>5256</v>
      </c>
      <c r="F2170">
        <v>0.7</v>
      </c>
      <c r="H2170" s="1">
        <v>2348847.2154656881</v>
      </c>
      <c r="I2170"/>
      <c r="J2170"/>
      <c r="K2170" s="170">
        <v>46203</v>
      </c>
      <c r="L2170" s="1">
        <v>5450312.2847758336</v>
      </c>
      <c r="M2170" s="1">
        <v>46202</v>
      </c>
    </row>
    <row r="2171" spans="1:14" ht="14.4" hidden="1">
      <c r="A2171" t="s">
        <v>525</v>
      </c>
      <c r="B2171" s="1">
        <v>60</v>
      </c>
      <c r="C2171" s="258" t="s">
        <v>5257</v>
      </c>
      <c r="D2171" t="s">
        <v>1160</v>
      </c>
      <c r="E2171" t="s">
        <v>5258</v>
      </c>
      <c r="F2171"/>
      <c r="H2171" s="1">
        <v>1077492</v>
      </c>
      <c r="I2171"/>
      <c r="J2171"/>
      <c r="K2171" s="170">
        <v>46142</v>
      </c>
      <c r="L2171" s="1">
        <v>2500234.0917194793</v>
      </c>
      <c r="M2171" s="1">
        <v>46172</v>
      </c>
    </row>
    <row r="2172" spans="1:14" ht="14.4" hidden="1">
      <c r="A2172" t="s">
        <v>525</v>
      </c>
      <c r="B2172" s="1">
        <v>65</v>
      </c>
      <c r="C2172" s="258" t="s">
        <v>5259</v>
      </c>
      <c r="D2172" t="s">
        <v>1160</v>
      </c>
      <c r="E2172" t="s">
        <v>5260</v>
      </c>
      <c r="F2172">
        <v>0.3</v>
      </c>
      <c r="H2172" s="1">
        <v>290418</v>
      </c>
      <c r="I2172"/>
      <c r="J2172"/>
      <c r="K2172" s="170">
        <v>46203</v>
      </c>
      <c r="L2172" s="1">
        <v>673891.76388222631</v>
      </c>
      <c r="M2172" s="1">
        <v>46084</v>
      </c>
    </row>
    <row r="2173" spans="1:14" ht="14.4" hidden="1">
      <c r="A2173" t="s">
        <v>525</v>
      </c>
      <c r="B2173" s="1">
        <v>66</v>
      </c>
      <c r="C2173" s="258" t="s">
        <v>5261</v>
      </c>
      <c r="D2173" t="s">
        <v>1160</v>
      </c>
      <c r="E2173" t="s">
        <v>5262</v>
      </c>
      <c r="F2173">
        <v>0.7</v>
      </c>
      <c r="H2173" s="1">
        <v>677642</v>
      </c>
      <c r="I2173"/>
      <c r="J2173"/>
      <c r="K2173" s="170">
        <v>46265</v>
      </c>
      <c r="L2173" s="1">
        <v>1572414.1157251946</v>
      </c>
      <c r="M2173" s="1">
        <v>46251</v>
      </c>
    </row>
    <row r="2174" spans="1:14" ht="14.4" hidden="1">
      <c r="A2174" t="s">
        <v>525</v>
      </c>
      <c r="B2174" s="1">
        <v>68</v>
      </c>
      <c r="C2174" s="258" t="s">
        <v>5263</v>
      </c>
      <c r="D2174" t="s">
        <v>1160</v>
      </c>
      <c r="E2174" t="s">
        <v>2257</v>
      </c>
      <c r="F2174">
        <v>0.5</v>
      </c>
      <c r="G2174">
        <v>190440</v>
      </c>
      <c r="H2174" s="1">
        <v>95220</v>
      </c>
      <c r="I2174"/>
      <c r="J2174"/>
      <c r="K2174" s="170">
        <v>46265</v>
      </c>
      <c r="L2174" s="1">
        <v>220950.40168607177</v>
      </c>
      <c r="M2174" s="1">
        <v>46265</v>
      </c>
    </row>
    <row r="2175" spans="1:14" ht="14.4" hidden="1">
      <c r="A2175" t="s">
        <v>525</v>
      </c>
      <c r="B2175" s="1">
        <v>69</v>
      </c>
      <c r="C2175" s="258" t="s">
        <v>5264</v>
      </c>
      <c r="D2175" t="s">
        <v>1160</v>
      </c>
      <c r="E2175" t="s">
        <v>2259</v>
      </c>
      <c r="F2175">
        <v>0.5</v>
      </c>
      <c r="H2175" s="1">
        <v>95220</v>
      </c>
      <c r="I2175"/>
      <c r="J2175"/>
      <c r="K2175" s="170">
        <v>46295</v>
      </c>
      <c r="L2175" s="1">
        <v>220950.40168607177</v>
      </c>
      <c r="M2175" s="1">
        <v>46279</v>
      </c>
    </row>
    <row r="2176" spans="1:14" ht="14.4" hidden="1">
      <c r="A2176" t="s">
        <v>525</v>
      </c>
      <c r="B2176" s="1">
        <v>77</v>
      </c>
      <c r="C2176" s="258" t="s">
        <v>5265</v>
      </c>
      <c r="D2176" t="s">
        <v>1165</v>
      </c>
      <c r="E2176" t="s">
        <v>5266</v>
      </c>
      <c r="F2176">
        <v>296000</v>
      </c>
      <c r="G2176">
        <v>14</v>
      </c>
      <c r="H2176" s="1">
        <v>414400</v>
      </c>
      <c r="I2176"/>
      <c r="J2176"/>
      <c r="K2176" s="170">
        <v>46173</v>
      </c>
      <c r="L2176" s="1">
        <v>384519.98853227682</v>
      </c>
      <c r="M2176" s="1">
        <v>46173</v>
      </c>
      <c r="N2176" s="1">
        <v>9713368.4000000004</v>
      </c>
    </row>
    <row r="2177" spans="1:14" ht="14.4" hidden="1">
      <c r="A2177" t="s">
        <v>525</v>
      </c>
      <c r="B2177" s="1">
        <v>78</v>
      </c>
      <c r="C2177" s="258" t="s">
        <v>5267</v>
      </c>
      <c r="D2177" t="s">
        <v>1165</v>
      </c>
      <c r="E2177" t="s">
        <v>5268</v>
      </c>
      <c r="F2177"/>
      <c r="H2177" s="1">
        <v>3729600</v>
      </c>
      <c r="I2177"/>
      <c r="J2177"/>
      <c r="K2177" s="170">
        <v>46234</v>
      </c>
      <c r="L2177" s="1">
        <v>3460679.896790491</v>
      </c>
      <c r="M2177" s="1">
        <v>46231</v>
      </c>
    </row>
    <row r="2178" spans="1:14" ht="14.4" hidden="1">
      <c r="A2178" t="s">
        <v>525</v>
      </c>
      <c r="B2178" s="1">
        <v>80</v>
      </c>
      <c r="C2178" s="258" t="s">
        <v>5269</v>
      </c>
      <c r="D2178" t="s">
        <v>1165</v>
      </c>
      <c r="E2178" t="s">
        <v>5270</v>
      </c>
      <c r="F2178">
        <v>118000</v>
      </c>
      <c r="G2178">
        <v>14</v>
      </c>
      <c r="H2178" s="1">
        <v>165200</v>
      </c>
      <c r="I2178"/>
      <c r="J2178"/>
      <c r="K2178" s="170">
        <v>46173</v>
      </c>
      <c r="L2178" s="1">
        <v>153288.37380678602</v>
      </c>
      <c r="M2178" s="1">
        <v>46173</v>
      </c>
    </row>
    <row r="2179" spans="1:14" ht="14.4" hidden="1">
      <c r="A2179" t="s">
        <v>525</v>
      </c>
      <c r="B2179" s="1">
        <v>81</v>
      </c>
      <c r="C2179" s="258" t="s">
        <v>5271</v>
      </c>
      <c r="D2179" t="s">
        <v>1165</v>
      </c>
      <c r="E2179" t="s">
        <v>5272</v>
      </c>
      <c r="F2179"/>
      <c r="H2179" s="1">
        <v>1486800</v>
      </c>
      <c r="I2179"/>
      <c r="J2179"/>
      <c r="K2179" s="170">
        <v>46234</v>
      </c>
      <c r="L2179" s="1">
        <v>1379595.3642610742</v>
      </c>
      <c r="M2179" s="1">
        <v>46231</v>
      </c>
    </row>
    <row r="2180" spans="1:14" ht="14.4" hidden="1">
      <c r="A2180" t="s">
        <v>525</v>
      </c>
      <c r="B2180" s="1">
        <v>83</v>
      </c>
      <c r="C2180" s="258" t="s">
        <v>5273</v>
      </c>
      <c r="D2180" t="s">
        <v>1165</v>
      </c>
      <c r="E2180" t="s">
        <v>5274</v>
      </c>
      <c r="F2180">
        <v>6000</v>
      </c>
      <c r="G2180">
        <v>14</v>
      </c>
      <c r="H2180" s="1">
        <v>8400</v>
      </c>
      <c r="I2180"/>
      <c r="J2180"/>
      <c r="K2180" s="170">
        <v>46173</v>
      </c>
      <c r="L2180" s="1">
        <v>7794.324091870476</v>
      </c>
      <c r="M2180" s="1">
        <v>46173</v>
      </c>
    </row>
    <row r="2181" spans="1:14" ht="14.4" hidden="1">
      <c r="A2181" t="s">
        <v>525</v>
      </c>
      <c r="B2181" s="1">
        <v>84</v>
      </c>
      <c r="C2181" s="258" t="s">
        <v>5275</v>
      </c>
      <c r="D2181" t="s">
        <v>1165</v>
      </c>
      <c r="E2181" t="s">
        <v>5276</v>
      </c>
      <c r="F2181"/>
      <c r="H2181" s="1">
        <v>75600</v>
      </c>
      <c r="I2181"/>
      <c r="J2181"/>
      <c r="K2181" s="170">
        <v>46234</v>
      </c>
      <c r="L2181" s="1">
        <v>70148.916826834276</v>
      </c>
      <c r="M2181" s="1">
        <v>46231</v>
      </c>
    </row>
    <row r="2182" spans="1:14" ht="14.4" hidden="1">
      <c r="A2182" t="s">
        <v>525</v>
      </c>
      <c r="B2182" s="1">
        <v>86</v>
      </c>
      <c r="C2182" s="258" t="s">
        <v>5277</v>
      </c>
      <c r="D2182" t="s">
        <v>1165</v>
      </c>
      <c r="E2182" t="s">
        <v>5278</v>
      </c>
      <c r="F2182">
        <v>0.8</v>
      </c>
      <c r="H2182" s="1">
        <v>506618.32000000007</v>
      </c>
      <c r="I2182"/>
      <c r="J2182"/>
      <c r="K2182" s="170">
        <v>46173</v>
      </c>
      <c r="L2182" s="1">
        <v>470088.97344749363</v>
      </c>
      <c r="M2182" s="1">
        <v>46173</v>
      </c>
    </row>
    <row r="2183" spans="1:14" ht="14.4" hidden="1">
      <c r="A2183" t="s">
        <v>525</v>
      </c>
      <c r="B2183" s="1">
        <v>87</v>
      </c>
      <c r="C2183" s="258" t="s">
        <v>5279</v>
      </c>
      <c r="D2183" t="s">
        <v>1165</v>
      </c>
      <c r="E2183" t="s">
        <v>5280</v>
      </c>
      <c r="F2183">
        <v>0.2</v>
      </c>
      <c r="H2183" s="1">
        <v>126654.58000000002</v>
      </c>
      <c r="I2183"/>
      <c r="J2183"/>
      <c r="K2183" s="170">
        <v>46142</v>
      </c>
      <c r="L2183" s="1">
        <v>117522.24336187341</v>
      </c>
      <c r="M2183" s="1">
        <v>46142</v>
      </c>
    </row>
    <row r="2184" spans="1:14" ht="14.4" hidden="1">
      <c r="A2184" t="s">
        <v>525</v>
      </c>
      <c r="B2184" s="1">
        <v>89</v>
      </c>
      <c r="C2184" s="258" t="s">
        <v>5281</v>
      </c>
      <c r="D2184" t="s">
        <v>1165</v>
      </c>
      <c r="E2184" t="s">
        <v>5282</v>
      </c>
      <c r="F2184">
        <v>0.5</v>
      </c>
      <c r="H2184" s="1">
        <v>150000</v>
      </c>
      <c r="I2184"/>
      <c r="J2184"/>
      <c r="K2184" s="170">
        <v>46173</v>
      </c>
      <c r="L2184" s="1">
        <v>139184.35878340137</v>
      </c>
      <c r="M2184" s="1">
        <v>46148</v>
      </c>
    </row>
    <row r="2185" spans="1:14" ht="14.4" hidden="1">
      <c r="A2185" t="s">
        <v>525</v>
      </c>
      <c r="B2185" s="1">
        <v>90</v>
      </c>
      <c r="C2185" s="258" t="s">
        <v>5283</v>
      </c>
      <c r="D2185" t="s">
        <v>1165</v>
      </c>
      <c r="E2185" t="s">
        <v>5284</v>
      </c>
      <c r="F2185">
        <v>0.5</v>
      </c>
      <c r="H2185" s="1">
        <v>150000</v>
      </c>
      <c r="I2185"/>
      <c r="J2185"/>
      <c r="K2185" s="170">
        <v>46265</v>
      </c>
      <c r="L2185" s="1">
        <v>139184.35878340137</v>
      </c>
      <c r="M2185" s="1">
        <v>46245</v>
      </c>
    </row>
    <row r="2186" spans="1:14" ht="14.4" hidden="1">
      <c r="A2186" t="s">
        <v>525</v>
      </c>
      <c r="B2186" s="1">
        <v>92</v>
      </c>
      <c r="C2186" s="258" t="s">
        <v>5285</v>
      </c>
      <c r="D2186" t="s">
        <v>1165</v>
      </c>
      <c r="E2186" t="s">
        <v>5286</v>
      </c>
      <c r="F2186">
        <v>0.8</v>
      </c>
      <c r="H2186" s="1">
        <v>400000</v>
      </c>
      <c r="I2186"/>
      <c r="J2186"/>
      <c r="K2186" s="170">
        <v>46203</v>
      </c>
      <c r="L2186" s="1">
        <v>371158.29008907021</v>
      </c>
      <c r="M2186" s="1">
        <v>46198</v>
      </c>
    </row>
    <row r="2187" spans="1:14" ht="14.4" hidden="1">
      <c r="A2187" t="s">
        <v>525</v>
      </c>
      <c r="B2187" s="1">
        <v>93</v>
      </c>
      <c r="C2187" s="258" t="s">
        <v>5287</v>
      </c>
      <c r="D2187" t="s">
        <v>1165</v>
      </c>
      <c r="E2187" t="s">
        <v>5288</v>
      </c>
      <c r="F2187">
        <v>0.2</v>
      </c>
      <c r="H2187" s="1">
        <v>100000</v>
      </c>
      <c r="I2187"/>
      <c r="J2187"/>
      <c r="K2187" s="170">
        <v>46203</v>
      </c>
      <c r="L2187" s="1">
        <v>92789.572522267568</v>
      </c>
      <c r="M2187" s="1">
        <v>46191</v>
      </c>
    </row>
    <row r="2188" spans="1:14" ht="14.4" hidden="1">
      <c r="A2188" t="s">
        <v>525</v>
      </c>
      <c r="B2188" s="1">
        <v>95</v>
      </c>
      <c r="C2188" s="258" t="s">
        <v>5289</v>
      </c>
      <c r="D2188" t="s">
        <v>1165</v>
      </c>
      <c r="E2188" t="s">
        <v>5290</v>
      </c>
      <c r="F2188">
        <v>0.5</v>
      </c>
      <c r="H2188" s="1">
        <v>1200047.75</v>
      </c>
      <c r="I2188"/>
      <c r="J2188"/>
      <c r="K2188" s="170">
        <v>46142</v>
      </c>
      <c r="L2188" s="1">
        <v>1113519.1772880901</v>
      </c>
      <c r="M2188" s="1">
        <v>46141</v>
      </c>
    </row>
    <row r="2189" spans="1:14" ht="14.4" hidden="1">
      <c r="A2189" t="s">
        <v>525</v>
      </c>
      <c r="B2189" s="1">
        <v>96</v>
      </c>
      <c r="C2189" s="258" t="s">
        <v>5291</v>
      </c>
      <c r="D2189" t="s">
        <v>1165</v>
      </c>
      <c r="E2189" t="s">
        <v>5292</v>
      </c>
      <c r="F2189">
        <v>0.5</v>
      </c>
      <c r="H2189" s="1">
        <v>1200047.75</v>
      </c>
      <c r="I2189"/>
      <c r="J2189"/>
      <c r="K2189" s="170">
        <v>46203</v>
      </c>
      <c r="L2189" s="1">
        <v>1113519.1772880901</v>
      </c>
      <c r="M2189" s="1">
        <v>46197</v>
      </c>
    </row>
    <row r="2190" spans="1:14" ht="14.4" hidden="1">
      <c r="A2190" t="s">
        <v>525</v>
      </c>
      <c r="B2190" s="1">
        <v>102</v>
      </c>
      <c r="C2190" s="258" t="s">
        <v>5293</v>
      </c>
      <c r="D2190" t="s">
        <v>1193</v>
      </c>
      <c r="E2190" t="s">
        <v>5294</v>
      </c>
      <c r="F2190">
        <v>1</v>
      </c>
      <c r="G2190">
        <v>500000</v>
      </c>
      <c r="H2190" s="1">
        <v>500000</v>
      </c>
      <c r="I2190"/>
      <c r="J2190"/>
      <c r="K2190" s="170">
        <v>46173</v>
      </c>
      <c r="L2190" s="1">
        <v>642225.26042929292</v>
      </c>
      <c r="M2190" s="1">
        <v>46173</v>
      </c>
      <c r="N2190" s="1">
        <v>3274000</v>
      </c>
    </row>
    <row r="2191" spans="1:14" ht="14.4" hidden="1">
      <c r="A2191" t="s">
        <v>525</v>
      </c>
      <c r="B2191" s="1">
        <v>105</v>
      </c>
      <c r="C2191" s="258" t="s">
        <v>5295</v>
      </c>
      <c r="D2191" t="s">
        <v>1193</v>
      </c>
      <c r="E2191" t="s">
        <v>5296</v>
      </c>
      <c r="F2191">
        <v>2</v>
      </c>
      <c r="G2191">
        <v>612000</v>
      </c>
      <c r="H2191" s="1">
        <v>1224000</v>
      </c>
      <c r="I2191"/>
      <c r="J2191"/>
      <c r="K2191" s="170">
        <v>46173</v>
      </c>
      <c r="L2191" s="1">
        <v>1572167.437530909</v>
      </c>
      <c r="M2191" s="1">
        <v>46173</v>
      </c>
    </row>
    <row r="2192" spans="1:14" ht="14.4" hidden="1">
      <c r="A2192" t="s">
        <v>525</v>
      </c>
      <c r="B2192" s="1">
        <v>108</v>
      </c>
      <c r="C2192" s="258" t="s">
        <v>5297</v>
      </c>
      <c r="D2192" t="s">
        <v>1193</v>
      </c>
      <c r="E2192" t="s">
        <v>5298</v>
      </c>
      <c r="F2192">
        <v>1</v>
      </c>
      <c r="G2192">
        <v>1050000</v>
      </c>
      <c r="H2192" s="1">
        <v>1050000</v>
      </c>
      <c r="I2192"/>
      <c r="J2192"/>
      <c r="K2192" s="170">
        <v>46173</v>
      </c>
      <c r="L2192" s="1">
        <v>1348673.0469015152</v>
      </c>
      <c r="M2192" s="1">
        <v>46173</v>
      </c>
    </row>
    <row r="2193" spans="1:13" ht="14.4" hidden="1">
      <c r="A2193" t="s">
        <v>525</v>
      </c>
      <c r="B2193" s="1">
        <v>111</v>
      </c>
      <c r="C2193" s="258" t="s">
        <v>5299</v>
      </c>
      <c r="D2193" t="s">
        <v>1193</v>
      </c>
      <c r="E2193" t="s">
        <v>5300</v>
      </c>
      <c r="F2193">
        <v>2</v>
      </c>
      <c r="G2193">
        <v>250000</v>
      </c>
      <c r="H2193" s="1">
        <v>500000</v>
      </c>
      <c r="I2193"/>
      <c r="J2193"/>
      <c r="K2193" s="170">
        <v>46173</v>
      </c>
      <c r="L2193" s="1">
        <v>642225.26042929292</v>
      </c>
      <c r="M2193" s="1">
        <v>46173</v>
      </c>
    </row>
    <row r="2194" spans="1:13" ht="14.4" hidden="1">
      <c r="A2194" t="s">
        <v>525</v>
      </c>
      <c r="B2194" s="1">
        <v>128</v>
      </c>
      <c r="C2194" s="258" t="s">
        <v>5301</v>
      </c>
      <c r="D2194" t="s">
        <v>1211</v>
      </c>
      <c r="E2194" t="s">
        <v>5302</v>
      </c>
      <c r="F2194">
        <v>3</v>
      </c>
      <c r="G2194">
        <v>2780642.94</v>
      </c>
      <c r="H2194" s="1">
        <v>417096.44100000011</v>
      </c>
      <c r="I2194" t="s">
        <v>5219</v>
      </c>
      <c r="J2194" t="s">
        <v>5220</v>
      </c>
      <c r="K2194" s="170">
        <v>46173</v>
      </c>
      <c r="L2194" s="1">
        <v>322308.94481935876</v>
      </c>
      <c r="M2194" s="1">
        <v>46051</v>
      </c>
    </row>
    <row r="2195" spans="1:13" ht="14.4" hidden="1">
      <c r="A2195" t="s">
        <v>525</v>
      </c>
      <c r="B2195" s="1">
        <v>129</v>
      </c>
      <c r="C2195" s="258" t="s">
        <v>5303</v>
      </c>
      <c r="D2195" t="s">
        <v>1211</v>
      </c>
      <c r="E2195" t="s">
        <v>5304</v>
      </c>
      <c r="F2195"/>
      <c r="H2195" s="1">
        <v>2085482.2050000001</v>
      </c>
      <c r="I2195"/>
      <c r="J2195" t="s">
        <v>5220</v>
      </c>
      <c r="K2195" s="170">
        <v>46173</v>
      </c>
      <c r="L2195" s="1">
        <v>1611544.7240967934</v>
      </c>
      <c r="M2195" s="1">
        <v>46079</v>
      </c>
    </row>
    <row r="2196" spans="1:13" ht="14.4" hidden="1">
      <c r="A2196" t="s">
        <v>525</v>
      </c>
      <c r="B2196" s="1">
        <v>130</v>
      </c>
      <c r="C2196" s="258" t="s">
        <v>5305</v>
      </c>
      <c r="D2196" t="s">
        <v>1211</v>
      </c>
      <c r="E2196" t="s">
        <v>5306</v>
      </c>
      <c r="F2196"/>
      <c r="H2196" s="1">
        <v>5839350.1739999996</v>
      </c>
      <c r="I2196"/>
      <c r="J2196" t="s">
        <v>5220</v>
      </c>
      <c r="K2196" s="170">
        <v>46173</v>
      </c>
      <c r="L2196" s="1">
        <v>4512325.2274710219</v>
      </c>
      <c r="M2196" s="1">
        <v>46198</v>
      </c>
    </row>
    <row r="2197" spans="1:13" ht="14.4" hidden="1">
      <c r="A2197" t="s">
        <v>525</v>
      </c>
      <c r="B2197" s="1">
        <v>133</v>
      </c>
      <c r="C2197" s="258" t="s">
        <v>5307</v>
      </c>
      <c r="D2197" t="s">
        <v>1211</v>
      </c>
      <c r="E2197" t="s">
        <v>5308</v>
      </c>
      <c r="F2197"/>
      <c r="G2197">
        <v>109155.45999999905</v>
      </c>
      <c r="H2197" s="1">
        <v>5457.7729999999519</v>
      </c>
      <c r="I2197"/>
      <c r="J2197" t="s">
        <v>5220</v>
      </c>
      <c r="K2197" s="170">
        <v>46173</v>
      </c>
      <c r="L2197" s="1">
        <v>4217.4635978099132</v>
      </c>
      <c r="M2197" s="1">
        <v>46051</v>
      </c>
    </row>
    <row r="2198" spans="1:13" ht="14.4" hidden="1">
      <c r="A2198" t="s">
        <v>525</v>
      </c>
      <c r="B2198" s="1">
        <v>134</v>
      </c>
      <c r="C2198" s="258" t="s">
        <v>5309</v>
      </c>
      <c r="D2198" t="s">
        <v>1211</v>
      </c>
      <c r="E2198" t="s">
        <v>5310</v>
      </c>
      <c r="F2198"/>
      <c r="H2198" s="1">
        <v>27288.864999999761</v>
      </c>
      <c r="I2198"/>
      <c r="J2198" t="s">
        <v>5220</v>
      </c>
      <c r="K2198" s="170">
        <v>46173</v>
      </c>
      <c r="L2198" s="1">
        <v>21087.317989049567</v>
      </c>
      <c r="M2198" s="1">
        <v>46079</v>
      </c>
    </row>
    <row r="2199" spans="1:13" ht="14.4" hidden="1">
      <c r="A2199" t="s">
        <v>525</v>
      </c>
      <c r="B2199" s="1">
        <v>135</v>
      </c>
      <c r="C2199" s="258" t="s">
        <v>5311</v>
      </c>
      <c r="D2199" t="s">
        <v>1211</v>
      </c>
      <c r="E2199" t="s">
        <v>5312</v>
      </c>
      <c r="F2199"/>
      <c r="H2199" s="1">
        <v>76408.821999999316</v>
      </c>
      <c r="I2199"/>
      <c r="J2199" t="s">
        <v>5220</v>
      </c>
      <c r="K2199" s="170">
        <v>46173</v>
      </c>
      <c r="L2199" s="1">
        <v>59044.490369338782</v>
      </c>
      <c r="M2199" s="1">
        <v>46198</v>
      </c>
    </row>
    <row r="2200" spans="1:13" ht="14.4" hidden="1">
      <c r="A2200" t="s">
        <v>525</v>
      </c>
      <c r="B2200" s="1">
        <v>137</v>
      </c>
      <c r="C2200" s="258" t="s">
        <v>5313</v>
      </c>
      <c r="D2200" t="s">
        <v>1211</v>
      </c>
      <c r="E2200" t="s">
        <v>5314</v>
      </c>
      <c r="F2200">
        <v>0.2</v>
      </c>
      <c r="G2200">
        <v>4277258</v>
      </c>
      <c r="H2200" s="1">
        <v>855451.60000000021</v>
      </c>
      <c r="I2200"/>
      <c r="J2200"/>
      <c r="K2200" s="170">
        <v>46173</v>
      </c>
      <c r="L2200" s="1">
        <v>661045.44521882443</v>
      </c>
      <c r="M2200" s="1">
        <v>46074</v>
      </c>
    </row>
    <row r="2201" spans="1:13" ht="14.4" hidden="1">
      <c r="A2201" t="s">
        <v>525</v>
      </c>
      <c r="B2201" s="1">
        <v>138</v>
      </c>
      <c r="C2201" s="258" t="s">
        <v>5315</v>
      </c>
      <c r="D2201" t="s">
        <v>1211</v>
      </c>
      <c r="E2201" t="s">
        <v>5316</v>
      </c>
      <c r="F2201">
        <v>0.3</v>
      </c>
      <c r="H2201" s="1">
        <v>1283177.3999999999</v>
      </c>
      <c r="I2201"/>
      <c r="J2201"/>
      <c r="K2201" s="170">
        <v>46173</v>
      </c>
      <c r="L2201" s="1">
        <v>991568.16782823647</v>
      </c>
      <c r="M2201" s="1">
        <v>46088</v>
      </c>
    </row>
    <row r="2202" spans="1:13" ht="14.4" hidden="1">
      <c r="A2202" t="s">
        <v>525</v>
      </c>
      <c r="B2202" s="1">
        <v>139</v>
      </c>
      <c r="C2202" s="258" t="s">
        <v>5317</v>
      </c>
      <c r="D2202" t="s">
        <v>1211</v>
      </c>
      <c r="E2202" t="s">
        <v>5318</v>
      </c>
      <c r="F2202">
        <v>0.3</v>
      </c>
      <c r="H2202" s="1">
        <v>1283177.3999999999</v>
      </c>
      <c r="I2202"/>
      <c r="J2202"/>
      <c r="K2202" s="170">
        <v>46173</v>
      </c>
      <c r="L2202" s="1">
        <v>991568.16782823647</v>
      </c>
      <c r="M2202" s="1">
        <v>46118</v>
      </c>
    </row>
    <row r="2203" spans="1:13" ht="14.4" hidden="1">
      <c r="A2203" t="s">
        <v>525</v>
      </c>
      <c r="B2203" s="1">
        <v>140</v>
      </c>
      <c r="C2203" s="258" t="s">
        <v>5319</v>
      </c>
      <c r="D2203" t="s">
        <v>1211</v>
      </c>
      <c r="E2203" t="s">
        <v>5320</v>
      </c>
      <c r="F2203">
        <v>0.1</v>
      </c>
      <c r="H2203" s="1">
        <v>427725.8000000001</v>
      </c>
      <c r="I2203"/>
      <c r="J2203"/>
      <c r="K2203" s="170">
        <v>46203</v>
      </c>
      <c r="L2203" s="1">
        <v>330522.72260941222</v>
      </c>
      <c r="M2203" s="1">
        <v>46178</v>
      </c>
    </row>
    <row r="2204" spans="1:13" ht="14.4" hidden="1">
      <c r="A2204" t="s">
        <v>525</v>
      </c>
      <c r="B2204" s="1">
        <v>141</v>
      </c>
      <c r="C2204" s="258" t="s">
        <v>5321</v>
      </c>
      <c r="D2204" t="s">
        <v>1211</v>
      </c>
      <c r="E2204" t="s">
        <v>5322</v>
      </c>
      <c r="F2204">
        <v>0.1</v>
      </c>
      <c r="H2204" s="1">
        <v>427725.8000000001</v>
      </c>
      <c r="I2204"/>
      <c r="J2204"/>
      <c r="K2204" s="170">
        <v>46234</v>
      </c>
      <c r="L2204" s="1">
        <v>330522.72260941222</v>
      </c>
      <c r="M2204" s="1">
        <v>46208</v>
      </c>
    </row>
    <row r="2205" spans="1:13" ht="14.4" hidden="1">
      <c r="A2205" t="s">
        <v>525</v>
      </c>
      <c r="B2205" s="1">
        <v>145</v>
      </c>
      <c r="C2205" s="258" t="s">
        <v>5323</v>
      </c>
      <c r="D2205" t="s">
        <v>1211</v>
      </c>
      <c r="E2205" t="s">
        <v>5324</v>
      </c>
      <c r="F2205">
        <v>2</v>
      </c>
      <c r="G2205">
        <v>3000000</v>
      </c>
      <c r="H2205" s="1">
        <v>6000000</v>
      </c>
      <c r="I2205"/>
      <c r="J2205"/>
      <c r="K2205" s="170">
        <v>46173</v>
      </c>
      <c r="L2205" s="1">
        <v>4636466.4830984557</v>
      </c>
      <c r="M2205" s="1">
        <v>46173</v>
      </c>
    </row>
    <row r="2206" spans="1:13" ht="14.4" hidden="1">
      <c r="A2206" t="s">
        <v>525</v>
      </c>
      <c r="B2206" s="1">
        <v>148</v>
      </c>
      <c r="C2206" s="258" t="s">
        <v>5325</v>
      </c>
      <c r="D2206" t="s">
        <v>1211</v>
      </c>
      <c r="E2206" t="s">
        <v>5326</v>
      </c>
      <c r="F2206">
        <v>1000</v>
      </c>
      <c r="G2206">
        <v>1619.3478260869565</v>
      </c>
      <c r="H2206" s="1">
        <v>1619347.8260869563</v>
      </c>
      <c r="I2206"/>
      <c r="J2206"/>
      <c r="K2206" s="170">
        <v>46173</v>
      </c>
      <c r="L2206" s="1">
        <v>1251341.9866884199</v>
      </c>
      <c r="M2206" s="1">
        <v>46173</v>
      </c>
    </row>
    <row r="2207" spans="1:13" ht="14.4" hidden="1">
      <c r="A2207" t="s">
        <v>525</v>
      </c>
      <c r="B2207" s="1">
        <v>151</v>
      </c>
      <c r="C2207" s="258" t="s">
        <v>5327</v>
      </c>
      <c r="D2207" t="s">
        <v>1211</v>
      </c>
      <c r="E2207" t="s">
        <v>5328</v>
      </c>
      <c r="F2207">
        <v>1</v>
      </c>
      <c r="G2207">
        <v>18000</v>
      </c>
      <c r="H2207" s="1">
        <v>18000</v>
      </c>
      <c r="I2207"/>
      <c r="J2207"/>
      <c r="K2207" s="170">
        <v>46173</v>
      </c>
      <c r="L2207" s="1">
        <v>13909.399449295364</v>
      </c>
      <c r="M2207" s="1">
        <v>46173</v>
      </c>
    </row>
    <row r="2208" spans="1:13" ht="14.4" hidden="1">
      <c r="A2208" t="s">
        <v>525</v>
      </c>
      <c r="B2208" s="1">
        <v>154</v>
      </c>
      <c r="C2208" s="258" t="s">
        <v>5329</v>
      </c>
      <c r="D2208" t="s">
        <v>1211</v>
      </c>
      <c r="E2208" t="s">
        <v>5330</v>
      </c>
      <c r="F2208">
        <v>2</v>
      </c>
      <c r="G2208">
        <v>400000</v>
      </c>
      <c r="H2208" s="1">
        <v>800000</v>
      </c>
      <c r="I2208"/>
      <c r="J2208"/>
      <c r="K2208" s="170">
        <v>46173</v>
      </c>
      <c r="L2208" s="1">
        <v>618195.53107979405</v>
      </c>
      <c r="M2208" s="1">
        <v>46173</v>
      </c>
    </row>
    <row r="2209" spans="1:14" ht="14.4" hidden="1">
      <c r="A2209" t="s">
        <v>525</v>
      </c>
      <c r="B2209" s="1">
        <v>157</v>
      </c>
      <c r="C2209" s="258" t="s">
        <v>5331</v>
      </c>
      <c r="D2209" t="s">
        <v>1211</v>
      </c>
      <c r="E2209" t="s">
        <v>5332</v>
      </c>
      <c r="F2209">
        <v>1</v>
      </c>
      <c r="G2209">
        <v>4972644</v>
      </c>
      <c r="H2209" s="1">
        <v>4972644</v>
      </c>
      <c r="I2209"/>
      <c r="J2209"/>
      <c r="K2209" s="170">
        <v>46173</v>
      </c>
      <c r="L2209" s="1">
        <v>3842582.8730634386</v>
      </c>
      <c r="M2209" s="1">
        <v>46173</v>
      </c>
    </row>
    <row r="2210" spans="1:14" ht="14.4" hidden="1">
      <c r="A2210" t="s">
        <v>525</v>
      </c>
      <c r="B2210" s="1">
        <v>164</v>
      </c>
      <c r="C2210" s="258" t="s">
        <v>5333</v>
      </c>
      <c r="D2210" t="s">
        <v>5334</v>
      </c>
      <c r="E2210" t="s">
        <v>5335</v>
      </c>
      <c r="F2210">
        <v>0.5</v>
      </c>
      <c r="H2210" s="1">
        <v>75000</v>
      </c>
      <c r="I2210"/>
      <c r="J2210"/>
      <c r="K2210" s="170">
        <v>46295</v>
      </c>
      <c r="L2210" s="1">
        <v>0</v>
      </c>
      <c r="M2210" s="1">
        <v>46279</v>
      </c>
      <c r="N2210" s="1">
        <v>650000</v>
      </c>
    </row>
    <row r="2211" spans="1:14" ht="14.4" hidden="1">
      <c r="A2211" t="s">
        <v>525</v>
      </c>
      <c r="B2211" s="1">
        <v>165</v>
      </c>
      <c r="C2211" s="258" t="s">
        <v>5336</v>
      </c>
      <c r="D2211" t="s">
        <v>5334</v>
      </c>
      <c r="E2211" t="s">
        <v>5337</v>
      </c>
      <c r="F2211">
        <v>0.5</v>
      </c>
      <c r="H2211" s="1">
        <v>75000</v>
      </c>
      <c r="I2211"/>
      <c r="J2211"/>
      <c r="K2211" s="170">
        <v>46295</v>
      </c>
      <c r="L2211" s="1">
        <v>0</v>
      </c>
      <c r="M2211" s="1">
        <v>46293</v>
      </c>
    </row>
    <row r="2212" spans="1:14" ht="14.4" hidden="1">
      <c r="A2212" t="s">
        <v>525</v>
      </c>
      <c r="B2212" s="1">
        <v>167</v>
      </c>
      <c r="C2212" s="258" t="s">
        <v>5338</v>
      </c>
      <c r="D2212" t="s">
        <v>5334</v>
      </c>
      <c r="E2212" t="s">
        <v>3226</v>
      </c>
      <c r="F2212"/>
      <c r="H2212" s="1">
        <v>500000</v>
      </c>
      <c r="I2212"/>
      <c r="J2212"/>
      <c r="K2212" s="170">
        <v>46295</v>
      </c>
      <c r="L2212" s="1">
        <v>0</v>
      </c>
      <c r="M2212" s="1">
        <v>46293</v>
      </c>
    </row>
    <row r="2213" spans="1:14" ht="14.4" hidden="1">
      <c r="A2213" t="s">
        <v>525</v>
      </c>
      <c r="B2213" s="1">
        <v>173</v>
      </c>
      <c r="C2213" s="258" t="s">
        <v>5339</v>
      </c>
      <c r="D2213" t="s">
        <v>1224</v>
      </c>
      <c r="E2213" t="s">
        <v>5340</v>
      </c>
      <c r="F2213">
        <v>0.70909090909000005</v>
      </c>
      <c r="G2213">
        <v>5500000</v>
      </c>
      <c r="H2213" s="1">
        <v>3899999.9999950002</v>
      </c>
      <c r="I2213"/>
      <c r="J2213" t="s">
        <v>5341</v>
      </c>
      <c r="K2213" s="170">
        <v>46081</v>
      </c>
      <c r="L2213" s="1">
        <v>3388837.0845359154</v>
      </c>
      <c r="M2213" s="1">
        <v>45736</v>
      </c>
      <c r="N2213" s="1">
        <v>16905357.738394998</v>
      </c>
    </row>
    <row r="2214" spans="1:14" ht="14.4" hidden="1">
      <c r="A2214" t="s">
        <v>525</v>
      </c>
      <c r="B2214" s="1">
        <v>174</v>
      </c>
      <c r="C2214" s="258" t="s">
        <v>5342</v>
      </c>
      <c r="D2214" t="s">
        <v>1224</v>
      </c>
      <c r="E2214" t="s">
        <v>5340</v>
      </c>
      <c r="F2214">
        <v>0.29090909090999995</v>
      </c>
      <c r="H2214" s="1">
        <v>1500000</v>
      </c>
      <c r="I2214"/>
      <c r="J2214" t="s">
        <v>5343</v>
      </c>
      <c r="K2214" s="170">
        <v>46081</v>
      </c>
      <c r="L2214" s="1">
        <v>1303398.8786693306</v>
      </c>
      <c r="M2214" s="1">
        <v>45827</v>
      </c>
    </row>
    <row r="2215" spans="1:14" ht="14.4" hidden="1">
      <c r="A2215" t="s">
        <v>525</v>
      </c>
      <c r="B2215" s="1">
        <v>177</v>
      </c>
      <c r="C2215" s="258" t="s">
        <v>5344</v>
      </c>
      <c r="D2215" t="s">
        <v>1224</v>
      </c>
      <c r="E2215" t="s">
        <v>5345</v>
      </c>
      <c r="F2215">
        <v>4</v>
      </c>
      <c r="G2215">
        <v>1373442.48</v>
      </c>
      <c r="H2215" s="1">
        <v>1648130.976</v>
      </c>
      <c r="I2215" t="s">
        <v>5346</v>
      </c>
      <c r="J2215" t="s">
        <v>5347</v>
      </c>
      <c r="K2215" s="170">
        <v>46081</v>
      </c>
      <c r="L2215" s="1">
        <v>1432114.7106790596</v>
      </c>
      <c r="M2215" s="1">
        <v>46059</v>
      </c>
    </row>
    <row r="2216" spans="1:14" ht="14.4" hidden="1">
      <c r="A2216" t="s">
        <v>525</v>
      </c>
      <c r="B2216" s="1">
        <v>178</v>
      </c>
      <c r="C2216" s="258" t="s">
        <v>5348</v>
      </c>
      <c r="D2216" t="s">
        <v>1224</v>
      </c>
      <c r="E2216" t="s">
        <v>5349</v>
      </c>
      <c r="F2216"/>
      <c r="H2216" s="1">
        <v>1098753.9839999999</v>
      </c>
      <c r="I2216"/>
      <c r="J2216"/>
      <c r="K2216" s="170">
        <v>46112</v>
      </c>
      <c r="L2216" s="1">
        <v>954743.14045270637</v>
      </c>
      <c r="M2216" s="1">
        <v>46112</v>
      </c>
    </row>
    <row r="2217" spans="1:14" ht="14.4" hidden="1">
      <c r="A2217" t="s">
        <v>525</v>
      </c>
      <c r="B2217" s="1">
        <v>179</v>
      </c>
      <c r="C2217" s="258" t="s">
        <v>5350</v>
      </c>
      <c r="D2217" t="s">
        <v>1224</v>
      </c>
      <c r="E2217" t="s">
        <v>5351</v>
      </c>
      <c r="F2217"/>
      <c r="H2217" s="1">
        <v>1098753.9839999999</v>
      </c>
      <c r="I2217"/>
      <c r="J2217"/>
      <c r="K2217" s="170">
        <v>46112</v>
      </c>
      <c r="L2217" s="1">
        <v>954743.14045270637</v>
      </c>
      <c r="M2217" s="1">
        <v>46112</v>
      </c>
    </row>
    <row r="2218" spans="1:14" ht="14.4" hidden="1">
      <c r="A2218" t="s">
        <v>525</v>
      </c>
      <c r="B2218" s="1">
        <v>180</v>
      </c>
      <c r="C2218" s="258" t="s">
        <v>5352</v>
      </c>
      <c r="D2218" t="s">
        <v>1224</v>
      </c>
      <c r="E2218" t="s">
        <v>5353</v>
      </c>
      <c r="F2218"/>
      <c r="H2218" s="1">
        <v>1648130.976</v>
      </c>
      <c r="I2218"/>
      <c r="J2218"/>
      <c r="K2218" s="170">
        <v>46142</v>
      </c>
      <c r="L2218" s="1">
        <v>1432114.7106790596</v>
      </c>
      <c r="M2218" s="1">
        <v>46172</v>
      </c>
    </row>
    <row r="2219" spans="1:14" ht="14.4" hidden="1">
      <c r="A2219" t="s">
        <v>525</v>
      </c>
      <c r="B2219" s="1">
        <v>182</v>
      </c>
      <c r="C2219" s="258" t="s">
        <v>5354</v>
      </c>
      <c r="D2219" t="s">
        <v>1224</v>
      </c>
      <c r="E2219" t="s">
        <v>5355</v>
      </c>
      <c r="F2219">
        <v>1</v>
      </c>
      <c r="G2219">
        <v>318220.94</v>
      </c>
      <c r="H2219" s="1">
        <v>95466.282000000007</v>
      </c>
      <c r="I2219"/>
      <c r="J2219"/>
      <c r="K2219" s="170">
        <v>46112</v>
      </c>
      <c r="L2219" s="1">
        <v>82953.763273020071</v>
      </c>
      <c r="M2219" s="1">
        <v>46072</v>
      </c>
    </row>
    <row r="2220" spans="1:14" ht="14.4" hidden="1">
      <c r="A2220" t="s">
        <v>525</v>
      </c>
      <c r="B2220" s="1">
        <v>183</v>
      </c>
      <c r="C2220" s="258" t="s">
        <v>5356</v>
      </c>
      <c r="D2220" t="s">
        <v>1224</v>
      </c>
      <c r="E2220" t="s">
        <v>5357</v>
      </c>
      <c r="F2220"/>
      <c r="H2220" s="1">
        <v>222754.658</v>
      </c>
      <c r="I2220"/>
      <c r="J2220"/>
      <c r="K2220" s="170">
        <v>46142</v>
      </c>
      <c r="L2220" s="1">
        <v>193558.78097038015</v>
      </c>
      <c r="M2220" s="1">
        <v>46132</v>
      </c>
    </row>
    <row r="2221" spans="1:14" ht="14.4" hidden="1">
      <c r="A2221" t="s">
        <v>525</v>
      </c>
      <c r="B2221" s="1">
        <v>185</v>
      </c>
      <c r="C2221" s="258" t="s">
        <v>5358</v>
      </c>
      <c r="D2221" t="s">
        <v>1224</v>
      </c>
      <c r="E2221" t="s">
        <v>5359</v>
      </c>
      <c r="F2221">
        <v>0.6</v>
      </c>
      <c r="G2221">
        <v>1715196.84</v>
      </c>
      <c r="H2221" s="1">
        <v>1029118.1040000001</v>
      </c>
      <c r="I2221"/>
      <c r="J2221"/>
      <c r="K2221" s="170">
        <v>46112</v>
      </c>
      <c r="L2221" s="1">
        <v>894234.2551812717</v>
      </c>
      <c r="M2221" s="1">
        <v>46072</v>
      </c>
    </row>
    <row r="2222" spans="1:14" ht="14.4" hidden="1">
      <c r="A2222" t="s">
        <v>525</v>
      </c>
      <c r="B2222" s="1">
        <v>186</v>
      </c>
      <c r="C2222" s="258" t="s">
        <v>5360</v>
      </c>
      <c r="D2222" t="s">
        <v>1224</v>
      </c>
      <c r="E2222" t="s">
        <v>5361</v>
      </c>
      <c r="F2222">
        <v>0.4</v>
      </c>
      <c r="H2222" s="1">
        <v>274431.49440000003</v>
      </c>
      <c r="I2222"/>
      <c r="J2222"/>
      <c r="K2222" s="170">
        <v>46112</v>
      </c>
      <c r="L2222" s="1">
        <v>238462.46804833916</v>
      </c>
      <c r="M2222" s="1">
        <v>46102</v>
      </c>
    </row>
    <row r="2223" spans="1:14" ht="14.4" hidden="1">
      <c r="A2223" t="s">
        <v>525</v>
      </c>
      <c r="B2223" s="1">
        <v>188</v>
      </c>
      <c r="C2223" s="258" t="s">
        <v>5362</v>
      </c>
      <c r="D2223" t="s">
        <v>1224</v>
      </c>
      <c r="E2223" t="s">
        <v>5363</v>
      </c>
      <c r="F2223">
        <v>0.6</v>
      </c>
      <c r="G2223">
        <v>425526.28</v>
      </c>
      <c r="H2223" s="1">
        <v>255315.76800000001</v>
      </c>
      <c r="I2223"/>
      <c r="J2223"/>
      <c r="K2223" s="170">
        <v>46112</v>
      </c>
      <c r="L2223" s="1">
        <v>221852.19047853263</v>
      </c>
      <c r="M2223" s="1">
        <v>46072</v>
      </c>
    </row>
    <row r="2224" spans="1:14" ht="14.4" hidden="1">
      <c r="A2224" t="s">
        <v>525</v>
      </c>
      <c r="B2224" s="1">
        <v>189</v>
      </c>
      <c r="C2224" s="258" t="s">
        <v>5364</v>
      </c>
      <c r="D2224" t="s">
        <v>1224</v>
      </c>
      <c r="E2224" t="s">
        <v>5365</v>
      </c>
      <c r="F2224">
        <v>0.4</v>
      </c>
      <c r="H2224" s="1">
        <v>170210.51200000002</v>
      </c>
      <c r="I2224"/>
      <c r="J2224"/>
      <c r="K2224" s="170">
        <v>46112</v>
      </c>
      <c r="L2224" s="1">
        <v>147901.46031902175</v>
      </c>
      <c r="M2224" s="1">
        <v>46112</v>
      </c>
    </row>
    <row r="2225" spans="1:14" ht="14.4" hidden="1">
      <c r="A2225" t="s">
        <v>525</v>
      </c>
      <c r="B2225" s="1">
        <v>198</v>
      </c>
      <c r="C2225" s="258" t="s">
        <v>5366</v>
      </c>
      <c r="D2225" t="s">
        <v>1224</v>
      </c>
      <c r="E2225" t="s">
        <v>5367</v>
      </c>
      <c r="F2225">
        <v>1</v>
      </c>
      <c r="G2225">
        <v>1684291</v>
      </c>
      <c r="H2225" s="1">
        <v>1684291</v>
      </c>
      <c r="I2225"/>
      <c r="J2225"/>
      <c r="K2225" s="170">
        <v>46142</v>
      </c>
      <c r="L2225" s="1">
        <v>1463535.3338352302</v>
      </c>
      <c r="M2225" s="1">
        <v>46142</v>
      </c>
    </row>
    <row r="2226" spans="1:14" ht="14.4" hidden="1">
      <c r="A2226" t="s">
        <v>525</v>
      </c>
      <c r="B2226" s="1">
        <v>199</v>
      </c>
      <c r="C2226" s="258" t="s">
        <v>5368</v>
      </c>
      <c r="D2226" t="s">
        <v>1224</v>
      </c>
      <c r="E2226" t="s">
        <v>5369</v>
      </c>
      <c r="F2226"/>
      <c r="H2226" s="1">
        <v>400000</v>
      </c>
      <c r="I2226"/>
      <c r="J2226"/>
      <c r="K2226" s="170">
        <v>46142</v>
      </c>
      <c r="L2226" s="1">
        <v>347573.03431182145</v>
      </c>
      <c r="M2226" s="1">
        <v>46142</v>
      </c>
    </row>
    <row r="2227" spans="1:14" ht="14.4" hidden="1">
      <c r="A2227" t="s">
        <v>525</v>
      </c>
      <c r="B2227" s="1">
        <v>201</v>
      </c>
      <c r="C2227" s="258" t="s">
        <v>5370</v>
      </c>
      <c r="D2227" t="s">
        <v>1224</v>
      </c>
      <c r="E2227" t="s">
        <v>2811</v>
      </c>
      <c r="F2227">
        <v>20</v>
      </c>
      <c r="G2227">
        <v>12000</v>
      </c>
      <c r="H2227" s="1">
        <v>240000</v>
      </c>
      <c r="I2227"/>
      <c r="J2227"/>
      <c r="K2227" s="170">
        <v>46142</v>
      </c>
      <c r="L2227" s="1">
        <v>208543.82058709289</v>
      </c>
      <c r="M2227" s="1">
        <v>46142</v>
      </c>
    </row>
    <row r="2228" spans="1:14" ht="14.4" hidden="1">
      <c r="A2228" t="s">
        <v>525</v>
      </c>
      <c r="B2228" s="1">
        <v>204</v>
      </c>
      <c r="C2228" s="258" t="s">
        <v>5371</v>
      </c>
      <c r="D2228" t="s">
        <v>1224</v>
      </c>
      <c r="E2228" t="s">
        <v>5372</v>
      </c>
      <c r="F2228">
        <v>1</v>
      </c>
      <c r="G2228">
        <v>440000</v>
      </c>
      <c r="H2228" s="1">
        <v>220000</v>
      </c>
      <c r="I2228"/>
      <c r="J2228"/>
      <c r="K2228" s="170">
        <v>46234</v>
      </c>
      <c r="L2228" s="1">
        <v>191165.16887150184</v>
      </c>
      <c r="M2228" s="1">
        <v>46205</v>
      </c>
    </row>
    <row r="2229" spans="1:14" ht="14.4" hidden="1">
      <c r="A2229" t="s">
        <v>525</v>
      </c>
      <c r="B2229" s="1">
        <v>205</v>
      </c>
      <c r="C2229" s="258" t="s">
        <v>5373</v>
      </c>
      <c r="D2229" t="s">
        <v>1224</v>
      </c>
      <c r="E2229" t="s">
        <v>5374</v>
      </c>
      <c r="F2229"/>
      <c r="H2229" s="1">
        <v>220000</v>
      </c>
      <c r="I2229"/>
      <c r="J2229"/>
      <c r="K2229" s="170">
        <v>46265</v>
      </c>
      <c r="L2229" s="1">
        <v>191165.16887150184</v>
      </c>
      <c r="M2229" s="1">
        <v>46235</v>
      </c>
    </row>
    <row r="2230" spans="1:14" ht="14.4" hidden="1">
      <c r="A2230" t="s">
        <v>525</v>
      </c>
      <c r="B2230" s="1">
        <v>213</v>
      </c>
      <c r="C2230" s="258" t="s">
        <v>5375</v>
      </c>
      <c r="D2230" t="s">
        <v>1224</v>
      </c>
      <c r="E2230" t="s">
        <v>5376</v>
      </c>
      <c r="F2230">
        <v>1</v>
      </c>
      <c r="G2230">
        <v>1200000</v>
      </c>
      <c r="H2230" s="1">
        <v>600000</v>
      </c>
      <c r="I2230"/>
      <c r="J2230"/>
      <c r="K2230" s="170">
        <v>46142</v>
      </c>
      <c r="L2230" s="1">
        <v>521359.55146773224</v>
      </c>
      <c r="M2230" s="1">
        <v>46142</v>
      </c>
    </row>
    <row r="2231" spans="1:14" ht="14.4" hidden="1">
      <c r="A2231" t="s">
        <v>525</v>
      </c>
      <c r="B2231" s="1">
        <v>214</v>
      </c>
      <c r="C2231" s="258" t="s">
        <v>5377</v>
      </c>
      <c r="D2231" t="s">
        <v>1224</v>
      </c>
      <c r="E2231" t="s">
        <v>5378</v>
      </c>
      <c r="F2231"/>
      <c r="H2231" s="1">
        <v>600000</v>
      </c>
      <c r="I2231"/>
      <c r="J2231"/>
      <c r="K2231" s="170">
        <v>46142</v>
      </c>
      <c r="L2231" s="1">
        <v>521359.55146773224</v>
      </c>
      <c r="M2231" s="1">
        <v>46142</v>
      </c>
    </row>
    <row r="2232" spans="1:14" ht="14.4" hidden="1">
      <c r="A2232" t="s">
        <v>525</v>
      </c>
      <c r="B2232" s="1">
        <v>231</v>
      </c>
      <c r="C2232" s="258" t="s">
        <v>5379</v>
      </c>
      <c r="D2232" t="s">
        <v>1246</v>
      </c>
      <c r="E2232" t="s">
        <v>5380</v>
      </c>
      <c r="F2232"/>
      <c r="G2232">
        <v>0.3448859124087591</v>
      </c>
      <c r="H2232" s="1">
        <v>4724937</v>
      </c>
      <c r="I2232"/>
      <c r="J2232"/>
      <c r="K2232" s="170">
        <v>46142</v>
      </c>
      <c r="L2232" s="1">
        <v>2806620.0172816957</v>
      </c>
      <c r="M2232" s="1">
        <v>46142</v>
      </c>
      <c r="N2232" s="1">
        <v>23468004.329999998</v>
      </c>
    </row>
    <row r="2233" spans="1:14" ht="14.4" hidden="1">
      <c r="A2233" t="s">
        <v>525</v>
      </c>
      <c r="B2233" s="1">
        <v>242</v>
      </c>
      <c r="C2233" s="258" t="s">
        <v>5381</v>
      </c>
      <c r="D2233" t="s">
        <v>1246</v>
      </c>
      <c r="E2233" t="s">
        <v>5382</v>
      </c>
      <c r="F2233">
        <v>0.3</v>
      </c>
      <c r="G2233">
        <v>5392867.324</v>
      </c>
      <c r="H2233" s="1">
        <v>1617860.1972000001</v>
      </c>
      <c r="I2233"/>
      <c r="J2233"/>
      <c r="K2233" s="170">
        <v>46173</v>
      </c>
      <c r="L2233" s="1">
        <v>961011.50441261602</v>
      </c>
      <c r="M2233" s="1">
        <v>46148</v>
      </c>
    </row>
    <row r="2234" spans="1:14" ht="14.4" hidden="1">
      <c r="A2234" t="s">
        <v>525</v>
      </c>
      <c r="B2234" s="1">
        <v>243</v>
      </c>
      <c r="C2234" s="258" t="s">
        <v>5383</v>
      </c>
      <c r="D2234" t="s">
        <v>1246</v>
      </c>
      <c r="E2234" t="s">
        <v>5384</v>
      </c>
      <c r="F2234">
        <v>0.2</v>
      </c>
      <c r="G2234">
        <v>1.3</v>
      </c>
      <c r="H2234" s="1">
        <v>1078573.4648</v>
      </c>
      <c r="I2234"/>
      <c r="J2234"/>
      <c r="K2234" s="170">
        <v>46173</v>
      </c>
      <c r="L2234" s="1">
        <v>640674.33627507719</v>
      </c>
      <c r="M2234" s="1">
        <v>46170</v>
      </c>
    </row>
    <row r="2235" spans="1:14" ht="14.4" hidden="1">
      <c r="A2235" t="s">
        <v>525</v>
      </c>
      <c r="B2235" s="1">
        <v>244</v>
      </c>
      <c r="C2235" s="258" t="s">
        <v>5385</v>
      </c>
      <c r="D2235" t="s">
        <v>1246</v>
      </c>
      <c r="E2235" t="s">
        <v>5386</v>
      </c>
      <c r="F2235">
        <v>0.1</v>
      </c>
      <c r="H2235" s="1">
        <v>539286.73239999998</v>
      </c>
      <c r="I2235"/>
      <c r="J2235"/>
      <c r="K2235" s="170">
        <v>46203</v>
      </c>
      <c r="L2235" s="1">
        <v>320337.1681375386</v>
      </c>
      <c r="M2235" s="1">
        <v>46184</v>
      </c>
    </row>
    <row r="2236" spans="1:14" ht="14.4" hidden="1">
      <c r="A2236" t="s">
        <v>525</v>
      </c>
      <c r="B2236" s="1">
        <v>245</v>
      </c>
      <c r="C2236" s="258" t="s">
        <v>5387</v>
      </c>
      <c r="D2236" t="s">
        <v>1246</v>
      </c>
      <c r="E2236" t="s">
        <v>5388</v>
      </c>
      <c r="F2236">
        <v>0.1</v>
      </c>
      <c r="H2236" s="1">
        <v>539286.73239999998</v>
      </c>
      <c r="I2236"/>
      <c r="J2236"/>
      <c r="K2236" s="170">
        <v>46203</v>
      </c>
      <c r="L2236" s="1">
        <v>320337.1681375386</v>
      </c>
      <c r="M2236" s="1">
        <v>46197</v>
      </c>
    </row>
    <row r="2237" spans="1:14" ht="14.4" hidden="1">
      <c r="A2237" t="s">
        <v>525</v>
      </c>
      <c r="B2237" s="1">
        <v>246</v>
      </c>
      <c r="C2237" s="258" t="s">
        <v>5389</v>
      </c>
      <c r="D2237" t="s">
        <v>1246</v>
      </c>
      <c r="E2237" t="s">
        <v>5390</v>
      </c>
      <c r="F2237">
        <v>0.1</v>
      </c>
      <c r="H2237" s="1">
        <v>539286.73239999998</v>
      </c>
      <c r="I2237"/>
      <c r="J2237"/>
      <c r="K2237" s="170">
        <v>46234</v>
      </c>
      <c r="L2237" s="1">
        <v>320337.1681375386</v>
      </c>
      <c r="M2237" s="1">
        <v>46205</v>
      </c>
    </row>
    <row r="2238" spans="1:14" ht="14.4" hidden="1">
      <c r="A2238" t="s">
        <v>525</v>
      </c>
      <c r="B2238" s="1">
        <v>247</v>
      </c>
      <c r="C2238" s="258" t="s">
        <v>5391</v>
      </c>
      <c r="D2238" t="s">
        <v>1246</v>
      </c>
      <c r="E2238" t="s">
        <v>5392</v>
      </c>
      <c r="F2238">
        <v>0.1</v>
      </c>
      <c r="H2238" s="1">
        <v>539286.73239999998</v>
      </c>
      <c r="I2238"/>
      <c r="J2238"/>
      <c r="K2238" s="170">
        <v>46265</v>
      </c>
      <c r="L2238" s="1">
        <v>320337.1681375386</v>
      </c>
      <c r="M2238" s="1">
        <v>46260</v>
      </c>
    </row>
    <row r="2239" spans="1:14" ht="14.4" hidden="1">
      <c r="A2239" t="s">
        <v>525</v>
      </c>
      <c r="B2239" s="1">
        <v>248</v>
      </c>
      <c r="C2239" s="258" t="s">
        <v>5393</v>
      </c>
      <c r="D2239" t="s">
        <v>1246</v>
      </c>
      <c r="E2239" t="s">
        <v>5394</v>
      </c>
      <c r="F2239">
        <v>0.05</v>
      </c>
      <c r="H2239" s="1">
        <v>269643.36619999999</v>
      </c>
      <c r="I2239"/>
      <c r="J2239"/>
      <c r="K2239" s="170">
        <v>46295</v>
      </c>
      <c r="L2239" s="1">
        <v>160168.5840687693</v>
      </c>
      <c r="M2239" s="1">
        <v>46274</v>
      </c>
    </row>
    <row r="2240" spans="1:14" ht="14.4" hidden="1">
      <c r="A2240" t="s">
        <v>525</v>
      </c>
      <c r="B2240" s="1">
        <v>249</v>
      </c>
      <c r="C2240" s="258" t="s">
        <v>5395</v>
      </c>
      <c r="D2240" t="s">
        <v>1246</v>
      </c>
      <c r="E2240" t="s">
        <v>5396</v>
      </c>
      <c r="F2240">
        <v>0.05</v>
      </c>
      <c r="H2240" s="1">
        <v>269643.36619999999</v>
      </c>
      <c r="I2240"/>
      <c r="J2240"/>
      <c r="K2240" s="170">
        <v>46721</v>
      </c>
      <c r="L2240" s="1">
        <v>160168.5840687693</v>
      </c>
      <c r="M2240" s="1">
        <v>46696</v>
      </c>
    </row>
    <row r="2241" spans="1:13" ht="14.4" hidden="1">
      <c r="A2241" t="s">
        <v>525</v>
      </c>
      <c r="B2241" s="1">
        <v>251</v>
      </c>
      <c r="C2241" s="258" t="s">
        <v>5397</v>
      </c>
      <c r="D2241" t="s">
        <v>1246</v>
      </c>
      <c r="E2241" t="s">
        <v>5398</v>
      </c>
      <c r="F2241">
        <v>0.3</v>
      </c>
      <c r="G2241">
        <v>2696433.662</v>
      </c>
      <c r="H2241" s="1">
        <v>808930.09860000003</v>
      </c>
      <c r="I2241"/>
      <c r="J2241"/>
      <c r="K2241" s="170">
        <v>46173</v>
      </c>
      <c r="L2241" s="1">
        <v>480505.75220630789</v>
      </c>
      <c r="M2241" s="1">
        <v>46148</v>
      </c>
    </row>
    <row r="2242" spans="1:13" ht="14.4" hidden="1">
      <c r="A2242" t="s">
        <v>525</v>
      </c>
      <c r="B2242" s="1">
        <v>252</v>
      </c>
      <c r="C2242" s="258" t="s">
        <v>5399</v>
      </c>
      <c r="D2242" t="s">
        <v>1246</v>
      </c>
      <c r="E2242" t="s">
        <v>5400</v>
      </c>
      <c r="F2242">
        <v>0.2</v>
      </c>
      <c r="G2242">
        <v>1.3</v>
      </c>
      <c r="H2242" s="1">
        <v>539286.73239999998</v>
      </c>
      <c r="I2242"/>
      <c r="J2242"/>
      <c r="K2242" s="170">
        <v>46203</v>
      </c>
      <c r="L2242" s="1">
        <v>320337.1681375386</v>
      </c>
      <c r="M2242" s="1">
        <v>46202</v>
      </c>
    </row>
    <row r="2243" spans="1:13" ht="14.4" hidden="1">
      <c r="A2243" t="s">
        <v>525</v>
      </c>
      <c r="B2243" s="1">
        <v>253</v>
      </c>
      <c r="C2243" s="258" t="s">
        <v>5401</v>
      </c>
      <c r="D2243" t="s">
        <v>1246</v>
      </c>
      <c r="E2243" t="s">
        <v>5402</v>
      </c>
      <c r="F2243">
        <v>0.1</v>
      </c>
      <c r="H2243" s="1">
        <v>269643.36619999999</v>
      </c>
      <c r="I2243"/>
      <c r="J2243"/>
      <c r="K2243" s="170">
        <v>46234</v>
      </c>
      <c r="L2243" s="1">
        <v>160168.5840687693</v>
      </c>
      <c r="M2243" s="1">
        <v>46218</v>
      </c>
    </row>
    <row r="2244" spans="1:13" ht="14.4" hidden="1">
      <c r="A2244" t="s">
        <v>525</v>
      </c>
      <c r="B2244" s="1">
        <v>254</v>
      </c>
      <c r="C2244" s="258" t="s">
        <v>5403</v>
      </c>
      <c r="D2244" t="s">
        <v>1246</v>
      </c>
      <c r="E2244" t="s">
        <v>5404</v>
      </c>
      <c r="F2244">
        <v>0.1</v>
      </c>
      <c r="H2244" s="1">
        <v>269643.36619999999</v>
      </c>
      <c r="I2244"/>
      <c r="J2244"/>
      <c r="K2244" s="170">
        <v>46234</v>
      </c>
      <c r="L2244" s="1">
        <v>160168.5840687693</v>
      </c>
      <c r="M2244" s="1">
        <v>46234</v>
      </c>
    </row>
    <row r="2245" spans="1:13" ht="14.4" hidden="1">
      <c r="A2245" t="s">
        <v>525</v>
      </c>
      <c r="B2245" s="1">
        <v>255</v>
      </c>
      <c r="C2245" s="258" t="s">
        <v>5405</v>
      </c>
      <c r="D2245" t="s">
        <v>1246</v>
      </c>
      <c r="E2245" t="s">
        <v>5390</v>
      </c>
      <c r="F2245">
        <v>0.1</v>
      </c>
      <c r="H2245" s="1">
        <v>269643.36619999999</v>
      </c>
      <c r="I2245"/>
      <c r="J2245"/>
      <c r="K2245" s="170">
        <v>46265</v>
      </c>
      <c r="L2245" s="1">
        <v>160168.5840687693</v>
      </c>
      <c r="M2245" s="1">
        <v>46245</v>
      </c>
    </row>
    <row r="2246" spans="1:13" ht="14.4" hidden="1">
      <c r="A2246" t="s">
        <v>525</v>
      </c>
      <c r="B2246" s="1">
        <v>256</v>
      </c>
      <c r="C2246" s="258" t="s">
        <v>5406</v>
      </c>
      <c r="D2246" t="s">
        <v>1246</v>
      </c>
      <c r="E2246" t="s">
        <v>5392</v>
      </c>
      <c r="F2246">
        <v>0.1</v>
      </c>
      <c r="H2246" s="1">
        <v>269643.36619999999</v>
      </c>
      <c r="I2246"/>
      <c r="J2246"/>
      <c r="K2246" s="170">
        <v>46295</v>
      </c>
      <c r="L2246" s="1">
        <v>160168.5840687693</v>
      </c>
      <c r="M2246" s="1">
        <v>46274</v>
      </c>
    </row>
    <row r="2247" spans="1:13" ht="14.4" hidden="1">
      <c r="A2247" t="s">
        <v>525</v>
      </c>
      <c r="B2247" s="1">
        <v>257</v>
      </c>
      <c r="C2247" s="258" t="s">
        <v>5407</v>
      </c>
      <c r="D2247" t="s">
        <v>1246</v>
      </c>
      <c r="E2247" t="s">
        <v>5408</v>
      </c>
      <c r="F2247">
        <v>0.05</v>
      </c>
      <c r="H2247" s="1">
        <v>134821.68309999999</v>
      </c>
      <c r="I2247"/>
      <c r="J2247"/>
      <c r="K2247" s="170">
        <v>46295</v>
      </c>
      <c r="L2247" s="1">
        <v>80084.292034384649</v>
      </c>
      <c r="M2247" s="1">
        <v>46288</v>
      </c>
    </row>
    <row r="2248" spans="1:13" ht="14.4" hidden="1">
      <c r="A2248" t="s">
        <v>525</v>
      </c>
      <c r="B2248" s="1">
        <v>258</v>
      </c>
      <c r="C2248" s="258" t="s">
        <v>5409</v>
      </c>
      <c r="D2248" t="s">
        <v>1246</v>
      </c>
      <c r="E2248" t="s">
        <v>5410</v>
      </c>
      <c r="F2248">
        <v>0.05</v>
      </c>
      <c r="H2248" s="1">
        <v>134821.68309999999</v>
      </c>
      <c r="I2248"/>
      <c r="J2248"/>
      <c r="K2248" s="170">
        <v>46721</v>
      </c>
      <c r="L2248" s="1">
        <v>80084.292034384649</v>
      </c>
      <c r="M2248" s="1">
        <v>46696</v>
      </c>
    </row>
    <row r="2249" spans="1:13" ht="14.4" hidden="1">
      <c r="A2249" t="s">
        <v>525</v>
      </c>
      <c r="B2249" s="1">
        <v>260</v>
      </c>
      <c r="C2249" s="258" t="s">
        <v>5411</v>
      </c>
      <c r="D2249" t="s">
        <v>1246</v>
      </c>
      <c r="E2249" t="s">
        <v>5412</v>
      </c>
      <c r="F2249">
        <v>0.3</v>
      </c>
      <c r="G2249">
        <v>5392867.324</v>
      </c>
      <c r="H2249" s="1">
        <v>1617860.1972000001</v>
      </c>
      <c r="I2249"/>
      <c r="J2249"/>
      <c r="K2249" s="170">
        <v>46173</v>
      </c>
      <c r="L2249" s="1">
        <v>961011.50441261602</v>
      </c>
      <c r="M2249" s="1">
        <v>46148</v>
      </c>
    </row>
    <row r="2250" spans="1:13" ht="14.4" hidden="1">
      <c r="A2250" t="s">
        <v>525</v>
      </c>
      <c r="B2250" s="1">
        <v>261</v>
      </c>
      <c r="C2250" s="258" t="s">
        <v>5413</v>
      </c>
      <c r="D2250" t="s">
        <v>1246</v>
      </c>
      <c r="E2250" t="s">
        <v>5414</v>
      </c>
      <c r="F2250">
        <v>0.2</v>
      </c>
      <c r="G2250">
        <v>1.3</v>
      </c>
      <c r="H2250" s="1">
        <v>1078573.4648</v>
      </c>
      <c r="I2250"/>
      <c r="J2250"/>
      <c r="K2250" s="170">
        <v>46265</v>
      </c>
      <c r="L2250" s="1">
        <v>640674.33627507719</v>
      </c>
      <c r="M2250" s="1">
        <v>46241</v>
      </c>
    </row>
    <row r="2251" spans="1:13" ht="14.4" hidden="1">
      <c r="A2251" t="s">
        <v>525</v>
      </c>
      <c r="B2251" s="1">
        <v>262</v>
      </c>
      <c r="C2251" s="258" t="s">
        <v>5415</v>
      </c>
      <c r="D2251" t="s">
        <v>1246</v>
      </c>
      <c r="E2251" t="s">
        <v>5416</v>
      </c>
      <c r="F2251">
        <v>0.1</v>
      </c>
      <c r="H2251" s="1">
        <v>539286.73239999998</v>
      </c>
      <c r="I2251"/>
      <c r="J2251"/>
      <c r="K2251" s="170">
        <v>46265</v>
      </c>
      <c r="L2251" s="1">
        <v>320337.1681375386</v>
      </c>
      <c r="M2251" s="1">
        <v>46254</v>
      </c>
    </row>
    <row r="2252" spans="1:13" ht="14.4" hidden="1">
      <c r="A2252" t="s">
        <v>525</v>
      </c>
      <c r="B2252" s="1">
        <v>263</v>
      </c>
      <c r="C2252" s="258" t="s">
        <v>5417</v>
      </c>
      <c r="D2252" t="s">
        <v>1246</v>
      </c>
      <c r="E2252" t="s">
        <v>5418</v>
      </c>
      <c r="F2252">
        <v>0.1</v>
      </c>
      <c r="H2252" s="1">
        <v>539286.73239999998</v>
      </c>
      <c r="I2252"/>
      <c r="J2252"/>
      <c r="K2252" s="170">
        <v>46295</v>
      </c>
      <c r="L2252" s="1">
        <v>320337.1681375386</v>
      </c>
      <c r="M2252" s="1">
        <v>46276</v>
      </c>
    </row>
    <row r="2253" spans="1:13" ht="14.4" hidden="1">
      <c r="A2253" t="s">
        <v>525</v>
      </c>
      <c r="B2253" s="1">
        <v>264</v>
      </c>
      <c r="C2253" s="258" t="s">
        <v>5419</v>
      </c>
      <c r="D2253" t="s">
        <v>1246</v>
      </c>
      <c r="E2253" t="s">
        <v>5390</v>
      </c>
      <c r="F2253">
        <v>0.1</v>
      </c>
      <c r="H2253" s="1">
        <v>539286.73239999998</v>
      </c>
      <c r="I2253"/>
      <c r="J2253"/>
      <c r="K2253" s="170">
        <v>46295</v>
      </c>
      <c r="L2253" s="1">
        <v>320337.1681375386</v>
      </c>
      <c r="M2253" s="1">
        <v>46282</v>
      </c>
    </row>
    <row r="2254" spans="1:13" ht="14.4" hidden="1">
      <c r="A2254" t="s">
        <v>525</v>
      </c>
      <c r="B2254" s="1">
        <v>265</v>
      </c>
      <c r="C2254" s="258" t="s">
        <v>5420</v>
      </c>
      <c r="D2254" t="s">
        <v>1246</v>
      </c>
      <c r="E2254" t="s">
        <v>5392</v>
      </c>
      <c r="F2254">
        <v>0.1</v>
      </c>
      <c r="H2254" s="1">
        <v>539286.73239999998</v>
      </c>
      <c r="I2254"/>
      <c r="J2254"/>
      <c r="K2254" s="170">
        <v>46295</v>
      </c>
      <c r="L2254" s="1">
        <v>320337.1681375386</v>
      </c>
      <c r="M2254" s="1">
        <v>46288</v>
      </c>
    </row>
    <row r="2255" spans="1:13" ht="14.4" hidden="1">
      <c r="A2255" t="s">
        <v>525</v>
      </c>
      <c r="B2255" s="1">
        <v>266</v>
      </c>
      <c r="C2255" s="258" t="s">
        <v>5421</v>
      </c>
      <c r="D2255" t="s">
        <v>1246</v>
      </c>
      <c r="E2255" t="s">
        <v>5422</v>
      </c>
      <c r="F2255">
        <v>0.05</v>
      </c>
      <c r="H2255" s="1">
        <v>269643.36619999999</v>
      </c>
      <c r="I2255"/>
      <c r="J2255"/>
      <c r="K2255" s="170">
        <v>46326</v>
      </c>
      <c r="L2255" s="1">
        <v>160168.5840687693</v>
      </c>
      <c r="M2255" s="1">
        <v>46302</v>
      </c>
    </row>
    <row r="2256" spans="1:13" ht="14.4" hidden="1">
      <c r="A2256" t="s">
        <v>525</v>
      </c>
      <c r="B2256" s="1">
        <v>267</v>
      </c>
      <c r="C2256" s="258" t="s">
        <v>5423</v>
      </c>
      <c r="D2256" t="s">
        <v>1246</v>
      </c>
      <c r="E2256" t="s">
        <v>5424</v>
      </c>
      <c r="F2256">
        <v>0.05</v>
      </c>
      <c r="H2256" s="1">
        <v>269643.36619999999</v>
      </c>
      <c r="I2256"/>
      <c r="J2256"/>
      <c r="K2256" s="170">
        <v>46721</v>
      </c>
      <c r="L2256" s="1">
        <v>160168.5840687693</v>
      </c>
      <c r="M2256" s="1">
        <v>46696</v>
      </c>
    </row>
    <row r="2257" spans="1:14" ht="14.4" hidden="1">
      <c r="A2257" t="s">
        <v>525</v>
      </c>
      <c r="B2257" s="1">
        <v>269</v>
      </c>
      <c r="C2257" s="258" t="s">
        <v>5425</v>
      </c>
      <c r="D2257" t="s">
        <v>1246</v>
      </c>
      <c r="E2257" t="s">
        <v>5426</v>
      </c>
      <c r="F2257">
        <v>0.3</v>
      </c>
      <c r="G2257">
        <v>528147.62</v>
      </c>
      <c r="H2257" s="1">
        <v>158444.28599999999</v>
      </c>
      <c r="I2257"/>
      <c r="J2257"/>
      <c r="K2257" s="170">
        <v>46203</v>
      </c>
      <c r="L2257" s="1">
        <v>94116.155350114903</v>
      </c>
      <c r="M2257" s="1">
        <v>46198</v>
      </c>
    </row>
    <row r="2258" spans="1:14" ht="14.4" hidden="1">
      <c r="A2258" t="s">
        <v>525</v>
      </c>
      <c r="B2258" s="1">
        <v>270</v>
      </c>
      <c r="C2258" s="258" t="s">
        <v>5427</v>
      </c>
      <c r="D2258" t="s">
        <v>1246</v>
      </c>
      <c r="E2258" t="s">
        <v>5428</v>
      </c>
      <c r="F2258">
        <v>0.2</v>
      </c>
      <c r="H2258" s="1">
        <v>105629.524</v>
      </c>
      <c r="I2258"/>
      <c r="J2258"/>
      <c r="K2258" s="170">
        <v>46234</v>
      </c>
      <c r="L2258" s="1">
        <v>62744.103566743288</v>
      </c>
      <c r="M2258" s="1">
        <v>46212</v>
      </c>
    </row>
    <row r="2259" spans="1:14" ht="14.4" hidden="1">
      <c r="A2259" t="s">
        <v>525</v>
      </c>
      <c r="B2259" s="1">
        <v>271</v>
      </c>
      <c r="C2259" s="258" t="s">
        <v>5429</v>
      </c>
      <c r="D2259" t="s">
        <v>1246</v>
      </c>
      <c r="E2259" t="s">
        <v>5430</v>
      </c>
      <c r="F2259">
        <v>0.1</v>
      </c>
      <c r="H2259" s="1">
        <v>52814.762000000002</v>
      </c>
      <c r="I2259"/>
      <c r="J2259"/>
      <c r="K2259" s="170">
        <v>46234</v>
      </c>
      <c r="L2259" s="1">
        <v>31372.051783371644</v>
      </c>
      <c r="M2259" s="1">
        <v>46226</v>
      </c>
    </row>
    <row r="2260" spans="1:14" ht="14.4" hidden="1">
      <c r="A2260" t="s">
        <v>525</v>
      </c>
      <c r="B2260" s="1">
        <v>272</v>
      </c>
      <c r="C2260" s="258" t="s">
        <v>5431</v>
      </c>
      <c r="D2260" t="s">
        <v>1246</v>
      </c>
      <c r="E2260" t="s">
        <v>5432</v>
      </c>
      <c r="F2260">
        <v>0.1</v>
      </c>
      <c r="H2260" s="1">
        <v>52814.762000000002</v>
      </c>
      <c r="I2260"/>
      <c r="J2260"/>
      <c r="K2260" s="170">
        <v>46265</v>
      </c>
      <c r="L2260" s="1">
        <v>31372.051783371644</v>
      </c>
      <c r="M2260" s="1">
        <v>46240</v>
      </c>
    </row>
    <row r="2261" spans="1:14" ht="14.4" hidden="1">
      <c r="A2261" t="s">
        <v>525</v>
      </c>
      <c r="B2261" s="1">
        <v>273</v>
      </c>
      <c r="C2261" s="258" t="s">
        <v>5433</v>
      </c>
      <c r="D2261" t="s">
        <v>1246</v>
      </c>
      <c r="E2261" t="s">
        <v>5434</v>
      </c>
      <c r="F2261">
        <v>0.1</v>
      </c>
      <c r="H2261" s="1">
        <v>52814.762000000002</v>
      </c>
      <c r="I2261"/>
      <c r="J2261"/>
      <c r="K2261" s="170">
        <v>46265</v>
      </c>
      <c r="L2261" s="1">
        <v>31372.051783371644</v>
      </c>
      <c r="M2261" s="1">
        <v>46254</v>
      </c>
    </row>
    <row r="2262" spans="1:14" ht="14.4" hidden="1">
      <c r="A2262" t="s">
        <v>525</v>
      </c>
      <c r="B2262" s="1">
        <v>274</v>
      </c>
      <c r="C2262" s="258" t="s">
        <v>5435</v>
      </c>
      <c r="D2262" t="s">
        <v>1246</v>
      </c>
      <c r="E2262" t="s">
        <v>5436</v>
      </c>
      <c r="F2262">
        <v>0.1</v>
      </c>
      <c r="H2262" s="1">
        <v>52814.762000000002</v>
      </c>
      <c r="I2262"/>
      <c r="J2262"/>
      <c r="K2262" s="170">
        <v>46295</v>
      </c>
      <c r="L2262" s="1">
        <v>31372.051783371644</v>
      </c>
      <c r="M2262" s="1">
        <v>46268</v>
      </c>
    </row>
    <row r="2263" spans="1:14" ht="14.4" hidden="1">
      <c r="A2263" t="s">
        <v>525</v>
      </c>
      <c r="B2263" s="1">
        <v>275</v>
      </c>
      <c r="C2263" s="258" t="s">
        <v>5437</v>
      </c>
      <c r="D2263" t="s">
        <v>1246</v>
      </c>
      <c r="E2263" t="s">
        <v>5438</v>
      </c>
      <c r="F2263">
        <v>0.05</v>
      </c>
      <c r="H2263" s="1">
        <v>26407.381000000001</v>
      </c>
      <c r="I2263"/>
      <c r="J2263"/>
      <c r="K2263" s="170">
        <v>46295</v>
      </c>
      <c r="L2263" s="1">
        <v>15686.025891685822</v>
      </c>
      <c r="M2263" s="1">
        <v>46282</v>
      </c>
    </row>
    <row r="2264" spans="1:14" ht="14.4" hidden="1">
      <c r="A2264" t="s">
        <v>525</v>
      </c>
      <c r="B2264" s="1">
        <v>276</v>
      </c>
      <c r="C2264" s="258" t="s">
        <v>5439</v>
      </c>
      <c r="D2264" t="s">
        <v>1246</v>
      </c>
      <c r="E2264" t="s">
        <v>5440</v>
      </c>
      <c r="F2264">
        <v>0.05</v>
      </c>
      <c r="H2264" s="1">
        <v>26407.381000000001</v>
      </c>
      <c r="I2264"/>
      <c r="J2264"/>
      <c r="K2264" s="170">
        <v>46721</v>
      </c>
      <c r="L2264" s="1">
        <v>15686.025891685822</v>
      </c>
      <c r="M2264" s="1">
        <v>46696</v>
      </c>
    </row>
    <row r="2265" spans="1:14" ht="14.4" hidden="1">
      <c r="A2265" t="s">
        <v>525</v>
      </c>
      <c r="B2265" s="1">
        <v>278</v>
      </c>
      <c r="C2265" s="258" t="s">
        <v>5441</v>
      </c>
      <c r="D2265" t="s">
        <v>1246</v>
      </c>
      <c r="E2265" t="s">
        <v>5442</v>
      </c>
      <c r="F2265">
        <v>0.3</v>
      </c>
      <c r="G2265">
        <v>4732751.4000000004</v>
      </c>
      <c r="H2265" s="1">
        <v>1419825.4200000002</v>
      </c>
      <c r="I2265"/>
      <c r="J2265"/>
      <c r="K2265" s="170">
        <v>46142</v>
      </c>
      <c r="L2265" s="1">
        <v>843378.53495557536</v>
      </c>
      <c r="M2265" s="1">
        <v>46141</v>
      </c>
    </row>
    <row r="2266" spans="1:14" ht="14.4" hidden="1">
      <c r="A2266" t="s">
        <v>525</v>
      </c>
      <c r="B2266" s="1">
        <v>279</v>
      </c>
      <c r="C2266" s="258" t="s">
        <v>5443</v>
      </c>
      <c r="D2266" t="s">
        <v>1246</v>
      </c>
      <c r="E2266" t="s">
        <v>5444</v>
      </c>
      <c r="F2266">
        <v>0.2</v>
      </c>
      <c r="H2266" s="1">
        <v>946550.28000000014</v>
      </c>
      <c r="I2266"/>
      <c r="J2266"/>
      <c r="K2266" s="170">
        <v>46173</v>
      </c>
      <c r="L2266" s="1">
        <v>562252.35663705016</v>
      </c>
      <c r="M2266" s="1">
        <v>46170</v>
      </c>
    </row>
    <row r="2267" spans="1:14" ht="14.4" hidden="1">
      <c r="A2267" t="s">
        <v>525</v>
      </c>
      <c r="B2267" s="1">
        <v>280</v>
      </c>
      <c r="C2267" s="258" t="s">
        <v>5445</v>
      </c>
      <c r="D2267" t="s">
        <v>1246</v>
      </c>
      <c r="E2267" t="s">
        <v>5446</v>
      </c>
      <c r="F2267">
        <v>0.1</v>
      </c>
      <c r="H2267" s="1">
        <v>473275.14000000007</v>
      </c>
      <c r="I2267"/>
      <c r="J2267"/>
      <c r="K2267" s="170">
        <v>46234</v>
      </c>
      <c r="L2267" s="1">
        <v>281126.17831852508</v>
      </c>
      <c r="M2267" s="1">
        <v>46226</v>
      </c>
    </row>
    <row r="2268" spans="1:14" ht="14.4" hidden="1">
      <c r="A2268" t="s">
        <v>525</v>
      </c>
      <c r="B2268" s="1">
        <v>281</v>
      </c>
      <c r="C2268" s="258" t="s">
        <v>5447</v>
      </c>
      <c r="D2268" t="s">
        <v>1246</v>
      </c>
      <c r="E2268" t="s">
        <v>5448</v>
      </c>
      <c r="F2268">
        <v>0.1</v>
      </c>
      <c r="H2268" s="1">
        <v>473275.14000000007</v>
      </c>
      <c r="I2268"/>
      <c r="J2268"/>
      <c r="K2268" s="170">
        <v>46265</v>
      </c>
      <c r="L2268" s="1">
        <v>281126.17831852508</v>
      </c>
      <c r="M2268" s="1">
        <v>46238</v>
      </c>
    </row>
    <row r="2269" spans="1:14" ht="14.4" hidden="1">
      <c r="A2269" t="s">
        <v>525</v>
      </c>
      <c r="B2269" s="1">
        <v>282</v>
      </c>
      <c r="C2269" s="258" t="s">
        <v>5449</v>
      </c>
      <c r="D2269" t="s">
        <v>1246</v>
      </c>
      <c r="E2269" t="s">
        <v>5450</v>
      </c>
      <c r="F2269">
        <v>0.15</v>
      </c>
      <c r="H2269" s="1">
        <v>709912.71000000008</v>
      </c>
      <c r="I2269"/>
      <c r="J2269"/>
      <c r="K2269" s="170">
        <v>46265</v>
      </c>
      <c r="L2269" s="1">
        <v>421689.26747778768</v>
      </c>
      <c r="M2269" s="1">
        <v>46245</v>
      </c>
    </row>
    <row r="2270" spans="1:14" ht="14.4" hidden="1">
      <c r="A2270" t="s">
        <v>525</v>
      </c>
      <c r="B2270" s="1">
        <v>283</v>
      </c>
      <c r="C2270" s="258" t="s">
        <v>5451</v>
      </c>
      <c r="D2270" t="s">
        <v>1246</v>
      </c>
      <c r="E2270" t="s">
        <v>5452</v>
      </c>
      <c r="F2270">
        <v>0.1</v>
      </c>
      <c r="H2270" s="1">
        <v>473275.14000000007</v>
      </c>
      <c r="I2270"/>
      <c r="J2270"/>
      <c r="K2270" s="170">
        <v>46265</v>
      </c>
      <c r="L2270" s="1">
        <v>281126.17831852508</v>
      </c>
      <c r="M2270" s="1">
        <v>46259</v>
      </c>
    </row>
    <row r="2271" spans="1:14" ht="14.4" hidden="1">
      <c r="A2271" t="s">
        <v>525</v>
      </c>
      <c r="B2271" s="1">
        <v>284</v>
      </c>
      <c r="C2271" s="258" t="s">
        <v>5453</v>
      </c>
      <c r="D2271" t="s">
        <v>1246</v>
      </c>
      <c r="E2271" t="s">
        <v>5454</v>
      </c>
      <c r="F2271">
        <v>0.05</v>
      </c>
      <c r="H2271" s="1">
        <v>236637.57000000004</v>
      </c>
      <c r="I2271"/>
      <c r="J2271"/>
      <c r="K2271" s="170">
        <v>46721</v>
      </c>
      <c r="L2271" s="1">
        <v>140563.08915926254</v>
      </c>
      <c r="M2271" s="1">
        <v>46696</v>
      </c>
    </row>
    <row r="2272" spans="1:14" ht="14.4" hidden="1">
      <c r="A2272" t="s">
        <v>525</v>
      </c>
      <c r="B2272" s="1">
        <v>289</v>
      </c>
      <c r="C2272" s="258" t="s">
        <v>5455</v>
      </c>
      <c r="D2272" t="s">
        <v>1255</v>
      </c>
      <c r="E2272" t="s">
        <v>1343</v>
      </c>
      <c r="F2272"/>
      <c r="H2272" s="1">
        <v>240000</v>
      </c>
      <c r="I2272"/>
      <c r="J2272"/>
      <c r="K2272" s="170">
        <v>46112</v>
      </c>
      <c r="L2272" s="1">
        <v>240820.3746788904</v>
      </c>
      <c r="M2272" s="1">
        <v>46112</v>
      </c>
      <c r="N2272" s="1">
        <v>1799325</v>
      </c>
    </row>
    <row r="2273" spans="1:13" ht="14.4" hidden="1">
      <c r="A2273" t="s">
        <v>525</v>
      </c>
      <c r="B2273" s="1">
        <v>291</v>
      </c>
      <c r="C2273" s="258" t="s">
        <v>5456</v>
      </c>
      <c r="D2273" t="s">
        <v>1255</v>
      </c>
      <c r="E2273" t="s">
        <v>5457</v>
      </c>
      <c r="F2273"/>
      <c r="H2273" s="1">
        <v>247825</v>
      </c>
      <c r="I2273"/>
      <c r="J2273"/>
      <c r="K2273" s="170">
        <v>46112</v>
      </c>
      <c r="L2273" s="1">
        <v>248672.12231165008</v>
      </c>
      <c r="M2273" s="1">
        <v>46112</v>
      </c>
    </row>
    <row r="2274" spans="1:13" ht="14.4" hidden="1">
      <c r="A2274" t="s">
        <v>525</v>
      </c>
      <c r="B2274" s="1">
        <v>294</v>
      </c>
      <c r="C2274" s="258" t="s">
        <v>5458</v>
      </c>
      <c r="D2274" t="s">
        <v>1255</v>
      </c>
      <c r="E2274" t="s">
        <v>5459</v>
      </c>
      <c r="F2274"/>
      <c r="H2274" s="1">
        <v>8000</v>
      </c>
      <c r="I2274"/>
      <c r="J2274"/>
      <c r="K2274" s="170">
        <v>46142</v>
      </c>
      <c r="L2274" s="1">
        <v>8027.3458226296798</v>
      </c>
      <c r="M2274" s="1">
        <v>46142</v>
      </c>
    </row>
    <row r="2275" spans="1:13" ht="14.4" hidden="1">
      <c r="A2275" t="s">
        <v>525</v>
      </c>
      <c r="B2275" s="1">
        <v>295</v>
      </c>
      <c r="C2275" s="258" t="s">
        <v>5460</v>
      </c>
      <c r="D2275" t="s">
        <v>1255</v>
      </c>
      <c r="E2275" t="s">
        <v>5461</v>
      </c>
      <c r="F2275"/>
      <c r="H2275" s="1">
        <v>8000</v>
      </c>
      <c r="I2275"/>
      <c r="J2275"/>
      <c r="K2275" s="170">
        <v>46172</v>
      </c>
      <c r="L2275" s="1">
        <v>8027.3458226296798</v>
      </c>
      <c r="M2275" s="1">
        <v>46172</v>
      </c>
    </row>
    <row r="2276" spans="1:13" ht="14.4" hidden="1">
      <c r="A2276" t="s">
        <v>525</v>
      </c>
      <c r="B2276" s="1">
        <v>296</v>
      </c>
      <c r="C2276" s="258" t="s">
        <v>5462</v>
      </c>
      <c r="D2276" t="s">
        <v>1255</v>
      </c>
      <c r="E2276" t="s">
        <v>5463</v>
      </c>
      <c r="F2276"/>
      <c r="H2276" s="1">
        <v>8000</v>
      </c>
      <c r="I2276"/>
      <c r="J2276"/>
      <c r="K2276" s="170">
        <v>46202</v>
      </c>
      <c r="L2276" s="1">
        <v>8027.3458226296798</v>
      </c>
      <c r="M2276" s="1">
        <v>46202</v>
      </c>
    </row>
    <row r="2277" spans="1:13" ht="14.4" hidden="1">
      <c r="A2277" t="s">
        <v>525</v>
      </c>
      <c r="B2277" s="1">
        <v>297</v>
      </c>
      <c r="C2277" s="258" t="s">
        <v>5464</v>
      </c>
      <c r="D2277" t="s">
        <v>1255</v>
      </c>
      <c r="E2277" t="s">
        <v>5465</v>
      </c>
      <c r="F2277"/>
      <c r="H2277" s="1">
        <v>8000</v>
      </c>
      <c r="I2277"/>
      <c r="J2277"/>
      <c r="K2277" s="170">
        <v>46232</v>
      </c>
      <c r="L2277" s="1">
        <v>8027.3458226296798</v>
      </c>
      <c r="M2277" s="1">
        <v>46232</v>
      </c>
    </row>
    <row r="2278" spans="1:13" ht="14.4" hidden="1">
      <c r="A2278" t="s">
        <v>525</v>
      </c>
      <c r="B2278" s="1">
        <v>298</v>
      </c>
      <c r="C2278" s="258" t="s">
        <v>5466</v>
      </c>
      <c r="D2278" t="s">
        <v>1255</v>
      </c>
      <c r="E2278" t="s">
        <v>5467</v>
      </c>
      <c r="F2278"/>
      <c r="H2278" s="1">
        <v>8000</v>
      </c>
      <c r="I2278"/>
      <c r="J2278"/>
      <c r="K2278" s="170">
        <v>46262</v>
      </c>
      <c r="L2278" s="1">
        <v>8027.3458226296798</v>
      </c>
      <c r="M2278" s="1">
        <v>46262</v>
      </c>
    </row>
    <row r="2279" spans="1:13" ht="14.4" hidden="1">
      <c r="A2279" t="s">
        <v>525</v>
      </c>
      <c r="B2279" s="1">
        <v>302</v>
      </c>
      <c r="C2279" s="258" t="s">
        <v>5468</v>
      </c>
      <c r="D2279" t="s">
        <v>1255</v>
      </c>
      <c r="E2279" t="s">
        <v>5469</v>
      </c>
      <c r="F2279"/>
      <c r="H2279" s="1">
        <v>45000</v>
      </c>
      <c r="I2279" t="s">
        <v>5470</v>
      </c>
      <c r="J2279"/>
      <c r="K2279" s="170">
        <v>46142</v>
      </c>
      <c r="L2279" s="1">
        <v>45153.820252291953</v>
      </c>
      <c r="M2279" s="1">
        <v>46142</v>
      </c>
    </row>
    <row r="2280" spans="1:13" ht="14.4" hidden="1">
      <c r="A2280" t="s">
        <v>525</v>
      </c>
      <c r="B2280" s="1">
        <v>306</v>
      </c>
      <c r="C2280" s="258" t="s">
        <v>5471</v>
      </c>
      <c r="D2280" t="s">
        <v>1255</v>
      </c>
      <c r="E2280" t="s">
        <v>5472</v>
      </c>
      <c r="F2280"/>
      <c r="H2280" s="1">
        <v>2000</v>
      </c>
      <c r="I2280"/>
      <c r="J2280"/>
      <c r="K2280" s="170">
        <v>46142</v>
      </c>
      <c r="L2280" s="1">
        <v>2006.8364556574199</v>
      </c>
      <c r="M2280" s="1">
        <v>46053</v>
      </c>
    </row>
    <row r="2281" spans="1:13" ht="14.4" hidden="1">
      <c r="A2281" t="s">
        <v>525</v>
      </c>
      <c r="B2281" s="1">
        <v>307</v>
      </c>
      <c r="C2281" s="258" t="s">
        <v>5473</v>
      </c>
      <c r="D2281" t="s">
        <v>1255</v>
      </c>
      <c r="E2281" t="s">
        <v>5474</v>
      </c>
      <c r="F2281"/>
      <c r="H2281" s="1">
        <v>2000</v>
      </c>
      <c r="I2281"/>
      <c r="J2281"/>
      <c r="K2281" s="170">
        <v>46081</v>
      </c>
      <c r="L2281" s="1">
        <v>2006.8364556574199</v>
      </c>
      <c r="M2281" s="1">
        <v>46081</v>
      </c>
    </row>
    <row r="2282" spans="1:13" ht="14.4" hidden="1">
      <c r="A2282" t="s">
        <v>525</v>
      </c>
      <c r="B2282" s="1">
        <v>308</v>
      </c>
      <c r="C2282" s="258" t="s">
        <v>5475</v>
      </c>
      <c r="D2282" t="s">
        <v>1255</v>
      </c>
      <c r="E2282" t="s">
        <v>5476</v>
      </c>
      <c r="F2282"/>
      <c r="H2282" s="1">
        <v>2000</v>
      </c>
      <c r="I2282"/>
      <c r="J2282"/>
      <c r="K2282" s="170">
        <v>46112</v>
      </c>
      <c r="L2282" s="1">
        <v>2006.8364556574199</v>
      </c>
      <c r="M2282" s="1">
        <v>46112</v>
      </c>
    </row>
    <row r="2283" spans="1:13" ht="14.4" hidden="1">
      <c r="A2283" t="s">
        <v>525</v>
      </c>
      <c r="B2283" s="1">
        <v>309</v>
      </c>
      <c r="C2283" s="258" t="s">
        <v>5477</v>
      </c>
      <c r="D2283" t="s">
        <v>1255</v>
      </c>
      <c r="E2283" t="s">
        <v>5478</v>
      </c>
      <c r="F2283"/>
      <c r="H2283" s="1">
        <v>2000</v>
      </c>
      <c r="I2283"/>
      <c r="J2283"/>
      <c r="K2283" s="170">
        <v>46142</v>
      </c>
      <c r="L2283" s="1">
        <v>2006.8364556574199</v>
      </c>
      <c r="M2283" s="1">
        <v>46142</v>
      </c>
    </row>
    <row r="2284" spans="1:13" ht="14.4" hidden="1">
      <c r="A2284" t="s">
        <v>525</v>
      </c>
      <c r="B2284" s="1">
        <v>310</v>
      </c>
      <c r="C2284" s="258" t="s">
        <v>5479</v>
      </c>
      <c r="D2284" t="s">
        <v>1255</v>
      </c>
      <c r="E2284" t="s">
        <v>5480</v>
      </c>
      <c r="F2284"/>
      <c r="H2284" s="1">
        <v>2000</v>
      </c>
      <c r="I2284"/>
      <c r="J2284"/>
      <c r="K2284" s="170">
        <v>46173</v>
      </c>
      <c r="L2284" s="1">
        <v>2006.8364556574199</v>
      </c>
      <c r="M2284" s="1">
        <v>46173</v>
      </c>
    </row>
    <row r="2285" spans="1:13" ht="14.4" hidden="1">
      <c r="A2285" t="s">
        <v>525</v>
      </c>
      <c r="B2285" s="1">
        <v>312</v>
      </c>
      <c r="C2285" s="258" t="s">
        <v>5481</v>
      </c>
      <c r="D2285" t="s">
        <v>1255</v>
      </c>
      <c r="E2285" t="s">
        <v>5482</v>
      </c>
      <c r="F2285">
        <v>3</v>
      </c>
      <c r="G2285">
        <v>1100</v>
      </c>
      <c r="H2285" s="1">
        <v>3300</v>
      </c>
      <c r="I2285"/>
      <c r="J2285"/>
      <c r="K2285" s="170">
        <v>46142</v>
      </c>
      <c r="L2285" s="1">
        <v>3311.2801518347428</v>
      </c>
      <c r="M2285" s="1">
        <v>46142</v>
      </c>
    </row>
    <row r="2286" spans="1:13" ht="14.4" hidden="1">
      <c r="A2286" t="s">
        <v>525</v>
      </c>
      <c r="B2286" s="1">
        <v>313</v>
      </c>
      <c r="C2286" s="258" t="s">
        <v>5483</v>
      </c>
      <c r="D2286" t="s">
        <v>1255</v>
      </c>
      <c r="E2286" t="s">
        <v>5484</v>
      </c>
      <c r="F2286">
        <v>3</v>
      </c>
      <c r="G2286">
        <v>1100</v>
      </c>
      <c r="H2286" s="1">
        <v>3300</v>
      </c>
      <c r="I2286"/>
      <c r="J2286"/>
      <c r="K2286" s="170">
        <v>46173</v>
      </c>
      <c r="L2286" s="1">
        <v>3311.2801518347428</v>
      </c>
      <c r="M2286" s="1">
        <v>46173</v>
      </c>
    </row>
    <row r="2287" spans="1:13" ht="14.4" hidden="1">
      <c r="A2287" t="s">
        <v>525</v>
      </c>
      <c r="B2287" s="1">
        <v>314</v>
      </c>
      <c r="C2287" s="258" t="s">
        <v>5485</v>
      </c>
      <c r="D2287" t="s">
        <v>1255</v>
      </c>
      <c r="E2287" t="s">
        <v>2508</v>
      </c>
      <c r="F2287">
        <v>3</v>
      </c>
      <c r="G2287">
        <v>1100</v>
      </c>
      <c r="H2287" s="1">
        <v>3300</v>
      </c>
      <c r="I2287"/>
      <c r="J2287"/>
      <c r="K2287" s="170">
        <v>46203</v>
      </c>
      <c r="L2287" s="1">
        <v>3311.2801518347428</v>
      </c>
      <c r="M2287" s="1">
        <v>46203</v>
      </c>
    </row>
    <row r="2288" spans="1:13" ht="14.4" hidden="1">
      <c r="A2288" t="s">
        <v>525</v>
      </c>
      <c r="B2288" s="1">
        <v>315</v>
      </c>
      <c r="C2288" s="258" t="s">
        <v>5486</v>
      </c>
      <c r="D2288" t="s">
        <v>1255</v>
      </c>
      <c r="E2288" t="s">
        <v>2511</v>
      </c>
      <c r="F2288">
        <v>3</v>
      </c>
      <c r="G2288">
        <v>1100</v>
      </c>
      <c r="H2288" s="1">
        <v>3300</v>
      </c>
      <c r="I2288"/>
      <c r="J2288"/>
      <c r="K2288" s="170">
        <v>46234</v>
      </c>
      <c r="L2288" s="1">
        <v>3311.2801518347428</v>
      </c>
      <c r="M2288" s="1">
        <v>46234</v>
      </c>
    </row>
    <row r="2289" spans="1:14" ht="14.4" hidden="1">
      <c r="A2289" t="s">
        <v>525</v>
      </c>
      <c r="B2289" s="1">
        <v>316</v>
      </c>
      <c r="C2289" s="258" t="s">
        <v>5487</v>
      </c>
      <c r="D2289" t="s">
        <v>1255</v>
      </c>
      <c r="E2289" t="s">
        <v>2514</v>
      </c>
      <c r="F2289">
        <v>3</v>
      </c>
      <c r="G2289">
        <v>1100</v>
      </c>
      <c r="H2289" s="1">
        <v>3300</v>
      </c>
      <c r="I2289"/>
      <c r="J2289"/>
      <c r="K2289" s="170">
        <v>46265</v>
      </c>
      <c r="L2289" s="1">
        <v>3311.2801518347428</v>
      </c>
      <c r="M2289" s="1">
        <v>46265</v>
      </c>
    </row>
    <row r="2290" spans="1:14" ht="14.4" hidden="1">
      <c r="A2290" t="s">
        <v>525</v>
      </c>
      <c r="B2290" s="1">
        <v>321</v>
      </c>
      <c r="C2290" s="258" t="s">
        <v>5488</v>
      </c>
      <c r="D2290" t="s">
        <v>1255</v>
      </c>
      <c r="E2290" t="s">
        <v>5489</v>
      </c>
      <c r="F2290">
        <v>0.5</v>
      </c>
      <c r="G2290">
        <v>700000</v>
      </c>
      <c r="H2290" s="1">
        <v>350000</v>
      </c>
      <c r="I2290"/>
      <c r="J2290"/>
      <c r="K2290" s="170">
        <v>46173</v>
      </c>
      <c r="L2290" s="1">
        <v>351196.37974004855</v>
      </c>
      <c r="M2290" s="1">
        <v>46148</v>
      </c>
    </row>
    <row r="2291" spans="1:14" ht="14.4" hidden="1">
      <c r="A2291" t="s">
        <v>525</v>
      </c>
      <c r="B2291" s="1">
        <v>322</v>
      </c>
      <c r="C2291" s="258" t="s">
        <v>5490</v>
      </c>
      <c r="D2291" t="s">
        <v>1255</v>
      </c>
      <c r="E2291" t="s">
        <v>5491</v>
      </c>
      <c r="F2291">
        <v>0.5</v>
      </c>
      <c r="H2291" s="1">
        <v>350000</v>
      </c>
      <c r="I2291"/>
      <c r="J2291"/>
      <c r="K2291" s="170">
        <v>46173</v>
      </c>
      <c r="L2291" s="1">
        <v>351196.37974004855</v>
      </c>
      <c r="M2291" s="1">
        <v>46156</v>
      </c>
    </row>
    <row r="2292" spans="1:14" ht="14.4" hidden="1">
      <c r="A2292" t="s">
        <v>525</v>
      </c>
      <c r="B2292" s="1">
        <v>324</v>
      </c>
      <c r="C2292" s="258" t="s">
        <v>5492</v>
      </c>
      <c r="D2292" t="s">
        <v>1255</v>
      </c>
      <c r="E2292" t="s">
        <v>5493</v>
      </c>
      <c r="F2292">
        <v>0.5</v>
      </c>
      <c r="G2292">
        <v>125000</v>
      </c>
      <c r="H2292" s="1">
        <v>62500</v>
      </c>
      <c r="I2292"/>
      <c r="J2292"/>
      <c r="K2292" s="170">
        <v>46203</v>
      </c>
      <c r="L2292" s="1">
        <v>62713.639239294374</v>
      </c>
      <c r="M2292" s="1">
        <v>46198</v>
      </c>
    </row>
    <row r="2293" spans="1:14" ht="14.4" hidden="1">
      <c r="A2293" t="s">
        <v>525</v>
      </c>
      <c r="B2293" s="1">
        <v>325</v>
      </c>
      <c r="C2293" s="258" t="s">
        <v>5494</v>
      </c>
      <c r="D2293" t="s">
        <v>1255</v>
      </c>
      <c r="E2293" t="s">
        <v>5495</v>
      </c>
      <c r="F2293">
        <v>0.5</v>
      </c>
      <c r="H2293" s="1">
        <v>62500</v>
      </c>
      <c r="I2293"/>
      <c r="J2293"/>
      <c r="K2293" s="170">
        <v>46203</v>
      </c>
      <c r="L2293" s="1">
        <v>62713.639239294374</v>
      </c>
      <c r="M2293" s="1">
        <v>46191</v>
      </c>
    </row>
    <row r="2294" spans="1:14" ht="14.4" hidden="1">
      <c r="A2294" t="s">
        <v>525</v>
      </c>
      <c r="B2294" s="1">
        <v>327</v>
      </c>
      <c r="C2294" s="258" t="s">
        <v>5496</v>
      </c>
      <c r="D2294" t="s">
        <v>1255</v>
      </c>
      <c r="E2294" t="s">
        <v>5497</v>
      </c>
      <c r="F2294">
        <v>0.5</v>
      </c>
      <c r="G2294">
        <v>375000</v>
      </c>
      <c r="H2294" s="1">
        <v>187500</v>
      </c>
      <c r="I2294"/>
      <c r="J2294"/>
      <c r="K2294" s="170">
        <v>46142</v>
      </c>
      <c r="L2294" s="1">
        <v>188140.91771788313</v>
      </c>
      <c r="M2294" s="1">
        <v>46141</v>
      </c>
    </row>
    <row r="2295" spans="1:14" ht="14.4" hidden="1">
      <c r="A2295" t="s">
        <v>525</v>
      </c>
      <c r="B2295" s="1">
        <v>328</v>
      </c>
      <c r="C2295" s="258" t="s">
        <v>5498</v>
      </c>
      <c r="D2295" t="s">
        <v>1255</v>
      </c>
      <c r="E2295" t="s">
        <v>5499</v>
      </c>
      <c r="F2295">
        <v>0.5</v>
      </c>
      <c r="H2295" s="1">
        <v>187500</v>
      </c>
      <c r="I2295"/>
      <c r="J2295"/>
      <c r="K2295" s="170">
        <v>46173</v>
      </c>
      <c r="L2295" s="1">
        <v>188140.91771788313</v>
      </c>
      <c r="M2295" s="1">
        <v>46167</v>
      </c>
    </row>
    <row r="2296" spans="1:14" ht="14.4" hidden="1">
      <c r="A2296" t="s">
        <v>525</v>
      </c>
      <c r="B2296" s="1">
        <v>338</v>
      </c>
      <c r="C2296" s="258" t="s">
        <v>5500</v>
      </c>
      <c r="D2296" t="s">
        <v>1264</v>
      </c>
      <c r="E2296" t="s">
        <v>1265</v>
      </c>
      <c r="F2296"/>
      <c r="H2296" s="1">
        <v>1500000</v>
      </c>
      <c r="I2296"/>
      <c r="J2296"/>
      <c r="K2296" s="170">
        <v>46203</v>
      </c>
      <c r="L2296" s="1">
        <v>1252496.2757566257</v>
      </c>
      <c r="M2296" s="1">
        <v>46203</v>
      </c>
      <c r="N2296" s="1">
        <v>2252024.4000000004</v>
      </c>
    </row>
    <row r="2297" spans="1:14" ht="14.4" hidden="1">
      <c r="A2297" t="s">
        <v>525</v>
      </c>
      <c r="B2297" s="1">
        <v>339</v>
      </c>
      <c r="C2297" s="258" t="s">
        <v>5501</v>
      </c>
      <c r="D2297" t="s">
        <v>1264</v>
      </c>
      <c r="E2297" t="s">
        <v>5502</v>
      </c>
      <c r="F2297"/>
      <c r="H2297" s="1">
        <v>15630</v>
      </c>
      <c r="I2297" t="s">
        <v>5503</v>
      </c>
      <c r="J2297" t="s">
        <v>5504</v>
      </c>
      <c r="K2297" s="170">
        <v>46081</v>
      </c>
      <c r="L2297" s="1">
        <v>13051.01119338404</v>
      </c>
      <c r="M2297" s="1">
        <v>45785</v>
      </c>
    </row>
    <row r="2298" spans="1:14" ht="14.4" hidden="1">
      <c r="A2298" t="s">
        <v>525</v>
      </c>
      <c r="B2298" s="1">
        <v>340</v>
      </c>
      <c r="C2298" s="258" t="s">
        <v>5505</v>
      </c>
      <c r="D2298" t="s">
        <v>1264</v>
      </c>
      <c r="E2298" t="s">
        <v>1271</v>
      </c>
      <c r="F2298"/>
      <c r="H2298" s="1">
        <v>102900</v>
      </c>
      <c r="I2298" t="s">
        <v>5506</v>
      </c>
      <c r="J2298" t="s">
        <v>5507</v>
      </c>
      <c r="K2298" s="170">
        <v>46081</v>
      </c>
      <c r="L2298" s="1">
        <v>85921.24451690451</v>
      </c>
      <c r="M2298" s="1">
        <v>46112</v>
      </c>
    </row>
    <row r="2299" spans="1:14" ht="14.4" hidden="1">
      <c r="A2299" t="s">
        <v>525</v>
      </c>
      <c r="B2299" s="1">
        <v>341</v>
      </c>
      <c r="C2299" s="258" t="s">
        <v>5508</v>
      </c>
      <c r="D2299" t="s">
        <v>1264</v>
      </c>
      <c r="E2299" t="s">
        <v>5509</v>
      </c>
      <c r="F2299"/>
      <c r="H2299" s="1">
        <v>2400</v>
      </c>
      <c r="I2299"/>
      <c r="J2299" t="s">
        <v>5510</v>
      </c>
      <c r="K2299" s="170">
        <v>46081</v>
      </c>
      <c r="L2299" s="1">
        <v>2003.9940412106012</v>
      </c>
      <c r="M2299" s="1">
        <v>45785</v>
      </c>
    </row>
    <row r="2300" spans="1:14" ht="14.4" hidden="1">
      <c r="A2300" t="s">
        <v>525</v>
      </c>
      <c r="B2300" s="1">
        <v>344</v>
      </c>
      <c r="C2300" s="258" t="s">
        <v>5511</v>
      </c>
      <c r="D2300" t="s">
        <v>1264</v>
      </c>
      <c r="E2300" t="s">
        <v>5512</v>
      </c>
      <c r="F2300"/>
      <c r="H2300" s="1">
        <v>57615</v>
      </c>
      <c r="I2300" t="s">
        <v>5513</v>
      </c>
      <c r="J2300"/>
      <c r="K2300" s="170">
        <v>46081</v>
      </c>
      <c r="L2300" s="1">
        <v>48108.381951811993</v>
      </c>
      <c r="M2300" s="1">
        <v>46081</v>
      </c>
    </row>
    <row r="2301" spans="1:14" ht="14.4" hidden="1">
      <c r="A2301" t="s">
        <v>525</v>
      </c>
      <c r="B2301" s="1">
        <v>345</v>
      </c>
      <c r="C2301" s="258" t="s">
        <v>5514</v>
      </c>
      <c r="D2301" t="s">
        <v>1264</v>
      </c>
      <c r="E2301" t="s">
        <v>5515</v>
      </c>
      <c r="F2301"/>
      <c r="H2301" s="1">
        <v>306500</v>
      </c>
      <c r="I2301" t="s">
        <v>5516</v>
      </c>
      <c r="J2301"/>
      <c r="K2301" s="170">
        <v>46081</v>
      </c>
      <c r="L2301" s="1">
        <v>255926.73901293721</v>
      </c>
      <c r="M2301" s="1">
        <v>46111</v>
      </c>
    </row>
    <row r="2302" spans="1:14" ht="14.4" hidden="1">
      <c r="A2302" t="s">
        <v>525</v>
      </c>
      <c r="B2302" s="1">
        <v>346</v>
      </c>
      <c r="C2302" s="258" t="s">
        <v>5517</v>
      </c>
      <c r="D2302" t="s">
        <v>1264</v>
      </c>
      <c r="E2302" t="s">
        <v>5518</v>
      </c>
      <c r="F2302"/>
      <c r="H2302" s="1">
        <v>11500</v>
      </c>
      <c r="I2302" t="s">
        <v>5519</v>
      </c>
      <c r="J2302"/>
      <c r="K2302" s="170">
        <v>46081</v>
      </c>
      <c r="L2302" s="1">
        <v>9602.471447467462</v>
      </c>
      <c r="M2302" s="1">
        <v>46111</v>
      </c>
    </row>
    <row r="2303" spans="1:14" ht="14.4" hidden="1">
      <c r="A2303" t="s">
        <v>525</v>
      </c>
      <c r="B2303" s="1">
        <v>347</v>
      </c>
      <c r="C2303" s="258" t="s">
        <v>5520</v>
      </c>
      <c r="D2303" t="s">
        <v>1264</v>
      </c>
      <c r="E2303" t="s">
        <v>5521</v>
      </c>
      <c r="F2303"/>
      <c r="H2303" s="1">
        <v>57305</v>
      </c>
      <c r="I2303" t="s">
        <v>5522</v>
      </c>
      <c r="J2303"/>
      <c r="K2303" s="170">
        <v>46081</v>
      </c>
      <c r="L2303" s="1">
        <v>47849.532721488955</v>
      </c>
      <c r="M2303" s="1">
        <v>46111</v>
      </c>
    </row>
    <row r="2304" spans="1:14" ht="14.4" hidden="1">
      <c r="A2304" t="s">
        <v>525</v>
      </c>
      <c r="B2304" s="1">
        <v>348</v>
      </c>
      <c r="C2304" s="258" t="s">
        <v>5523</v>
      </c>
      <c r="D2304" t="s">
        <v>1264</v>
      </c>
      <c r="E2304" t="s">
        <v>5524</v>
      </c>
      <c r="F2304"/>
      <c r="H2304" s="1">
        <v>6500</v>
      </c>
      <c r="I2304" t="s">
        <v>5525</v>
      </c>
      <c r="J2304"/>
      <c r="K2304" s="170">
        <v>46081</v>
      </c>
      <c r="L2304" s="1">
        <v>5427.4838616120451</v>
      </c>
      <c r="M2304" s="1">
        <v>46111</v>
      </c>
    </row>
    <row r="2305" spans="1:14" ht="14.4" hidden="1">
      <c r="A2305" t="s">
        <v>525</v>
      </c>
      <c r="B2305" s="1">
        <v>349</v>
      </c>
      <c r="C2305" s="258" t="s">
        <v>5526</v>
      </c>
      <c r="D2305" t="s">
        <v>1264</v>
      </c>
      <c r="E2305" t="s">
        <v>5527</v>
      </c>
      <c r="F2305"/>
      <c r="H2305" s="1">
        <v>51000</v>
      </c>
      <c r="I2305"/>
      <c r="J2305"/>
      <c r="K2305" s="170">
        <v>46081</v>
      </c>
      <c r="L2305" s="1">
        <v>42584.873375725278</v>
      </c>
      <c r="M2305" s="1">
        <v>46111</v>
      </c>
    </row>
    <row r="2306" spans="1:14" ht="14.4" hidden="1">
      <c r="A2306" t="s">
        <v>525</v>
      </c>
      <c r="B2306" s="1">
        <v>351</v>
      </c>
      <c r="C2306" s="258" t="s">
        <v>5528</v>
      </c>
      <c r="D2306" t="s">
        <v>1264</v>
      </c>
      <c r="E2306" t="s">
        <v>5529</v>
      </c>
      <c r="F2306"/>
      <c r="H2306" s="1">
        <v>12000</v>
      </c>
      <c r="I2306"/>
      <c r="J2306"/>
      <c r="K2306" s="170">
        <v>46081</v>
      </c>
      <c r="L2306" s="1">
        <v>10019.970206053003</v>
      </c>
      <c r="M2306" s="1">
        <v>46111</v>
      </c>
    </row>
    <row r="2307" spans="1:14" ht="14.4" hidden="1">
      <c r="A2307" t="s">
        <v>525</v>
      </c>
      <c r="B2307" s="1">
        <v>352</v>
      </c>
      <c r="C2307" s="258" t="s">
        <v>5530</v>
      </c>
      <c r="D2307" t="s">
        <v>1264</v>
      </c>
      <c r="E2307" t="s">
        <v>5531</v>
      </c>
      <c r="F2307"/>
      <c r="H2307" s="1">
        <v>10000</v>
      </c>
      <c r="I2307"/>
      <c r="J2307"/>
      <c r="K2307" s="170">
        <v>46081</v>
      </c>
      <c r="L2307" s="1">
        <v>8349.9751717108375</v>
      </c>
      <c r="M2307" s="1">
        <v>46111</v>
      </c>
    </row>
    <row r="2308" spans="1:14" ht="14.4" hidden="1">
      <c r="A2308" t="s">
        <v>525</v>
      </c>
      <c r="B2308" s="1">
        <v>353</v>
      </c>
      <c r="C2308" s="258" t="s">
        <v>5532</v>
      </c>
      <c r="D2308" t="s">
        <v>1264</v>
      </c>
      <c r="E2308" t="s">
        <v>5533</v>
      </c>
      <c r="F2308"/>
      <c r="H2308" s="1">
        <v>9128.7999999999993</v>
      </c>
      <c r="I2308"/>
      <c r="J2308"/>
      <c r="K2308" s="170">
        <v>46081</v>
      </c>
      <c r="L2308" s="1">
        <v>7622.5253347513908</v>
      </c>
      <c r="M2308" s="1">
        <v>46111</v>
      </c>
    </row>
    <row r="2309" spans="1:14" ht="14.4" hidden="1">
      <c r="A2309" t="s">
        <v>525</v>
      </c>
      <c r="B2309" s="1">
        <v>354</v>
      </c>
      <c r="C2309" s="258" t="s">
        <v>5534</v>
      </c>
      <c r="D2309" t="s">
        <v>1264</v>
      </c>
      <c r="E2309" t="s">
        <v>5535</v>
      </c>
      <c r="F2309"/>
      <c r="H2309" s="1">
        <v>18257.599999999999</v>
      </c>
      <c r="I2309"/>
      <c r="J2309"/>
      <c r="K2309" s="170">
        <v>46081</v>
      </c>
      <c r="L2309" s="1">
        <v>15245.05066950278</v>
      </c>
      <c r="M2309" s="1">
        <v>46111</v>
      </c>
    </row>
    <row r="2310" spans="1:14" ht="14.4" hidden="1">
      <c r="A2310" t="s">
        <v>525</v>
      </c>
      <c r="B2310" s="1">
        <v>355</v>
      </c>
      <c r="C2310" s="258" t="s">
        <v>5536</v>
      </c>
      <c r="D2310" t="s">
        <v>1264</v>
      </c>
      <c r="E2310" t="s">
        <v>5537</v>
      </c>
      <c r="F2310"/>
      <c r="H2310" s="1">
        <v>18257.599999999999</v>
      </c>
      <c r="I2310"/>
      <c r="J2310"/>
      <c r="K2310" s="170">
        <v>46112</v>
      </c>
      <c r="L2310" s="1">
        <v>15245.05066950278</v>
      </c>
      <c r="M2310" s="1">
        <v>46142</v>
      </c>
    </row>
    <row r="2311" spans="1:14" ht="14.4" hidden="1">
      <c r="A2311" t="s">
        <v>525</v>
      </c>
      <c r="B2311" s="1">
        <v>356</v>
      </c>
      <c r="C2311" s="258" t="s">
        <v>5538</v>
      </c>
      <c r="D2311" t="s">
        <v>1264</v>
      </c>
      <c r="E2311" t="s">
        <v>5539</v>
      </c>
      <c r="F2311"/>
      <c r="H2311" s="1">
        <v>18257.599999999999</v>
      </c>
      <c r="I2311"/>
      <c r="J2311"/>
      <c r="K2311" s="170">
        <v>46142</v>
      </c>
      <c r="L2311" s="1">
        <v>15245.05066950278</v>
      </c>
      <c r="M2311" s="1">
        <v>46172</v>
      </c>
    </row>
    <row r="2312" spans="1:14" ht="14.4" hidden="1">
      <c r="A2312" t="s">
        <v>525</v>
      </c>
      <c r="B2312" s="1">
        <v>357</v>
      </c>
      <c r="C2312" s="258" t="s">
        <v>5540</v>
      </c>
      <c r="D2312" t="s">
        <v>1264</v>
      </c>
      <c r="E2312" t="s">
        <v>5541</v>
      </c>
      <c r="F2312"/>
      <c r="H2312" s="1">
        <v>18257.599999999999</v>
      </c>
      <c r="I2312"/>
      <c r="J2312"/>
      <c r="K2312" s="170">
        <v>46173</v>
      </c>
      <c r="L2312" s="1">
        <v>15245.05066950278</v>
      </c>
      <c r="M2312" s="1">
        <v>46203</v>
      </c>
    </row>
    <row r="2313" spans="1:14" ht="14.4" hidden="1">
      <c r="A2313" t="s">
        <v>525</v>
      </c>
      <c r="B2313" s="1">
        <v>358</v>
      </c>
      <c r="C2313" s="258" t="s">
        <v>5542</v>
      </c>
      <c r="D2313" t="s">
        <v>1264</v>
      </c>
      <c r="E2313" t="s">
        <v>5543</v>
      </c>
      <c r="F2313"/>
      <c r="H2313" s="1">
        <v>18257.599999999999</v>
      </c>
      <c r="I2313"/>
      <c r="J2313"/>
      <c r="K2313" s="170">
        <v>46203</v>
      </c>
      <c r="L2313" s="1">
        <v>15245.05066950278</v>
      </c>
      <c r="M2313" s="1">
        <v>46233</v>
      </c>
    </row>
    <row r="2314" spans="1:14" ht="14.4" hidden="1">
      <c r="A2314" t="s">
        <v>525</v>
      </c>
      <c r="B2314" s="1">
        <v>359</v>
      </c>
      <c r="C2314" s="258" t="s">
        <v>5544</v>
      </c>
      <c r="D2314" t="s">
        <v>1264</v>
      </c>
      <c r="E2314" t="s">
        <v>5545</v>
      </c>
      <c r="F2314"/>
      <c r="H2314" s="1">
        <v>18257.599999999999</v>
      </c>
      <c r="I2314"/>
      <c r="J2314"/>
      <c r="K2314" s="170">
        <v>46234</v>
      </c>
      <c r="L2314" s="1">
        <v>15245.05066950278</v>
      </c>
      <c r="M2314" s="1">
        <v>46264</v>
      </c>
    </row>
    <row r="2315" spans="1:14" ht="14.4" hidden="1">
      <c r="A2315" t="s">
        <v>525</v>
      </c>
      <c r="B2315" s="1">
        <v>379</v>
      </c>
      <c r="C2315" s="258" t="s">
        <v>5546</v>
      </c>
      <c r="D2315" t="s">
        <v>1277</v>
      </c>
      <c r="E2315" t="s">
        <v>5547</v>
      </c>
      <c r="F2315">
        <v>1</v>
      </c>
      <c r="G2315">
        <v>923726.21398921439</v>
      </c>
      <c r="H2315" s="1">
        <v>923726.21398921439</v>
      </c>
      <c r="I2315"/>
      <c r="J2315"/>
      <c r="K2315" s="170">
        <v>46203</v>
      </c>
      <c r="L2315" s="1">
        <v>962214.80623876525</v>
      </c>
      <c r="M2315" s="1">
        <v>46203</v>
      </c>
      <c r="N2315" s="1">
        <v>4531726.213989215</v>
      </c>
    </row>
    <row r="2316" spans="1:14" ht="14.4" hidden="1">
      <c r="A2316" t="s">
        <v>525</v>
      </c>
      <c r="B2316" s="1">
        <v>380</v>
      </c>
      <c r="C2316" s="258" t="s">
        <v>5548</v>
      </c>
      <c r="D2316" t="s">
        <v>1277</v>
      </c>
      <c r="E2316" t="s">
        <v>1903</v>
      </c>
      <c r="F2316"/>
      <c r="H2316" s="1">
        <v>2713000</v>
      </c>
      <c r="I2316"/>
      <c r="J2316"/>
      <c r="K2316" s="170">
        <v>46265</v>
      </c>
      <c r="L2316" s="1">
        <v>2826041.666666667</v>
      </c>
      <c r="M2316" s="1">
        <v>46265</v>
      </c>
    </row>
    <row r="2317" spans="1:14" ht="14.4" hidden="1">
      <c r="A2317" t="s">
        <v>525</v>
      </c>
      <c r="B2317" s="1">
        <v>382</v>
      </c>
      <c r="C2317" s="258" t="s">
        <v>5549</v>
      </c>
      <c r="D2317" t="s">
        <v>1277</v>
      </c>
      <c r="E2317" t="s">
        <v>5550</v>
      </c>
      <c r="F2317"/>
      <c r="H2317" s="1">
        <v>45000</v>
      </c>
      <c r="I2317"/>
      <c r="J2317"/>
      <c r="K2317" s="170">
        <v>46142</v>
      </c>
      <c r="L2317" s="1">
        <v>46875.000000000007</v>
      </c>
      <c r="M2317" s="1">
        <v>46149</v>
      </c>
    </row>
    <row r="2318" spans="1:14" ht="14.4" hidden="1">
      <c r="A2318" t="s">
        <v>525</v>
      </c>
      <c r="B2318" s="1">
        <v>383</v>
      </c>
      <c r="C2318" s="258" t="s">
        <v>5551</v>
      </c>
      <c r="D2318" t="s">
        <v>1277</v>
      </c>
      <c r="E2318" t="s">
        <v>5552</v>
      </c>
      <c r="F2318"/>
      <c r="H2318" s="1">
        <v>45000</v>
      </c>
      <c r="I2318"/>
      <c r="J2318"/>
      <c r="K2318" s="170">
        <v>46173</v>
      </c>
      <c r="L2318" s="1">
        <v>46875.000000000007</v>
      </c>
      <c r="M2318" s="1">
        <v>46180</v>
      </c>
    </row>
    <row r="2319" spans="1:14" ht="14.4" hidden="1">
      <c r="A2319" t="s">
        <v>525</v>
      </c>
      <c r="B2319" s="1">
        <v>384</v>
      </c>
      <c r="C2319" s="258" t="s">
        <v>5553</v>
      </c>
      <c r="D2319" t="s">
        <v>1277</v>
      </c>
      <c r="E2319" t="s">
        <v>5554</v>
      </c>
      <c r="F2319"/>
      <c r="H2319" s="1">
        <v>115000</v>
      </c>
      <c r="I2319"/>
      <c r="J2319"/>
      <c r="K2319" s="170">
        <v>46203</v>
      </c>
      <c r="L2319" s="1">
        <v>119791.66666666669</v>
      </c>
      <c r="M2319" s="1">
        <v>46210</v>
      </c>
    </row>
    <row r="2320" spans="1:14" ht="14.4" hidden="1">
      <c r="A2320" t="s">
        <v>525</v>
      </c>
      <c r="B2320" s="1">
        <v>385</v>
      </c>
      <c r="C2320" s="258" t="s">
        <v>5555</v>
      </c>
      <c r="D2320" t="s">
        <v>1277</v>
      </c>
      <c r="E2320" t="s">
        <v>5556</v>
      </c>
      <c r="F2320"/>
      <c r="H2320" s="1">
        <v>115000</v>
      </c>
      <c r="I2320"/>
      <c r="J2320"/>
      <c r="K2320" s="170">
        <v>46234</v>
      </c>
      <c r="L2320" s="1">
        <v>119791.66666666669</v>
      </c>
      <c r="M2320" s="1">
        <v>46241</v>
      </c>
    </row>
    <row r="2321" spans="1:14" ht="14.4" hidden="1">
      <c r="A2321" t="s">
        <v>525</v>
      </c>
      <c r="B2321" s="1">
        <v>386</v>
      </c>
      <c r="C2321" s="258" t="s">
        <v>5557</v>
      </c>
      <c r="D2321" t="s">
        <v>1277</v>
      </c>
      <c r="E2321" t="s">
        <v>5558</v>
      </c>
      <c r="F2321"/>
      <c r="H2321" s="1">
        <v>115000</v>
      </c>
      <c r="I2321"/>
      <c r="J2321"/>
      <c r="K2321" s="170">
        <v>46265</v>
      </c>
      <c r="L2321" s="1">
        <v>119791.66666666669</v>
      </c>
      <c r="M2321" s="1">
        <v>46272</v>
      </c>
    </row>
    <row r="2322" spans="1:14" ht="14.4" hidden="1">
      <c r="A2322" t="s">
        <v>525</v>
      </c>
      <c r="B2322" s="1">
        <v>387</v>
      </c>
      <c r="C2322" s="258" t="s">
        <v>5559</v>
      </c>
      <c r="D2322" t="s">
        <v>1277</v>
      </c>
      <c r="E2322" t="s">
        <v>5560</v>
      </c>
      <c r="F2322"/>
      <c r="H2322" s="1">
        <v>115000</v>
      </c>
      <c r="I2322"/>
      <c r="J2322"/>
      <c r="K2322" s="170">
        <v>46265</v>
      </c>
      <c r="L2322" s="1">
        <v>119791.66666666669</v>
      </c>
      <c r="M2322" s="1">
        <v>46272</v>
      </c>
    </row>
    <row r="2323" spans="1:14" ht="14.4" hidden="1">
      <c r="A2323" t="s">
        <v>525</v>
      </c>
      <c r="B2323" s="1">
        <v>388</v>
      </c>
      <c r="C2323" s="258" t="s">
        <v>5561</v>
      </c>
      <c r="D2323" t="s">
        <v>1277</v>
      </c>
      <c r="E2323" t="s">
        <v>5562</v>
      </c>
      <c r="F2323"/>
      <c r="H2323" s="1">
        <v>115000</v>
      </c>
      <c r="I2323"/>
      <c r="J2323"/>
      <c r="K2323" s="170">
        <v>46265</v>
      </c>
      <c r="L2323" s="1">
        <v>119791.66666666669</v>
      </c>
      <c r="M2323" s="1">
        <v>46272</v>
      </c>
    </row>
    <row r="2324" spans="1:14" ht="14.4" hidden="1">
      <c r="A2324" t="s">
        <v>525</v>
      </c>
      <c r="B2324" s="1">
        <v>389</v>
      </c>
      <c r="C2324" s="258" t="s">
        <v>5563</v>
      </c>
      <c r="D2324" t="s">
        <v>1277</v>
      </c>
      <c r="E2324" t="s">
        <v>5564</v>
      </c>
      <c r="F2324"/>
      <c r="H2324" s="1">
        <v>115000</v>
      </c>
      <c r="I2324"/>
      <c r="J2324"/>
      <c r="K2324" s="170">
        <v>46265</v>
      </c>
      <c r="L2324" s="1">
        <v>119791.66666666669</v>
      </c>
      <c r="M2324" s="1">
        <v>46272</v>
      </c>
    </row>
    <row r="2325" spans="1:14" ht="14.4" hidden="1">
      <c r="A2325" t="s">
        <v>525</v>
      </c>
      <c r="B2325" s="1">
        <v>390</v>
      </c>
      <c r="C2325" s="258" t="s">
        <v>5565</v>
      </c>
      <c r="D2325" t="s">
        <v>1277</v>
      </c>
      <c r="E2325" t="s">
        <v>5566</v>
      </c>
      <c r="F2325"/>
      <c r="H2325" s="1">
        <v>115000</v>
      </c>
      <c r="I2325"/>
      <c r="J2325"/>
      <c r="K2325" s="170">
        <v>46265</v>
      </c>
      <c r="L2325" s="1">
        <v>119791.66666666669</v>
      </c>
      <c r="M2325" s="1">
        <v>46272</v>
      </c>
    </row>
    <row r="2326" spans="1:14" ht="14.4" hidden="1">
      <c r="A2326" t="s">
        <v>525</v>
      </c>
      <c r="B2326" s="1">
        <v>395</v>
      </c>
      <c r="C2326" s="258" t="s">
        <v>5567</v>
      </c>
      <c r="D2326" t="s">
        <v>1280</v>
      </c>
      <c r="E2326" t="s">
        <v>5568</v>
      </c>
      <c r="F2326"/>
      <c r="H2326" s="1">
        <v>25000</v>
      </c>
      <c r="I2326"/>
      <c r="J2326"/>
      <c r="K2326" s="170">
        <v>46081</v>
      </c>
      <c r="L2326" s="1">
        <v>13428.978720693152</v>
      </c>
      <c r="M2326" s="1">
        <v>46088</v>
      </c>
      <c r="N2326" s="1">
        <v>457800</v>
      </c>
    </row>
    <row r="2327" spans="1:14" ht="14.4" hidden="1">
      <c r="A2327" t="s">
        <v>525</v>
      </c>
      <c r="B2327" s="1">
        <v>396</v>
      </c>
      <c r="C2327" s="258" t="s">
        <v>5569</v>
      </c>
      <c r="D2327" t="s">
        <v>1280</v>
      </c>
      <c r="E2327" t="s">
        <v>5570</v>
      </c>
      <c r="F2327"/>
      <c r="H2327" s="1">
        <v>25000</v>
      </c>
      <c r="I2327"/>
      <c r="J2327"/>
      <c r="K2327" s="170">
        <v>46112</v>
      </c>
      <c r="L2327" s="1">
        <v>13428.978720693152</v>
      </c>
      <c r="M2327" s="1">
        <v>46119</v>
      </c>
    </row>
    <row r="2328" spans="1:14" ht="14.4" hidden="1">
      <c r="A2328" t="s">
        <v>525</v>
      </c>
      <c r="B2328" s="1">
        <v>397</v>
      </c>
      <c r="C2328" s="258" t="s">
        <v>5571</v>
      </c>
      <c r="D2328" t="s">
        <v>1280</v>
      </c>
      <c r="E2328" t="s">
        <v>5572</v>
      </c>
      <c r="F2328"/>
      <c r="H2328" s="1">
        <v>25000</v>
      </c>
      <c r="I2328"/>
      <c r="J2328"/>
      <c r="K2328" s="170">
        <v>46142</v>
      </c>
      <c r="L2328" s="1">
        <v>13428.978720693152</v>
      </c>
      <c r="M2328" s="1">
        <v>46149</v>
      </c>
    </row>
    <row r="2329" spans="1:14" ht="14.4" hidden="1">
      <c r="A2329" t="s">
        <v>525</v>
      </c>
      <c r="B2329" s="1">
        <v>398</v>
      </c>
      <c r="C2329" s="258" t="s">
        <v>5573</v>
      </c>
      <c r="D2329" t="s">
        <v>1280</v>
      </c>
      <c r="E2329" t="s">
        <v>5574</v>
      </c>
      <c r="F2329"/>
      <c r="H2329" s="1">
        <v>25000</v>
      </c>
      <c r="I2329"/>
      <c r="J2329"/>
      <c r="K2329" s="170">
        <v>46173</v>
      </c>
      <c r="L2329" s="1">
        <v>13428.978720693152</v>
      </c>
      <c r="M2329" s="1">
        <v>46180</v>
      </c>
    </row>
    <row r="2330" spans="1:14" ht="14.4" hidden="1">
      <c r="A2330" t="s">
        <v>525</v>
      </c>
      <c r="B2330" s="1">
        <v>399</v>
      </c>
      <c r="C2330" s="258" t="s">
        <v>5575</v>
      </c>
      <c r="D2330" t="s">
        <v>1280</v>
      </c>
      <c r="E2330" t="s">
        <v>5576</v>
      </c>
      <c r="F2330"/>
      <c r="H2330" s="1">
        <v>25000</v>
      </c>
      <c r="I2330"/>
      <c r="J2330"/>
      <c r="K2330" s="170">
        <v>46203</v>
      </c>
      <c r="L2330" s="1">
        <v>13428.978720693152</v>
      </c>
      <c r="M2330" s="1">
        <v>46210</v>
      </c>
    </row>
    <row r="2331" spans="1:14" ht="14.4" hidden="1">
      <c r="A2331" t="s">
        <v>525</v>
      </c>
      <c r="B2331" s="1">
        <v>400</v>
      </c>
      <c r="C2331" s="258" t="s">
        <v>5577</v>
      </c>
      <c r="D2331" t="s">
        <v>1280</v>
      </c>
      <c r="E2331" t="s">
        <v>5578</v>
      </c>
      <c r="F2331"/>
      <c r="H2331" s="1">
        <v>25000</v>
      </c>
      <c r="I2331"/>
      <c r="J2331"/>
      <c r="K2331" s="170">
        <v>46234</v>
      </c>
      <c r="L2331" s="1">
        <v>13428.978720693152</v>
      </c>
      <c r="M2331" s="1">
        <v>46241</v>
      </c>
    </row>
    <row r="2332" spans="1:14" ht="14.4" hidden="1">
      <c r="A2332" t="s">
        <v>525</v>
      </c>
      <c r="B2332" s="1">
        <v>401</v>
      </c>
      <c r="C2332" s="258" t="s">
        <v>5579</v>
      </c>
      <c r="D2332" t="s">
        <v>1280</v>
      </c>
      <c r="E2332" t="s">
        <v>5580</v>
      </c>
      <c r="F2332"/>
      <c r="H2332" s="1">
        <v>25000</v>
      </c>
      <c r="I2332"/>
      <c r="J2332"/>
      <c r="K2332" s="170">
        <v>46265</v>
      </c>
      <c r="L2332" s="1">
        <v>13428.978720693152</v>
      </c>
      <c r="M2332" s="1">
        <v>46272</v>
      </c>
    </row>
    <row r="2333" spans="1:14" ht="14.4" hidden="1">
      <c r="A2333" t="s">
        <v>525</v>
      </c>
      <c r="B2333" s="1">
        <v>403</v>
      </c>
      <c r="C2333" s="258" t="s">
        <v>5581</v>
      </c>
      <c r="D2333" t="s">
        <v>1280</v>
      </c>
      <c r="E2333" t="s">
        <v>5582</v>
      </c>
      <c r="F2333"/>
      <c r="H2333" s="1">
        <v>26000</v>
      </c>
      <c r="I2333"/>
      <c r="J2333"/>
      <c r="K2333" s="170">
        <v>46142</v>
      </c>
      <c r="L2333" s="1">
        <v>13966.137869520877</v>
      </c>
      <c r="M2333" s="1">
        <v>46149</v>
      </c>
    </row>
    <row r="2334" spans="1:14" ht="14.4" hidden="1">
      <c r="A2334" t="s">
        <v>525</v>
      </c>
      <c r="B2334" s="1">
        <v>404</v>
      </c>
      <c r="C2334" s="258" t="s">
        <v>5583</v>
      </c>
      <c r="D2334" t="s">
        <v>1280</v>
      </c>
      <c r="E2334" t="s">
        <v>5584</v>
      </c>
      <c r="F2334"/>
      <c r="H2334" s="1">
        <v>28000</v>
      </c>
      <c r="I2334"/>
      <c r="J2334"/>
      <c r="K2334" s="170">
        <v>46081</v>
      </c>
      <c r="L2334" s="1">
        <v>15040.456167176328</v>
      </c>
      <c r="M2334" s="1">
        <v>46088</v>
      </c>
    </row>
    <row r="2335" spans="1:14" ht="14.4" hidden="1">
      <c r="A2335" t="s">
        <v>525</v>
      </c>
      <c r="B2335" s="1">
        <v>405</v>
      </c>
      <c r="C2335" s="258" t="s">
        <v>5585</v>
      </c>
      <c r="D2335" t="s">
        <v>1280</v>
      </c>
      <c r="E2335" t="s">
        <v>5586</v>
      </c>
      <c r="F2335"/>
      <c r="H2335" s="1">
        <v>28000</v>
      </c>
      <c r="I2335"/>
      <c r="J2335"/>
      <c r="K2335" s="170">
        <v>46112</v>
      </c>
      <c r="L2335" s="1">
        <v>15040.456167176328</v>
      </c>
      <c r="M2335" s="1">
        <v>46119</v>
      </c>
    </row>
    <row r="2336" spans="1:14" ht="14.4" hidden="1">
      <c r="A2336" t="s">
        <v>525</v>
      </c>
      <c r="B2336" s="1">
        <v>406</v>
      </c>
      <c r="C2336" s="258" t="s">
        <v>5587</v>
      </c>
      <c r="D2336" t="s">
        <v>1280</v>
      </c>
      <c r="E2336" t="s">
        <v>5588</v>
      </c>
      <c r="F2336"/>
      <c r="H2336" s="1">
        <v>28000</v>
      </c>
      <c r="I2336"/>
      <c r="J2336"/>
      <c r="K2336" s="170">
        <v>46142</v>
      </c>
      <c r="L2336" s="1">
        <v>15040.456167176328</v>
      </c>
      <c r="M2336" s="1">
        <v>46149</v>
      </c>
    </row>
    <row r="2337" spans="1:13" ht="14.4" hidden="1">
      <c r="A2337" t="s">
        <v>525</v>
      </c>
      <c r="B2337" s="1">
        <v>407</v>
      </c>
      <c r="C2337" s="258" t="s">
        <v>5589</v>
      </c>
      <c r="D2337" t="s">
        <v>1280</v>
      </c>
      <c r="E2337" t="s">
        <v>5590</v>
      </c>
      <c r="F2337"/>
      <c r="H2337" s="1">
        <v>28000</v>
      </c>
      <c r="I2337"/>
      <c r="J2337"/>
      <c r="K2337" s="170">
        <v>46173</v>
      </c>
      <c r="L2337" s="1">
        <v>15040.456167176328</v>
      </c>
      <c r="M2337" s="1">
        <v>46180</v>
      </c>
    </row>
    <row r="2338" spans="1:13" ht="14.4" hidden="1">
      <c r="A2338" t="s">
        <v>525</v>
      </c>
      <c r="B2338" s="1">
        <v>408</v>
      </c>
      <c r="C2338" s="258" t="s">
        <v>5591</v>
      </c>
      <c r="D2338" t="s">
        <v>1280</v>
      </c>
      <c r="E2338" t="s">
        <v>5592</v>
      </c>
      <c r="F2338"/>
      <c r="H2338" s="1">
        <v>28000</v>
      </c>
      <c r="I2338"/>
      <c r="J2338"/>
      <c r="K2338" s="170">
        <v>46203</v>
      </c>
      <c r="L2338" s="1">
        <v>15040.456167176328</v>
      </c>
      <c r="M2338" s="1">
        <v>46210</v>
      </c>
    </row>
    <row r="2339" spans="1:13" ht="14.4" hidden="1">
      <c r="A2339" t="s">
        <v>525</v>
      </c>
      <c r="B2339" s="1">
        <v>409</v>
      </c>
      <c r="C2339" s="258" t="s">
        <v>5593</v>
      </c>
      <c r="D2339" t="s">
        <v>1280</v>
      </c>
      <c r="E2339" t="s">
        <v>5594</v>
      </c>
      <c r="F2339"/>
      <c r="H2339" s="1">
        <v>28000</v>
      </c>
      <c r="I2339"/>
      <c r="J2339"/>
      <c r="K2339" s="170">
        <v>46234</v>
      </c>
      <c r="L2339" s="1">
        <v>15040.456167176328</v>
      </c>
      <c r="M2339" s="1">
        <v>46241</v>
      </c>
    </row>
    <row r="2340" spans="1:13" ht="14.4" hidden="1">
      <c r="A2340" t="s">
        <v>525</v>
      </c>
      <c r="B2340" s="1">
        <v>410</v>
      </c>
      <c r="C2340" s="258" t="s">
        <v>5595</v>
      </c>
      <c r="D2340" t="s">
        <v>1280</v>
      </c>
      <c r="E2340" t="s">
        <v>5596</v>
      </c>
      <c r="F2340"/>
      <c r="H2340" s="1">
        <v>28000</v>
      </c>
      <c r="I2340"/>
      <c r="J2340"/>
      <c r="K2340" s="170">
        <v>46265</v>
      </c>
      <c r="L2340" s="1">
        <v>15040.456167176328</v>
      </c>
      <c r="M2340" s="1">
        <v>46272</v>
      </c>
    </row>
    <row r="2341" spans="1:13" ht="14.4" hidden="1">
      <c r="A2341" t="s">
        <v>525</v>
      </c>
      <c r="B2341" s="1">
        <v>411</v>
      </c>
      <c r="C2341" s="258" t="s">
        <v>5597</v>
      </c>
      <c r="D2341" t="s">
        <v>1280</v>
      </c>
      <c r="E2341" t="s">
        <v>5598</v>
      </c>
      <c r="F2341"/>
      <c r="H2341" s="1">
        <v>-26000</v>
      </c>
      <c r="I2341"/>
      <c r="J2341"/>
      <c r="K2341" s="170">
        <v>46265</v>
      </c>
      <c r="L2341" s="1">
        <v>-13966.137869520877</v>
      </c>
      <c r="M2341" s="1">
        <v>46272</v>
      </c>
    </row>
    <row r="2342" spans="1:13" ht="14.4" hidden="1">
      <c r="A2342" t="s">
        <v>525</v>
      </c>
      <c r="B2342" s="1">
        <v>413</v>
      </c>
      <c r="C2342" s="258" t="s">
        <v>5599</v>
      </c>
      <c r="D2342" t="s">
        <v>1280</v>
      </c>
      <c r="E2342" t="s">
        <v>5600</v>
      </c>
      <c r="F2342"/>
      <c r="H2342" s="1">
        <v>3150</v>
      </c>
      <c r="I2342"/>
      <c r="J2342"/>
      <c r="K2342" s="170" t="s">
        <v>5601</v>
      </c>
      <c r="L2342" s="1">
        <v>1692.0513188073371</v>
      </c>
      <c r="M2342" s="1">
        <v>46060</v>
      </c>
    </row>
    <row r="2343" spans="1:13" ht="14.4" hidden="1">
      <c r="A2343" t="s">
        <v>525</v>
      </c>
      <c r="B2343" s="1">
        <v>414</v>
      </c>
      <c r="C2343" s="258" t="s">
        <v>5602</v>
      </c>
      <c r="D2343" t="s">
        <v>1280</v>
      </c>
      <c r="E2343" t="s">
        <v>5603</v>
      </c>
      <c r="F2343"/>
      <c r="H2343" s="1">
        <v>3150</v>
      </c>
      <c r="I2343"/>
      <c r="J2343"/>
      <c r="K2343" s="170">
        <v>46081</v>
      </c>
      <c r="L2343" s="1">
        <v>1692.0513188073371</v>
      </c>
      <c r="M2343" s="1">
        <v>46088</v>
      </c>
    </row>
    <row r="2344" spans="1:13" ht="14.4" hidden="1">
      <c r="A2344" t="s">
        <v>525</v>
      </c>
      <c r="B2344" s="1">
        <v>415</v>
      </c>
      <c r="C2344" s="258" t="s">
        <v>5604</v>
      </c>
      <c r="D2344" t="s">
        <v>1280</v>
      </c>
      <c r="E2344" t="s">
        <v>5605</v>
      </c>
      <c r="F2344"/>
      <c r="H2344" s="1">
        <v>3150</v>
      </c>
      <c r="I2344"/>
      <c r="J2344"/>
      <c r="K2344" s="170">
        <v>46112</v>
      </c>
      <c r="L2344" s="1">
        <v>1692.0513188073371</v>
      </c>
      <c r="M2344" s="1">
        <v>46119</v>
      </c>
    </row>
    <row r="2345" spans="1:13" ht="14.4" hidden="1">
      <c r="A2345" t="s">
        <v>525</v>
      </c>
      <c r="B2345" s="1">
        <v>416</v>
      </c>
      <c r="C2345" s="258" t="s">
        <v>5606</v>
      </c>
      <c r="D2345" t="s">
        <v>1280</v>
      </c>
      <c r="E2345" t="s">
        <v>5607</v>
      </c>
      <c r="F2345"/>
      <c r="H2345" s="1">
        <v>3150</v>
      </c>
      <c r="I2345"/>
      <c r="J2345"/>
      <c r="K2345" s="170">
        <v>46142</v>
      </c>
      <c r="L2345" s="1">
        <v>1692.0513188073371</v>
      </c>
      <c r="M2345" s="1">
        <v>46149</v>
      </c>
    </row>
    <row r="2346" spans="1:13" ht="14.4" hidden="1">
      <c r="A2346" t="s">
        <v>525</v>
      </c>
      <c r="B2346" s="1">
        <v>417</v>
      </c>
      <c r="C2346" s="258" t="s">
        <v>5608</v>
      </c>
      <c r="D2346" t="s">
        <v>1280</v>
      </c>
      <c r="E2346" t="s">
        <v>5609</v>
      </c>
      <c r="F2346"/>
      <c r="H2346" s="1">
        <v>3150</v>
      </c>
      <c r="I2346"/>
      <c r="J2346"/>
      <c r="K2346" s="170">
        <v>46173</v>
      </c>
      <c r="L2346" s="1">
        <v>1692.0513188073371</v>
      </c>
      <c r="M2346" s="1">
        <v>46180</v>
      </c>
    </row>
    <row r="2347" spans="1:13" ht="14.4" hidden="1">
      <c r="A2347" t="s">
        <v>525</v>
      </c>
      <c r="B2347" s="1">
        <v>418</v>
      </c>
      <c r="C2347" s="258" t="s">
        <v>5610</v>
      </c>
      <c r="D2347" t="s">
        <v>1280</v>
      </c>
      <c r="E2347" t="s">
        <v>5611</v>
      </c>
      <c r="F2347"/>
      <c r="H2347" s="1">
        <v>3150</v>
      </c>
      <c r="I2347"/>
      <c r="J2347"/>
      <c r="K2347" s="170">
        <v>46203</v>
      </c>
      <c r="L2347" s="1">
        <v>1692.0513188073371</v>
      </c>
      <c r="M2347" s="1">
        <v>46210</v>
      </c>
    </row>
    <row r="2348" spans="1:13" ht="14.4" hidden="1">
      <c r="A2348" t="s">
        <v>525</v>
      </c>
      <c r="B2348" s="1">
        <v>419</v>
      </c>
      <c r="C2348" s="258" t="s">
        <v>5612</v>
      </c>
      <c r="D2348" t="s">
        <v>1280</v>
      </c>
      <c r="E2348" t="s">
        <v>5613</v>
      </c>
      <c r="F2348"/>
      <c r="H2348" s="1">
        <v>3150</v>
      </c>
      <c r="I2348"/>
      <c r="J2348"/>
      <c r="K2348" s="170">
        <v>46234</v>
      </c>
      <c r="L2348" s="1">
        <v>1692.0513188073371</v>
      </c>
      <c r="M2348" s="1">
        <v>46241</v>
      </c>
    </row>
    <row r="2349" spans="1:13" ht="14.4" hidden="1">
      <c r="A2349" t="s">
        <v>525</v>
      </c>
      <c r="B2349" s="1">
        <v>420</v>
      </c>
      <c r="C2349" s="258" t="s">
        <v>5614</v>
      </c>
      <c r="D2349" t="s">
        <v>1280</v>
      </c>
      <c r="E2349" t="s">
        <v>5615</v>
      </c>
      <c r="F2349"/>
      <c r="H2349" s="1">
        <v>3150</v>
      </c>
      <c r="I2349"/>
      <c r="J2349"/>
      <c r="K2349" s="170">
        <v>46265</v>
      </c>
      <c r="L2349" s="1">
        <v>1692.0513188073371</v>
      </c>
      <c r="M2349" s="1">
        <v>46272</v>
      </c>
    </row>
    <row r="2350" spans="1:13" ht="14.4" hidden="1">
      <c r="A2350" t="s">
        <v>525</v>
      </c>
      <c r="B2350" s="1">
        <v>422</v>
      </c>
      <c r="C2350" s="258" t="s">
        <v>5616</v>
      </c>
      <c r="D2350" t="s">
        <v>1280</v>
      </c>
      <c r="E2350" t="s">
        <v>5617</v>
      </c>
      <c r="F2350"/>
      <c r="H2350" s="1">
        <v>8800</v>
      </c>
      <c r="I2350"/>
      <c r="J2350"/>
      <c r="K2350" s="170">
        <v>46081</v>
      </c>
      <c r="L2350" s="1">
        <v>4727.0005096839886</v>
      </c>
      <c r="M2350" s="1">
        <v>46088</v>
      </c>
    </row>
    <row r="2351" spans="1:13" ht="14.4" hidden="1">
      <c r="A2351" t="s">
        <v>525</v>
      </c>
      <c r="B2351" s="1">
        <v>423</v>
      </c>
      <c r="C2351" s="258" t="s">
        <v>5618</v>
      </c>
      <c r="D2351" t="s">
        <v>1280</v>
      </c>
      <c r="E2351" t="s">
        <v>5619</v>
      </c>
      <c r="F2351"/>
      <c r="H2351" s="1">
        <v>8800</v>
      </c>
      <c r="I2351"/>
      <c r="J2351"/>
      <c r="K2351" s="170">
        <v>46112</v>
      </c>
      <c r="L2351" s="1">
        <v>4727.0005096839886</v>
      </c>
      <c r="M2351" s="1">
        <v>46119</v>
      </c>
    </row>
    <row r="2352" spans="1:13" ht="14.4" hidden="1">
      <c r="A2352" t="s">
        <v>525</v>
      </c>
      <c r="B2352" s="1">
        <v>424</v>
      </c>
      <c r="C2352" s="258" t="s">
        <v>5620</v>
      </c>
      <c r="D2352" t="s">
        <v>1280</v>
      </c>
      <c r="E2352" t="s">
        <v>5621</v>
      </c>
      <c r="F2352"/>
      <c r="H2352" s="1">
        <v>8800</v>
      </c>
      <c r="I2352"/>
      <c r="J2352"/>
      <c r="K2352" s="170">
        <v>46142</v>
      </c>
      <c r="L2352" s="1">
        <v>4727.0005096839886</v>
      </c>
      <c r="M2352" s="1">
        <v>46149</v>
      </c>
    </row>
    <row r="2353" spans="1:13" ht="14.4" hidden="1">
      <c r="A2353" t="s">
        <v>525</v>
      </c>
      <c r="B2353" s="1">
        <v>425</v>
      </c>
      <c r="C2353" s="258" t="s">
        <v>5622</v>
      </c>
      <c r="D2353" t="s">
        <v>1280</v>
      </c>
      <c r="E2353" t="s">
        <v>5623</v>
      </c>
      <c r="F2353"/>
      <c r="H2353" s="1">
        <v>8800</v>
      </c>
      <c r="I2353"/>
      <c r="J2353"/>
      <c r="K2353" s="170">
        <v>46173</v>
      </c>
      <c r="L2353" s="1">
        <v>4727.0005096839886</v>
      </c>
      <c r="M2353" s="1">
        <v>46180</v>
      </c>
    </row>
    <row r="2354" spans="1:13" ht="14.4" hidden="1">
      <c r="A2354" t="s">
        <v>525</v>
      </c>
      <c r="B2354" s="1">
        <v>426</v>
      </c>
      <c r="C2354" s="258" t="s">
        <v>5624</v>
      </c>
      <c r="D2354" t="s">
        <v>1280</v>
      </c>
      <c r="E2354" t="s">
        <v>5625</v>
      </c>
      <c r="F2354"/>
      <c r="H2354" s="1">
        <v>8800</v>
      </c>
      <c r="I2354"/>
      <c r="J2354"/>
      <c r="K2354" s="170">
        <v>46203</v>
      </c>
      <c r="L2354" s="1">
        <v>4727.0005096839886</v>
      </c>
      <c r="M2354" s="1">
        <v>46210</v>
      </c>
    </row>
    <row r="2355" spans="1:13" ht="14.4" hidden="1">
      <c r="A2355" t="s">
        <v>525</v>
      </c>
      <c r="B2355" s="1">
        <v>427</v>
      </c>
      <c r="C2355" s="258" t="s">
        <v>5626</v>
      </c>
      <c r="D2355" t="s">
        <v>1280</v>
      </c>
      <c r="E2355" t="s">
        <v>5627</v>
      </c>
      <c r="F2355"/>
      <c r="H2355" s="1">
        <v>8800</v>
      </c>
      <c r="I2355"/>
      <c r="J2355"/>
      <c r="K2355" s="170">
        <v>46234</v>
      </c>
      <c r="L2355" s="1">
        <v>4727.0005096839886</v>
      </c>
      <c r="M2355" s="1">
        <v>46241</v>
      </c>
    </row>
    <row r="2356" spans="1:13" ht="14.4" hidden="1">
      <c r="A2356" t="s">
        <v>525</v>
      </c>
      <c r="B2356" s="1">
        <v>428</v>
      </c>
      <c r="C2356" s="258" t="s">
        <v>5628</v>
      </c>
      <c r="D2356" t="s">
        <v>1280</v>
      </c>
      <c r="E2356" t="s">
        <v>5629</v>
      </c>
      <c r="F2356"/>
      <c r="H2356" s="1">
        <v>8800</v>
      </c>
      <c r="I2356"/>
      <c r="J2356"/>
      <c r="K2356" s="170">
        <v>46265</v>
      </c>
      <c r="L2356" s="1">
        <v>4727.0005096839886</v>
      </c>
      <c r="M2356" s="1">
        <v>46272</v>
      </c>
    </row>
    <row r="2357" spans="1:13" ht="14.4" hidden="1">
      <c r="A2357" t="s">
        <v>525</v>
      </c>
      <c r="B2357" s="1">
        <v>434</v>
      </c>
      <c r="C2357" s="258" t="s">
        <v>5630</v>
      </c>
      <c r="D2357" t="s">
        <v>1451</v>
      </c>
      <c r="E2357" t="s">
        <v>5631</v>
      </c>
      <c r="F2357">
        <v>1</v>
      </c>
      <c r="G2357">
        <v>1187999.9999999998</v>
      </c>
      <c r="H2357" s="1">
        <v>1187999.9999999998</v>
      </c>
      <c r="I2357"/>
      <c r="J2357"/>
      <c r="K2357" s="170">
        <v>46265</v>
      </c>
      <c r="L2357" s="1">
        <v>631573.90458693577</v>
      </c>
      <c r="M2357" s="1">
        <v>46265</v>
      </c>
    </row>
    <row r="2358" spans="1:13" ht="14.4" hidden="1">
      <c r="A2358" t="s">
        <v>525</v>
      </c>
      <c r="B2358" s="1">
        <v>437</v>
      </c>
      <c r="C2358" s="258" t="s">
        <v>5632</v>
      </c>
      <c r="D2358" t="s">
        <v>1451</v>
      </c>
      <c r="E2358" t="s">
        <v>5633</v>
      </c>
      <c r="F2358"/>
      <c r="H2358" s="1">
        <v>1724395.3443127689</v>
      </c>
      <c r="I2358"/>
      <c r="J2358"/>
      <c r="K2358" s="170">
        <v>46265</v>
      </c>
      <c r="L2358" s="1">
        <v>916736.61671645532</v>
      </c>
      <c r="M2358" s="1">
        <v>46265</v>
      </c>
    </row>
    <row r="2359" spans="1:13" ht="14.4" hidden="1">
      <c r="A2359" t="s">
        <v>525</v>
      </c>
      <c r="B2359" s="1">
        <v>442</v>
      </c>
      <c r="C2359" s="258" t="s">
        <v>5634</v>
      </c>
      <c r="D2359" t="s">
        <v>1451</v>
      </c>
      <c r="E2359" t="s">
        <v>5635</v>
      </c>
      <c r="F2359"/>
      <c r="H2359" s="1">
        <v>100000</v>
      </c>
      <c r="I2359"/>
      <c r="J2359"/>
      <c r="K2359" s="170">
        <v>46265</v>
      </c>
      <c r="L2359" s="1">
        <v>53162.786581391905</v>
      </c>
      <c r="M2359" s="1">
        <v>46265</v>
      </c>
    </row>
    <row r="2360" spans="1:13" ht="14.4" hidden="1">
      <c r="A2360" t="s">
        <v>525</v>
      </c>
      <c r="B2360" s="1">
        <v>444</v>
      </c>
      <c r="C2360" s="258" t="s">
        <v>9277</v>
      </c>
      <c r="D2360" t="s">
        <v>1451</v>
      </c>
      <c r="E2360" t="s">
        <v>9278</v>
      </c>
      <c r="F2360"/>
      <c r="H2360" s="1">
        <v>92000</v>
      </c>
      <c r="I2360"/>
      <c r="J2360"/>
      <c r="K2360" s="170">
        <v>46081</v>
      </c>
      <c r="L2360" s="1">
        <v>48909.763654880553</v>
      </c>
      <c r="M2360" s="1">
        <v>46112</v>
      </c>
    </row>
    <row r="2361" spans="1:13" ht="14.4" hidden="1">
      <c r="A2361" t="s">
        <v>525</v>
      </c>
      <c r="B2361" s="1">
        <v>445</v>
      </c>
      <c r="C2361" s="258" t="s">
        <v>9279</v>
      </c>
      <c r="D2361" t="s">
        <v>1451</v>
      </c>
      <c r="E2361" t="s">
        <v>9280</v>
      </c>
      <c r="F2361"/>
      <c r="H2361" s="1">
        <v>35049.699999999997</v>
      </c>
      <c r="I2361"/>
      <c r="J2361"/>
      <c r="K2361" s="170">
        <v>46081</v>
      </c>
      <c r="L2361" s="1">
        <v>18633.397208418115</v>
      </c>
      <c r="M2361" s="1">
        <v>46112</v>
      </c>
    </row>
    <row r="2362" spans="1:13" ht="14.4" hidden="1">
      <c r="A2362" t="s">
        <v>525</v>
      </c>
      <c r="B2362" s="1">
        <v>446</v>
      </c>
      <c r="C2362" s="258" t="s">
        <v>9281</v>
      </c>
      <c r="D2362" t="s">
        <v>1451</v>
      </c>
      <c r="E2362" t="s">
        <v>9282</v>
      </c>
      <c r="F2362"/>
      <c r="H2362" s="1">
        <v>204566.79</v>
      </c>
      <c r="I2362"/>
      <c r="J2362"/>
      <c r="K2362" s="170">
        <v>46081</v>
      </c>
      <c r="L2362" s="1">
        <v>108753.40598410416</v>
      </c>
      <c r="M2362" s="1">
        <v>46112</v>
      </c>
    </row>
    <row r="2363" spans="1:13" ht="14.4" hidden="1">
      <c r="A2363" t="s">
        <v>525</v>
      </c>
      <c r="B2363" s="1">
        <v>447</v>
      </c>
      <c r="C2363" s="258" t="s">
        <v>9283</v>
      </c>
      <c r="D2363" t="s">
        <v>1451</v>
      </c>
      <c r="E2363" t="s">
        <v>9284</v>
      </c>
      <c r="F2363"/>
      <c r="H2363" s="1">
        <v>221934</v>
      </c>
      <c r="I2363"/>
      <c r="J2363"/>
      <c r="K2363" s="170">
        <v>46112</v>
      </c>
      <c r="L2363" s="1">
        <v>117986.2987715463</v>
      </c>
      <c r="M2363" s="1">
        <v>46112</v>
      </c>
    </row>
    <row r="2364" spans="1:13" ht="14.4" hidden="1">
      <c r="A2364" t="s">
        <v>525</v>
      </c>
      <c r="B2364" s="1">
        <v>448</v>
      </c>
      <c r="C2364" s="258" t="s">
        <v>9285</v>
      </c>
      <c r="D2364" t="s">
        <v>1451</v>
      </c>
      <c r="E2364" t="s">
        <v>9286</v>
      </c>
      <c r="F2364"/>
      <c r="H2364" s="1">
        <v>178241.37</v>
      </c>
      <c r="I2364"/>
      <c r="J2364"/>
      <c r="K2364" s="170">
        <v>46142</v>
      </c>
      <c r="L2364" s="1">
        <v>94758.079132849089</v>
      </c>
      <c r="M2364" s="1">
        <v>46142</v>
      </c>
    </row>
    <row r="2365" spans="1:13" ht="14.4" hidden="1">
      <c r="A2365" t="s">
        <v>525</v>
      </c>
      <c r="B2365" s="1">
        <v>449</v>
      </c>
      <c r="C2365" s="258" t="s">
        <v>9287</v>
      </c>
      <c r="D2365" t="s">
        <v>1451</v>
      </c>
      <c r="E2365" t="s">
        <v>9288</v>
      </c>
      <c r="F2365"/>
      <c r="H2365" s="1">
        <v>145837.76000000001</v>
      </c>
      <c r="I2365"/>
      <c r="J2365"/>
      <c r="K2365" s="170">
        <v>46173</v>
      </c>
      <c r="L2365" s="1">
        <v>77531.41710388253</v>
      </c>
      <c r="M2365" s="1">
        <v>46173</v>
      </c>
    </row>
    <row r="2366" spans="1:13" ht="14.4" hidden="1">
      <c r="A2366" t="s">
        <v>525</v>
      </c>
      <c r="B2366" s="1">
        <v>450</v>
      </c>
      <c r="C2366" s="258" t="s">
        <v>9289</v>
      </c>
      <c r="D2366" t="s">
        <v>1451</v>
      </c>
      <c r="E2366" t="s">
        <v>9290</v>
      </c>
      <c r="F2366"/>
      <c r="H2366" s="1">
        <v>103599.12</v>
      </c>
      <c r="I2366"/>
      <c r="J2366"/>
      <c r="K2366" s="170">
        <v>46203</v>
      </c>
      <c r="L2366" s="1">
        <v>55076.17906580009</v>
      </c>
      <c r="M2366" s="1">
        <v>46203</v>
      </c>
    </row>
    <row r="2367" spans="1:13" ht="14.4" hidden="1">
      <c r="A2367" t="s">
        <v>525</v>
      </c>
      <c r="B2367" s="1">
        <v>451</v>
      </c>
      <c r="C2367" s="258" t="s">
        <v>9291</v>
      </c>
      <c r="D2367" t="s">
        <v>1451</v>
      </c>
      <c r="E2367" t="s">
        <v>9292</v>
      </c>
      <c r="F2367"/>
      <c r="H2367" s="1">
        <v>67693.119999999995</v>
      </c>
      <c r="I2367"/>
      <c r="J2367"/>
      <c r="K2367" s="170">
        <v>46234</v>
      </c>
      <c r="L2367" s="1">
        <v>35987.548915885513</v>
      </c>
      <c r="M2367" s="1">
        <v>46234</v>
      </c>
    </row>
    <row r="2368" spans="1:13" ht="14.4" hidden="1">
      <c r="A2368" t="s">
        <v>525</v>
      </c>
      <c r="B2368" s="1">
        <v>452</v>
      </c>
      <c r="C2368" s="258" t="s">
        <v>9293</v>
      </c>
      <c r="D2368" t="s">
        <v>1451</v>
      </c>
      <c r="E2368" t="s">
        <v>9294</v>
      </c>
      <c r="F2368"/>
      <c r="H2368" s="1">
        <v>27845.88</v>
      </c>
      <c r="I2368"/>
      <c r="J2368"/>
      <c r="K2368" s="170">
        <v>46265</v>
      </c>
      <c r="L2368" s="1">
        <v>14803.645756110493</v>
      </c>
      <c r="M2368" s="1">
        <v>46265</v>
      </c>
    </row>
    <row r="2369" spans="1:14" ht="14.4" hidden="1">
      <c r="A2369" t="s">
        <v>526</v>
      </c>
      <c r="B2369" s="1">
        <v>6</v>
      </c>
      <c r="C2369" s="258" t="s">
        <v>5636</v>
      </c>
      <c r="D2369" t="s">
        <v>1146</v>
      </c>
      <c r="E2369" t="s">
        <v>1454</v>
      </c>
      <c r="F2369">
        <v>441</v>
      </c>
      <c r="G2369">
        <v>1168.2</v>
      </c>
      <c r="H2369" s="1">
        <v>515176.2</v>
      </c>
      <c r="I2369" t="s">
        <v>5637</v>
      </c>
      <c r="J2369" t="s">
        <v>5638</v>
      </c>
      <c r="K2369" s="170">
        <v>45838</v>
      </c>
      <c r="L2369" s="1">
        <v>780543.1731843577</v>
      </c>
      <c r="M2369" s="1">
        <v>45901</v>
      </c>
      <c r="N2369" s="1">
        <v>516326.7</v>
      </c>
    </row>
    <row r="2370" spans="1:14" ht="14.4" hidden="1">
      <c r="A2370" t="s">
        <v>526</v>
      </c>
      <c r="B2370" s="1">
        <v>7</v>
      </c>
      <c r="C2370" s="258" t="s">
        <v>5639</v>
      </c>
      <c r="D2370" t="s">
        <v>1146</v>
      </c>
      <c r="F2370"/>
      <c r="H2370" s="1">
        <v>1150.5</v>
      </c>
      <c r="I2370"/>
      <c r="J2370" t="s">
        <v>5640</v>
      </c>
      <c r="K2370" s="170">
        <v>45900</v>
      </c>
      <c r="L2370" s="1">
        <v>0</v>
      </c>
      <c r="M2370" s="1">
        <v>45954</v>
      </c>
    </row>
    <row r="2371" spans="1:14" ht="14.4" hidden="1">
      <c r="A2371" t="s">
        <v>526</v>
      </c>
      <c r="B2371" s="1">
        <v>13</v>
      </c>
      <c r="C2371" s="258" t="s">
        <v>5641</v>
      </c>
      <c r="D2371" t="s">
        <v>1157</v>
      </c>
      <c r="E2371" t="s">
        <v>1369</v>
      </c>
      <c r="F2371">
        <v>2</v>
      </c>
      <c r="G2371">
        <v>68870.350000000006</v>
      </c>
      <c r="H2371" s="1">
        <v>137740.70000000001</v>
      </c>
      <c r="I2371" t="s">
        <v>5637</v>
      </c>
      <c r="J2371" t="s">
        <v>5638</v>
      </c>
      <c r="K2371" s="170">
        <v>45838</v>
      </c>
      <c r="L2371" s="1">
        <v>176308.37988826816</v>
      </c>
      <c r="M2371" s="1">
        <v>45901</v>
      </c>
      <c r="N2371" s="1">
        <v>137740.70000000001</v>
      </c>
    </row>
    <row r="2372" spans="1:14" ht="14.4" hidden="1">
      <c r="A2372" t="s">
        <v>526</v>
      </c>
      <c r="B2372" s="1">
        <v>21</v>
      </c>
      <c r="C2372" s="258" t="s">
        <v>5642</v>
      </c>
      <c r="D2372" t="s">
        <v>1160</v>
      </c>
      <c r="E2372" t="s">
        <v>1161</v>
      </c>
      <c r="F2372"/>
      <c r="H2372" s="1">
        <v>56772</v>
      </c>
      <c r="I2372"/>
      <c r="J2372" t="s">
        <v>5643</v>
      </c>
      <c r="K2372" s="170">
        <v>45838</v>
      </c>
      <c r="L2372" s="1">
        <v>130686.03351955308</v>
      </c>
      <c r="M2372" s="1">
        <v>45867</v>
      </c>
      <c r="N2372" s="1">
        <v>40716.32</v>
      </c>
    </row>
    <row r="2373" spans="1:14" ht="14.4" hidden="1">
      <c r="A2373" t="s">
        <v>526</v>
      </c>
      <c r="B2373" s="1">
        <v>22</v>
      </c>
      <c r="C2373" s="258" t="s">
        <v>5644</v>
      </c>
      <c r="D2373" t="s">
        <v>1160</v>
      </c>
      <c r="E2373" t="s">
        <v>5645</v>
      </c>
      <c r="F2373">
        <v>300</v>
      </c>
      <c r="G2373">
        <v>-27.2</v>
      </c>
      <c r="H2373" s="1">
        <v>-8160</v>
      </c>
      <c r="I2373"/>
      <c r="J2373" t="s">
        <v>3381</v>
      </c>
      <c r="K2373" s="170">
        <v>45930</v>
      </c>
      <c r="L2373" s="1">
        <v>0</v>
      </c>
      <c r="M2373" s="1">
        <v>45930</v>
      </c>
    </row>
    <row r="2374" spans="1:14" ht="14.4" hidden="1">
      <c r="A2374" t="s">
        <v>526</v>
      </c>
      <c r="B2374" s="1">
        <v>23</v>
      </c>
      <c r="C2374" s="258" t="s">
        <v>5646</v>
      </c>
      <c r="D2374" t="s">
        <v>1160</v>
      </c>
      <c r="E2374" t="s">
        <v>1934</v>
      </c>
      <c r="F2374">
        <v>648</v>
      </c>
      <c r="G2374">
        <v>-10.95</v>
      </c>
      <c r="H2374" s="1">
        <v>-7095.6</v>
      </c>
      <c r="I2374"/>
      <c r="J2374" t="s">
        <v>3381</v>
      </c>
      <c r="K2374" s="170">
        <v>45930</v>
      </c>
      <c r="L2374" s="1">
        <v>0</v>
      </c>
      <c r="M2374" s="1">
        <v>45930</v>
      </c>
    </row>
    <row r="2375" spans="1:14" ht="14.4" hidden="1">
      <c r="A2375" t="s">
        <v>526</v>
      </c>
      <c r="B2375" s="1">
        <v>24</v>
      </c>
      <c r="C2375" s="258" t="s">
        <v>5647</v>
      </c>
      <c r="D2375" t="s">
        <v>1160</v>
      </c>
      <c r="E2375" t="s">
        <v>5648</v>
      </c>
      <c r="F2375">
        <v>73</v>
      </c>
      <c r="G2375">
        <v>-10.96</v>
      </c>
      <c r="H2375" s="1">
        <v>-800.08</v>
      </c>
      <c r="I2375"/>
      <c r="J2375" t="s">
        <v>3381</v>
      </c>
      <c r="K2375" s="170">
        <v>45930</v>
      </c>
      <c r="L2375" s="1">
        <v>0</v>
      </c>
      <c r="M2375" s="1">
        <v>45930</v>
      </c>
    </row>
    <row r="2376" spans="1:14" ht="14.4" hidden="1">
      <c r="A2376" t="s">
        <v>526</v>
      </c>
      <c r="B2376" s="1">
        <v>28</v>
      </c>
      <c r="C2376" s="258" t="s">
        <v>5649</v>
      </c>
      <c r="D2376" t="s">
        <v>1165</v>
      </c>
      <c r="E2376" t="s">
        <v>5650</v>
      </c>
      <c r="F2376">
        <v>3000</v>
      </c>
      <c r="G2376">
        <v>13.5</v>
      </c>
      <c r="H2376" s="1">
        <v>40500</v>
      </c>
      <c r="I2376" t="s">
        <v>5637</v>
      </c>
      <c r="J2376" t="s">
        <v>1155</v>
      </c>
      <c r="K2376" s="170">
        <v>45869</v>
      </c>
      <c r="L2376" s="1">
        <v>81086.220595709005</v>
      </c>
      <c r="M2376" s="1">
        <v>45869</v>
      </c>
      <c r="N2376" s="1">
        <v>168174.76</v>
      </c>
    </row>
    <row r="2377" spans="1:14" ht="14.4" hidden="1">
      <c r="A2377" t="s">
        <v>526</v>
      </c>
      <c r="B2377" s="1">
        <v>29</v>
      </c>
      <c r="C2377" s="258" t="s">
        <v>5651</v>
      </c>
      <c r="D2377" t="s">
        <v>1165</v>
      </c>
      <c r="E2377" t="s">
        <v>5652</v>
      </c>
      <c r="F2377">
        <v>3000</v>
      </c>
      <c r="G2377">
        <v>13.5</v>
      </c>
      <c r="H2377" s="1">
        <v>40500</v>
      </c>
      <c r="I2377"/>
      <c r="J2377" t="s">
        <v>1155</v>
      </c>
      <c r="K2377" s="170">
        <v>45869</v>
      </c>
      <c r="L2377" s="1">
        <v>81086.220595709005</v>
      </c>
      <c r="M2377" s="1">
        <v>45869</v>
      </c>
    </row>
    <row r="2378" spans="1:14" ht="14.4" hidden="1">
      <c r="A2378" t="s">
        <v>526</v>
      </c>
      <c r="B2378" s="1">
        <v>30</v>
      </c>
      <c r="C2378" s="258" t="s">
        <v>5653</v>
      </c>
      <c r="D2378" t="s">
        <v>1165</v>
      </c>
      <c r="E2378" t="s">
        <v>1461</v>
      </c>
      <c r="F2378"/>
      <c r="H2378" s="1">
        <v>3500</v>
      </c>
      <c r="I2378"/>
      <c r="J2378" t="s">
        <v>5654</v>
      </c>
      <c r="K2378" s="170">
        <v>45900</v>
      </c>
      <c r="L2378" s="1">
        <v>6151.1804511532246</v>
      </c>
      <c r="M2378" s="1">
        <v>45876</v>
      </c>
    </row>
    <row r="2379" spans="1:14" ht="14.4" hidden="1">
      <c r="A2379" t="s">
        <v>526</v>
      </c>
      <c r="B2379" s="1">
        <v>31</v>
      </c>
      <c r="C2379" s="258" t="s">
        <v>5655</v>
      </c>
      <c r="D2379" t="s">
        <v>1165</v>
      </c>
      <c r="E2379" t="s">
        <v>5656</v>
      </c>
      <c r="F2379">
        <v>1000</v>
      </c>
      <c r="G2379">
        <v>13.5</v>
      </c>
      <c r="H2379" s="1">
        <v>13500</v>
      </c>
      <c r="I2379"/>
      <c r="J2379" t="s">
        <v>1155</v>
      </c>
      <c r="K2379" s="170">
        <v>45900</v>
      </c>
      <c r="L2379" s="1">
        <v>48.5817401624372</v>
      </c>
      <c r="M2379" s="1">
        <v>45900</v>
      </c>
    </row>
    <row r="2380" spans="1:14" ht="14.4" hidden="1">
      <c r="A2380" t="s">
        <v>526</v>
      </c>
      <c r="B2380" s="1">
        <v>32</v>
      </c>
      <c r="C2380" s="258" t="s">
        <v>5657</v>
      </c>
      <c r="D2380" t="s">
        <v>1165</v>
      </c>
      <c r="E2380" t="s">
        <v>5658</v>
      </c>
      <c r="F2380">
        <v>500</v>
      </c>
      <c r="G2380">
        <v>13.5</v>
      </c>
      <c r="H2380" s="1">
        <v>6750</v>
      </c>
      <c r="I2380"/>
      <c r="J2380" t="s">
        <v>5640</v>
      </c>
      <c r="K2380" s="170">
        <v>45900</v>
      </c>
      <c r="L2380" s="1">
        <v>11862.990870081219</v>
      </c>
      <c r="M2380" s="1">
        <v>45956</v>
      </c>
    </row>
    <row r="2381" spans="1:14" ht="14.4" hidden="1">
      <c r="A2381" t="s">
        <v>526</v>
      </c>
      <c r="B2381" s="1">
        <v>33</v>
      </c>
      <c r="C2381" s="258" t="s">
        <v>5659</v>
      </c>
      <c r="D2381" t="s">
        <v>1165</v>
      </c>
      <c r="E2381" t="s">
        <v>1169</v>
      </c>
      <c r="F2381">
        <v>63124.76</v>
      </c>
      <c r="G2381">
        <v>0.1</v>
      </c>
      <c r="H2381" s="1">
        <v>6312.4760000000006</v>
      </c>
      <c r="I2381" t="s">
        <v>5660</v>
      </c>
      <c r="J2381" t="s">
        <v>5661</v>
      </c>
      <c r="K2381" s="170">
        <v>45869</v>
      </c>
      <c r="L2381" s="1">
        <v>12638.390652867132</v>
      </c>
      <c r="M2381" s="1">
        <v>45849</v>
      </c>
    </row>
    <row r="2382" spans="1:14" ht="14.4" hidden="1">
      <c r="A2382" t="s">
        <v>526</v>
      </c>
      <c r="B2382" s="1">
        <v>34</v>
      </c>
      <c r="C2382" s="258" t="s">
        <v>5662</v>
      </c>
      <c r="D2382" t="s">
        <v>1165</v>
      </c>
      <c r="E2382" t="s">
        <v>558</v>
      </c>
      <c r="F2382"/>
      <c r="G2382">
        <v>0.15</v>
      </c>
      <c r="H2382" s="1">
        <v>9468.7139999999999</v>
      </c>
      <c r="I2382"/>
      <c r="J2382" t="s">
        <v>5663</v>
      </c>
      <c r="K2382" s="170">
        <v>45869</v>
      </c>
      <c r="L2382" s="1">
        <v>18957.585979300697</v>
      </c>
      <c r="M2382" s="1">
        <v>45862</v>
      </c>
    </row>
    <row r="2383" spans="1:14" ht="14.4" hidden="1">
      <c r="A2383" t="s">
        <v>526</v>
      </c>
      <c r="B2383" s="1">
        <v>35</v>
      </c>
      <c r="C2383" s="258" t="s">
        <v>5664</v>
      </c>
      <c r="D2383" t="s">
        <v>1165</v>
      </c>
      <c r="E2383" t="s">
        <v>1175</v>
      </c>
      <c r="F2383"/>
      <c r="G2383">
        <v>0.2</v>
      </c>
      <c r="H2383" s="1">
        <v>12624.951999999999</v>
      </c>
      <c r="I2383"/>
      <c r="J2383" t="s">
        <v>5665</v>
      </c>
      <c r="K2383" s="170">
        <v>45900</v>
      </c>
      <c r="L2383" s="1">
        <v>22188.102268327944</v>
      </c>
      <c r="M2383" s="1">
        <v>45925</v>
      </c>
    </row>
    <row r="2384" spans="1:14" ht="14.4" hidden="1">
      <c r="A2384" t="s">
        <v>526</v>
      </c>
      <c r="B2384" s="1">
        <v>36</v>
      </c>
      <c r="C2384" s="258" t="s">
        <v>5666</v>
      </c>
      <c r="D2384" t="s">
        <v>1165</v>
      </c>
      <c r="E2384" t="s">
        <v>1178</v>
      </c>
      <c r="F2384"/>
      <c r="G2384">
        <v>0.25</v>
      </c>
      <c r="H2384" s="1">
        <v>15781.19</v>
      </c>
      <c r="I2384"/>
      <c r="J2384" t="s">
        <v>5665</v>
      </c>
      <c r="K2384" s="170">
        <v>45900</v>
      </c>
      <c r="L2384" s="1">
        <v>27735.12783540993</v>
      </c>
      <c r="M2384" s="1">
        <v>45904</v>
      </c>
    </row>
    <row r="2385" spans="1:14" ht="14.4" hidden="1">
      <c r="A2385" t="s">
        <v>526</v>
      </c>
      <c r="B2385" s="1">
        <v>37</v>
      </c>
      <c r="C2385" s="258" t="s">
        <v>5667</v>
      </c>
      <c r="D2385" t="s">
        <v>1165</v>
      </c>
      <c r="E2385" t="s">
        <v>1181</v>
      </c>
      <c r="F2385"/>
      <c r="G2385">
        <v>0.1</v>
      </c>
      <c r="H2385" s="1">
        <v>6312.4760000000006</v>
      </c>
      <c r="I2385"/>
      <c r="J2385" t="s">
        <v>5665</v>
      </c>
      <c r="K2385" s="170">
        <v>45900</v>
      </c>
      <c r="L2385" s="1">
        <v>11094.051134163972</v>
      </c>
      <c r="M2385" s="1">
        <v>45925</v>
      </c>
    </row>
    <row r="2386" spans="1:14" ht="14.4" hidden="1">
      <c r="A2386" t="s">
        <v>526</v>
      </c>
      <c r="B2386" s="1">
        <v>38</v>
      </c>
      <c r="C2386" s="258" t="s">
        <v>5668</v>
      </c>
      <c r="D2386" t="s">
        <v>1165</v>
      </c>
      <c r="E2386" t="s">
        <v>1184</v>
      </c>
      <c r="F2386"/>
      <c r="G2386">
        <v>0.1</v>
      </c>
      <c r="H2386" s="1">
        <v>6312.4760000000006</v>
      </c>
      <c r="I2386"/>
      <c r="J2386" t="s">
        <v>5665</v>
      </c>
      <c r="K2386" s="170">
        <v>45900</v>
      </c>
      <c r="L2386" s="1">
        <v>11094.051134163972</v>
      </c>
      <c r="M2386" s="1">
        <v>45925</v>
      </c>
    </row>
    <row r="2387" spans="1:14" ht="14.4" hidden="1">
      <c r="A2387" t="s">
        <v>526</v>
      </c>
      <c r="B2387" s="1">
        <v>39</v>
      </c>
      <c r="C2387" s="258" t="s">
        <v>5669</v>
      </c>
      <c r="D2387" t="s">
        <v>1165</v>
      </c>
      <c r="E2387" t="s">
        <v>1187</v>
      </c>
      <c r="F2387"/>
      <c r="G2387">
        <v>0.05</v>
      </c>
      <c r="H2387" s="1">
        <v>3156.2380000000003</v>
      </c>
      <c r="I2387"/>
      <c r="J2387" t="s">
        <v>5665</v>
      </c>
      <c r="K2387" s="170">
        <v>45900</v>
      </c>
      <c r="L2387" s="1">
        <v>5547.0255670819861</v>
      </c>
      <c r="M2387" s="1">
        <v>45980</v>
      </c>
    </row>
    <row r="2388" spans="1:14" ht="14.4" hidden="1">
      <c r="A2388" t="s">
        <v>526</v>
      </c>
      <c r="B2388" s="1">
        <v>40</v>
      </c>
      <c r="C2388" s="258" t="s">
        <v>5670</v>
      </c>
      <c r="D2388" t="s">
        <v>1165</v>
      </c>
      <c r="E2388" t="s">
        <v>1190</v>
      </c>
      <c r="F2388"/>
      <c r="G2388">
        <v>0.05</v>
      </c>
      <c r="H2388" s="1">
        <v>3156.2380000000003</v>
      </c>
      <c r="I2388"/>
      <c r="J2388" t="s">
        <v>5665</v>
      </c>
      <c r="K2388" s="170">
        <v>45900</v>
      </c>
      <c r="L2388" s="1">
        <v>5547.0255670819861</v>
      </c>
      <c r="M2388" s="1">
        <v>45995</v>
      </c>
    </row>
    <row r="2389" spans="1:14" ht="14.4" hidden="1">
      <c r="A2389" t="s">
        <v>526</v>
      </c>
      <c r="B2389" s="1">
        <v>41</v>
      </c>
      <c r="C2389" s="258" t="s">
        <v>5671</v>
      </c>
      <c r="D2389" t="s">
        <v>1165</v>
      </c>
      <c r="F2389"/>
      <c r="H2389" s="1">
        <v>300</v>
      </c>
      <c r="I2389"/>
      <c r="J2389" t="s">
        <v>5640</v>
      </c>
      <c r="K2389" s="170">
        <v>45900</v>
      </c>
      <c r="L2389" s="1">
        <v>527.24403867027638</v>
      </c>
      <c r="M2389" s="1">
        <v>45954</v>
      </c>
    </row>
    <row r="2390" spans="1:14" ht="14.4" hidden="1">
      <c r="A2390" t="s">
        <v>526</v>
      </c>
      <c r="B2390" s="1">
        <v>45</v>
      </c>
      <c r="C2390" s="258" t="s">
        <v>5672</v>
      </c>
      <c r="D2390" t="s">
        <v>1193</v>
      </c>
      <c r="E2390" t="s">
        <v>1489</v>
      </c>
      <c r="F2390"/>
      <c r="H2390" s="1">
        <v>8598.34</v>
      </c>
      <c r="I2390" t="s">
        <v>5637</v>
      </c>
      <c r="J2390" t="s">
        <v>5638</v>
      </c>
      <c r="K2390" s="170">
        <v>45838</v>
      </c>
      <c r="L2390" s="1">
        <v>13032.511733051608</v>
      </c>
      <c r="M2390" s="1">
        <v>45901</v>
      </c>
      <c r="N2390" s="1">
        <v>89789.33</v>
      </c>
    </row>
    <row r="2391" spans="1:14" ht="14.4" hidden="1">
      <c r="A2391" t="s">
        <v>526</v>
      </c>
      <c r="B2391" s="1">
        <v>46</v>
      </c>
      <c r="C2391" s="258" t="s">
        <v>5673</v>
      </c>
      <c r="D2391" t="s">
        <v>1193</v>
      </c>
      <c r="E2391" t="s">
        <v>1196</v>
      </c>
      <c r="F2391"/>
      <c r="H2391" s="1">
        <v>14668</v>
      </c>
      <c r="I2391" t="s">
        <v>5674</v>
      </c>
      <c r="J2391" t="s">
        <v>5675</v>
      </c>
      <c r="K2391" s="170">
        <v>45838</v>
      </c>
      <c r="L2391" s="1">
        <v>22232.300897661757</v>
      </c>
      <c r="M2391" s="1">
        <v>45867</v>
      </c>
    </row>
    <row r="2392" spans="1:14" ht="14.4" hidden="1">
      <c r="A2392" t="s">
        <v>526</v>
      </c>
      <c r="B2392" s="1">
        <v>47</v>
      </c>
      <c r="C2392" s="258" t="s">
        <v>5676</v>
      </c>
      <c r="D2392" t="s">
        <v>1193</v>
      </c>
      <c r="E2392" t="s">
        <v>5677</v>
      </c>
      <c r="F2392"/>
      <c r="H2392" s="1">
        <v>172</v>
      </c>
      <c r="I2392"/>
      <c r="J2392" t="s">
        <v>5678</v>
      </c>
      <c r="K2392" s="170">
        <v>45930</v>
      </c>
      <c r="L2392" s="1">
        <v>0</v>
      </c>
      <c r="M2392" s="1">
        <v>45910</v>
      </c>
    </row>
    <row r="2393" spans="1:14" ht="14.4" hidden="1">
      <c r="A2393" t="s">
        <v>526</v>
      </c>
      <c r="B2393" s="1">
        <v>48</v>
      </c>
      <c r="C2393" s="258" t="s">
        <v>5679</v>
      </c>
      <c r="D2393" t="s">
        <v>1193</v>
      </c>
      <c r="E2393" t="s">
        <v>1200</v>
      </c>
      <c r="F2393"/>
      <c r="H2393" s="1">
        <v>11169</v>
      </c>
      <c r="I2393"/>
      <c r="J2393" t="s">
        <v>1494</v>
      </c>
      <c r="K2393" s="170">
        <v>45869</v>
      </c>
      <c r="L2393" s="1">
        <v>24496.235060103987</v>
      </c>
      <c r="M2393" s="1">
        <v>45869</v>
      </c>
    </row>
    <row r="2394" spans="1:14" ht="14.4" hidden="1">
      <c r="A2394" t="s">
        <v>526</v>
      </c>
      <c r="B2394" s="1">
        <v>49</v>
      </c>
      <c r="C2394" s="258" t="s">
        <v>5680</v>
      </c>
      <c r="D2394" t="s">
        <v>1193</v>
      </c>
      <c r="E2394" t="s">
        <v>5681</v>
      </c>
      <c r="F2394"/>
      <c r="H2394" s="1">
        <v>54000</v>
      </c>
      <c r="I2394" t="s">
        <v>5682</v>
      </c>
      <c r="J2394" t="s">
        <v>5683</v>
      </c>
      <c r="K2394" s="170">
        <v>45869</v>
      </c>
      <c r="L2394" s="1">
        <v>134198.37782483795</v>
      </c>
      <c r="M2394" s="1">
        <v>45900</v>
      </c>
    </row>
    <row r="2395" spans="1:14" ht="14.4" hidden="1">
      <c r="A2395" t="s">
        <v>526</v>
      </c>
      <c r="B2395" s="1">
        <v>50</v>
      </c>
      <c r="C2395" s="258" t="s">
        <v>5684</v>
      </c>
      <c r="D2395" t="s">
        <v>1193</v>
      </c>
      <c r="E2395" t="s">
        <v>2301</v>
      </c>
      <c r="F2395"/>
      <c r="H2395" s="1">
        <v>206.99</v>
      </c>
      <c r="I2395"/>
      <c r="J2395" t="s">
        <v>1497</v>
      </c>
      <c r="K2395" s="170">
        <v>45869</v>
      </c>
      <c r="L2395" s="1">
        <v>453.97758931783721</v>
      </c>
      <c r="M2395" s="1">
        <v>45898</v>
      </c>
    </row>
    <row r="2396" spans="1:14" ht="14.4" hidden="1">
      <c r="A2396" t="s">
        <v>526</v>
      </c>
      <c r="B2396" s="1">
        <v>51</v>
      </c>
      <c r="C2396" s="258" t="s">
        <v>5685</v>
      </c>
      <c r="D2396" t="s">
        <v>1193</v>
      </c>
      <c r="E2396" t="s">
        <v>1848</v>
      </c>
      <c r="F2396"/>
      <c r="H2396" s="1">
        <v>975</v>
      </c>
      <c r="I2396"/>
      <c r="J2396" t="s">
        <v>1849</v>
      </c>
      <c r="K2396" s="170">
        <v>45900</v>
      </c>
      <c r="L2396" s="1">
        <v>0</v>
      </c>
      <c r="M2396" s="1">
        <v>45899</v>
      </c>
    </row>
    <row r="2397" spans="1:14" ht="14.4" hidden="1">
      <c r="A2397" t="s">
        <v>526</v>
      </c>
      <c r="B2397" s="1">
        <v>52</v>
      </c>
      <c r="C2397" s="258" t="s">
        <v>5686</v>
      </c>
      <c r="D2397" t="s">
        <v>1193</v>
      </c>
      <c r="E2397" t="s">
        <v>1851</v>
      </c>
      <c r="F2397"/>
      <c r="H2397" s="1">
        <v>850</v>
      </c>
      <c r="I2397"/>
      <c r="J2397" t="s">
        <v>1852</v>
      </c>
      <c r="K2397" s="170">
        <v>45900</v>
      </c>
      <c r="L2397" s="1">
        <v>0</v>
      </c>
      <c r="M2397" s="1">
        <v>45899</v>
      </c>
    </row>
    <row r="2398" spans="1:14" ht="14.4" hidden="1">
      <c r="A2398" t="s">
        <v>526</v>
      </c>
      <c r="B2398" s="1">
        <v>53</v>
      </c>
      <c r="C2398" s="258" t="s">
        <v>5687</v>
      </c>
      <c r="D2398" t="s">
        <v>1193</v>
      </c>
      <c r="F2398"/>
      <c r="H2398" s="1">
        <v>-850</v>
      </c>
      <c r="I2398"/>
      <c r="J2398" t="s">
        <v>5688</v>
      </c>
      <c r="K2398" s="170">
        <v>45930</v>
      </c>
      <c r="L2398" s="1">
        <v>0</v>
      </c>
      <c r="M2398" s="1">
        <v>45930</v>
      </c>
    </row>
    <row r="2399" spans="1:14" ht="14.4" hidden="1">
      <c r="A2399" t="s">
        <v>526</v>
      </c>
      <c r="B2399" s="1">
        <v>57</v>
      </c>
      <c r="C2399" s="258" t="s">
        <v>5689</v>
      </c>
      <c r="D2399" t="s">
        <v>1211</v>
      </c>
      <c r="E2399" t="s">
        <v>1212</v>
      </c>
      <c r="F2399"/>
      <c r="H2399" s="1">
        <v>84594.07</v>
      </c>
      <c r="I2399"/>
      <c r="J2399" t="s">
        <v>5690</v>
      </c>
      <c r="K2399" s="170">
        <v>45900</v>
      </c>
      <c r="L2399" s="1">
        <v>163428.26444763897</v>
      </c>
      <c r="M2399" s="1">
        <v>45930</v>
      </c>
    </row>
    <row r="2400" spans="1:14" ht="14.4" hidden="1">
      <c r="A2400" t="s">
        <v>526</v>
      </c>
      <c r="B2400" s="1">
        <v>62</v>
      </c>
      <c r="C2400" s="258" t="s">
        <v>5691</v>
      </c>
      <c r="D2400" t="s">
        <v>1211</v>
      </c>
      <c r="E2400" t="s">
        <v>1169</v>
      </c>
      <c r="F2400">
        <v>74201.350000000006</v>
      </c>
      <c r="G2400">
        <v>0.1</v>
      </c>
      <c r="H2400" s="1">
        <v>7420.135000000002</v>
      </c>
      <c r="I2400" t="s">
        <v>5660</v>
      </c>
      <c r="J2400" t="s">
        <v>5661</v>
      </c>
      <c r="K2400" s="170">
        <v>45869</v>
      </c>
      <c r="L2400" s="1">
        <v>14335.04482072067</v>
      </c>
      <c r="M2400" s="1">
        <v>45849</v>
      </c>
    </row>
    <row r="2401" spans="1:13" ht="14.4" hidden="1">
      <c r="A2401" t="s">
        <v>526</v>
      </c>
      <c r="B2401" s="1">
        <v>63</v>
      </c>
      <c r="C2401" s="258" t="s">
        <v>5692</v>
      </c>
      <c r="D2401" t="s">
        <v>1211</v>
      </c>
      <c r="E2401" t="s">
        <v>558</v>
      </c>
      <c r="F2401"/>
      <c r="G2401">
        <v>0.15</v>
      </c>
      <c r="H2401" s="1">
        <v>11130.202499999999</v>
      </c>
      <c r="I2401"/>
      <c r="J2401" t="s">
        <v>5663</v>
      </c>
      <c r="K2401" s="170">
        <v>45869</v>
      </c>
      <c r="L2401" s="1">
        <v>21502.567231081004</v>
      </c>
      <c r="M2401" s="1">
        <v>45862</v>
      </c>
    </row>
    <row r="2402" spans="1:13" ht="14.4" hidden="1">
      <c r="A2402" t="s">
        <v>526</v>
      </c>
      <c r="B2402" s="1">
        <v>64</v>
      </c>
      <c r="C2402" s="258" t="s">
        <v>5693</v>
      </c>
      <c r="D2402" t="s">
        <v>1211</v>
      </c>
      <c r="E2402" t="s">
        <v>1175</v>
      </c>
      <c r="F2402"/>
      <c r="G2402">
        <v>0.2</v>
      </c>
      <c r="H2402" s="1">
        <v>14840.270000000002</v>
      </c>
      <c r="I2402"/>
      <c r="J2402" t="s">
        <v>5665</v>
      </c>
      <c r="K2402" s="170">
        <v>45900</v>
      </c>
      <c r="L2402" s="1">
        <v>28670.08964144134</v>
      </c>
      <c r="M2402" s="1">
        <v>45925</v>
      </c>
    </row>
    <row r="2403" spans="1:13" ht="14.4" hidden="1">
      <c r="A2403" t="s">
        <v>526</v>
      </c>
      <c r="B2403" s="1">
        <v>65</v>
      </c>
      <c r="C2403" s="258" t="s">
        <v>5694</v>
      </c>
      <c r="D2403" t="s">
        <v>1211</v>
      </c>
      <c r="E2403" t="s">
        <v>1178</v>
      </c>
      <c r="F2403"/>
      <c r="G2403">
        <v>0.25</v>
      </c>
      <c r="H2403" s="1">
        <v>18550.337500000001</v>
      </c>
      <c r="I2403"/>
      <c r="J2403" t="s">
        <v>5665</v>
      </c>
      <c r="K2403" s="170">
        <v>45900</v>
      </c>
      <c r="L2403" s="1">
        <v>35837.612051801669</v>
      </c>
      <c r="M2403" s="1">
        <v>45904</v>
      </c>
    </row>
    <row r="2404" spans="1:13" ht="14.4" hidden="1">
      <c r="A2404" t="s">
        <v>526</v>
      </c>
      <c r="B2404" s="1">
        <v>66</v>
      </c>
      <c r="C2404" s="258" t="s">
        <v>5695</v>
      </c>
      <c r="D2404" t="s">
        <v>1211</v>
      </c>
      <c r="E2404" t="s">
        <v>1181</v>
      </c>
      <c r="F2404"/>
      <c r="G2404">
        <v>0.1</v>
      </c>
      <c r="H2404" s="1">
        <v>7420.135000000002</v>
      </c>
      <c r="I2404"/>
      <c r="J2404" t="s">
        <v>5665</v>
      </c>
      <c r="K2404" s="170">
        <v>45900</v>
      </c>
      <c r="L2404" s="1">
        <v>14335.04482072067</v>
      </c>
      <c r="M2404" s="1">
        <v>45925</v>
      </c>
    </row>
    <row r="2405" spans="1:13" ht="14.4" hidden="1">
      <c r="A2405" t="s">
        <v>526</v>
      </c>
      <c r="B2405" s="1">
        <v>67</v>
      </c>
      <c r="C2405" s="258" t="s">
        <v>5696</v>
      </c>
      <c r="D2405" t="s">
        <v>1211</v>
      </c>
      <c r="E2405" t="s">
        <v>1184</v>
      </c>
      <c r="F2405"/>
      <c r="G2405">
        <v>0.1</v>
      </c>
      <c r="H2405" s="1">
        <v>7420.135000000002</v>
      </c>
      <c r="I2405"/>
      <c r="J2405" t="s">
        <v>5665</v>
      </c>
      <c r="K2405" s="170">
        <v>45900</v>
      </c>
      <c r="L2405" s="1">
        <v>14335.04482072067</v>
      </c>
      <c r="M2405" s="1">
        <v>45925</v>
      </c>
    </row>
    <row r="2406" spans="1:13" ht="14.4" hidden="1">
      <c r="A2406" t="s">
        <v>526</v>
      </c>
      <c r="B2406" s="1">
        <v>68</v>
      </c>
      <c r="C2406" s="258" t="s">
        <v>5697</v>
      </c>
      <c r="D2406" t="s">
        <v>1211</v>
      </c>
      <c r="E2406" t="s">
        <v>1187</v>
      </c>
      <c r="F2406"/>
      <c r="G2406">
        <v>0.05</v>
      </c>
      <c r="H2406" s="1">
        <v>3710.067500000001</v>
      </c>
      <c r="I2406"/>
      <c r="J2406" t="s">
        <v>5665</v>
      </c>
      <c r="K2406" s="170">
        <v>45900</v>
      </c>
      <c r="L2406" s="1">
        <v>7167.522410360335</v>
      </c>
      <c r="M2406" s="1">
        <v>45980</v>
      </c>
    </row>
    <row r="2407" spans="1:13" ht="14.4" hidden="1">
      <c r="A2407" t="s">
        <v>526</v>
      </c>
      <c r="B2407" s="1">
        <v>69</v>
      </c>
      <c r="C2407" s="258" t="s">
        <v>5698</v>
      </c>
      <c r="D2407" t="s">
        <v>1211</v>
      </c>
      <c r="E2407" t="s">
        <v>1190</v>
      </c>
      <c r="F2407"/>
      <c r="G2407">
        <v>0.05</v>
      </c>
      <c r="H2407" s="1">
        <v>3710.067500000001</v>
      </c>
      <c r="I2407"/>
      <c r="J2407" t="s">
        <v>5665</v>
      </c>
      <c r="K2407" s="170">
        <v>45900</v>
      </c>
      <c r="L2407" s="1">
        <v>7167.522410360335</v>
      </c>
      <c r="M2407" s="1">
        <v>45995</v>
      </c>
    </row>
    <row r="2408" spans="1:13" ht="14.4" hidden="1">
      <c r="A2408" t="s">
        <v>526</v>
      </c>
      <c r="B2408" s="1">
        <v>85</v>
      </c>
      <c r="C2408" s="258" t="s">
        <v>5699</v>
      </c>
      <c r="D2408" t="s">
        <v>1224</v>
      </c>
      <c r="E2408" t="s">
        <v>1875</v>
      </c>
      <c r="F2408"/>
      <c r="H2408" s="1">
        <v>3600</v>
      </c>
      <c r="I2408" t="s">
        <v>1876</v>
      </c>
      <c r="J2408" t="s">
        <v>1877</v>
      </c>
      <c r="K2408" s="170">
        <v>45900</v>
      </c>
      <c r="L2408" s="1">
        <v>4494.3820224719102</v>
      </c>
      <c r="M2408" s="1">
        <v>45911</v>
      </c>
    </row>
    <row r="2409" spans="1:13" ht="14.4" hidden="1">
      <c r="A2409" t="s">
        <v>526</v>
      </c>
      <c r="B2409" s="1">
        <v>86</v>
      </c>
      <c r="C2409" s="258" t="s">
        <v>5700</v>
      </c>
      <c r="D2409" t="s">
        <v>1224</v>
      </c>
      <c r="E2409" t="s">
        <v>1848</v>
      </c>
      <c r="F2409"/>
      <c r="H2409" s="1">
        <v>1214.0999999999999</v>
      </c>
      <c r="I2409"/>
      <c r="J2409" t="s">
        <v>1856</v>
      </c>
      <c r="K2409" s="170">
        <v>45930</v>
      </c>
      <c r="M2409" s="1">
        <v>45910</v>
      </c>
    </row>
    <row r="2410" spans="1:13" ht="14.4" hidden="1">
      <c r="A2410" t="s">
        <v>526</v>
      </c>
      <c r="B2410" s="1">
        <v>94</v>
      </c>
      <c r="C2410" s="258" t="s">
        <v>5701</v>
      </c>
      <c r="D2410" t="s">
        <v>1246</v>
      </c>
      <c r="E2410" t="s">
        <v>1169</v>
      </c>
      <c r="F2410">
        <v>283600</v>
      </c>
      <c r="G2410">
        <v>0.1</v>
      </c>
      <c r="H2410" s="1">
        <v>28360</v>
      </c>
      <c r="I2410" t="s">
        <v>5660</v>
      </c>
      <c r="J2410" t="s">
        <v>5661</v>
      </c>
      <c r="K2410" s="170">
        <v>45869</v>
      </c>
      <c r="L2410" s="1">
        <v>22682.973302315277</v>
      </c>
      <c r="M2410" s="1">
        <v>45849</v>
      </c>
    </row>
    <row r="2411" spans="1:13" ht="14.4" hidden="1">
      <c r="A2411" t="s">
        <v>526</v>
      </c>
      <c r="B2411" s="1">
        <v>95</v>
      </c>
      <c r="C2411" s="258" t="s">
        <v>5702</v>
      </c>
      <c r="D2411" t="s">
        <v>1246</v>
      </c>
      <c r="E2411" t="s">
        <v>558</v>
      </c>
      <c r="F2411"/>
      <c r="G2411">
        <v>0.15</v>
      </c>
      <c r="H2411" s="1">
        <v>42540</v>
      </c>
      <c r="I2411"/>
      <c r="J2411" t="s">
        <v>5663</v>
      </c>
      <c r="K2411" s="170">
        <v>45869</v>
      </c>
      <c r="L2411" s="1">
        <v>34024.459953472913</v>
      </c>
      <c r="M2411" s="1">
        <v>45862</v>
      </c>
    </row>
    <row r="2412" spans="1:13" ht="14.4" hidden="1">
      <c r="A2412" t="s">
        <v>526</v>
      </c>
      <c r="B2412" s="1">
        <v>96</v>
      </c>
      <c r="C2412" s="258" t="s">
        <v>5703</v>
      </c>
      <c r="D2412" t="s">
        <v>1246</v>
      </c>
      <c r="E2412" t="s">
        <v>1175</v>
      </c>
      <c r="F2412"/>
      <c r="G2412">
        <v>0.2</v>
      </c>
      <c r="H2412" s="1">
        <v>56720</v>
      </c>
      <c r="I2412"/>
      <c r="J2412" t="s">
        <v>5665</v>
      </c>
      <c r="K2412" s="170">
        <v>45900</v>
      </c>
      <c r="L2412" s="1">
        <v>46043.212885419569</v>
      </c>
      <c r="M2412" s="1">
        <v>45925</v>
      </c>
    </row>
    <row r="2413" spans="1:13" ht="14.4" hidden="1">
      <c r="A2413" t="s">
        <v>526</v>
      </c>
      <c r="B2413" s="1">
        <v>97</v>
      </c>
      <c r="C2413" s="258" t="s">
        <v>5704</v>
      </c>
      <c r="D2413" t="s">
        <v>1246</v>
      </c>
      <c r="E2413" t="s">
        <v>1178</v>
      </c>
      <c r="F2413"/>
      <c r="G2413">
        <v>0.25</v>
      </c>
      <c r="H2413" s="1">
        <v>70900</v>
      </c>
      <c r="I2413"/>
      <c r="J2413" t="s">
        <v>5665</v>
      </c>
      <c r="K2413" s="170">
        <v>45900</v>
      </c>
      <c r="L2413" s="1">
        <v>57083.691106774459</v>
      </c>
      <c r="M2413" s="1">
        <v>45904</v>
      </c>
    </row>
    <row r="2414" spans="1:13" ht="14.4" hidden="1">
      <c r="A2414" t="s">
        <v>526</v>
      </c>
      <c r="B2414" s="1">
        <v>98</v>
      </c>
      <c r="C2414" s="258" t="s">
        <v>5705</v>
      </c>
      <c r="D2414" t="s">
        <v>1246</v>
      </c>
      <c r="E2414" t="s">
        <v>1181</v>
      </c>
      <c r="F2414"/>
      <c r="G2414">
        <v>0.1</v>
      </c>
      <c r="H2414" s="1">
        <v>28360</v>
      </c>
      <c r="I2414"/>
      <c r="J2414" t="s">
        <v>5665</v>
      </c>
      <c r="K2414" s="170">
        <v>45900</v>
      </c>
      <c r="L2414" s="1">
        <v>22833.476442709783</v>
      </c>
      <c r="M2414" s="1">
        <v>45925</v>
      </c>
    </row>
    <row r="2415" spans="1:13" ht="14.4" hidden="1">
      <c r="A2415" t="s">
        <v>526</v>
      </c>
      <c r="B2415" s="1">
        <v>99</v>
      </c>
      <c r="C2415" s="258" t="s">
        <v>5706</v>
      </c>
      <c r="D2415" t="s">
        <v>1246</v>
      </c>
      <c r="E2415" t="s">
        <v>1184</v>
      </c>
      <c r="F2415"/>
      <c r="G2415">
        <v>0.1</v>
      </c>
      <c r="H2415" s="1">
        <v>28360</v>
      </c>
      <c r="I2415"/>
      <c r="J2415" t="s">
        <v>5665</v>
      </c>
      <c r="K2415" s="170">
        <v>45900</v>
      </c>
      <c r="L2415" s="1">
        <v>22833.476442709783</v>
      </c>
      <c r="M2415" s="1">
        <v>45925</v>
      </c>
    </row>
    <row r="2416" spans="1:13" ht="14.4" hidden="1">
      <c r="A2416" t="s">
        <v>526</v>
      </c>
      <c r="B2416" s="1">
        <v>100</v>
      </c>
      <c r="C2416" s="258" t="s">
        <v>5707</v>
      </c>
      <c r="D2416" t="s">
        <v>1246</v>
      </c>
      <c r="E2416" t="s">
        <v>1187</v>
      </c>
      <c r="F2416"/>
      <c r="G2416">
        <v>0.05</v>
      </c>
      <c r="H2416" s="1">
        <v>14180</v>
      </c>
      <c r="I2416"/>
      <c r="J2416" t="s">
        <v>5665</v>
      </c>
      <c r="K2416" s="170">
        <v>45900</v>
      </c>
      <c r="L2416" s="1">
        <v>11416.738221354892</v>
      </c>
      <c r="M2416" s="1">
        <v>45980</v>
      </c>
    </row>
    <row r="2417" spans="1:13" ht="14.4" hidden="1">
      <c r="A2417" t="s">
        <v>526</v>
      </c>
      <c r="B2417" s="1">
        <v>101</v>
      </c>
      <c r="C2417" s="258" t="s">
        <v>5708</v>
      </c>
      <c r="D2417" t="s">
        <v>1246</v>
      </c>
      <c r="E2417" t="s">
        <v>1190</v>
      </c>
      <c r="F2417"/>
      <c r="G2417">
        <v>0.05</v>
      </c>
      <c r="H2417" s="1">
        <v>14180</v>
      </c>
      <c r="I2417"/>
      <c r="J2417" t="s">
        <v>5665</v>
      </c>
      <c r="K2417" s="170">
        <v>45900</v>
      </c>
      <c r="L2417" s="1">
        <v>11416.738221354892</v>
      </c>
      <c r="M2417" s="1">
        <v>45995</v>
      </c>
    </row>
    <row r="2418" spans="1:13" ht="14.4" hidden="1">
      <c r="A2418" t="s">
        <v>526</v>
      </c>
      <c r="B2418" s="1">
        <v>103</v>
      </c>
      <c r="C2418" s="258" t="s">
        <v>5709</v>
      </c>
      <c r="D2418" t="s">
        <v>1246</v>
      </c>
      <c r="E2418" t="s">
        <v>5710</v>
      </c>
      <c r="F2418">
        <v>0.5</v>
      </c>
      <c r="G2418">
        <v>32900</v>
      </c>
      <c r="H2418" s="1">
        <v>16450</v>
      </c>
      <c r="I2418" t="s">
        <v>5711</v>
      </c>
      <c r="J2418" t="s">
        <v>5712</v>
      </c>
      <c r="K2418" s="170">
        <v>45900</v>
      </c>
      <c r="L2418" s="1">
        <v>13244.382492333423</v>
      </c>
      <c r="M2418" s="1">
        <v>45890</v>
      </c>
    </row>
    <row r="2419" spans="1:13" ht="14.4" hidden="1">
      <c r="A2419" t="s">
        <v>526</v>
      </c>
      <c r="B2419" s="1">
        <v>104</v>
      </c>
      <c r="C2419" s="258" t="s">
        <v>5713</v>
      </c>
      <c r="D2419" t="s">
        <v>1246</v>
      </c>
      <c r="F2419">
        <v>0.5</v>
      </c>
      <c r="H2419" s="1">
        <v>16450</v>
      </c>
      <c r="I2419"/>
      <c r="J2419" t="s">
        <v>5712</v>
      </c>
      <c r="K2419" s="170">
        <v>45900</v>
      </c>
      <c r="L2419" s="1">
        <v>13244.382492333423</v>
      </c>
      <c r="M2419" s="1">
        <v>45911</v>
      </c>
    </row>
    <row r="2420" spans="1:13" ht="14.4" hidden="1">
      <c r="A2420" t="s">
        <v>526</v>
      </c>
      <c r="B2420" s="1">
        <v>107</v>
      </c>
      <c r="C2420" s="258" t="s">
        <v>5714</v>
      </c>
      <c r="D2420" t="s">
        <v>1255</v>
      </c>
      <c r="E2420" t="s">
        <v>1550</v>
      </c>
      <c r="F2420"/>
      <c r="H2420" s="1">
        <v>6100</v>
      </c>
      <c r="I2420"/>
      <c r="J2420" t="s">
        <v>5715</v>
      </c>
      <c r="K2420" s="170">
        <v>45838</v>
      </c>
      <c r="L2420" s="1">
        <v>7082.2278819537141</v>
      </c>
      <c r="M2420" s="1">
        <v>45835</v>
      </c>
    </row>
    <row r="2421" spans="1:13" ht="14.4" hidden="1">
      <c r="A2421" t="s">
        <v>526</v>
      </c>
      <c r="B2421" s="1">
        <v>108</v>
      </c>
      <c r="C2421" s="258" t="s">
        <v>5716</v>
      </c>
      <c r="D2421" t="s">
        <v>1255</v>
      </c>
      <c r="F2421"/>
      <c r="H2421" s="1">
        <v>100</v>
      </c>
      <c r="I2421"/>
      <c r="J2421" t="s">
        <v>5717</v>
      </c>
      <c r="K2421" s="170">
        <v>45838</v>
      </c>
      <c r="L2421" s="1">
        <v>116.10209642547072</v>
      </c>
      <c r="M2421" s="1">
        <v>45876</v>
      </c>
    </row>
    <row r="2422" spans="1:13" ht="14.4" hidden="1">
      <c r="A2422" t="s">
        <v>526</v>
      </c>
      <c r="B2422" s="1">
        <v>109</v>
      </c>
      <c r="C2422" s="258" t="s">
        <v>5718</v>
      </c>
      <c r="D2422" t="s">
        <v>1255</v>
      </c>
      <c r="F2422"/>
      <c r="H2422" s="1">
        <v>4900</v>
      </c>
      <c r="I2422"/>
      <c r="J2422" t="s">
        <v>5719</v>
      </c>
      <c r="K2422" s="170">
        <v>45869</v>
      </c>
      <c r="L2422" s="1">
        <v>12018.434973827618</v>
      </c>
      <c r="M2422" s="1">
        <v>45890</v>
      </c>
    </row>
    <row r="2423" spans="1:13" ht="14.4" hidden="1">
      <c r="A2423" t="s">
        <v>526</v>
      </c>
      <c r="B2423" s="1">
        <v>110</v>
      </c>
      <c r="C2423" s="258" t="s">
        <v>5720</v>
      </c>
      <c r="D2423" t="s">
        <v>1255</v>
      </c>
      <c r="E2423" t="s">
        <v>1557</v>
      </c>
      <c r="F2423"/>
      <c r="H2423" s="1">
        <v>620</v>
      </c>
      <c r="I2423"/>
      <c r="J2423" t="s">
        <v>5721</v>
      </c>
      <c r="K2423" s="170">
        <v>45869</v>
      </c>
      <c r="L2423" s="1">
        <v>1546.6184660761476</v>
      </c>
      <c r="M2423" s="1">
        <v>45901</v>
      </c>
    </row>
    <row r="2424" spans="1:13" ht="14.4" hidden="1">
      <c r="A2424" t="s">
        <v>526</v>
      </c>
      <c r="B2424" s="1">
        <v>111</v>
      </c>
      <c r="C2424" s="258" t="s">
        <v>5722</v>
      </c>
      <c r="D2424" t="s">
        <v>1255</v>
      </c>
      <c r="E2424" t="s">
        <v>1560</v>
      </c>
      <c r="F2424"/>
      <c r="H2424" s="1">
        <v>6600</v>
      </c>
      <c r="I2424"/>
      <c r="J2424" t="s">
        <v>5723</v>
      </c>
      <c r="K2424" s="170">
        <v>45900</v>
      </c>
      <c r="L2424" s="1">
        <v>17848.785829775905</v>
      </c>
      <c r="M2424" s="1">
        <v>45930</v>
      </c>
    </row>
    <row r="2425" spans="1:13" ht="14.4" hidden="1">
      <c r="A2425" t="s">
        <v>526</v>
      </c>
      <c r="B2425" s="1">
        <v>112</v>
      </c>
      <c r="C2425" s="258" t="s">
        <v>5724</v>
      </c>
      <c r="D2425" t="s">
        <v>1255</v>
      </c>
      <c r="F2425"/>
      <c r="H2425" s="1">
        <v>600</v>
      </c>
      <c r="I2425"/>
      <c r="J2425" t="s">
        <v>5725</v>
      </c>
      <c r="K2425" s="170">
        <v>45900</v>
      </c>
      <c r="L2425" s="1">
        <v>1622.6168936159911</v>
      </c>
      <c r="M2425" s="1">
        <v>45930</v>
      </c>
    </row>
    <row r="2426" spans="1:13" ht="14.4" hidden="1">
      <c r="A2426" t="s">
        <v>526</v>
      </c>
      <c r="B2426" s="1">
        <v>113</v>
      </c>
      <c r="C2426" s="258" t="s">
        <v>5726</v>
      </c>
      <c r="D2426" t="s">
        <v>1255</v>
      </c>
      <c r="F2426"/>
      <c r="H2426" s="1">
        <v>620</v>
      </c>
      <c r="I2426"/>
      <c r="J2426" t="s">
        <v>5727</v>
      </c>
      <c r="K2426" s="170">
        <v>45930</v>
      </c>
      <c r="M2426" s="1">
        <v>45930</v>
      </c>
    </row>
    <row r="2427" spans="1:13" ht="14.4" hidden="1">
      <c r="A2427" t="s">
        <v>526</v>
      </c>
      <c r="B2427" s="1">
        <v>114</v>
      </c>
      <c r="C2427" s="258" t="s">
        <v>5728</v>
      </c>
      <c r="D2427" t="s">
        <v>1255</v>
      </c>
      <c r="F2427"/>
      <c r="H2427" s="1">
        <v>-5400</v>
      </c>
      <c r="I2427"/>
      <c r="J2427" t="s">
        <v>5729</v>
      </c>
      <c r="K2427" s="170">
        <v>45900</v>
      </c>
      <c r="L2427" s="1">
        <v>0</v>
      </c>
      <c r="M2427" s="1">
        <v>45930</v>
      </c>
    </row>
    <row r="2428" spans="1:13" ht="14.4" hidden="1">
      <c r="A2428" t="s">
        <v>526</v>
      </c>
      <c r="B2428" s="1">
        <v>115</v>
      </c>
      <c r="C2428" s="258" t="s">
        <v>5730</v>
      </c>
      <c r="D2428" t="s">
        <v>1255</v>
      </c>
      <c r="F2428"/>
      <c r="H2428" s="1">
        <v>-6100</v>
      </c>
      <c r="I2428"/>
      <c r="J2428" t="s">
        <v>5731</v>
      </c>
      <c r="K2428" s="170">
        <v>45900</v>
      </c>
      <c r="L2428" s="1">
        <v>0</v>
      </c>
      <c r="M2428" s="1">
        <v>45930</v>
      </c>
    </row>
    <row r="2429" spans="1:13" ht="14.4" hidden="1">
      <c r="A2429" t="s">
        <v>526</v>
      </c>
      <c r="B2429" s="1">
        <v>117</v>
      </c>
      <c r="C2429" s="258" t="s">
        <v>5732</v>
      </c>
      <c r="D2429" t="s">
        <v>1255</v>
      </c>
      <c r="E2429" t="s">
        <v>1169</v>
      </c>
      <c r="F2429">
        <v>35712.5</v>
      </c>
      <c r="G2429">
        <v>0.1</v>
      </c>
      <c r="H2429" s="1">
        <v>3571.25</v>
      </c>
      <c r="I2429" t="s">
        <v>5660</v>
      </c>
      <c r="J2429" t="s">
        <v>5661</v>
      </c>
      <c r="K2429" s="170">
        <v>45869</v>
      </c>
      <c r="L2429" s="1">
        <v>8908.6489700682941</v>
      </c>
      <c r="M2429" s="1">
        <v>45849</v>
      </c>
    </row>
    <row r="2430" spans="1:13" ht="14.4" hidden="1">
      <c r="A2430" t="s">
        <v>526</v>
      </c>
      <c r="B2430" s="1">
        <v>118</v>
      </c>
      <c r="C2430" s="258" t="s">
        <v>5733</v>
      </c>
      <c r="D2430" t="s">
        <v>1255</v>
      </c>
      <c r="E2430" t="s">
        <v>558</v>
      </c>
      <c r="F2430"/>
      <c r="G2430">
        <v>0.15</v>
      </c>
      <c r="H2430" s="1">
        <v>5356.875</v>
      </c>
      <c r="I2430"/>
      <c r="J2430" t="s">
        <v>5663</v>
      </c>
      <c r="K2430" s="170">
        <v>45869</v>
      </c>
      <c r="L2430" s="1">
        <v>13362.973455102439</v>
      </c>
      <c r="M2430" s="1">
        <v>45862</v>
      </c>
    </row>
    <row r="2431" spans="1:13" ht="14.4" hidden="1">
      <c r="A2431" t="s">
        <v>526</v>
      </c>
      <c r="B2431" s="1">
        <v>119</v>
      </c>
      <c r="C2431" s="258" t="s">
        <v>5734</v>
      </c>
      <c r="D2431" t="s">
        <v>1255</v>
      </c>
      <c r="E2431" t="s">
        <v>1175</v>
      </c>
      <c r="F2431"/>
      <c r="G2431">
        <v>0.2</v>
      </c>
      <c r="H2431" s="1">
        <v>7142.5</v>
      </c>
      <c r="I2431"/>
      <c r="J2431" t="s">
        <v>5665</v>
      </c>
      <c r="K2431" s="170">
        <v>45900</v>
      </c>
      <c r="L2431" s="1">
        <v>19593.554797614262</v>
      </c>
      <c r="M2431" s="1">
        <v>45925</v>
      </c>
    </row>
    <row r="2432" spans="1:13" ht="14.4" hidden="1">
      <c r="A2432" t="s">
        <v>526</v>
      </c>
      <c r="B2432" s="1">
        <v>120</v>
      </c>
      <c r="C2432" s="258" t="s">
        <v>5735</v>
      </c>
      <c r="D2432" t="s">
        <v>1255</v>
      </c>
      <c r="E2432" t="s">
        <v>1178</v>
      </c>
      <c r="F2432"/>
      <c r="G2432">
        <v>0.25</v>
      </c>
      <c r="H2432" s="1">
        <v>8928.125</v>
      </c>
      <c r="I2432"/>
      <c r="J2432" t="s">
        <v>5665</v>
      </c>
      <c r="K2432" s="170">
        <v>45900</v>
      </c>
      <c r="L2432" s="1">
        <v>6552.3834970178286</v>
      </c>
      <c r="M2432" s="1">
        <v>45904</v>
      </c>
    </row>
    <row r="2433" spans="1:14" ht="14.4" hidden="1">
      <c r="A2433" t="s">
        <v>526</v>
      </c>
      <c r="B2433" s="1">
        <v>121</v>
      </c>
      <c r="C2433" s="258" t="s">
        <v>5736</v>
      </c>
      <c r="D2433" t="s">
        <v>1255</v>
      </c>
      <c r="E2433" t="s">
        <v>1181</v>
      </c>
      <c r="F2433"/>
      <c r="G2433">
        <v>0.1</v>
      </c>
      <c r="H2433" s="1">
        <v>3571.25</v>
      </c>
      <c r="I2433"/>
      <c r="J2433" t="s">
        <v>5665</v>
      </c>
      <c r="K2433" s="170">
        <v>45900</v>
      </c>
      <c r="L2433" s="1">
        <v>9796.7773988071312</v>
      </c>
      <c r="M2433" s="1">
        <v>45925</v>
      </c>
    </row>
    <row r="2434" spans="1:14" ht="14.4" hidden="1">
      <c r="A2434" t="s">
        <v>526</v>
      </c>
      <c r="B2434" s="1">
        <v>122</v>
      </c>
      <c r="C2434" s="258" t="s">
        <v>5737</v>
      </c>
      <c r="D2434" t="s">
        <v>1255</v>
      </c>
      <c r="E2434" t="s">
        <v>1184</v>
      </c>
      <c r="F2434"/>
      <c r="G2434">
        <v>0.1</v>
      </c>
      <c r="H2434" s="1">
        <v>3571.24</v>
      </c>
      <c r="I2434"/>
      <c r="J2434" t="s">
        <v>5665</v>
      </c>
      <c r="K2434" s="170">
        <v>45900</v>
      </c>
      <c r="L2434" s="1">
        <v>9796.759966458796</v>
      </c>
      <c r="M2434" s="1">
        <v>45925</v>
      </c>
    </row>
    <row r="2435" spans="1:14" ht="14.4" hidden="1">
      <c r="A2435" t="s">
        <v>526</v>
      </c>
      <c r="B2435" s="1">
        <v>123</v>
      </c>
      <c r="C2435" s="258" t="s">
        <v>5738</v>
      </c>
      <c r="D2435" t="s">
        <v>1255</v>
      </c>
      <c r="E2435" t="s">
        <v>1187</v>
      </c>
      <c r="F2435"/>
      <c r="G2435">
        <v>0.05</v>
      </c>
      <c r="H2435" s="1">
        <v>1785.625</v>
      </c>
      <c r="I2435"/>
      <c r="J2435" t="s">
        <v>5665</v>
      </c>
      <c r="K2435" s="170">
        <v>45900</v>
      </c>
      <c r="L2435" s="1">
        <v>4898.3886994035656</v>
      </c>
      <c r="M2435" s="1">
        <v>45980</v>
      </c>
    </row>
    <row r="2436" spans="1:14" ht="14.4" hidden="1">
      <c r="A2436" t="s">
        <v>526</v>
      </c>
      <c r="B2436" s="1">
        <v>124</v>
      </c>
      <c r="C2436" s="258" t="s">
        <v>5739</v>
      </c>
      <c r="D2436" t="s">
        <v>1255</v>
      </c>
      <c r="E2436" t="s">
        <v>1190</v>
      </c>
      <c r="F2436"/>
      <c r="G2436">
        <v>0.05</v>
      </c>
      <c r="H2436" s="1">
        <v>1785.625</v>
      </c>
      <c r="I2436"/>
      <c r="J2436" t="s">
        <v>5665</v>
      </c>
      <c r="K2436" s="170">
        <v>45900</v>
      </c>
      <c r="L2436" s="1">
        <v>4898.3886994035656</v>
      </c>
      <c r="M2436" s="1">
        <v>45995</v>
      </c>
    </row>
    <row r="2437" spans="1:14" ht="14.4" hidden="1">
      <c r="A2437" t="s">
        <v>526</v>
      </c>
      <c r="B2437" s="1">
        <v>129</v>
      </c>
      <c r="C2437" s="258" t="s">
        <v>5740</v>
      </c>
      <c r="D2437" t="s">
        <v>1264</v>
      </c>
      <c r="E2437" t="s">
        <v>1265</v>
      </c>
      <c r="F2437"/>
      <c r="H2437" s="1">
        <v>13117</v>
      </c>
      <c r="I2437"/>
      <c r="J2437" t="s">
        <v>5741</v>
      </c>
      <c r="K2437" s="170">
        <v>45869</v>
      </c>
      <c r="L2437" s="1">
        <v>48656.607181351683</v>
      </c>
      <c r="M2437" s="1">
        <v>45989</v>
      </c>
      <c r="N2437" s="1">
        <v>26807.91</v>
      </c>
    </row>
    <row r="2438" spans="1:14" ht="14.4" hidden="1">
      <c r="A2438" t="s">
        <v>526</v>
      </c>
      <c r="B2438" s="1">
        <v>130</v>
      </c>
      <c r="C2438" s="258" t="s">
        <v>5742</v>
      </c>
      <c r="D2438" t="s">
        <v>1264</v>
      </c>
      <c r="E2438" t="s">
        <v>1268</v>
      </c>
      <c r="F2438"/>
      <c r="H2438" s="1">
        <v>7690.91</v>
      </c>
      <c r="I2438"/>
      <c r="J2438" t="s">
        <v>1897</v>
      </c>
      <c r="K2438" s="170">
        <v>45838</v>
      </c>
      <c r="L2438" s="1">
        <v>32614.57425615576</v>
      </c>
      <c r="M2438" s="1">
        <v>45526</v>
      </c>
    </row>
    <row r="2439" spans="1:14" ht="14.4" hidden="1">
      <c r="A2439" t="s">
        <v>526</v>
      </c>
      <c r="B2439" s="1">
        <v>132</v>
      </c>
      <c r="C2439" s="258" t="s">
        <v>5743</v>
      </c>
      <c r="D2439" t="s">
        <v>1264</v>
      </c>
      <c r="E2439" t="s">
        <v>808</v>
      </c>
      <c r="F2439"/>
      <c r="H2439" s="1">
        <v>6000</v>
      </c>
      <c r="I2439"/>
      <c r="J2439" t="s">
        <v>1899</v>
      </c>
      <c r="K2439" s="170">
        <v>45900</v>
      </c>
      <c r="L2439" s="1">
        <v>23434.69871831288</v>
      </c>
      <c r="M2439" s="1">
        <v>45900</v>
      </c>
    </row>
    <row r="2440" spans="1:14" ht="14.4" hidden="1">
      <c r="A2440" t="s">
        <v>526</v>
      </c>
      <c r="B2440" s="1">
        <v>138</v>
      </c>
      <c r="C2440" s="258" t="s">
        <v>5744</v>
      </c>
      <c r="D2440" t="s">
        <v>1277</v>
      </c>
      <c r="E2440" t="s">
        <v>1278</v>
      </c>
      <c r="F2440"/>
      <c r="H2440" s="1">
        <v>32082.453826032128</v>
      </c>
      <c r="I2440"/>
      <c r="J2440" t="s">
        <v>1901</v>
      </c>
      <c r="K2440" s="170">
        <v>45900</v>
      </c>
      <c r="L2440" s="1">
        <v>194809.39850131751</v>
      </c>
      <c r="M2440" s="1">
        <v>45900</v>
      </c>
      <c r="N2440" s="1">
        <v>32082.453826032128</v>
      </c>
    </row>
    <row r="2441" spans="1:14" ht="14.4" hidden="1">
      <c r="A2441" t="s">
        <v>526</v>
      </c>
      <c r="B2441" s="1">
        <v>139</v>
      </c>
      <c r="C2441" s="258" t="s">
        <v>5745</v>
      </c>
      <c r="D2441" t="s">
        <v>1277</v>
      </c>
      <c r="E2441" t="s">
        <v>1903</v>
      </c>
      <c r="F2441"/>
      <c r="H2441" s="1">
        <v>0</v>
      </c>
      <c r="I2441"/>
      <c r="J2441"/>
      <c r="K2441" s="170"/>
      <c r="L2441" s="1">
        <v>0</v>
      </c>
    </row>
    <row r="2442" spans="1:14" ht="14.4" hidden="1">
      <c r="A2442" t="s">
        <v>526</v>
      </c>
      <c r="B2442" s="1">
        <v>140</v>
      </c>
      <c r="C2442" s="258" t="s">
        <v>5746</v>
      </c>
      <c r="D2442" t="s">
        <v>1277</v>
      </c>
      <c r="E2442" t="s">
        <v>1905</v>
      </c>
      <c r="F2442"/>
      <c r="H2442" s="1">
        <v>0</v>
      </c>
      <c r="I2442"/>
      <c r="J2442"/>
      <c r="K2442" s="170"/>
      <c r="L2442" s="1">
        <v>0</v>
      </c>
    </row>
    <row r="2443" spans="1:14" ht="14.4" hidden="1">
      <c r="A2443" t="s">
        <v>526</v>
      </c>
      <c r="B2443" s="1">
        <v>141</v>
      </c>
      <c r="C2443" s="258" t="s">
        <v>5747</v>
      </c>
      <c r="D2443" t="s">
        <v>1277</v>
      </c>
      <c r="E2443" t="s">
        <v>1907</v>
      </c>
      <c r="F2443"/>
      <c r="H2443" s="1">
        <v>0</v>
      </c>
      <c r="I2443"/>
      <c r="J2443"/>
      <c r="K2443" s="170"/>
      <c r="L2443" s="1">
        <v>0</v>
      </c>
    </row>
    <row r="2444" spans="1:14" ht="14.4" hidden="1">
      <c r="A2444" t="s">
        <v>526</v>
      </c>
      <c r="B2444" s="1">
        <v>142</v>
      </c>
      <c r="C2444" s="258" t="s">
        <v>5748</v>
      </c>
      <c r="D2444" t="s">
        <v>1277</v>
      </c>
      <c r="E2444" t="s">
        <v>1909</v>
      </c>
      <c r="F2444"/>
      <c r="H2444" s="1">
        <v>0</v>
      </c>
      <c r="I2444"/>
      <c r="J2444"/>
      <c r="K2444" s="170"/>
      <c r="L2444" s="1">
        <v>0</v>
      </c>
    </row>
    <row r="2445" spans="1:14" ht="14.4" hidden="1">
      <c r="A2445" t="s">
        <v>526</v>
      </c>
      <c r="B2445" s="1">
        <v>145</v>
      </c>
      <c r="C2445" s="258" t="s">
        <v>5749</v>
      </c>
      <c r="D2445" t="s">
        <v>1280</v>
      </c>
      <c r="E2445" t="s">
        <v>1281</v>
      </c>
      <c r="F2445"/>
      <c r="H2445" s="1">
        <v>323.68</v>
      </c>
      <c r="I2445"/>
      <c r="J2445" t="s">
        <v>1604</v>
      </c>
      <c r="K2445" s="170">
        <v>45838</v>
      </c>
      <c r="L2445" s="1">
        <v>663.43284823680233</v>
      </c>
      <c r="M2445" s="1">
        <v>45842</v>
      </c>
      <c r="N2445" s="1">
        <v>542.64</v>
      </c>
    </row>
    <row r="2446" spans="1:14" ht="14.4" hidden="1">
      <c r="A2446" t="s">
        <v>526</v>
      </c>
      <c r="B2446" s="1">
        <v>146</v>
      </c>
      <c r="C2446" s="258" t="s">
        <v>5750</v>
      </c>
      <c r="D2446" t="s">
        <v>1280</v>
      </c>
      <c r="E2446" t="s">
        <v>1281</v>
      </c>
      <c r="F2446"/>
      <c r="H2446" s="1">
        <v>0</v>
      </c>
      <c r="I2446"/>
      <c r="J2446" t="s">
        <v>1604</v>
      </c>
      <c r="K2446" s="170">
        <v>45869</v>
      </c>
      <c r="L2446" s="1">
        <v>0</v>
      </c>
      <c r="M2446" s="1">
        <v>45869</v>
      </c>
    </row>
    <row r="2447" spans="1:14" ht="14.4" hidden="1">
      <c r="A2447" t="s">
        <v>526</v>
      </c>
      <c r="B2447" s="1">
        <v>147</v>
      </c>
      <c r="C2447" s="258" t="s">
        <v>5751</v>
      </c>
      <c r="D2447" t="s">
        <v>1280</v>
      </c>
      <c r="E2447" t="s">
        <v>1281</v>
      </c>
      <c r="F2447"/>
      <c r="H2447" s="1">
        <v>0</v>
      </c>
      <c r="I2447"/>
      <c r="J2447" t="s">
        <v>1604</v>
      </c>
      <c r="K2447" s="170">
        <v>45900</v>
      </c>
      <c r="L2447" s="1">
        <v>4483.63</v>
      </c>
      <c r="M2447" s="1">
        <v>45905</v>
      </c>
    </row>
    <row r="2448" spans="1:14" ht="14.4" hidden="1">
      <c r="A2448" t="s">
        <v>526</v>
      </c>
      <c r="B2448" s="1">
        <v>148</v>
      </c>
      <c r="C2448" s="258" t="s">
        <v>5752</v>
      </c>
      <c r="D2448" t="s">
        <v>1280</v>
      </c>
      <c r="E2448" t="s">
        <v>1281</v>
      </c>
      <c r="F2448"/>
      <c r="H2448" s="1">
        <v>0</v>
      </c>
      <c r="I2448"/>
      <c r="J2448" t="s">
        <v>1604</v>
      </c>
      <c r="K2448" s="170">
        <v>45930</v>
      </c>
      <c r="L2448" s="1">
        <v>0</v>
      </c>
      <c r="M2448" s="1">
        <v>45930</v>
      </c>
    </row>
    <row r="2449" spans="1:14" ht="14.4" hidden="1">
      <c r="A2449" t="s">
        <v>526</v>
      </c>
      <c r="B2449" s="1">
        <v>149</v>
      </c>
      <c r="C2449" s="258" t="s">
        <v>5753</v>
      </c>
      <c r="D2449" t="s">
        <v>1280</v>
      </c>
      <c r="E2449" t="s">
        <v>1281</v>
      </c>
      <c r="F2449"/>
      <c r="H2449" s="1">
        <v>218.96</v>
      </c>
      <c r="I2449"/>
      <c r="J2449" t="s">
        <v>1604</v>
      </c>
      <c r="K2449" s="170">
        <v>45961</v>
      </c>
      <c r="L2449" s="1">
        <v>0</v>
      </c>
      <c r="M2449" s="1">
        <v>45967</v>
      </c>
    </row>
    <row r="2450" spans="1:14" ht="14.4" hidden="1">
      <c r="A2450" t="s">
        <v>526</v>
      </c>
      <c r="B2450" s="1">
        <v>160</v>
      </c>
      <c r="C2450" s="258" t="s">
        <v>5754</v>
      </c>
      <c r="D2450" t="s">
        <v>1451</v>
      </c>
      <c r="E2450" t="s">
        <v>5755</v>
      </c>
      <c r="F2450"/>
      <c r="H2450" s="1">
        <v>3524.1</v>
      </c>
      <c r="I2450" t="s">
        <v>5756</v>
      </c>
      <c r="J2450" t="s">
        <v>5757</v>
      </c>
      <c r="K2450" s="170">
        <v>46022</v>
      </c>
      <c r="M2450" s="1">
        <v>46003</v>
      </c>
    </row>
    <row r="2451" spans="1:14" ht="14.4" hidden="1">
      <c r="A2451" t="s">
        <v>526</v>
      </c>
      <c r="B2451" s="1">
        <v>161</v>
      </c>
      <c r="C2451" s="258" t="s">
        <v>5758</v>
      </c>
      <c r="D2451" t="s">
        <v>1451</v>
      </c>
      <c r="E2451" t="s">
        <v>5759</v>
      </c>
      <c r="F2451"/>
      <c r="H2451" s="1">
        <v>3524.1</v>
      </c>
      <c r="I2451" t="s">
        <v>5760</v>
      </c>
      <c r="J2451" t="s">
        <v>5761</v>
      </c>
      <c r="K2451" s="170">
        <v>46053</v>
      </c>
      <c r="M2451" s="1">
        <v>46067</v>
      </c>
    </row>
    <row r="2452" spans="1:14" ht="14.4" hidden="1">
      <c r="A2452" t="s">
        <v>219</v>
      </c>
      <c r="B2452" s="1">
        <v>6</v>
      </c>
      <c r="C2452" s="258" t="s">
        <v>5762</v>
      </c>
      <c r="D2452" t="s">
        <v>1146</v>
      </c>
      <c r="E2452" t="s">
        <v>2729</v>
      </c>
      <c r="F2452">
        <v>584</v>
      </c>
      <c r="G2452">
        <v>1233.8</v>
      </c>
      <c r="H2452" s="1">
        <v>425271.2</v>
      </c>
      <c r="I2452" t="s">
        <v>5763</v>
      </c>
      <c r="J2452" t="s">
        <v>5764</v>
      </c>
      <c r="K2452" s="170">
        <v>45808</v>
      </c>
      <c r="L2452" s="1">
        <v>863702</v>
      </c>
      <c r="M2452" s="1">
        <v>45862</v>
      </c>
      <c r="N2452" s="1">
        <v>724840.6</v>
      </c>
    </row>
    <row r="2453" spans="1:14" ht="14.4" hidden="1">
      <c r="A2453" t="s">
        <v>219</v>
      </c>
      <c r="B2453" s="1">
        <v>7</v>
      </c>
      <c r="C2453" s="258" t="s">
        <v>5765</v>
      </c>
      <c r="D2453" t="s">
        <v>1146</v>
      </c>
      <c r="F2453"/>
      <c r="H2453" s="1">
        <v>295267.99999999994</v>
      </c>
      <c r="I2453"/>
      <c r="J2453" t="s">
        <v>5764</v>
      </c>
      <c r="K2453" s="170">
        <v>45808</v>
      </c>
      <c r="L2453" s="1">
        <v>0</v>
      </c>
      <c r="M2453" s="1">
        <v>45866</v>
      </c>
    </row>
    <row r="2454" spans="1:14" ht="14.4" hidden="1">
      <c r="A2454" t="s">
        <v>219</v>
      </c>
      <c r="B2454" s="1">
        <v>8</v>
      </c>
      <c r="C2454" s="258" t="s">
        <v>5766</v>
      </c>
      <c r="D2454" t="s">
        <v>1146</v>
      </c>
      <c r="E2454" t="s">
        <v>2729</v>
      </c>
      <c r="F2454">
        <v>3</v>
      </c>
      <c r="H2454" s="1">
        <v>3701.4</v>
      </c>
      <c r="I2454"/>
      <c r="J2454" t="s">
        <v>5767</v>
      </c>
      <c r="K2454" s="170">
        <v>45991</v>
      </c>
      <c r="L2454" s="1">
        <v>0</v>
      </c>
      <c r="M2454" s="1">
        <v>46045</v>
      </c>
    </row>
    <row r="2455" spans="1:14" ht="14.4" hidden="1">
      <c r="A2455" t="s">
        <v>219</v>
      </c>
      <c r="B2455" s="1">
        <v>9</v>
      </c>
      <c r="C2455" s="258" t="s">
        <v>5768</v>
      </c>
      <c r="D2455" t="s">
        <v>1146</v>
      </c>
      <c r="E2455" t="s">
        <v>1461</v>
      </c>
      <c r="F2455"/>
      <c r="H2455" s="1">
        <v>600</v>
      </c>
      <c r="I2455"/>
      <c r="J2455" t="s">
        <v>5767</v>
      </c>
      <c r="K2455" s="170">
        <v>45991</v>
      </c>
      <c r="L2455" s="1">
        <v>0</v>
      </c>
      <c r="M2455" s="1">
        <v>46045</v>
      </c>
    </row>
    <row r="2456" spans="1:14" ht="14.4" hidden="1">
      <c r="A2456" t="s">
        <v>219</v>
      </c>
      <c r="B2456" s="1">
        <v>13</v>
      </c>
      <c r="C2456" s="258" t="s">
        <v>5769</v>
      </c>
      <c r="D2456" t="s">
        <v>1157</v>
      </c>
      <c r="E2456" t="s">
        <v>3079</v>
      </c>
      <c r="F2456">
        <v>3</v>
      </c>
      <c r="G2456">
        <v>68870.350000000006</v>
      </c>
      <c r="H2456" s="1">
        <v>206611.05</v>
      </c>
      <c r="I2456" t="s">
        <v>5763</v>
      </c>
      <c r="J2456" t="s">
        <v>5770</v>
      </c>
      <c r="K2456" s="170">
        <v>45808</v>
      </c>
      <c r="L2456" s="1">
        <v>238636.36363636365</v>
      </c>
      <c r="M2456" s="1">
        <v>45855</v>
      </c>
      <c r="N2456" s="1">
        <v>206611.05</v>
      </c>
    </row>
    <row r="2457" spans="1:14" ht="14.4" hidden="1">
      <c r="A2457" t="s">
        <v>219</v>
      </c>
      <c r="B2457" s="1">
        <v>21</v>
      </c>
      <c r="C2457" s="258" t="s">
        <v>5771</v>
      </c>
      <c r="D2457" t="s">
        <v>1160</v>
      </c>
      <c r="E2457" t="s">
        <v>1161</v>
      </c>
      <c r="F2457"/>
      <c r="H2457" s="1">
        <v>79861</v>
      </c>
      <c r="I2457" t="s">
        <v>5772</v>
      </c>
      <c r="J2457" t="s">
        <v>5773</v>
      </c>
      <c r="K2457" s="170">
        <v>45808</v>
      </c>
      <c r="L2457" s="1">
        <v>178441.86625409569</v>
      </c>
      <c r="M2457" s="1">
        <v>45835</v>
      </c>
      <c r="N2457" s="1">
        <v>79861</v>
      </c>
    </row>
    <row r="2458" spans="1:14" ht="14.4" hidden="1">
      <c r="A2458" t="s">
        <v>219</v>
      </c>
      <c r="B2458" s="1">
        <v>28</v>
      </c>
      <c r="C2458" s="258" t="s">
        <v>5774</v>
      </c>
      <c r="D2458" t="s">
        <v>1165</v>
      </c>
      <c r="E2458" t="s">
        <v>1953</v>
      </c>
      <c r="F2458">
        <v>10000</v>
      </c>
      <c r="G2458">
        <v>13.4</v>
      </c>
      <c r="H2458" s="1">
        <v>134000</v>
      </c>
      <c r="I2458" t="s">
        <v>5763</v>
      </c>
      <c r="J2458" t="s">
        <v>5770</v>
      </c>
      <c r="K2458" s="170">
        <v>45808</v>
      </c>
      <c r="L2458" s="1">
        <v>138392.59500087905</v>
      </c>
      <c r="M2458" s="1">
        <v>45855</v>
      </c>
      <c r="N2458" s="1">
        <v>318357.03282253689</v>
      </c>
    </row>
    <row r="2459" spans="1:14" ht="14.4" hidden="1">
      <c r="A2459" t="s">
        <v>219</v>
      </c>
      <c r="B2459" s="1">
        <v>32</v>
      </c>
      <c r="C2459" s="258" t="s">
        <v>5775</v>
      </c>
      <c r="D2459" t="s">
        <v>1165</v>
      </c>
      <c r="E2459" t="s">
        <v>1169</v>
      </c>
      <c r="F2459">
        <v>184357.03282253689</v>
      </c>
      <c r="G2459">
        <v>0.1</v>
      </c>
      <c r="H2459" s="1">
        <v>18435.703282253689</v>
      </c>
      <c r="I2459" t="s">
        <v>5776</v>
      </c>
      <c r="J2459" t="s">
        <v>5777</v>
      </c>
      <c r="K2459" s="170">
        <v>45808</v>
      </c>
      <c r="L2459" s="1">
        <v>19040.035954457544</v>
      </c>
      <c r="M2459" s="1">
        <v>45792</v>
      </c>
    </row>
    <row r="2460" spans="1:14" ht="14.4" hidden="1">
      <c r="A2460" t="s">
        <v>219</v>
      </c>
      <c r="B2460" s="1">
        <v>33</v>
      </c>
      <c r="C2460" s="258" t="s">
        <v>5778</v>
      </c>
      <c r="D2460" t="s">
        <v>1165</v>
      </c>
      <c r="E2460" t="s">
        <v>558</v>
      </c>
      <c r="F2460"/>
      <c r="G2460">
        <v>0.15</v>
      </c>
      <c r="H2460" s="1">
        <v>27653.554923380529</v>
      </c>
      <c r="I2460"/>
      <c r="J2460" t="s">
        <v>5777</v>
      </c>
      <c r="K2460" s="170">
        <v>45808</v>
      </c>
      <c r="L2460" s="1">
        <v>28560.053931686321</v>
      </c>
      <c r="M2460" s="1">
        <v>45792</v>
      </c>
    </row>
    <row r="2461" spans="1:14" ht="14.4" hidden="1">
      <c r="A2461" t="s">
        <v>219</v>
      </c>
      <c r="B2461" s="1">
        <v>34</v>
      </c>
      <c r="C2461" s="258" t="s">
        <v>5779</v>
      </c>
      <c r="D2461" t="s">
        <v>1165</v>
      </c>
      <c r="E2461" t="s">
        <v>1175</v>
      </c>
      <c r="F2461"/>
      <c r="G2461">
        <v>6.4000000000000001E-2</v>
      </c>
      <c r="H2461" s="1">
        <v>11798.850100642359</v>
      </c>
      <c r="I2461"/>
      <c r="J2461" t="s">
        <v>5780</v>
      </c>
      <c r="K2461" s="170">
        <v>45869</v>
      </c>
      <c r="L2461" s="1">
        <v>12185.623010852829</v>
      </c>
      <c r="M2461" s="1">
        <v>45849</v>
      </c>
    </row>
    <row r="2462" spans="1:14" ht="14.4" hidden="1">
      <c r="A2462" t="s">
        <v>219</v>
      </c>
      <c r="B2462" s="1">
        <v>35</v>
      </c>
      <c r="C2462" s="258" t="s">
        <v>5781</v>
      </c>
      <c r="D2462" t="s">
        <v>1165</v>
      </c>
      <c r="E2462" t="s">
        <v>1175</v>
      </c>
      <c r="F2462"/>
      <c r="G2462">
        <v>0.13600000000000001</v>
      </c>
      <c r="H2462" s="1">
        <v>25072.556463865018</v>
      </c>
      <c r="I2462"/>
      <c r="J2462" t="s">
        <v>5782</v>
      </c>
      <c r="K2462" s="170">
        <v>45869</v>
      </c>
      <c r="L2462" s="1">
        <v>25894.448898062263</v>
      </c>
      <c r="M2462" s="1">
        <v>45883</v>
      </c>
    </row>
    <row r="2463" spans="1:14" ht="14.4" hidden="1">
      <c r="A2463" t="s">
        <v>219</v>
      </c>
      <c r="B2463" s="1">
        <v>36</v>
      </c>
      <c r="C2463" s="258" t="s">
        <v>5783</v>
      </c>
      <c r="D2463" t="s">
        <v>1165</v>
      </c>
      <c r="E2463" t="s">
        <v>1178</v>
      </c>
      <c r="F2463"/>
      <c r="G2463">
        <v>0.19750000000000001</v>
      </c>
      <c r="H2463" s="1">
        <v>36410.513982451033</v>
      </c>
      <c r="I2463"/>
      <c r="J2463" t="s">
        <v>5780</v>
      </c>
      <c r="K2463" s="170">
        <v>45869</v>
      </c>
      <c r="L2463" s="1">
        <v>37604.071010053653</v>
      </c>
      <c r="M2463" s="1">
        <v>45849</v>
      </c>
    </row>
    <row r="2464" spans="1:14" ht="14.4" hidden="1">
      <c r="A2464" t="s">
        <v>219</v>
      </c>
      <c r="B2464" s="1">
        <v>37</v>
      </c>
      <c r="C2464" s="258" t="s">
        <v>5784</v>
      </c>
      <c r="D2464" t="s">
        <v>1165</v>
      </c>
      <c r="E2464" t="s">
        <v>1178</v>
      </c>
      <c r="F2464"/>
      <c r="G2464">
        <v>5.2499999999999998E-2</v>
      </c>
      <c r="H2464" s="1">
        <v>9678.7442231831847</v>
      </c>
      <c r="I2464"/>
      <c r="J2464" t="s">
        <v>5785</v>
      </c>
      <c r="K2464" s="170">
        <v>45900</v>
      </c>
      <c r="L2464" s="1">
        <v>9996.0188760902111</v>
      </c>
      <c r="M2464" s="1">
        <v>46003</v>
      </c>
    </row>
    <row r="2465" spans="1:14" ht="14.4" hidden="1">
      <c r="A2465" t="s">
        <v>219</v>
      </c>
      <c r="B2465" s="1">
        <v>38</v>
      </c>
      <c r="C2465" s="258" t="s">
        <v>5786</v>
      </c>
      <c r="D2465" t="s">
        <v>1165</v>
      </c>
      <c r="E2465" t="s">
        <v>1181</v>
      </c>
      <c r="F2465"/>
      <c r="G2465">
        <v>0.1</v>
      </c>
      <c r="H2465" s="1">
        <v>18435.703282253689</v>
      </c>
      <c r="I2465"/>
      <c r="J2465" t="s">
        <v>5787</v>
      </c>
      <c r="K2465" s="170">
        <v>45900</v>
      </c>
      <c r="L2465" s="1">
        <v>19040.035954457544</v>
      </c>
      <c r="M2465" s="1">
        <v>46009</v>
      </c>
    </row>
    <row r="2466" spans="1:14" ht="14.4" hidden="1">
      <c r="A2466" t="s">
        <v>219</v>
      </c>
      <c r="B2466" s="1">
        <v>39</v>
      </c>
      <c r="C2466" s="258" t="s">
        <v>5788</v>
      </c>
      <c r="D2466" t="s">
        <v>1165</v>
      </c>
      <c r="E2466" t="s">
        <v>1184</v>
      </c>
      <c r="F2466"/>
      <c r="G2466">
        <v>0.1</v>
      </c>
      <c r="H2466" s="1">
        <v>18435.703282253689</v>
      </c>
      <c r="I2466"/>
      <c r="J2466" t="s">
        <v>5789</v>
      </c>
      <c r="K2466" s="170">
        <v>45900</v>
      </c>
      <c r="L2466" s="1">
        <v>19040.035954457544</v>
      </c>
      <c r="M2466" s="1">
        <v>46009</v>
      </c>
    </row>
    <row r="2467" spans="1:14" ht="14.4" hidden="1">
      <c r="A2467" t="s">
        <v>219</v>
      </c>
      <c r="B2467" s="1">
        <v>40</v>
      </c>
      <c r="C2467" s="258" t="s">
        <v>5790</v>
      </c>
      <c r="D2467" t="s">
        <v>1165</v>
      </c>
      <c r="E2467" t="s">
        <v>1187</v>
      </c>
      <c r="F2467"/>
      <c r="G2467">
        <v>0.05</v>
      </c>
      <c r="H2467" s="1">
        <v>9217.8516411268429</v>
      </c>
      <c r="I2467"/>
      <c r="J2467" t="s">
        <v>5791</v>
      </c>
      <c r="K2467" s="170">
        <v>45900</v>
      </c>
      <c r="L2467" s="1">
        <v>9520.017977228772</v>
      </c>
      <c r="M2467" s="1">
        <v>46078</v>
      </c>
    </row>
    <row r="2468" spans="1:14" ht="14.4" hidden="1">
      <c r="A2468" t="s">
        <v>219</v>
      </c>
      <c r="B2468" s="1">
        <v>41</v>
      </c>
      <c r="C2468" s="258" t="s">
        <v>5792</v>
      </c>
      <c r="D2468" t="s">
        <v>1165</v>
      </c>
      <c r="E2468" t="s">
        <v>1190</v>
      </c>
      <c r="F2468"/>
      <c r="G2468">
        <v>0.05</v>
      </c>
      <c r="H2468" s="1">
        <v>9217.8516411268429</v>
      </c>
      <c r="I2468"/>
      <c r="J2468" t="s">
        <v>5793</v>
      </c>
      <c r="K2468" s="170">
        <v>45900</v>
      </c>
      <c r="L2468" s="1">
        <v>9520.017977228772</v>
      </c>
      <c r="M2468" s="1">
        <v>46108</v>
      </c>
    </row>
    <row r="2469" spans="1:14" ht="14.4" hidden="1">
      <c r="A2469" t="s">
        <v>219</v>
      </c>
      <c r="B2469" s="1">
        <v>46</v>
      </c>
      <c r="C2469" s="258" t="s">
        <v>5794</v>
      </c>
      <c r="D2469" t="s">
        <v>1193</v>
      </c>
      <c r="E2469" t="s">
        <v>2755</v>
      </c>
      <c r="F2469"/>
      <c r="H2469" s="1">
        <v>8598.35</v>
      </c>
      <c r="I2469" t="s">
        <v>5763</v>
      </c>
      <c r="J2469" t="s">
        <v>5770</v>
      </c>
      <c r="K2469" s="170">
        <v>45808</v>
      </c>
      <c r="L2469" s="1">
        <v>12277.093379226768</v>
      </c>
      <c r="M2469" s="1">
        <v>45855</v>
      </c>
      <c r="N2469" s="1">
        <v>35927.129999999997</v>
      </c>
    </row>
    <row r="2470" spans="1:14" ht="14.4" hidden="1">
      <c r="A2470" t="s">
        <v>219</v>
      </c>
      <c r="B2470" s="1">
        <v>47</v>
      </c>
      <c r="C2470" s="258" t="s">
        <v>5795</v>
      </c>
      <c r="D2470" t="s">
        <v>1193</v>
      </c>
      <c r="E2470" t="s">
        <v>1196</v>
      </c>
      <c r="F2470"/>
      <c r="H2470" s="1">
        <v>13695</v>
      </c>
      <c r="I2470" t="s">
        <v>5796</v>
      </c>
      <c r="J2470" t="s">
        <v>5797</v>
      </c>
      <c r="K2470" s="170">
        <v>45777</v>
      </c>
      <c r="L2470" s="1">
        <v>19114.237373104399</v>
      </c>
      <c r="M2470" s="1">
        <v>45806</v>
      </c>
    </row>
    <row r="2471" spans="1:14" ht="14.4" hidden="1">
      <c r="A2471" t="s">
        <v>219</v>
      </c>
      <c r="B2471" s="1">
        <v>48</v>
      </c>
      <c r="C2471" s="258" t="s">
        <v>5798</v>
      </c>
      <c r="D2471" t="s">
        <v>1193</v>
      </c>
      <c r="F2471"/>
      <c r="H2471" s="1">
        <v>214.28</v>
      </c>
      <c r="I2471"/>
      <c r="J2471" t="s">
        <v>3286</v>
      </c>
      <c r="K2471" s="170">
        <v>45838</v>
      </c>
      <c r="L2471" s="1">
        <v>4039.4627869468</v>
      </c>
      <c r="M2471" s="1">
        <v>45867</v>
      </c>
    </row>
    <row r="2472" spans="1:14" ht="14.4" hidden="1">
      <c r="A2472" t="s">
        <v>219</v>
      </c>
      <c r="B2472" s="1">
        <v>49</v>
      </c>
      <c r="C2472" s="258" t="s">
        <v>5799</v>
      </c>
      <c r="D2472" t="s">
        <v>1193</v>
      </c>
      <c r="E2472" t="s">
        <v>1200</v>
      </c>
      <c r="F2472"/>
      <c r="H2472" s="1">
        <v>11169</v>
      </c>
      <c r="I2472"/>
      <c r="J2472" t="s">
        <v>2969</v>
      </c>
      <c r="K2472" s="170">
        <v>45838</v>
      </c>
      <c r="L2472" s="1">
        <v>17082.093069856328</v>
      </c>
      <c r="M2472" s="1">
        <v>45838</v>
      </c>
    </row>
    <row r="2473" spans="1:14" ht="14.4" hidden="1">
      <c r="A2473" t="s">
        <v>219</v>
      </c>
      <c r="B2473" s="1">
        <v>50</v>
      </c>
      <c r="C2473" s="258" t="s">
        <v>5800</v>
      </c>
      <c r="D2473" t="s">
        <v>1193</v>
      </c>
      <c r="E2473" t="s">
        <v>2768</v>
      </c>
      <c r="F2473"/>
      <c r="H2473" s="1">
        <v>2250.5</v>
      </c>
      <c r="I2473" t="s">
        <v>2971</v>
      </c>
      <c r="J2473" t="s">
        <v>2769</v>
      </c>
      <c r="K2473" s="170">
        <v>45808</v>
      </c>
      <c r="L2473" s="1">
        <v>3168.9360499339805</v>
      </c>
      <c r="M2473" s="1">
        <v>45799</v>
      </c>
    </row>
    <row r="2474" spans="1:14" ht="14.4" hidden="1">
      <c r="A2474" t="s">
        <v>219</v>
      </c>
      <c r="B2474" s="1">
        <v>56</v>
      </c>
      <c r="C2474" s="258" t="s">
        <v>5801</v>
      </c>
      <c r="D2474" t="s">
        <v>1211</v>
      </c>
      <c r="E2474" t="s">
        <v>1212</v>
      </c>
      <c r="F2474"/>
      <c r="H2474" s="1">
        <v>117330.71</v>
      </c>
      <c r="I2474" t="s">
        <v>5802</v>
      </c>
      <c r="J2474" t="s">
        <v>5803</v>
      </c>
      <c r="K2474" s="170">
        <v>45838</v>
      </c>
      <c r="L2474" s="1">
        <v>260887.23516664887</v>
      </c>
      <c r="M2474" s="1">
        <v>45867</v>
      </c>
    </row>
    <row r="2475" spans="1:14" ht="14.4" hidden="1">
      <c r="A2475" t="s">
        <v>219</v>
      </c>
      <c r="B2475" s="1">
        <v>61</v>
      </c>
      <c r="C2475" s="258" t="s">
        <v>5804</v>
      </c>
      <c r="D2475" t="s">
        <v>1211</v>
      </c>
      <c r="E2475" t="s">
        <v>1169</v>
      </c>
      <c r="F2475">
        <v>92047.898114276482</v>
      </c>
      <c r="G2475">
        <v>0.1</v>
      </c>
      <c r="H2475" s="1">
        <v>9204.7999999999993</v>
      </c>
      <c r="I2475" t="s">
        <v>5776</v>
      </c>
      <c r="J2475" t="s">
        <v>5777</v>
      </c>
      <c r="K2475" s="170">
        <v>45808</v>
      </c>
      <c r="L2475" s="1">
        <v>20757.86657388409</v>
      </c>
      <c r="M2475" s="1">
        <v>45792</v>
      </c>
    </row>
    <row r="2476" spans="1:14" ht="14.4" hidden="1">
      <c r="A2476" t="s">
        <v>219</v>
      </c>
      <c r="B2476" s="1">
        <v>62</v>
      </c>
      <c r="C2476" s="258" t="s">
        <v>5805</v>
      </c>
      <c r="D2476" t="s">
        <v>1211</v>
      </c>
      <c r="E2476" t="s">
        <v>558</v>
      </c>
      <c r="F2476"/>
      <c r="G2476">
        <v>0.15</v>
      </c>
      <c r="H2476" s="1">
        <v>13807.184717141472</v>
      </c>
      <c r="I2476"/>
      <c r="J2476" t="s">
        <v>5777</v>
      </c>
      <c r="K2476" s="170">
        <v>45808</v>
      </c>
      <c r="L2476" s="1">
        <v>31136.765396249157</v>
      </c>
      <c r="M2476" s="1">
        <v>45792</v>
      </c>
    </row>
    <row r="2477" spans="1:14" ht="14.4" hidden="1">
      <c r="A2477" t="s">
        <v>219</v>
      </c>
      <c r="B2477" s="1">
        <v>63</v>
      </c>
      <c r="C2477" s="258" t="s">
        <v>5806</v>
      </c>
      <c r="D2477" t="s">
        <v>1211</v>
      </c>
      <c r="E2477" t="s">
        <v>1175</v>
      </c>
      <c r="F2477"/>
      <c r="G2477">
        <v>6.4000000000000001E-2</v>
      </c>
      <c r="H2477" s="1">
        <v>5891.0654793136946</v>
      </c>
      <c r="I2477"/>
      <c r="J2477" t="s">
        <v>5780</v>
      </c>
      <c r="K2477" s="170">
        <v>45869</v>
      </c>
      <c r="L2477" s="1">
        <v>13098.904669407002</v>
      </c>
      <c r="M2477" s="1">
        <v>45849</v>
      </c>
    </row>
    <row r="2478" spans="1:14" ht="14.4" hidden="1">
      <c r="A2478" t="s">
        <v>219</v>
      </c>
      <c r="B2478" s="1">
        <v>64</v>
      </c>
      <c r="C2478" s="258" t="s">
        <v>5807</v>
      </c>
      <c r="D2478" t="s">
        <v>1211</v>
      </c>
      <c r="E2478" t="s">
        <v>1175</v>
      </c>
      <c r="F2478"/>
      <c r="G2478">
        <v>0.13600000000000001</v>
      </c>
      <c r="H2478" s="1">
        <v>12518.514143541604</v>
      </c>
      <c r="I2478"/>
      <c r="J2478" t="s">
        <v>5782</v>
      </c>
      <c r="K2478" s="170">
        <v>45869</v>
      </c>
      <c r="L2478" s="1">
        <v>27108.162422489881</v>
      </c>
      <c r="M2478" s="1">
        <v>45883</v>
      </c>
    </row>
    <row r="2479" spans="1:14" ht="14.4" hidden="1">
      <c r="A2479" t="s">
        <v>219</v>
      </c>
      <c r="B2479" s="1">
        <v>65</v>
      </c>
      <c r="C2479" s="258" t="s">
        <v>5808</v>
      </c>
      <c r="D2479" t="s">
        <v>1211</v>
      </c>
      <c r="E2479" t="s">
        <v>1178</v>
      </c>
      <c r="F2479"/>
      <c r="G2479">
        <v>0.19750000000000001</v>
      </c>
      <c r="H2479" s="1">
        <v>18179.459877569607</v>
      </c>
      <c r="I2479"/>
      <c r="J2479" t="s">
        <v>5780</v>
      </c>
      <c r="K2479" s="170">
        <v>45869</v>
      </c>
      <c r="L2479" s="1">
        <v>40422.401128248166</v>
      </c>
      <c r="M2479" s="1">
        <v>45849</v>
      </c>
    </row>
    <row r="2480" spans="1:14" ht="14.4" hidden="1">
      <c r="A2480" t="s">
        <v>219</v>
      </c>
      <c r="B2480" s="1">
        <v>66</v>
      </c>
      <c r="C2480" s="258" t="s">
        <v>5809</v>
      </c>
      <c r="D2480" t="s">
        <v>1211</v>
      </c>
      <c r="E2480" t="s">
        <v>1178</v>
      </c>
      <c r="F2480"/>
      <c r="G2480">
        <v>5.2499999999999998E-2</v>
      </c>
      <c r="H2480" s="1">
        <v>4832.5146509995147</v>
      </c>
      <c r="I2480"/>
      <c r="J2480" t="s">
        <v>5785</v>
      </c>
      <c r="K2480" s="170">
        <v>45900</v>
      </c>
      <c r="L2480" s="1">
        <v>10745.195236622932</v>
      </c>
      <c r="M2480" s="1">
        <v>46003</v>
      </c>
    </row>
    <row r="2481" spans="1:13" ht="14.4" hidden="1">
      <c r="A2481" t="s">
        <v>219</v>
      </c>
      <c r="B2481" s="1">
        <v>67</v>
      </c>
      <c r="C2481" s="258" t="s">
        <v>5810</v>
      </c>
      <c r="D2481" t="s">
        <v>1211</v>
      </c>
      <c r="E2481" t="s">
        <v>1181</v>
      </c>
      <c r="F2481"/>
      <c r="G2481">
        <v>0.1</v>
      </c>
      <c r="H2481" s="1">
        <v>9204.7898114276486</v>
      </c>
      <c r="I2481"/>
      <c r="J2481" t="s">
        <v>5787</v>
      </c>
      <c r="K2481" s="170">
        <v>45900</v>
      </c>
      <c r="L2481" s="1">
        <v>20467.038545948439</v>
      </c>
      <c r="M2481" s="1">
        <v>46009</v>
      </c>
    </row>
    <row r="2482" spans="1:13" ht="14.4" hidden="1">
      <c r="A2482" t="s">
        <v>219</v>
      </c>
      <c r="B2482" s="1">
        <v>68</v>
      </c>
      <c r="C2482" s="258" t="s">
        <v>5811</v>
      </c>
      <c r="D2482" t="s">
        <v>1211</v>
      </c>
      <c r="E2482" t="s">
        <v>1184</v>
      </c>
      <c r="F2482"/>
      <c r="G2482">
        <v>0.1</v>
      </c>
      <c r="H2482" s="1">
        <v>9204.7898114276486</v>
      </c>
      <c r="I2482"/>
      <c r="J2482" t="s">
        <v>5789</v>
      </c>
      <c r="K2482" s="170">
        <v>45900</v>
      </c>
      <c r="L2482" s="1">
        <v>20467.038545948439</v>
      </c>
      <c r="M2482" s="1">
        <v>46009</v>
      </c>
    </row>
    <row r="2483" spans="1:13" ht="14.4" hidden="1">
      <c r="A2483" t="s">
        <v>219</v>
      </c>
      <c r="B2483" s="1">
        <v>69</v>
      </c>
      <c r="C2483" s="258" t="s">
        <v>5812</v>
      </c>
      <c r="D2483" t="s">
        <v>1211</v>
      </c>
      <c r="E2483" t="s">
        <v>1187</v>
      </c>
      <c r="F2483"/>
      <c r="G2483">
        <v>0.05</v>
      </c>
      <c r="H2483" s="1">
        <v>4602.3949057138243</v>
      </c>
      <c r="I2483"/>
      <c r="J2483" t="s">
        <v>5791</v>
      </c>
      <c r="K2483" s="170">
        <v>45900</v>
      </c>
      <c r="L2483" s="1">
        <v>10233.519272974219</v>
      </c>
      <c r="M2483" s="1">
        <v>46078</v>
      </c>
    </row>
    <row r="2484" spans="1:13" ht="14.4" hidden="1">
      <c r="A2484" t="s">
        <v>219</v>
      </c>
      <c r="B2484" s="1">
        <v>70</v>
      </c>
      <c r="C2484" s="258" t="s">
        <v>5813</v>
      </c>
      <c r="D2484" t="s">
        <v>1211</v>
      </c>
      <c r="E2484" t="s">
        <v>1190</v>
      </c>
      <c r="F2484"/>
      <c r="G2484">
        <v>0.05</v>
      </c>
      <c r="H2484" s="1">
        <v>4602.3949057138243</v>
      </c>
      <c r="I2484"/>
      <c r="J2484" t="s">
        <v>5793</v>
      </c>
      <c r="K2484" s="170">
        <v>45900</v>
      </c>
      <c r="L2484" s="1">
        <v>10233.519272974219</v>
      </c>
      <c r="M2484" s="1">
        <v>46108</v>
      </c>
    </row>
    <row r="2485" spans="1:13" ht="14.4" hidden="1">
      <c r="A2485" t="s">
        <v>219</v>
      </c>
      <c r="B2485" s="1">
        <v>85</v>
      </c>
      <c r="C2485" s="258" t="s">
        <v>5814</v>
      </c>
      <c r="D2485" t="s">
        <v>1224</v>
      </c>
      <c r="E2485" t="s">
        <v>5815</v>
      </c>
      <c r="F2485"/>
      <c r="G2485">
        <v>17600</v>
      </c>
      <c r="H2485" s="1">
        <v>17600</v>
      </c>
      <c r="I2485"/>
      <c r="J2485" t="s">
        <v>5816</v>
      </c>
      <c r="K2485" s="170">
        <v>45838</v>
      </c>
      <c r="M2485" s="1">
        <v>45834</v>
      </c>
    </row>
    <row r="2486" spans="1:13" ht="14.4" hidden="1">
      <c r="A2486" t="s">
        <v>219</v>
      </c>
      <c r="B2486" s="1">
        <v>87</v>
      </c>
      <c r="C2486" s="258" t="s">
        <v>5817</v>
      </c>
      <c r="D2486" t="s">
        <v>1224</v>
      </c>
      <c r="E2486" t="s">
        <v>5818</v>
      </c>
      <c r="F2486"/>
      <c r="H2486" s="1">
        <v>15930</v>
      </c>
      <c r="I2486" t="s">
        <v>5819</v>
      </c>
      <c r="J2486" t="s">
        <v>5820</v>
      </c>
      <c r="K2486" s="170">
        <v>45930</v>
      </c>
      <c r="M2486" s="1">
        <v>45939</v>
      </c>
    </row>
    <row r="2487" spans="1:13" ht="14.4" hidden="1">
      <c r="A2487" t="s">
        <v>219</v>
      </c>
      <c r="B2487" s="1">
        <v>95</v>
      </c>
      <c r="C2487" s="258" t="s">
        <v>5821</v>
      </c>
      <c r="D2487" t="s">
        <v>1246</v>
      </c>
      <c r="E2487" t="s">
        <v>1169</v>
      </c>
      <c r="F2487">
        <v>481307.72586872778</v>
      </c>
      <c r="G2487">
        <v>0.1</v>
      </c>
      <c r="H2487" s="1">
        <v>48130.78</v>
      </c>
      <c r="I2487" t="s">
        <v>5776</v>
      </c>
      <c r="J2487" t="s">
        <v>5777</v>
      </c>
      <c r="K2487" s="170">
        <v>45808</v>
      </c>
      <c r="L2487" s="1">
        <v>34423.534103420694</v>
      </c>
      <c r="M2487" s="1">
        <v>45792</v>
      </c>
    </row>
    <row r="2488" spans="1:13" ht="14.4" hidden="1">
      <c r="A2488" t="s">
        <v>219</v>
      </c>
      <c r="B2488" s="1">
        <v>96</v>
      </c>
      <c r="C2488" s="258" t="s">
        <v>5822</v>
      </c>
      <c r="D2488" t="s">
        <v>1246</v>
      </c>
      <c r="E2488" t="s">
        <v>558</v>
      </c>
      <c r="F2488"/>
      <c r="G2488">
        <v>0.15</v>
      </c>
      <c r="H2488" s="1">
        <v>72196.160000000003</v>
      </c>
      <c r="I2488"/>
      <c r="J2488" t="s">
        <v>5777</v>
      </c>
      <c r="K2488" s="170">
        <v>45808</v>
      </c>
      <c r="L2488" s="1">
        <v>51635.294003047886</v>
      </c>
      <c r="M2488" s="1">
        <v>45792</v>
      </c>
    </row>
    <row r="2489" spans="1:13" ht="14.4" hidden="1">
      <c r="A2489" t="s">
        <v>219</v>
      </c>
      <c r="B2489" s="1">
        <v>97</v>
      </c>
      <c r="C2489" s="258" t="s">
        <v>5823</v>
      </c>
      <c r="D2489" t="s">
        <v>1246</v>
      </c>
      <c r="E2489" t="s">
        <v>1175</v>
      </c>
      <c r="F2489"/>
      <c r="G2489">
        <v>6.4000000000000001E-2</v>
      </c>
      <c r="H2489" s="1">
        <v>30803.694455598579</v>
      </c>
      <c r="I2489"/>
      <c r="J2489" t="s">
        <v>5780</v>
      </c>
      <c r="K2489" s="170">
        <v>45869</v>
      </c>
      <c r="L2489" s="1">
        <v>22031.058432953894</v>
      </c>
      <c r="M2489" s="1">
        <v>45849</v>
      </c>
    </row>
    <row r="2490" spans="1:13" ht="14.4" hidden="1">
      <c r="A2490" t="s">
        <v>219</v>
      </c>
      <c r="B2490" s="1">
        <v>98</v>
      </c>
      <c r="C2490" s="258" t="s">
        <v>5824</v>
      </c>
      <c r="D2490" t="s">
        <v>1246</v>
      </c>
      <c r="E2490" t="s">
        <v>1175</v>
      </c>
      <c r="F2490"/>
      <c r="G2490">
        <v>0.13600000000000001</v>
      </c>
      <c r="H2490" s="1">
        <v>65457.850718146983</v>
      </c>
      <c r="I2490"/>
      <c r="J2490" t="s">
        <v>5782</v>
      </c>
      <c r="K2490" s="170">
        <v>45869</v>
      </c>
      <c r="L2490" s="1">
        <v>46815.999170027026</v>
      </c>
      <c r="M2490" s="1">
        <v>45883</v>
      </c>
    </row>
    <row r="2491" spans="1:13" ht="14.4" hidden="1">
      <c r="A2491" t="s">
        <v>219</v>
      </c>
      <c r="B2491" s="1">
        <v>99</v>
      </c>
      <c r="C2491" s="258" t="s">
        <v>5825</v>
      </c>
      <c r="D2491" t="s">
        <v>1246</v>
      </c>
      <c r="E2491" t="s">
        <v>1178</v>
      </c>
      <c r="F2491"/>
      <c r="G2491">
        <v>0.19750000000000001</v>
      </c>
      <c r="H2491" s="1">
        <v>95058.275859073721</v>
      </c>
      <c r="I2491"/>
      <c r="J2491" t="s">
        <v>5780</v>
      </c>
      <c r="K2491" s="170">
        <v>45869</v>
      </c>
      <c r="L2491" s="1">
        <v>67986.469382943644</v>
      </c>
      <c r="M2491" s="1">
        <v>45849</v>
      </c>
    </row>
    <row r="2492" spans="1:13" ht="14.4" hidden="1">
      <c r="A2492" t="s">
        <v>219</v>
      </c>
      <c r="B2492" s="1">
        <v>100</v>
      </c>
      <c r="C2492" s="258" t="s">
        <v>5826</v>
      </c>
      <c r="D2492" t="s">
        <v>1246</v>
      </c>
      <c r="E2492" t="s">
        <v>1178</v>
      </c>
      <c r="F2492"/>
      <c r="G2492">
        <v>5.2499999999999998E-2</v>
      </c>
      <c r="H2492" s="1">
        <v>25268.655608108209</v>
      </c>
      <c r="I2492"/>
      <c r="J2492" t="s">
        <v>5785</v>
      </c>
      <c r="K2492" s="170">
        <v>45900</v>
      </c>
      <c r="L2492" s="1">
        <v>18072.352064079845</v>
      </c>
      <c r="M2492" s="1">
        <v>46003</v>
      </c>
    </row>
    <row r="2493" spans="1:13" ht="14.4" hidden="1">
      <c r="A2493" t="s">
        <v>219</v>
      </c>
      <c r="B2493" s="1">
        <v>101</v>
      </c>
      <c r="C2493" s="258" t="s">
        <v>5827</v>
      </c>
      <c r="D2493" t="s">
        <v>1246</v>
      </c>
      <c r="E2493" t="s">
        <v>1181</v>
      </c>
      <c r="F2493"/>
      <c r="G2493">
        <v>0.1</v>
      </c>
      <c r="H2493" s="1">
        <v>48130.78</v>
      </c>
      <c r="I2493"/>
      <c r="J2493" t="s">
        <v>5787</v>
      </c>
      <c r="K2493" s="170">
        <v>45900</v>
      </c>
      <c r="L2493" s="1">
        <v>34423.533043034535</v>
      </c>
      <c r="M2493" s="1">
        <v>46078</v>
      </c>
    </row>
    <row r="2494" spans="1:13" ht="14.4" hidden="1">
      <c r="A2494" t="s">
        <v>219</v>
      </c>
      <c r="B2494" s="1">
        <v>102</v>
      </c>
      <c r="C2494" s="258" t="s">
        <v>5828</v>
      </c>
      <c r="D2494" t="s">
        <v>1246</v>
      </c>
      <c r="E2494" t="s">
        <v>1184</v>
      </c>
      <c r="F2494"/>
      <c r="G2494">
        <v>0.1</v>
      </c>
      <c r="H2494" s="1">
        <v>48130.78</v>
      </c>
      <c r="I2494"/>
      <c r="J2494" t="s">
        <v>5789</v>
      </c>
      <c r="K2494" s="170">
        <v>45900</v>
      </c>
      <c r="L2494" s="1">
        <v>34423.533043034535</v>
      </c>
      <c r="M2494" s="1">
        <v>46009</v>
      </c>
    </row>
    <row r="2495" spans="1:13" ht="14.4" hidden="1">
      <c r="A2495" t="s">
        <v>219</v>
      </c>
      <c r="B2495" s="1">
        <v>103</v>
      </c>
      <c r="C2495" s="258" t="s">
        <v>5829</v>
      </c>
      <c r="D2495" t="s">
        <v>1246</v>
      </c>
      <c r="E2495" t="s">
        <v>1187</v>
      </c>
      <c r="F2495"/>
      <c r="G2495">
        <v>0.05</v>
      </c>
      <c r="H2495" s="1">
        <v>24065.38629343639</v>
      </c>
      <c r="I2495"/>
      <c r="J2495" t="s">
        <v>5791</v>
      </c>
      <c r="K2495" s="170">
        <v>45900</v>
      </c>
      <c r="L2495" s="1">
        <v>17211.763870552233</v>
      </c>
      <c r="M2495" s="1">
        <v>46078</v>
      </c>
    </row>
    <row r="2496" spans="1:13" ht="14.4" hidden="1">
      <c r="A2496" t="s">
        <v>219</v>
      </c>
      <c r="B2496" s="1">
        <v>104</v>
      </c>
      <c r="C2496" s="258" t="s">
        <v>5830</v>
      </c>
      <c r="D2496" t="s">
        <v>1246</v>
      </c>
      <c r="E2496" t="s">
        <v>1190</v>
      </c>
      <c r="F2496"/>
      <c r="G2496">
        <v>0.05</v>
      </c>
      <c r="H2496" s="1">
        <v>24065.38629343639</v>
      </c>
      <c r="I2496"/>
      <c r="J2496" t="s">
        <v>5793</v>
      </c>
      <c r="K2496" s="170">
        <v>45900</v>
      </c>
      <c r="L2496" s="1">
        <v>17211.763870552233</v>
      </c>
      <c r="M2496" s="1">
        <v>46108</v>
      </c>
    </row>
    <row r="2497" spans="1:14" ht="14.4" hidden="1">
      <c r="A2497" t="s">
        <v>219</v>
      </c>
      <c r="B2497" s="1">
        <v>109</v>
      </c>
      <c r="C2497" s="258" t="s">
        <v>5831</v>
      </c>
      <c r="D2497" t="s">
        <v>1255</v>
      </c>
      <c r="F2497"/>
      <c r="H2497" s="1">
        <v>0</v>
      </c>
      <c r="I2497"/>
      <c r="J2497"/>
      <c r="K2497" s="170" t="s">
        <v>51</v>
      </c>
      <c r="L2497" s="1">
        <v>0</v>
      </c>
      <c r="N2497" s="1">
        <v>59547.337395844181</v>
      </c>
    </row>
    <row r="2498" spans="1:14" ht="14.4" hidden="1">
      <c r="A2498" t="s">
        <v>219</v>
      </c>
      <c r="B2498" s="1">
        <v>111</v>
      </c>
      <c r="C2498" s="258" t="s">
        <v>5832</v>
      </c>
      <c r="D2498" t="s">
        <v>1255</v>
      </c>
      <c r="E2498" t="s">
        <v>3015</v>
      </c>
      <c r="F2498"/>
      <c r="H2498" s="1">
        <v>10000</v>
      </c>
      <c r="I2498" t="s">
        <v>5833</v>
      </c>
      <c r="J2498" t="s">
        <v>5834</v>
      </c>
      <c r="K2498" s="170">
        <v>45838</v>
      </c>
      <c r="L2498" s="1">
        <v>9626.3749997597188</v>
      </c>
      <c r="M2498" s="1">
        <v>45827</v>
      </c>
    </row>
    <row r="2499" spans="1:14" ht="14.4" hidden="1">
      <c r="A2499" t="s">
        <v>219</v>
      </c>
      <c r="B2499" s="1">
        <v>117</v>
      </c>
      <c r="C2499" s="258" t="s">
        <v>5835</v>
      </c>
      <c r="D2499" t="s">
        <v>1255</v>
      </c>
      <c r="E2499" t="s">
        <v>1169</v>
      </c>
      <c r="F2499">
        <v>49547.343194458896</v>
      </c>
      <c r="G2499">
        <v>0.1</v>
      </c>
      <c r="H2499" s="1">
        <v>4954.7299999999996</v>
      </c>
      <c r="I2499" t="s">
        <v>5776</v>
      </c>
      <c r="J2499" t="s">
        <v>5777</v>
      </c>
      <c r="K2499" s="170">
        <v>45808</v>
      </c>
      <c r="L2499" s="1">
        <v>4769.6089002559465</v>
      </c>
      <c r="M2499" s="1">
        <v>45792</v>
      </c>
    </row>
    <row r="2500" spans="1:14" ht="14.4" hidden="1">
      <c r="A2500" t="s">
        <v>219</v>
      </c>
      <c r="B2500" s="1">
        <v>118</v>
      </c>
      <c r="C2500" s="258" t="s">
        <v>5836</v>
      </c>
      <c r="D2500" t="s">
        <v>1255</v>
      </c>
      <c r="E2500" t="s">
        <v>558</v>
      </c>
      <c r="F2500"/>
      <c r="G2500">
        <v>0.15</v>
      </c>
      <c r="H2500" s="1">
        <v>7432.1</v>
      </c>
      <c r="I2500"/>
      <c r="J2500" t="s">
        <v>5777</v>
      </c>
      <c r="K2500" s="170">
        <v>45808</v>
      </c>
      <c r="L2500" s="1">
        <v>7154.4181635714203</v>
      </c>
      <c r="M2500" s="1">
        <v>45792</v>
      </c>
    </row>
    <row r="2501" spans="1:14" ht="14.4" hidden="1">
      <c r="A2501" t="s">
        <v>219</v>
      </c>
      <c r="B2501" s="1">
        <v>119</v>
      </c>
      <c r="C2501" s="258" t="s">
        <v>5837</v>
      </c>
      <c r="D2501" t="s">
        <v>1255</v>
      </c>
      <c r="E2501" t="s">
        <v>1175</v>
      </c>
      <c r="F2501"/>
      <c r="G2501">
        <v>6.4000000000000001E-2</v>
      </c>
      <c r="H2501" s="1">
        <v>3171.0299644453694</v>
      </c>
      <c r="I2501"/>
      <c r="J2501" t="s">
        <v>5780</v>
      </c>
      <c r="K2501" s="170">
        <v>45869</v>
      </c>
      <c r="L2501" s="1">
        <v>3052.5523573225846</v>
      </c>
      <c r="M2501" s="1">
        <v>45849</v>
      </c>
    </row>
    <row r="2502" spans="1:14" ht="14.4" hidden="1">
      <c r="A2502" t="s">
        <v>219</v>
      </c>
      <c r="B2502" s="1">
        <v>120</v>
      </c>
      <c r="C2502" s="258" t="s">
        <v>5838</v>
      </c>
      <c r="D2502" t="s">
        <v>1255</v>
      </c>
      <c r="E2502" t="s">
        <v>1175</v>
      </c>
      <c r="F2502"/>
      <c r="G2502">
        <v>0.13600000000000001</v>
      </c>
      <c r="H2502" s="1">
        <v>6738.43867444641</v>
      </c>
      <c r="I2502"/>
      <c r="J2502" t="s">
        <v>5782</v>
      </c>
      <c r="K2502" s="170">
        <v>45869</v>
      </c>
      <c r="L2502" s="1">
        <v>6486.6737593104926</v>
      </c>
      <c r="M2502" s="1">
        <v>45883</v>
      </c>
    </row>
    <row r="2503" spans="1:14" ht="14.4" hidden="1">
      <c r="A2503" t="s">
        <v>219</v>
      </c>
      <c r="B2503" s="1">
        <v>121</v>
      </c>
      <c r="C2503" s="258" t="s">
        <v>5839</v>
      </c>
      <c r="D2503" t="s">
        <v>1255</v>
      </c>
      <c r="E2503" t="s">
        <v>1178</v>
      </c>
      <c r="F2503"/>
      <c r="G2503">
        <v>0.19750000000000001</v>
      </c>
      <c r="H2503" s="1">
        <v>9785.6002809056317</v>
      </c>
      <c r="I2503"/>
      <c r="J2503" t="s">
        <v>5780</v>
      </c>
      <c r="K2503" s="170">
        <v>45869</v>
      </c>
      <c r="L2503" s="1">
        <v>9419.9857901751639</v>
      </c>
      <c r="M2503" s="1">
        <v>45849</v>
      </c>
    </row>
    <row r="2504" spans="1:14" ht="14.4" hidden="1">
      <c r="A2504" t="s">
        <v>219</v>
      </c>
      <c r="B2504" s="1">
        <v>122</v>
      </c>
      <c r="C2504" s="258" t="s">
        <v>5840</v>
      </c>
      <c r="D2504" t="s">
        <v>1255</v>
      </c>
      <c r="E2504" t="s">
        <v>1178</v>
      </c>
      <c r="F2504"/>
      <c r="G2504">
        <v>5.2499999999999998E-2</v>
      </c>
      <c r="H2504" s="1">
        <v>2601.2355177090917</v>
      </c>
      <c r="I2504"/>
      <c r="J2504" t="s">
        <v>5785</v>
      </c>
      <c r="K2504" s="170">
        <v>45900</v>
      </c>
      <c r="L2504" s="1">
        <v>4186.1014798022443</v>
      </c>
      <c r="M2504" s="1">
        <v>46003</v>
      </c>
    </row>
    <row r="2505" spans="1:14" ht="14.4" hidden="1">
      <c r="A2505" t="s">
        <v>219</v>
      </c>
      <c r="B2505" s="1">
        <v>123</v>
      </c>
      <c r="C2505" s="258" t="s">
        <v>5841</v>
      </c>
      <c r="D2505" t="s">
        <v>1255</v>
      </c>
      <c r="E2505" t="s">
        <v>1181</v>
      </c>
      <c r="F2505"/>
      <c r="G2505">
        <v>0.1</v>
      </c>
      <c r="H2505" s="1">
        <v>4954.7343194458899</v>
      </c>
      <c r="I2505"/>
      <c r="J2505" t="s">
        <v>5787</v>
      </c>
      <c r="K2505" s="170">
        <v>45900</v>
      </c>
      <c r="L2505" s="1">
        <v>7973.5266281947524</v>
      </c>
      <c r="M2505" s="1">
        <v>46078</v>
      </c>
    </row>
    <row r="2506" spans="1:14" ht="14.4" hidden="1">
      <c r="A2506" t="s">
        <v>219</v>
      </c>
      <c r="B2506" s="1">
        <v>124</v>
      </c>
      <c r="C2506" s="258" t="s">
        <v>5842</v>
      </c>
      <c r="D2506" t="s">
        <v>1255</v>
      </c>
      <c r="E2506" t="s">
        <v>1184</v>
      </c>
      <c r="F2506"/>
      <c r="G2506">
        <v>0.1</v>
      </c>
      <c r="H2506" s="1">
        <v>4954.7343194458899</v>
      </c>
      <c r="I2506"/>
      <c r="J2506" t="s">
        <v>5789</v>
      </c>
      <c r="K2506" s="170">
        <v>45900</v>
      </c>
      <c r="L2506" s="1">
        <v>7973.5266281947524</v>
      </c>
      <c r="M2506" s="1">
        <v>46009</v>
      </c>
    </row>
    <row r="2507" spans="1:14" ht="14.4" hidden="1">
      <c r="A2507" t="s">
        <v>219</v>
      </c>
      <c r="B2507" s="1">
        <v>125</v>
      </c>
      <c r="C2507" s="258" t="s">
        <v>5843</v>
      </c>
      <c r="D2507" t="s">
        <v>1255</v>
      </c>
      <c r="E2507" t="s">
        <v>1187</v>
      </c>
      <c r="F2507"/>
      <c r="G2507">
        <v>0.05</v>
      </c>
      <c r="H2507" s="1">
        <v>2477.367159722945</v>
      </c>
      <c r="I2507"/>
      <c r="J2507" t="s">
        <v>5791</v>
      </c>
      <c r="K2507" s="170">
        <v>45900</v>
      </c>
      <c r="L2507" s="1">
        <v>3986.7633140973762</v>
      </c>
      <c r="M2507" s="1">
        <v>46078</v>
      </c>
    </row>
    <row r="2508" spans="1:14" ht="14.4" hidden="1">
      <c r="A2508" t="s">
        <v>219</v>
      </c>
      <c r="B2508" s="1">
        <v>126</v>
      </c>
      <c r="C2508" s="258" t="s">
        <v>5844</v>
      </c>
      <c r="D2508" t="s">
        <v>1255</v>
      </c>
      <c r="E2508" t="s">
        <v>1190</v>
      </c>
      <c r="F2508"/>
      <c r="G2508">
        <v>0.05</v>
      </c>
      <c r="H2508" s="1">
        <v>2477.367159722945</v>
      </c>
      <c r="I2508"/>
      <c r="J2508" t="s">
        <v>5793</v>
      </c>
      <c r="K2508" s="170">
        <v>45900</v>
      </c>
      <c r="L2508" s="1">
        <v>3986.7633140973762</v>
      </c>
      <c r="M2508" s="1">
        <v>46108</v>
      </c>
    </row>
    <row r="2509" spans="1:14" ht="14.4" hidden="1">
      <c r="A2509" t="s">
        <v>219</v>
      </c>
      <c r="B2509" s="1">
        <v>131</v>
      </c>
      <c r="C2509" s="258" t="s">
        <v>5845</v>
      </c>
      <c r="D2509" t="s">
        <v>1264</v>
      </c>
      <c r="E2509" t="s">
        <v>1265</v>
      </c>
      <c r="F2509"/>
      <c r="H2509" s="1">
        <v>9941.1</v>
      </c>
      <c r="I2509"/>
      <c r="J2509" t="s">
        <v>3345</v>
      </c>
      <c r="K2509" s="170">
        <v>45869</v>
      </c>
      <c r="L2509" s="1">
        <v>48582.790457950323</v>
      </c>
      <c r="M2509" s="1">
        <v>45988</v>
      </c>
      <c r="N2509" s="1">
        <v>42864.76</v>
      </c>
    </row>
    <row r="2510" spans="1:14" ht="14.4" hidden="1">
      <c r="A2510" t="s">
        <v>219</v>
      </c>
      <c r="B2510" s="1">
        <v>132</v>
      </c>
      <c r="C2510" s="258" t="s">
        <v>5846</v>
      </c>
      <c r="D2510" t="s">
        <v>1264</v>
      </c>
      <c r="E2510" t="s">
        <v>1268</v>
      </c>
      <c r="F2510"/>
      <c r="H2510" s="1">
        <v>8212.24</v>
      </c>
      <c r="I2510" t="s">
        <v>5847</v>
      </c>
      <c r="J2510" t="s">
        <v>3045</v>
      </c>
      <c r="K2510" s="170">
        <v>45777</v>
      </c>
      <c r="L2510" s="1">
        <v>37133.627521617753</v>
      </c>
      <c r="M2510" s="1">
        <v>45757</v>
      </c>
    </row>
    <row r="2511" spans="1:14" ht="14.4" hidden="1">
      <c r="A2511" t="s">
        <v>219</v>
      </c>
      <c r="B2511" s="1">
        <v>133</v>
      </c>
      <c r="C2511" s="258" t="s">
        <v>5848</v>
      </c>
      <c r="D2511" t="s">
        <v>1264</v>
      </c>
      <c r="E2511" t="s">
        <v>5849</v>
      </c>
      <c r="F2511"/>
      <c r="H2511" s="1">
        <v>13611.42</v>
      </c>
      <c r="I2511"/>
      <c r="J2511" t="s">
        <v>5850</v>
      </c>
      <c r="K2511" s="170">
        <v>46053</v>
      </c>
      <c r="L2511" s="1">
        <v>0</v>
      </c>
      <c r="M2511" s="1">
        <v>46051</v>
      </c>
    </row>
    <row r="2512" spans="1:14" ht="14.4" hidden="1">
      <c r="A2512" t="s">
        <v>219</v>
      </c>
      <c r="B2512" s="1">
        <v>134</v>
      </c>
      <c r="C2512" s="258" t="s">
        <v>5851</v>
      </c>
      <c r="D2512" t="s">
        <v>1264</v>
      </c>
      <c r="E2512" t="s">
        <v>2094</v>
      </c>
      <c r="F2512"/>
      <c r="H2512" s="1">
        <v>5100</v>
      </c>
      <c r="I2512" t="s">
        <v>3049</v>
      </c>
      <c r="J2512" t="s">
        <v>3050</v>
      </c>
      <c r="K2512" s="170">
        <v>45777</v>
      </c>
      <c r="L2512" s="1">
        <v>23060.88233664025</v>
      </c>
      <c r="M2512" s="1">
        <v>45834</v>
      </c>
    </row>
    <row r="2513" spans="1:14" ht="14.4" hidden="1">
      <c r="A2513" t="s">
        <v>219</v>
      </c>
      <c r="B2513" s="1">
        <v>135</v>
      </c>
      <c r="C2513" s="258" t="s">
        <v>5852</v>
      </c>
      <c r="D2513" t="s">
        <v>1264</v>
      </c>
      <c r="E2513" t="s">
        <v>808</v>
      </c>
      <c r="F2513"/>
      <c r="H2513" s="1">
        <v>6000</v>
      </c>
      <c r="I2513"/>
      <c r="J2513" t="s">
        <v>3047</v>
      </c>
      <c r="K2513" s="170">
        <v>46022</v>
      </c>
      <c r="L2513" s="1">
        <v>27796.8149841267</v>
      </c>
      <c r="M2513" s="1">
        <v>46051</v>
      </c>
    </row>
    <row r="2514" spans="1:14" ht="14.4" hidden="1">
      <c r="A2514" t="s">
        <v>219</v>
      </c>
      <c r="B2514" s="1">
        <v>140</v>
      </c>
      <c r="C2514" s="258" t="s">
        <v>5853</v>
      </c>
      <c r="D2514" t="s">
        <v>1277</v>
      </c>
      <c r="E2514" t="s">
        <v>1278</v>
      </c>
      <c r="F2514"/>
      <c r="H2514" s="1">
        <v>42501.324999999997</v>
      </c>
      <c r="I2514"/>
      <c r="J2514"/>
      <c r="K2514" s="170">
        <v>46081</v>
      </c>
      <c r="L2514" s="1">
        <v>178695.31453451439</v>
      </c>
      <c r="M2514" s="1">
        <v>46080</v>
      </c>
      <c r="N2514" s="1">
        <v>42501.324999999997</v>
      </c>
    </row>
    <row r="2515" spans="1:14" ht="14.4" hidden="1">
      <c r="A2515" t="s">
        <v>219</v>
      </c>
      <c r="B2515" s="1">
        <v>141</v>
      </c>
      <c r="C2515" s="258" t="s">
        <v>5854</v>
      </c>
      <c r="D2515" t="s">
        <v>1277</v>
      </c>
      <c r="E2515" t="s">
        <v>1903</v>
      </c>
      <c r="F2515"/>
      <c r="H2515" s="1">
        <v>0</v>
      </c>
      <c r="I2515"/>
      <c r="J2515"/>
      <c r="K2515" s="170"/>
      <c r="L2515" s="1">
        <v>0</v>
      </c>
    </row>
    <row r="2516" spans="1:14" ht="14.4" hidden="1">
      <c r="A2516" t="s">
        <v>219</v>
      </c>
      <c r="B2516" s="1">
        <v>142</v>
      </c>
      <c r="C2516" s="258" t="s">
        <v>5855</v>
      </c>
      <c r="D2516" t="s">
        <v>1277</v>
      </c>
      <c r="E2516" t="s">
        <v>1905</v>
      </c>
      <c r="F2516"/>
      <c r="H2516" s="1">
        <v>0</v>
      </c>
      <c r="I2516"/>
      <c r="J2516"/>
      <c r="K2516" s="170"/>
      <c r="L2516" s="1">
        <v>0</v>
      </c>
    </row>
    <row r="2517" spans="1:14" ht="14.4" hidden="1">
      <c r="A2517" t="s">
        <v>219</v>
      </c>
      <c r="B2517" s="1">
        <v>143</v>
      </c>
      <c r="C2517" s="258" t="s">
        <v>5856</v>
      </c>
      <c r="D2517" t="s">
        <v>1277</v>
      </c>
      <c r="E2517" t="s">
        <v>1907</v>
      </c>
      <c r="F2517"/>
      <c r="H2517" s="1">
        <v>0</v>
      </c>
      <c r="I2517"/>
      <c r="J2517"/>
      <c r="K2517" s="170"/>
      <c r="L2517" s="1">
        <v>0</v>
      </c>
    </row>
    <row r="2518" spans="1:14" ht="14.4" hidden="1">
      <c r="A2518" t="s">
        <v>219</v>
      </c>
      <c r="B2518" s="1">
        <v>144</v>
      </c>
      <c r="C2518" s="258" t="s">
        <v>5857</v>
      </c>
      <c r="D2518" t="s">
        <v>1277</v>
      </c>
      <c r="E2518" t="s">
        <v>1909</v>
      </c>
      <c r="F2518"/>
      <c r="H2518" s="1">
        <v>0</v>
      </c>
      <c r="I2518"/>
      <c r="J2518"/>
      <c r="K2518" s="170"/>
      <c r="L2518" s="1">
        <v>0</v>
      </c>
    </row>
    <row r="2519" spans="1:14" ht="14.4" hidden="1">
      <c r="A2519" t="s">
        <v>219</v>
      </c>
      <c r="B2519" s="1">
        <v>147</v>
      </c>
      <c r="C2519" s="258" t="s">
        <v>5858</v>
      </c>
      <c r="D2519" t="s">
        <v>1280</v>
      </c>
      <c r="E2519" t="s">
        <v>1281</v>
      </c>
      <c r="F2519"/>
      <c r="H2519" s="1">
        <v>0</v>
      </c>
      <c r="I2519"/>
      <c r="J2519"/>
      <c r="K2519" s="170">
        <v>45777</v>
      </c>
      <c r="L2519" s="1">
        <v>0</v>
      </c>
      <c r="M2519" s="1">
        <v>45777</v>
      </c>
      <c r="N2519" s="1">
        <v>5416.420000000001</v>
      </c>
    </row>
    <row r="2520" spans="1:14" ht="14.4" hidden="1">
      <c r="A2520" t="s">
        <v>219</v>
      </c>
      <c r="B2520" s="1">
        <v>148</v>
      </c>
      <c r="C2520" s="258" t="s">
        <v>5859</v>
      </c>
      <c r="D2520" t="s">
        <v>1280</v>
      </c>
      <c r="E2520" t="s">
        <v>1281</v>
      </c>
      <c r="F2520"/>
      <c r="H2520" s="1">
        <v>1399.4599999999996</v>
      </c>
      <c r="I2520"/>
      <c r="J2520" t="s">
        <v>1604</v>
      </c>
      <c r="K2520" s="170">
        <v>45808</v>
      </c>
      <c r="L2520" s="1">
        <v>1610.7667778500245</v>
      </c>
      <c r="M2520" s="1">
        <v>45817</v>
      </c>
    </row>
    <row r="2521" spans="1:14" ht="14.4" hidden="1">
      <c r="A2521" t="s">
        <v>219</v>
      </c>
      <c r="B2521" s="1">
        <v>149</v>
      </c>
      <c r="C2521" s="258" t="s">
        <v>5860</v>
      </c>
      <c r="D2521" t="s">
        <v>1280</v>
      </c>
      <c r="E2521" t="s">
        <v>1281</v>
      </c>
      <c r="F2521"/>
      <c r="H2521" s="1">
        <v>1531.0800000000002</v>
      </c>
      <c r="I2521"/>
      <c r="J2521" t="s">
        <v>1604</v>
      </c>
      <c r="K2521" s="170">
        <v>45838</v>
      </c>
      <c r="L2521" s="1">
        <v>1904.275906153968</v>
      </c>
      <c r="M2521" s="1">
        <v>45842</v>
      </c>
    </row>
    <row r="2522" spans="1:14" ht="14.4" hidden="1">
      <c r="A2522" t="s">
        <v>219</v>
      </c>
      <c r="B2522" s="1">
        <v>150</v>
      </c>
      <c r="C2522" s="258" t="s">
        <v>5861</v>
      </c>
      <c r="D2522" t="s">
        <v>1280</v>
      </c>
      <c r="E2522" t="s">
        <v>1281</v>
      </c>
      <c r="F2522"/>
      <c r="H2522" s="1">
        <v>1925.06</v>
      </c>
      <c r="I2522"/>
      <c r="J2522" t="s">
        <v>1604</v>
      </c>
      <c r="K2522" s="170">
        <v>45869</v>
      </c>
      <c r="L2522" s="1">
        <v>918.77560628161859</v>
      </c>
      <c r="M2522" s="1">
        <v>45876</v>
      </c>
    </row>
    <row r="2523" spans="1:14" ht="14.4" hidden="1">
      <c r="A2523" t="s">
        <v>219</v>
      </c>
      <c r="B2523" s="1">
        <v>151</v>
      </c>
      <c r="C2523" s="258" t="s">
        <v>5862</v>
      </c>
      <c r="D2523" t="s">
        <v>1280</v>
      </c>
      <c r="E2523" t="s">
        <v>1281</v>
      </c>
      <c r="F2523"/>
      <c r="H2523" s="1">
        <v>109.06</v>
      </c>
      <c r="I2523"/>
      <c r="J2523" t="s">
        <v>1604</v>
      </c>
      <c r="K2523" s="170">
        <v>45900</v>
      </c>
      <c r="L2523" s="1">
        <v>101.48921094227867</v>
      </c>
      <c r="M2523" s="1">
        <v>45905</v>
      </c>
    </row>
    <row r="2524" spans="1:14" ht="14.4" hidden="1">
      <c r="A2524" t="s">
        <v>219</v>
      </c>
      <c r="B2524" s="1">
        <v>152</v>
      </c>
      <c r="C2524" s="258" t="s">
        <v>5863</v>
      </c>
      <c r="D2524" t="s">
        <v>1280</v>
      </c>
      <c r="E2524" t="s">
        <v>1281</v>
      </c>
      <c r="F2524"/>
      <c r="H2524" s="1">
        <v>0</v>
      </c>
      <c r="I2524"/>
      <c r="J2524" t="s">
        <v>1604</v>
      </c>
      <c r="K2524" s="170">
        <v>45930</v>
      </c>
      <c r="L2524" s="1">
        <v>0</v>
      </c>
      <c r="M2524" s="1">
        <v>45930</v>
      </c>
    </row>
    <row r="2525" spans="1:14" ht="14.4" hidden="1">
      <c r="A2525" t="s">
        <v>219</v>
      </c>
      <c r="B2525" s="1">
        <v>153</v>
      </c>
      <c r="C2525" s="258" t="s">
        <v>5864</v>
      </c>
      <c r="D2525" t="s">
        <v>1280</v>
      </c>
      <c r="E2525" t="s">
        <v>1281</v>
      </c>
      <c r="F2525"/>
      <c r="H2525" s="1">
        <v>113.76</v>
      </c>
      <c r="I2525"/>
      <c r="J2525" t="s">
        <v>1604</v>
      </c>
      <c r="K2525" s="170">
        <v>45961</v>
      </c>
      <c r="L2525" s="1">
        <v>612.51832955684938</v>
      </c>
      <c r="M2525" s="1">
        <v>45967</v>
      </c>
    </row>
    <row r="2526" spans="1:14" ht="14.4" hidden="1">
      <c r="A2526" t="s">
        <v>219</v>
      </c>
      <c r="B2526" s="1">
        <v>154</v>
      </c>
      <c r="C2526" s="258" t="s">
        <v>5865</v>
      </c>
      <c r="D2526" t="s">
        <v>1280</v>
      </c>
      <c r="E2526" t="s">
        <v>1281</v>
      </c>
      <c r="F2526"/>
      <c r="H2526" s="1">
        <v>83.78</v>
      </c>
      <c r="I2526"/>
      <c r="J2526" t="s">
        <v>1604</v>
      </c>
      <c r="K2526" s="170">
        <v>45991</v>
      </c>
      <c r="L2526" s="1">
        <v>76.866224714588185</v>
      </c>
      <c r="M2526" s="1">
        <v>45996</v>
      </c>
    </row>
    <row r="2527" spans="1:14" ht="14.4" hidden="1">
      <c r="A2527" t="s">
        <v>219</v>
      </c>
      <c r="B2527" s="1">
        <v>155</v>
      </c>
      <c r="C2527" s="258" t="s">
        <v>5866</v>
      </c>
      <c r="D2527" t="s">
        <v>1280</v>
      </c>
      <c r="E2527" t="s">
        <v>1281</v>
      </c>
      <c r="F2527"/>
      <c r="H2527" s="1">
        <v>88.06</v>
      </c>
      <c r="I2527"/>
      <c r="J2527" t="s">
        <v>1604</v>
      </c>
      <c r="K2527" s="170">
        <v>46022</v>
      </c>
      <c r="L2527" s="1">
        <v>616.27763831767288</v>
      </c>
      <c r="M2527" s="1">
        <v>46030</v>
      </c>
    </row>
    <row r="2528" spans="1:14" ht="14.4" hidden="1">
      <c r="A2528" t="s">
        <v>219</v>
      </c>
      <c r="B2528" s="1">
        <v>156</v>
      </c>
      <c r="C2528" s="258" t="s">
        <v>5867</v>
      </c>
      <c r="D2528" t="s">
        <v>1280</v>
      </c>
      <c r="E2528" t="s">
        <v>1281</v>
      </c>
      <c r="F2528"/>
      <c r="H2528" s="1">
        <v>66.16</v>
      </c>
      <c r="I2528"/>
      <c r="J2528" t="s">
        <v>1604</v>
      </c>
      <c r="K2528" s="170">
        <v>46053</v>
      </c>
      <c r="L2528" s="1">
        <v>785.4</v>
      </c>
      <c r="M2528" s="1">
        <v>46058</v>
      </c>
    </row>
    <row r="2529" spans="1:14" ht="14.4" hidden="1">
      <c r="A2529" t="s">
        <v>219</v>
      </c>
      <c r="B2529" s="1">
        <v>157</v>
      </c>
      <c r="C2529" s="258" t="s">
        <v>5868</v>
      </c>
      <c r="D2529" t="s">
        <v>1280</v>
      </c>
      <c r="E2529" t="s">
        <v>1281</v>
      </c>
      <c r="F2529"/>
      <c r="H2529" s="1">
        <v>100</v>
      </c>
      <c r="I2529"/>
      <c r="J2529" t="s">
        <v>1604</v>
      </c>
      <c r="K2529" s="170">
        <v>46081</v>
      </c>
      <c r="L2529" s="1">
        <v>785.4</v>
      </c>
    </row>
    <row r="2530" spans="1:14" ht="14.4" hidden="1">
      <c r="A2530" t="s">
        <v>219</v>
      </c>
      <c r="B2530" s="1">
        <v>160</v>
      </c>
      <c r="C2530" s="258" t="s">
        <v>5869</v>
      </c>
      <c r="D2530" t="s">
        <v>1451</v>
      </c>
      <c r="E2530" t="s">
        <v>5870</v>
      </c>
      <c r="F2530"/>
      <c r="H2530" s="1">
        <v>255000</v>
      </c>
      <c r="I2530"/>
      <c r="J2530" t="s">
        <v>5871</v>
      </c>
      <c r="K2530" s="170">
        <v>45838</v>
      </c>
      <c r="L2530" s="1">
        <v>238317.75700934581</v>
      </c>
      <c r="M2530" s="1">
        <v>45827</v>
      </c>
      <c r="N2530" s="1">
        <v>697420.90999999992</v>
      </c>
    </row>
    <row r="2531" spans="1:14" ht="14.4" hidden="1">
      <c r="A2531" t="s">
        <v>219</v>
      </c>
      <c r="B2531" s="1">
        <v>161</v>
      </c>
      <c r="C2531" s="258" t="s">
        <v>5872</v>
      </c>
      <c r="D2531" t="s">
        <v>1451</v>
      </c>
      <c r="E2531" t="s">
        <v>2868</v>
      </c>
      <c r="F2531"/>
      <c r="H2531" s="1">
        <v>255000</v>
      </c>
      <c r="I2531"/>
      <c r="J2531" t="s">
        <v>5871</v>
      </c>
      <c r="K2531" s="170">
        <v>45838</v>
      </c>
      <c r="L2531" s="1">
        <v>250000</v>
      </c>
      <c r="M2531" s="1">
        <v>46037</v>
      </c>
    </row>
    <row r="2532" spans="1:14" ht="14.4" hidden="1">
      <c r="A2532" t="s">
        <v>219</v>
      </c>
      <c r="B2532" s="1">
        <v>163</v>
      </c>
      <c r="C2532" s="258" t="s">
        <v>5873</v>
      </c>
      <c r="D2532" t="s">
        <v>1451</v>
      </c>
      <c r="E2532" t="s">
        <v>3226</v>
      </c>
      <c r="F2532"/>
      <c r="H2532" s="1">
        <v>0</v>
      </c>
      <c r="I2532"/>
      <c r="J2532"/>
      <c r="K2532" s="170" t="s">
        <v>51</v>
      </c>
      <c r="L2532" s="1">
        <v>0</v>
      </c>
    </row>
    <row r="2533" spans="1:14" ht="14.4" hidden="1">
      <c r="A2533" t="s">
        <v>219</v>
      </c>
      <c r="B2533" s="1">
        <v>164</v>
      </c>
      <c r="C2533" s="258" t="s">
        <v>5874</v>
      </c>
      <c r="D2533" t="s">
        <v>1451</v>
      </c>
      <c r="E2533" t="s">
        <v>3068</v>
      </c>
      <c r="F2533">
        <v>0.5</v>
      </c>
      <c r="G2533">
        <v>180494.91</v>
      </c>
      <c r="H2533" s="1">
        <v>90247.455000000002</v>
      </c>
      <c r="I2533"/>
      <c r="J2533" t="s">
        <v>5875</v>
      </c>
      <c r="K2533" s="170">
        <v>45900</v>
      </c>
      <c r="L2533" s="1">
        <v>11682.24</v>
      </c>
      <c r="M2533" s="1">
        <v>45911</v>
      </c>
    </row>
    <row r="2534" spans="1:14" ht="14.4" hidden="1">
      <c r="A2534" t="s">
        <v>219</v>
      </c>
      <c r="B2534" s="1">
        <v>165</v>
      </c>
      <c r="C2534" s="258" t="s">
        <v>5876</v>
      </c>
      <c r="D2534" t="s">
        <v>1451</v>
      </c>
      <c r="F2534"/>
      <c r="H2534" s="1">
        <v>90247.455000000002</v>
      </c>
      <c r="I2534"/>
      <c r="J2534" t="s">
        <v>5875</v>
      </c>
      <c r="K2534" s="170">
        <v>45900</v>
      </c>
      <c r="L2534" s="1">
        <v>0</v>
      </c>
      <c r="M2534" s="1">
        <v>46003</v>
      </c>
    </row>
    <row r="2535" spans="1:14" ht="14.4" hidden="1">
      <c r="A2535" t="s">
        <v>219</v>
      </c>
      <c r="B2535" s="1">
        <v>166</v>
      </c>
      <c r="C2535" s="258" t="s">
        <v>5877</v>
      </c>
      <c r="D2535" t="s">
        <v>1451</v>
      </c>
      <c r="E2535" t="s">
        <v>5878</v>
      </c>
      <c r="F2535"/>
      <c r="H2535" s="1">
        <v>6926</v>
      </c>
      <c r="I2535" t="s">
        <v>5879</v>
      </c>
      <c r="J2535" t="s">
        <v>5880</v>
      </c>
      <c r="K2535" s="170">
        <v>45961</v>
      </c>
      <c r="L2535" s="1">
        <v>0</v>
      </c>
      <c r="M2535" s="1">
        <v>45980</v>
      </c>
    </row>
    <row r="2536" spans="1:14" ht="14.4" hidden="1">
      <c r="A2536" t="s">
        <v>527</v>
      </c>
      <c r="B2536" s="1">
        <v>6</v>
      </c>
      <c r="C2536" s="258" t="s">
        <v>5881</v>
      </c>
      <c r="D2536" t="s">
        <v>1146</v>
      </c>
      <c r="E2536" t="s">
        <v>5882</v>
      </c>
      <c r="F2536">
        <v>688.52459016393448</v>
      </c>
      <c r="G2536">
        <v>1433.5</v>
      </c>
      <c r="H2536" s="1">
        <v>987000.00000000012</v>
      </c>
      <c r="I2536"/>
      <c r="J2536"/>
      <c r="K2536" s="170">
        <v>46112</v>
      </c>
      <c r="L2536" s="1">
        <v>1139692.5853658535</v>
      </c>
      <c r="M2536" s="1">
        <v>46163</v>
      </c>
      <c r="N2536" s="1">
        <v>987000.00000000012</v>
      </c>
    </row>
    <row r="2537" spans="1:14" ht="14.4" hidden="1">
      <c r="A2537" t="s">
        <v>527</v>
      </c>
      <c r="B2537" s="1">
        <v>7</v>
      </c>
      <c r="C2537" s="258" t="s">
        <v>5883</v>
      </c>
      <c r="D2537" t="s">
        <v>1146</v>
      </c>
      <c r="F2537"/>
      <c r="H2537" s="1">
        <v>0</v>
      </c>
      <c r="I2537"/>
      <c r="J2537"/>
      <c r="K2537" s="170"/>
      <c r="L2537" s="1">
        <v>0</v>
      </c>
    </row>
    <row r="2538" spans="1:14" ht="14.4" hidden="1">
      <c r="A2538" t="s">
        <v>527</v>
      </c>
      <c r="B2538" s="1">
        <v>14</v>
      </c>
      <c r="C2538" s="258" t="s">
        <v>5884</v>
      </c>
      <c r="D2538" t="s">
        <v>1157</v>
      </c>
      <c r="E2538" t="s">
        <v>5885</v>
      </c>
      <c r="F2538">
        <v>3</v>
      </c>
      <c r="G2538">
        <v>68870</v>
      </c>
      <c r="H2538" s="1">
        <v>206610</v>
      </c>
      <c r="I2538"/>
      <c r="J2538"/>
      <c r="K2538" s="170">
        <v>46112</v>
      </c>
      <c r="L2538" s="1">
        <v>203998.44813996463</v>
      </c>
      <c r="M2538" s="1">
        <v>46142</v>
      </c>
    </row>
    <row r="2539" spans="1:14" ht="14.4" hidden="1">
      <c r="A2539" t="s">
        <v>527</v>
      </c>
      <c r="B2539" s="1">
        <v>15</v>
      </c>
      <c r="C2539" s="258" t="s">
        <v>5886</v>
      </c>
      <c r="D2539" t="s">
        <v>1157</v>
      </c>
      <c r="E2539" t="s">
        <v>5887</v>
      </c>
      <c r="F2539"/>
      <c r="H2539" s="1">
        <v>3900</v>
      </c>
      <c r="I2539"/>
      <c r="J2539"/>
      <c r="K2539" s="170">
        <v>46112</v>
      </c>
      <c r="L2539" s="1">
        <v>3850.7039724401634</v>
      </c>
      <c r="M2539" s="1">
        <v>46142</v>
      </c>
    </row>
    <row r="2540" spans="1:14" ht="14.4" hidden="1">
      <c r="A2540" t="s">
        <v>527</v>
      </c>
      <c r="B2540" s="1">
        <v>17</v>
      </c>
      <c r="C2540" s="258" t="s">
        <v>5888</v>
      </c>
      <c r="D2540" t="s">
        <v>1157</v>
      </c>
      <c r="E2540" t="s">
        <v>5889</v>
      </c>
      <c r="F2540"/>
      <c r="H2540" s="1">
        <v>41640.600000000006</v>
      </c>
      <c r="I2540"/>
      <c r="J2540"/>
      <c r="K2540" s="170">
        <v>46142</v>
      </c>
      <c r="L2540" s="1">
        <v>41114.262521741504</v>
      </c>
      <c r="M2540" s="1">
        <v>46142</v>
      </c>
    </row>
    <row r="2541" spans="1:14" ht="14.4" hidden="1">
      <c r="A2541" t="s">
        <v>527</v>
      </c>
      <c r="B2541" s="1">
        <v>21</v>
      </c>
      <c r="C2541" s="258" t="s">
        <v>5890</v>
      </c>
      <c r="D2541" t="s">
        <v>1160</v>
      </c>
      <c r="E2541" t="s">
        <v>1161</v>
      </c>
      <c r="F2541"/>
      <c r="H2541" s="1">
        <v>111074</v>
      </c>
      <c r="I2541"/>
      <c r="J2541"/>
      <c r="K2541" s="170">
        <v>46112</v>
      </c>
      <c r="L2541" s="1">
        <v>230312.19512195123</v>
      </c>
      <c r="M2541" s="1">
        <v>46142</v>
      </c>
      <c r="N2541" s="1">
        <v>111074</v>
      </c>
    </row>
    <row r="2542" spans="1:14" ht="14.4" hidden="1">
      <c r="A2542" t="s">
        <v>527</v>
      </c>
      <c r="B2542" s="1">
        <v>28</v>
      </c>
      <c r="C2542" s="258" t="s">
        <v>5891</v>
      </c>
      <c r="D2542" t="s">
        <v>1165</v>
      </c>
      <c r="E2542" t="s">
        <v>836</v>
      </c>
      <c r="F2542">
        <v>8000</v>
      </c>
      <c r="G2542">
        <v>14</v>
      </c>
      <c r="H2542" s="1">
        <v>112000</v>
      </c>
      <c r="I2542"/>
      <c r="J2542"/>
      <c r="K2542" s="170">
        <v>46112</v>
      </c>
      <c r="L2542" s="1">
        <v>139312.51853330727</v>
      </c>
      <c r="M2542" s="1">
        <v>46142</v>
      </c>
      <c r="N2542" s="1">
        <v>219321.68000000005</v>
      </c>
    </row>
    <row r="2543" spans="1:14" ht="14.4" hidden="1">
      <c r="A2543" t="s">
        <v>527</v>
      </c>
      <c r="B2543" s="1">
        <v>32</v>
      </c>
      <c r="C2543" s="258" t="s">
        <v>5892</v>
      </c>
      <c r="D2543" t="s">
        <v>1165</v>
      </c>
      <c r="E2543" t="s">
        <v>1169</v>
      </c>
      <c r="F2543">
        <v>107321.68</v>
      </c>
      <c r="G2543">
        <v>0.1</v>
      </c>
      <c r="H2543" s="1">
        <v>10732.168</v>
      </c>
      <c r="I2543"/>
      <c r="J2543"/>
      <c r="K2543" s="170">
        <v>46112</v>
      </c>
      <c r="L2543" s="1">
        <v>13349.333512522921</v>
      </c>
      <c r="M2543" s="1">
        <v>46110</v>
      </c>
    </row>
    <row r="2544" spans="1:14" ht="14.4" hidden="1">
      <c r="A2544" t="s">
        <v>527</v>
      </c>
      <c r="B2544" s="1">
        <v>33</v>
      </c>
      <c r="C2544" s="258" t="s">
        <v>5893</v>
      </c>
      <c r="D2544" t="s">
        <v>1165</v>
      </c>
      <c r="E2544" t="s">
        <v>558</v>
      </c>
      <c r="F2544"/>
      <c r="G2544">
        <v>0.15</v>
      </c>
      <c r="H2544" s="1">
        <v>16098.252</v>
      </c>
      <c r="I2544"/>
      <c r="J2544"/>
      <c r="K2544" s="170">
        <v>46112</v>
      </c>
      <c r="L2544" s="1">
        <v>20024.000268784381</v>
      </c>
      <c r="M2544" s="1">
        <v>46110</v>
      </c>
    </row>
    <row r="2545" spans="1:13" ht="14.4" hidden="1">
      <c r="A2545" t="s">
        <v>527</v>
      </c>
      <c r="B2545" s="1">
        <v>34</v>
      </c>
      <c r="C2545" s="258" t="s">
        <v>5894</v>
      </c>
      <c r="D2545" t="s">
        <v>1165</v>
      </c>
      <c r="E2545" t="s">
        <v>1175</v>
      </c>
      <c r="F2545"/>
      <c r="G2545">
        <v>0.2</v>
      </c>
      <c r="H2545" s="1">
        <v>21464.335999999999</v>
      </c>
      <c r="I2545"/>
      <c r="J2545"/>
      <c r="K2545" s="170">
        <v>46142</v>
      </c>
      <c r="L2545" s="1">
        <v>26698.667025045841</v>
      </c>
      <c r="M2545" s="1">
        <v>46141</v>
      </c>
    </row>
    <row r="2546" spans="1:13" ht="14.4" hidden="1">
      <c r="A2546" t="s">
        <v>527</v>
      </c>
      <c r="B2546" s="1">
        <v>35</v>
      </c>
      <c r="C2546" s="258" t="s">
        <v>5895</v>
      </c>
      <c r="D2546" t="s">
        <v>1165</v>
      </c>
      <c r="E2546" t="s">
        <v>1178</v>
      </c>
      <c r="F2546"/>
      <c r="G2546">
        <v>0.25</v>
      </c>
      <c r="H2546" s="1">
        <v>26830.42</v>
      </c>
      <c r="I2546"/>
      <c r="J2546"/>
      <c r="K2546" s="170">
        <v>46142</v>
      </c>
      <c r="L2546" s="1">
        <v>33373.333781307301</v>
      </c>
      <c r="M2546" s="1">
        <v>46135</v>
      </c>
    </row>
    <row r="2547" spans="1:13" ht="14.4" hidden="1">
      <c r="A2547" t="s">
        <v>527</v>
      </c>
      <c r="B2547" s="1">
        <v>36</v>
      </c>
      <c r="C2547" s="258" t="s">
        <v>5896</v>
      </c>
      <c r="D2547" t="s">
        <v>1165</v>
      </c>
      <c r="E2547" t="s">
        <v>1181</v>
      </c>
      <c r="F2547"/>
      <c r="G2547">
        <v>0.1</v>
      </c>
      <c r="H2547" s="1">
        <v>10732.168</v>
      </c>
      <c r="I2547"/>
      <c r="J2547"/>
      <c r="K2547" s="170">
        <v>46173</v>
      </c>
      <c r="L2547" s="1">
        <v>13349.333512522921</v>
      </c>
      <c r="M2547" s="1">
        <v>46160</v>
      </c>
    </row>
    <row r="2548" spans="1:13" ht="14.4" hidden="1">
      <c r="A2548" t="s">
        <v>527</v>
      </c>
      <c r="B2548" s="1">
        <v>37</v>
      </c>
      <c r="C2548" s="258" t="s">
        <v>5897</v>
      </c>
      <c r="D2548" t="s">
        <v>1165</v>
      </c>
      <c r="E2548" t="s">
        <v>1184</v>
      </c>
      <c r="F2548"/>
      <c r="G2548">
        <v>0.1</v>
      </c>
      <c r="H2548" s="1">
        <v>10732.168</v>
      </c>
      <c r="I2548"/>
      <c r="J2548"/>
      <c r="K2548" s="170">
        <v>46173</v>
      </c>
      <c r="L2548" s="1">
        <v>13349.333512522921</v>
      </c>
      <c r="M2548" s="1">
        <v>46161</v>
      </c>
    </row>
    <row r="2549" spans="1:13" ht="14.4" hidden="1">
      <c r="A2549" t="s">
        <v>527</v>
      </c>
      <c r="B2549" s="1">
        <v>38</v>
      </c>
      <c r="C2549" s="258" t="s">
        <v>5898</v>
      </c>
      <c r="D2549" t="s">
        <v>1165</v>
      </c>
      <c r="E2549" t="s">
        <v>1187</v>
      </c>
      <c r="F2549"/>
      <c r="G2549">
        <v>0.05</v>
      </c>
      <c r="H2549" s="1">
        <v>5366.0839999999998</v>
      </c>
      <c r="I2549"/>
      <c r="J2549"/>
      <c r="K2549" s="170">
        <v>46173</v>
      </c>
      <c r="L2549" s="1">
        <v>6674.6667562614603</v>
      </c>
      <c r="M2549" s="1">
        <v>46161</v>
      </c>
    </row>
    <row r="2550" spans="1:13" ht="14.4" hidden="1">
      <c r="A2550" t="s">
        <v>527</v>
      </c>
      <c r="B2550" s="1">
        <v>39</v>
      </c>
      <c r="C2550" s="258" t="s">
        <v>5899</v>
      </c>
      <c r="D2550" t="s">
        <v>1165</v>
      </c>
      <c r="E2550" t="s">
        <v>1190</v>
      </c>
      <c r="F2550"/>
      <c r="G2550">
        <v>0.05</v>
      </c>
      <c r="H2550" s="1">
        <v>5366.0839999999998</v>
      </c>
      <c r="I2550"/>
      <c r="J2550"/>
      <c r="K2550" s="170">
        <v>46203</v>
      </c>
      <c r="L2550" s="1">
        <v>6674.6667562614603</v>
      </c>
      <c r="M2550" s="1">
        <v>46184</v>
      </c>
    </row>
    <row r="2551" spans="1:13" ht="14.4" hidden="1">
      <c r="A2551" t="s">
        <v>527</v>
      </c>
      <c r="B2551" s="1">
        <v>45</v>
      </c>
      <c r="C2551" s="258" t="s">
        <v>5900</v>
      </c>
      <c r="D2551" t="s">
        <v>1193</v>
      </c>
      <c r="E2551" t="s">
        <v>1304</v>
      </c>
      <c r="F2551"/>
      <c r="H2551" s="1">
        <v>26000</v>
      </c>
      <c r="I2551"/>
      <c r="J2551"/>
      <c r="K2551" s="170">
        <v>46112</v>
      </c>
      <c r="L2551" s="1">
        <v>35365.85365853658</v>
      </c>
      <c r="M2551" s="1">
        <v>46081</v>
      </c>
    </row>
    <row r="2552" spans="1:13" ht="14.4" hidden="1">
      <c r="A2552" t="s">
        <v>527</v>
      </c>
      <c r="B2552" s="1">
        <v>46</v>
      </c>
      <c r="C2552" s="258" t="s">
        <v>5901</v>
      </c>
      <c r="D2552" t="s">
        <v>1193</v>
      </c>
      <c r="E2552" t="s">
        <v>1306</v>
      </c>
      <c r="F2552"/>
      <c r="H2552" s="1">
        <v>15000</v>
      </c>
      <c r="I2552"/>
      <c r="J2552"/>
      <c r="K2552" s="170">
        <v>46112</v>
      </c>
      <c r="L2552" s="1">
        <v>20403.377110694182</v>
      </c>
      <c r="M2552" s="1">
        <v>46081</v>
      </c>
    </row>
    <row r="2553" spans="1:13" ht="14.4" hidden="1">
      <c r="A2553" t="s">
        <v>527</v>
      </c>
      <c r="B2553" s="1">
        <v>47</v>
      </c>
      <c r="C2553" s="258" t="s">
        <v>5902</v>
      </c>
      <c r="D2553" t="s">
        <v>1193</v>
      </c>
      <c r="E2553" t="s">
        <v>5903</v>
      </c>
      <c r="F2553"/>
      <c r="H2553" s="1">
        <v>90000</v>
      </c>
      <c r="I2553"/>
      <c r="J2553"/>
      <c r="K2553" s="170">
        <v>46112</v>
      </c>
      <c r="L2553" s="1">
        <v>122420.26266416509</v>
      </c>
      <c r="M2553" s="1">
        <v>46142</v>
      </c>
    </row>
    <row r="2554" spans="1:13" ht="14.4" hidden="1">
      <c r="A2554" t="s">
        <v>527</v>
      </c>
      <c r="B2554" s="1">
        <v>48</v>
      </c>
      <c r="C2554" s="258" t="s">
        <v>5904</v>
      </c>
      <c r="D2554" t="s">
        <v>1193</v>
      </c>
      <c r="E2554" t="s">
        <v>5887</v>
      </c>
      <c r="F2554"/>
      <c r="H2554" s="1">
        <v>25000</v>
      </c>
      <c r="I2554"/>
      <c r="J2554"/>
      <c r="K2554" s="170">
        <v>46112</v>
      </c>
      <c r="L2554" s="1">
        <v>34005.628517823643</v>
      </c>
      <c r="M2554" s="1">
        <v>46142</v>
      </c>
    </row>
    <row r="2555" spans="1:13" ht="14.4" hidden="1">
      <c r="A2555" t="s">
        <v>527</v>
      </c>
      <c r="B2555" s="1">
        <v>53</v>
      </c>
      <c r="C2555" s="258" t="s">
        <v>5905</v>
      </c>
      <c r="D2555" t="s">
        <v>1211</v>
      </c>
      <c r="E2555" t="s">
        <v>1212</v>
      </c>
      <c r="F2555"/>
      <c r="H2555" s="1">
        <v>190831.95</v>
      </c>
      <c r="I2555"/>
      <c r="J2555"/>
      <c r="K2555" s="170">
        <v>46112</v>
      </c>
      <c r="L2555" s="1">
        <v>245363.71162621913</v>
      </c>
      <c r="M2555" s="1">
        <v>46142</v>
      </c>
    </row>
    <row r="2556" spans="1:13" ht="14.4" hidden="1">
      <c r="A2556" t="s">
        <v>527</v>
      </c>
      <c r="B2556" s="1">
        <v>55</v>
      </c>
      <c r="C2556" s="258" t="s">
        <v>5906</v>
      </c>
      <c r="D2556" t="s">
        <v>1211</v>
      </c>
      <c r="E2556" t="s">
        <v>5907</v>
      </c>
      <c r="F2556"/>
      <c r="H2556" s="1">
        <v>40000</v>
      </c>
      <c r="I2556"/>
      <c r="J2556"/>
      <c r="K2556" s="170">
        <v>46112</v>
      </c>
      <c r="L2556" s="1">
        <v>51430.321102146496</v>
      </c>
      <c r="M2556" s="1">
        <v>46142</v>
      </c>
    </row>
    <row r="2557" spans="1:13" ht="14.4" hidden="1">
      <c r="A2557" t="s">
        <v>527</v>
      </c>
      <c r="B2557" s="1">
        <v>58</v>
      </c>
      <c r="C2557" s="258" t="s">
        <v>5908</v>
      </c>
      <c r="D2557" t="s">
        <v>1211</v>
      </c>
      <c r="E2557" t="s">
        <v>1169</v>
      </c>
      <c r="F2557">
        <v>161265.42608695698</v>
      </c>
      <c r="G2557">
        <v>0.1</v>
      </c>
      <c r="H2557" s="1">
        <v>16126.5426086957</v>
      </c>
      <c r="I2557"/>
      <c r="J2557"/>
      <c r="K2557" s="170">
        <v>46112</v>
      </c>
      <c r="L2557" s="1">
        <v>20734.831615816682</v>
      </c>
      <c r="M2557" s="1">
        <v>46110</v>
      </c>
    </row>
    <row r="2558" spans="1:13" ht="14.4" hidden="1">
      <c r="A2558" t="s">
        <v>527</v>
      </c>
      <c r="B2558" s="1">
        <v>59</v>
      </c>
      <c r="C2558" s="258" t="s">
        <v>5909</v>
      </c>
      <c r="D2558" t="s">
        <v>1211</v>
      </c>
      <c r="E2558" t="s">
        <v>558</v>
      </c>
      <c r="F2558"/>
      <c r="G2558">
        <v>0.15</v>
      </c>
      <c r="H2558" s="1">
        <v>24189.813913043548</v>
      </c>
      <c r="I2558"/>
      <c r="J2558"/>
      <c r="K2558" s="170">
        <v>46112</v>
      </c>
      <c r="L2558" s="1">
        <v>31102.247423725017</v>
      </c>
      <c r="M2558" s="1">
        <v>46110</v>
      </c>
    </row>
    <row r="2559" spans="1:13" ht="14.4" hidden="1">
      <c r="A2559" t="s">
        <v>527</v>
      </c>
      <c r="B2559" s="1">
        <v>60</v>
      </c>
      <c r="C2559" s="258" t="s">
        <v>5910</v>
      </c>
      <c r="D2559" t="s">
        <v>1211</v>
      </c>
      <c r="E2559" t="s">
        <v>1175</v>
      </c>
      <c r="F2559"/>
      <c r="G2559">
        <v>0.2</v>
      </c>
      <c r="H2559" s="1">
        <v>32253.085217391399</v>
      </c>
      <c r="I2559"/>
      <c r="J2559"/>
      <c r="K2559" s="170">
        <v>46142</v>
      </c>
      <c r="L2559" s="1">
        <v>41469.663231633363</v>
      </c>
      <c r="M2559" s="1">
        <v>46141</v>
      </c>
    </row>
    <row r="2560" spans="1:13" ht="14.4" hidden="1">
      <c r="A2560" t="s">
        <v>527</v>
      </c>
      <c r="B2560" s="1">
        <v>61</v>
      </c>
      <c r="C2560" s="258" t="s">
        <v>5911</v>
      </c>
      <c r="D2560" t="s">
        <v>1211</v>
      </c>
      <c r="E2560" t="s">
        <v>1178</v>
      </c>
      <c r="F2560"/>
      <c r="G2560">
        <v>0.25</v>
      </c>
      <c r="H2560" s="1">
        <v>40316.356521739246</v>
      </c>
      <c r="I2560"/>
      <c r="J2560"/>
      <c r="K2560" s="170">
        <v>46142</v>
      </c>
      <c r="L2560" s="1">
        <v>51837.079039541677</v>
      </c>
      <c r="M2560" s="1">
        <v>46135</v>
      </c>
    </row>
    <row r="2561" spans="1:14" ht="14.4" hidden="1">
      <c r="A2561" t="s">
        <v>527</v>
      </c>
      <c r="B2561" s="1">
        <v>62</v>
      </c>
      <c r="C2561" s="258" t="s">
        <v>5912</v>
      </c>
      <c r="D2561" t="s">
        <v>1211</v>
      </c>
      <c r="E2561" t="s">
        <v>1181</v>
      </c>
      <c r="F2561"/>
      <c r="G2561">
        <v>0.1</v>
      </c>
      <c r="H2561" s="1">
        <v>16126.5426086957</v>
      </c>
      <c r="I2561"/>
      <c r="J2561"/>
      <c r="K2561" s="170">
        <v>46173</v>
      </c>
      <c r="L2561" s="1">
        <v>20734.831615816682</v>
      </c>
      <c r="M2561" s="1">
        <v>46160</v>
      </c>
    </row>
    <row r="2562" spans="1:14" ht="14.4" hidden="1">
      <c r="A2562" t="s">
        <v>527</v>
      </c>
      <c r="B2562" s="1">
        <v>63</v>
      </c>
      <c r="C2562" s="258" t="s">
        <v>5913</v>
      </c>
      <c r="D2562" t="s">
        <v>1211</v>
      </c>
      <c r="E2562" t="s">
        <v>1184</v>
      </c>
      <c r="F2562"/>
      <c r="G2562">
        <v>0.1</v>
      </c>
      <c r="H2562" s="1">
        <v>16126.5426086957</v>
      </c>
      <c r="I2562"/>
      <c r="J2562"/>
      <c r="K2562" s="170">
        <v>46173</v>
      </c>
      <c r="L2562" s="1">
        <v>20734.831615816682</v>
      </c>
      <c r="M2562" s="1">
        <v>46161</v>
      </c>
    </row>
    <row r="2563" spans="1:14" ht="14.4" hidden="1">
      <c r="A2563" t="s">
        <v>527</v>
      </c>
      <c r="B2563" s="1">
        <v>64</v>
      </c>
      <c r="C2563" s="258" t="s">
        <v>5914</v>
      </c>
      <c r="D2563" t="s">
        <v>1211</v>
      </c>
      <c r="E2563" t="s">
        <v>1187</v>
      </c>
      <c r="F2563"/>
      <c r="G2563">
        <v>0.05</v>
      </c>
      <c r="H2563" s="1">
        <v>8063.2713043478498</v>
      </c>
      <c r="I2563"/>
      <c r="J2563"/>
      <c r="K2563" s="170">
        <v>46173</v>
      </c>
      <c r="L2563" s="1">
        <v>10367.415807908341</v>
      </c>
      <c r="M2563" s="1">
        <v>46161</v>
      </c>
    </row>
    <row r="2564" spans="1:14" ht="14.4" hidden="1">
      <c r="A2564" t="s">
        <v>527</v>
      </c>
      <c r="B2564" s="1">
        <v>65</v>
      </c>
      <c r="C2564" s="258" t="s">
        <v>5915</v>
      </c>
      <c r="D2564" t="s">
        <v>1211</v>
      </c>
      <c r="E2564" t="s">
        <v>1190</v>
      </c>
      <c r="F2564"/>
      <c r="G2564">
        <v>0.05</v>
      </c>
      <c r="H2564" s="1">
        <v>8063.2713043478498</v>
      </c>
      <c r="I2564"/>
      <c r="J2564"/>
      <c r="K2564" s="170">
        <v>46203</v>
      </c>
      <c r="L2564" s="1">
        <v>10367.415807908341</v>
      </c>
      <c r="M2564" s="1">
        <v>46184</v>
      </c>
    </row>
    <row r="2565" spans="1:14" ht="14.4" hidden="1">
      <c r="A2565" t="s">
        <v>527</v>
      </c>
      <c r="B2565" s="1">
        <v>70</v>
      </c>
      <c r="C2565" s="258" t="s">
        <v>5916</v>
      </c>
      <c r="D2565" t="s">
        <v>1316</v>
      </c>
      <c r="E2565" t="s">
        <v>5917</v>
      </c>
      <c r="F2565"/>
      <c r="H2565" s="1">
        <v>428259.99999999994</v>
      </c>
      <c r="I2565"/>
      <c r="J2565"/>
      <c r="K2565" s="170">
        <v>46112</v>
      </c>
      <c r="L2565" s="1">
        <v>579140.49794104393</v>
      </c>
      <c r="M2565" s="1">
        <v>46142</v>
      </c>
      <c r="N2565" s="1">
        <v>446452.99999999994</v>
      </c>
    </row>
    <row r="2566" spans="1:14" ht="14.4" hidden="1">
      <c r="A2566" t="s">
        <v>527</v>
      </c>
      <c r="B2566" s="1">
        <v>71</v>
      </c>
      <c r="C2566" s="258" t="s">
        <v>5918</v>
      </c>
      <c r="D2566" t="s">
        <v>1316</v>
      </c>
      <c r="E2566" t="s">
        <v>5919</v>
      </c>
      <c r="F2566"/>
      <c r="H2566" s="1">
        <v>18193</v>
      </c>
      <c r="I2566"/>
      <c r="J2566"/>
      <c r="K2566" s="170">
        <v>46112</v>
      </c>
      <c r="L2566" s="1">
        <v>24602.585062909013</v>
      </c>
      <c r="M2566" s="1">
        <v>46142</v>
      </c>
    </row>
    <row r="2567" spans="1:14" ht="14.4" hidden="1">
      <c r="A2567" t="s">
        <v>527</v>
      </c>
      <c r="B2567" s="1">
        <v>79</v>
      </c>
      <c r="C2567" s="258" t="s">
        <v>5920</v>
      </c>
      <c r="D2567" t="s">
        <v>1224</v>
      </c>
      <c r="E2567" t="s">
        <v>2409</v>
      </c>
      <c r="F2567">
        <v>82500</v>
      </c>
      <c r="G2567">
        <v>1</v>
      </c>
      <c r="H2567" s="1">
        <v>82500</v>
      </c>
      <c r="I2567"/>
      <c r="J2567"/>
      <c r="K2567" s="170">
        <v>46112</v>
      </c>
      <c r="L2567" s="1">
        <v>120554.88997555012</v>
      </c>
      <c r="M2567" s="1">
        <v>46142</v>
      </c>
      <c r="N2567" s="1">
        <v>204500</v>
      </c>
    </row>
    <row r="2568" spans="1:14" ht="14.4" hidden="1">
      <c r="A2568" t="s">
        <v>527</v>
      </c>
      <c r="B2568" s="1">
        <v>81</v>
      </c>
      <c r="C2568" s="258" t="s">
        <v>5921</v>
      </c>
      <c r="D2568" t="s">
        <v>1224</v>
      </c>
      <c r="E2568" t="s">
        <v>5922</v>
      </c>
      <c r="F2568">
        <v>12000</v>
      </c>
      <c r="G2568">
        <v>0.5</v>
      </c>
      <c r="H2568" s="1">
        <v>6000</v>
      </c>
      <c r="I2568"/>
      <c r="J2568"/>
      <c r="K2568" s="170">
        <v>46112</v>
      </c>
      <c r="L2568" s="1">
        <v>8767.6283618581911</v>
      </c>
      <c r="M2568" s="1">
        <v>46098</v>
      </c>
    </row>
    <row r="2569" spans="1:14" ht="14.4" hidden="1">
      <c r="A2569" t="s">
        <v>527</v>
      </c>
      <c r="B2569" s="1">
        <v>82</v>
      </c>
      <c r="C2569" s="258" t="s">
        <v>5923</v>
      </c>
      <c r="D2569" t="s">
        <v>1224</v>
      </c>
      <c r="E2569" t="s">
        <v>5924</v>
      </c>
      <c r="F2569"/>
      <c r="G2569">
        <v>0.5</v>
      </c>
      <c r="H2569" s="1">
        <v>6000</v>
      </c>
      <c r="I2569"/>
      <c r="J2569"/>
      <c r="K2569" s="170">
        <v>46112</v>
      </c>
      <c r="L2569" s="1">
        <v>8767.6283618581911</v>
      </c>
      <c r="M2569" s="1">
        <v>46112</v>
      </c>
    </row>
    <row r="2570" spans="1:14" ht="14.4" hidden="1">
      <c r="A2570" t="s">
        <v>527</v>
      </c>
      <c r="B2570" s="1">
        <v>83</v>
      </c>
      <c r="C2570" s="258" t="s">
        <v>5925</v>
      </c>
      <c r="D2570" t="s">
        <v>1224</v>
      </c>
      <c r="E2570" t="s">
        <v>5926</v>
      </c>
      <c r="F2570">
        <v>55000</v>
      </c>
      <c r="G2570">
        <v>0.5</v>
      </c>
      <c r="H2570" s="1">
        <v>27500</v>
      </c>
      <c r="I2570"/>
      <c r="J2570"/>
      <c r="K2570" s="170">
        <v>46112</v>
      </c>
      <c r="L2570" s="1">
        <v>40184.96332518338</v>
      </c>
      <c r="M2570" s="1">
        <v>46098</v>
      </c>
    </row>
    <row r="2571" spans="1:14" ht="14.4" hidden="1">
      <c r="A2571" t="s">
        <v>527</v>
      </c>
      <c r="B2571" s="1">
        <v>84</v>
      </c>
      <c r="C2571" s="258" t="s">
        <v>5927</v>
      </c>
      <c r="D2571" t="s">
        <v>1224</v>
      </c>
      <c r="E2571" t="s">
        <v>5928</v>
      </c>
      <c r="F2571"/>
      <c r="G2571">
        <v>0.5</v>
      </c>
      <c r="H2571" s="1">
        <v>27500</v>
      </c>
      <c r="I2571"/>
      <c r="J2571"/>
      <c r="K2571" s="170">
        <v>46112</v>
      </c>
      <c r="L2571" s="1">
        <v>40184.96332518338</v>
      </c>
      <c r="M2571" s="1">
        <v>46112</v>
      </c>
    </row>
    <row r="2572" spans="1:14" ht="14.4" hidden="1">
      <c r="A2572" t="s">
        <v>527</v>
      </c>
      <c r="B2572" s="1">
        <v>85</v>
      </c>
      <c r="C2572" s="258" t="s">
        <v>5929</v>
      </c>
      <c r="D2572" t="s">
        <v>1224</v>
      </c>
      <c r="E2572" t="s">
        <v>5930</v>
      </c>
      <c r="F2572">
        <v>55000</v>
      </c>
      <c r="G2572">
        <v>0.5</v>
      </c>
      <c r="H2572" s="1">
        <v>27500</v>
      </c>
      <c r="I2572"/>
      <c r="J2572"/>
      <c r="K2572" s="170">
        <v>46112</v>
      </c>
      <c r="L2572" s="1">
        <v>40184.96332518338</v>
      </c>
      <c r="M2572" s="1">
        <v>46098</v>
      </c>
    </row>
    <row r="2573" spans="1:14" ht="14.4" hidden="1">
      <c r="A2573" t="s">
        <v>527</v>
      </c>
      <c r="B2573" s="1">
        <v>86</v>
      </c>
      <c r="C2573" s="258" t="s">
        <v>5931</v>
      </c>
      <c r="D2573" t="s">
        <v>1224</v>
      </c>
      <c r="E2573" t="s">
        <v>5932</v>
      </c>
      <c r="F2573"/>
      <c r="G2573">
        <v>0.5</v>
      </c>
      <c r="H2573" s="1">
        <v>27500</v>
      </c>
      <c r="I2573"/>
      <c r="J2573"/>
      <c r="K2573" s="170">
        <v>46112</v>
      </c>
      <c r="L2573" s="1">
        <v>40184.96332518338</v>
      </c>
      <c r="M2573" s="1">
        <v>46112</v>
      </c>
    </row>
    <row r="2574" spans="1:14" ht="14.4" hidden="1">
      <c r="A2574" t="s">
        <v>527</v>
      </c>
      <c r="B2574" s="1">
        <v>96</v>
      </c>
      <c r="C2574" s="258" t="s">
        <v>5933</v>
      </c>
      <c r="D2574" t="s">
        <v>1246</v>
      </c>
      <c r="E2574" t="s">
        <v>1169</v>
      </c>
      <c r="F2574">
        <v>343628</v>
      </c>
      <c r="G2574">
        <v>0.1</v>
      </c>
      <c r="H2574" s="1">
        <v>34362.800000000003</v>
      </c>
      <c r="I2574"/>
      <c r="J2574"/>
      <c r="K2574" s="170">
        <v>46112</v>
      </c>
      <c r="L2574" s="1">
        <v>37075.555555555555</v>
      </c>
      <c r="M2574" s="1">
        <v>46110</v>
      </c>
    </row>
    <row r="2575" spans="1:14" ht="14.4" hidden="1">
      <c r="A2575" t="s">
        <v>527</v>
      </c>
      <c r="B2575" s="1">
        <v>97</v>
      </c>
      <c r="C2575" s="258" t="s">
        <v>5934</v>
      </c>
      <c r="D2575" t="s">
        <v>1246</v>
      </c>
      <c r="E2575" t="s">
        <v>558</v>
      </c>
      <c r="F2575"/>
      <c r="G2575">
        <v>0.15</v>
      </c>
      <c r="H2575" s="1">
        <v>51544.2</v>
      </c>
      <c r="I2575"/>
      <c r="J2575"/>
      <c r="K2575" s="170">
        <v>46112</v>
      </c>
      <c r="L2575" s="1">
        <v>55613.333333333321</v>
      </c>
      <c r="M2575" s="1">
        <v>46110</v>
      </c>
    </row>
    <row r="2576" spans="1:14" ht="14.4" hidden="1">
      <c r="A2576" t="s">
        <v>527</v>
      </c>
      <c r="B2576" s="1">
        <v>98</v>
      </c>
      <c r="C2576" s="258" t="s">
        <v>5935</v>
      </c>
      <c r="D2576" t="s">
        <v>1246</v>
      </c>
      <c r="E2576" t="s">
        <v>1175</v>
      </c>
      <c r="F2576"/>
      <c r="G2576">
        <v>0.2</v>
      </c>
      <c r="H2576" s="1">
        <v>68725.600000000006</v>
      </c>
      <c r="I2576"/>
      <c r="J2576"/>
      <c r="K2576" s="170">
        <v>46142</v>
      </c>
      <c r="L2576" s="1">
        <v>74151.111111111109</v>
      </c>
      <c r="M2576" s="1">
        <v>46141</v>
      </c>
    </row>
    <row r="2577" spans="1:14" ht="14.4" hidden="1">
      <c r="A2577" t="s">
        <v>527</v>
      </c>
      <c r="B2577" s="1">
        <v>99</v>
      </c>
      <c r="C2577" s="258" t="s">
        <v>5936</v>
      </c>
      <c r="D2577" t="s">
        <v>1246</v>
      </c>
      <c r="E2577" t="s">
        <v>1178</v>
      </c>
      <c r="F2577"/>
      <c r="G2577">
        <v>0.25</v>
      </c>
      <c r="H2577" s="1">
        <v>85907</v>
      </c>
      <c r="I2577"/>
      <c r="J2577"/>
      <c r="K2577" s="170">
        <v>46142</v>
      </c>
      <c r="L2577" s="1">
        <v>92688.888888888876</v>
      </c>
      <c r="M2577" s="1">
        <v>46135</v>
      </c>
    </row>
    <row r="2578" spans="1:14" ht="14.4" hidden="1">
      <c r="A2578" t="s">
        <v>527</v>
      </c>
      <c r="B2578" s="1">
        <v>100</v>
      </c>
      <c r="C2578" s="258" t="s">
        <v>5937</v>
      </c>
      <c r="D2578" t="s">
        <v>1246</v>
      </c>
      <c r="E2578" t="s">
        <v>1181</v>
      </c>
      <c r="F2578"/>
      <c r="G2578">
        <v>0.1</v>
      </c>
      <c r="H2578" s="1">
        <v>34362.800000000003</v>
      </c>
      <c r="I2578"/>
      <c r="J2578"/>
      <c r="K2578" s="170">
        <v>46173</v>
      </c>
      <c r="L2578" s="1">
        <v>37075.555555555555</v>
      </c>
      <c r="M2578" s="1">
        <v>46160</v>
      </c>
    </row>
    <row r="2579" spans="1:14" ht="14.4" hidden="1">
      <c r="A2579" t="s">
        <v>527</v>
      </c>
      <c r="B2579" s="1">
        <v>101</v>
      </c>
      <c r="C2579" s="258" t="s">
        <v>5938</v>
      </c>
      <c r="D2579" t="s">
        <v>1246</v>
      </c>
      <c r="E2579" t="s">
        <v>1184</v>
      </c>
      <c r="F2579"/>
      <c r="G2579">
        <v>0.1</v>
      </c>
      <c r="H2579" s="1">
        <v>34362.800000000003</v>
      </c>
      <c r="I2579"/>
      <c r="J2579"/>
      <c r="K2579" s="170">
        <v>46173</v>
      </c>
      <c r="L2579" s="1">
        <v>37075.555555555555</v>
      </c>
      <c r="M2579" s="1">
        <v>46161</v>
      </c>
    </row>
    <row r="2580" spans="1:14" ht="14.4" hidden="1">
      <c r="A2580" t="s">
        <v>527</v>
      </c>
      <c r="B2580" s="1">
        <v>102</v>
      </c>
      <c r="C2580" s="258" t="s">
        <v>5939</v>
      </c>
      <c r="D2580" t="s">
        <v>1246</v>
      </c>
      <c r="E2580" t="s">
        <v>1187</v>
      </c>
      <c r="F2580"/>
      <c r="G2580">
        <v>0.05</v>
      </c>
      <c r="H2580" s="1">
        <v>17181.400000000001</v>
      </c>
      <c r="I2580"/>
      <c r="J2580"/>
      <c r="K2580" s="170">
        <v>46173</v>
      </c>
      <c r="L2580" s="1">
        <v>18537.777777777777</v>
      </c>
      <c r="M2580" s="1">
        <v>46161</v>
      </c>
    </row>
    <row r="2581" spans="1:14" ht="14.4" hidden="1">
      <c r="A2581" t="s">
        <v>527</v>
      </c>
      <c r="B2581" s="1">
        <v>103</v>
      </c>
      <c r="C2581" s="258" t="s">
        <v>5940</v>
      </c>
      <c r="D2581" t="s">
        <v>1246</v>
      </c>
      <c r="E2581" t="s">
        <v>1190</v>
      </c>
      <c r="F2581"/>
      <c r="G2581">
        <v>0.05</v>
      </c>
      <c r="H2581" s="1">
        <v>17181.400000000001</v>
      </c>
      <c r="I2581"/>
      <c r="J2581"/>
      <c r="K2581" s="170">
        <v>46203</v>
      </c>
      <c r="L2581" s="1">
        <v>18537.777777777777</v>
      </c>
      <c r="M2581" s="1">
        <v>46184</v>
      </c>
    </row>
    <row r="2582" spans="1:14" ht="14.4" hidden="1">
      <c r="A2582" t="s">
        <v>527</v>
      </c>
      <c r="B2582" s="1">
        <v>108</v>
      </c>
      <c r="C2582" s="258" t="s">
        <v>5941</v>
      </c>
      <c r="D2582" t="s">
        <v>1255</v>
      </c>
      <c r="E2582" t="s">
        <v>1343</v>
      </c>
      <c r="F2582"/>
      <c r="H2582" s="1">
        <v>24000</v>
      </c>
      <c r="I2582"/>
      <c r="J2582"/>
      <c r="K2582" s="170">
        <v>46112</v>
      </c>
      <c r="L2582" s="1">
        <v>28886.749330151542</v>
      </c>
      <c r="M2582" s="1">
        <v>46112</v>
      </c>
      <c r="N2582" s="1">
        <v>45434.544444444451</v>
      </c>
    </row>
    <row r="2583" spans="1:14" ht="14.4" hidden="1">
      <c r="A2583" t="s">
        <v>527</v>
      </c>
      <c r="B2583" s="1">
        <v>112</v>
      </c>
      <c r="C2583" s="258" t="s">
        <v>5942</v>
      </c>
      <c r="D2583" t="s">
        <v>1255</v>
      </c>
      <c r="E2583" t="s">
        <v>1169</v>
      </c>
      <c r="F2583">
        <v>21434.544444444444</v>
      </c>
      <c r="G2583">
        <v>0.1</v>
      </c>
      <c r="H2583" s="1">
        <v>2143.454444444445</v>
      </c>
      <c r="I2583"/>
      <c r="J2583"/>
      <c r="K2583" s="170">
        <v>46112</v>
      </c>
      <c r="L2583" s="1">
        <v>2579.892968219413</v>
      </c>
      <c r="M2583" s="1">
        <v>46110</v>
      </c>
    </row>
    <row r="2584" spans="1:14" ht="14.4" hidden="1">
      <c r="A2584" t="s">
        <v>527</v>
      </c>
      <c r="B2584" s="1">
        <v>113</v>
      </c>
      <c r="C2584" s="258" t="s">
        <v>5943</v>
      </c>
      <c r="D2584" t="s">
        <v>1255</v>
      </c>
      <c r="E2584" t="s">
        <v>558</v>
      </c>
      <c r="F2584"/>
      <c r="G2584">
        <v>0.15</v>
      </c>
      <c r="H2584" s="1">
        <v>3215.1816666666664</v>
      </c>
      <c r="I2584"/>
      <c r="J2584"/>
      <c r="K2584" s="170">
        <v>46112</v>
      </c>
      <c r="L2584" s="1">
        <v>3869.839452329119</v>
      </c>
      <c r="M2584" s="1">
        <v>46110</v>
      </c>
    </row>
    <row r="2585" spans="1:14" ht="14.4" hidden="1">
      <c r="A2585" t="s">
        <v>527</v>
      </c>
      <c r="B2585" s="1">
        <v>114</v>
      </c>
      <c r="C2585" s="258" t="s">
        <v>5944</v>
      </c>
      <c r="D2585" t="s">
        <v>1255</v>
      </c>
      <c r="E2585" t="s">
        <v>1175</v>
      </c>
      <c r="F2585"/>
      <c r="G2585">
        <v>0.2</v>
      </c>
      <c r="H2585" s="1">
        <v>4286.9088888888891</v>
      </c>
      <c r="I2585"/>
      <c r="J2585"/>
      <c r="K2585" s="170">
        <v>46142</v>
      </c>
      <c r="L2585" s="1">
        <v>5159.785936438826</v>
      </c>
      <c r="M2585" s="1">
        <v>46141</v>
      </c>
    </row>
    <row r="2586" spans="1:14" ht="14.4" hidden="1">
      <c r="A2586" t="s">
        <v>527</v>
      </c>
      <c r="B2586" s="1">
        <v>115</v>
      </c>
      <c r="C2586" s="258" t="s">
        <v>5945</v>
      </c>
      <c r="D2586" t="s">
        <v>1255</v>
      </c>
      <c r="E2586" t="s">
        <v>1178</v>
      </c>
      <c r="F2586"/>
      <c r="G2586">
        <v>0.25</v>
      </c>
      <c r="H2586" s="1">
        <v>5358.6361111111109</v>
      </c>
      <c r="I2586"/>
      <c r="J2586"/>
      <c r="K2586" s="170">
        <v>46142</v>
      </c>
      <c r="L2586" s="1">
        <v>6449.732420548532</v>
      </c>
      <c r="M2586" s="1">
        <v>46135</v>
      </c>
    </row>
    <row r="2587" spans="1:14" ht="14.4" hidden="1">
      <c r="A2587" t="s">
        <v>527</v>
      </c>
      <c r="B2587" s="1">
        <v>116</v>
      </c>
      <c r="C2587" s="258" t="s">
        <v>5946</v>
      </c>
      <c r="D2587" t="s">
        <v>1255</v>
      </c>
      <c r="E2587" t="s">
        <v>1181</v>
      </c>
      <c r="F2587"/>
      <c r="G2587">
        <v>0.1</v>
      </c>
      <c r="H2587" s="1">
        <v>2143.454444444445</v>
      </c>
      <c r="I2587"/>
      <c r="J2587"/>
      <c r="K2587" s="170">
        <v>46173</v>
      </c>
      <c r="L2587" s="1">
        <v>2579.892968219413</v>
      </c>
      <c r="M2587" s="1">
        <v>46160</v>
      </c>
    </row>
    <row r="2588" spans="1:14" ht="14.4" hidden="1">
      <c r="A2588" t="s">
        <v>527</v>
      </c>
      <c r="B2588" s="1">
        <v>117</v>
      </c>
      <c r="C2588" s="258" t="s">
        <v>5947</v>
      </c>
      <c r="D2588" t="s">
        <v>1255</v>
      </c>
      <c r="E2588" t="s">
        <v>1184</v>
      </c>
      <c r="F2588"/>
      <c r="G2588">
        <v>0.1</v>
      </c>
      <c r="H2588" s="1">
        <v>2143.454444444445</v>
      </c>
      <c r="I2588"/>
      <c r="J2588"/>
      <c r="K2588" s="170">
        <v>46173</v>
      </c>
      <c r="L2588" s="1">
        <v>2579.892968219413</v>
      </c>
      <c r="M2588" s="1">
        <v>46161</v>
      </c>
    </row>
    <row r="2589" spans="1:14" ht="14.4" hidden="1">
      <c r="A2589" t="s">
        <v>527</v>
      </c>
      <c r="B2589" s="1">
        <v>118</v>
      </c>
      <c r="C2589" s="258" t="s">
        <v>5948</v>
      </c>
      <c r="D2589" t="s">
        <v>1255</v>
      </c>
      <c r="E2589" t="s">
        <v>1187</v>
      </c>
      <c r="F2589"/>
      <c r="G2589">
        <v>0.05</v>
      </c>
      <c r="H2589" s="1">
        <v>1071.7272222222225</v>
      </c>
      <c r="I2589"/>
      <c r="J2589"/>
      <c r="K2589" s="170">
        <v>46173</v>
      </c>
      <c r="L2589" s="1">
        <v>1289.9464841097065</v>
      </c>
      <c r="M2589" s="1">
        <v>46161</v>
      </c>
    </row>
    <row r="2590" spans="1:14" ht="14.4" hidden="1">
      <c r="A2590" t="s">
        <v>527</v>
      </c>
      <c r="B2590" s="1">
        <v>119</v>
      </c>
      <c r="C2590" s="258" t="s">
        <v>5949</v>
      </c>
      <c r="D2590" t="s">
        <v>1255</v>
      </c>
      <c r="E2590" t="s">
        <v>1190</v>
      </c>
      <c r="F2590"/>
      <c r="G2590">
        <v>0.05</v>
      </c>
      <c r="H2590" s="1">
        <v>1071.7272222222225</v>
      </c>
      <c r="I2590"/>
      <c r="J2590"/>
      <c r="K2590" s="170">
        <v>46203</v>
      </c>
      <c r="L2590" s="1">
        <v>1289.9464841097065</v>
      </c>
      <c r="M2590" s="1">
        <v>46184</v>
      </c>
    </row>
    <row r="2591" spans="1:14" ht="14.4" hidden="1">
      <c r="A2591" t="s">
        <v>527</v>
      </c>
      <c r="B2591" s="1">
        <v>124</v>
      </c>
      <c r="C2591" s="258" t="s">
        <v>5950</v>
      </c>
      <c r="D2591" t="s">
        <v>1264</v>
      </c>
      <c r="E2591" t="s">
        <v>1265</v>
      </c>
      <c r="F2591"/>
      <c r="H2591" s="1">
        <v>12577.5</v>
      </c>
      <c r="I2591"/>
      <c r="J2591"/>
      <c r="K2591" s="170">
        <v>46173</v>
      </c>
      <c r="L2591" s="1">
        <v>19430.357278490257</v>
      </c>
      <c r="M2591" s="1">
        <v>46167</v>
      </c>
      <c r="N2591" s="1">
        <v>85577.5</v>
      </c>
    </row>
    <row r="2592" spans="1:14" ht="14.4" hidden="1">
      <c r="A2592" t="s">
        <v>527</v>
      </c>
      <c r="B2592" s="1">
        <v>126</v>
      </c>
      <c r="C2592" s="258" t="s">
        <v>5951</v>
      </c>
      <c r="D2592" t="s">
        <v>1264</v>
      </c>
      <c r="E2592" t="s">
        <v>2090</v>
      </c>
      <c r="F2592"/>
      <c r="H2592" s="1">
        <v>60000</v>
      </c>
      <c r="I2592"/>
      <c r="J2592"/>
      <c r="K2592" s="170">
        <v>46112</v>
      </c>
      <c r="L2592" s="1">
        <v>92691.030547359609</v>
      </c>
      <c r="M2592" s="1">
        <v>46111</v>
      </c>
    </row>
    <row r="2593" spans="1:14" ht="14.4" hidden="1">
      <c r="A2593" t="s">
        <v>527</v>
      </c>
      <c r="B2593" s="1">
        <v>127</v>
      </c>
      <c r="C2593" s="258" t="s">
        <v>5952</v>
      </c>
      <c r="D2593" t="s">
        <v>1264</v>
      </c>
      <c r="E2593" t="s">
        <v>808</v>
      </c>
      <c r="F2593"/>
      <c r="H2593" s="1">
        <v>6000</v>
      </c>
      <c r="I2593"/>
      <c r="J2593"/>
      <c r="K2593" s="170">
        <v>46112</v>
      </c>
      <c r="L2593" s="1">
        <v>9269.1030547359605</v>
      </c>
      <c r="M2593" s="1">
        <v>46111</v>
      </c>
    </row>
    <row r="2594" spans="1:14" ht="14.4" hidden="1">
      <c r="A2594" t="s">
        <v>527</v>
      </c>
      <c r="B2594" s="1">
        <v>128</v>
      </c>
      <c r="C2594" s="258" t="s">
        <v>5953</v>
      </c>
      <c r="D2594" t="s">
        <v>1264</v>
      </c>
      <c r="E2594" t="s">
        <v>2094</v>
      </c>
      <c r="F2594"/>
      <c r="H2594" s="1">
        <v>7000</v>
      </c>
      <c r="I2594"/>
      <c r="J2594"/>
      <c r="K2594" s="170">
        <v>46112</v>
      </c>
      <c r="L2594" s="1">
        <v>10813.95356385862</v>
      </c>
      <c r="M2594" s="1">
        <v>46081</v>
      </c>
    </row>
    <row r="2595" spans="1:14" ht="14.4" hidden="1">
      <c r="A2595" t="s">
        <v>527</v>
      </c>
      <c r="B2595" s="1">
        <v>130</v>
      </c>
      <c r="C2595" s="258" t="s">
        <v>5954</v>
      </c>
      <c r="D2595" t="s">
        <v>1274</v>
      </c>
      <c r="E2595" t="s">
        <v>1275</v>
      </c>
      <c r="F2595"/>
      <c r="H2595" s="1">
        <v>0</v>
      </c>
      <c r="I2595"/>
      <c r="J2595"/>
      <c r="K2595" s="170" t="s">
        <v>51</v>
      </c>
      <c r="N2595" s="1">
        <v>0</v>
      </c>
    </row>
    <row r="2596" spans="1:14" ht="14.4" hidden="1">
      <c r="A2596" t="s">
        <v>527</v>
      </c>
      <c r="B2596" s="1">
        <v>133</v>
      </c>
      <c r="C2596" s="258" t="s">
        <v>5955</v>
      </c>
      <c r="D2596" t="s">
        <v>1277</v>
      </c>
      <c r="E2596" t="s">
        <v>1278</v>
      </c>
      <c r="F2596"/>
      <c r="H2596" s="1">
        <v>51495.085714090455</v>
      </c>
      <c r="I2596"/>
      <c r="J2596"/>
      <c r="K2596" s="170">
        <v>46112</v>
      </c>
      <c r="L2596" s="1">
        <v>45054.353270476509</v>
      </c>
      <c r="M2596" s="1">
        <v>46112</v>
      </c>
      <c r="N2596" s="1">
        <v>51495.085714090455</v>
      </c>
    </row>
    <row r="2597" spans="1:14" ht="14.4" hidden="1">
      <c r="A2597" t="s">
        <v>527</v>
      </c>
      <c r="B2597" s="1">
        <v>140</v>
      </c>
      <c r="C2597" s="258" t="s">
        <v>5956</v>
      </c>
      <c r="D2597" t="s">
        <v>1280</v>
      </c>
      <c r="E2597" t="s">
        <v>1281</v>
      </c>
      <c r="F2597"/>
      <c r="H2597" s="1">
        <v>1400</v>
      </c>
      <c r="I2597"/>
      <c r="J2597"/>
      <c r="K2597" s="170">
        <v>46081</v>
      </c>
      <c r="L2597" s="1">
        <v>1555.5555555555557</v>
      </c>
      <c r="M2597" s="1">
        <v>46088</v>
      </c>
      <c r="N2597" s="1">
        <v>5600</v>
      </c>
    </row>
    <row r="2598" spans="1:14" ht="14.4" hidden="1">
      <c r="A2598" t="s">
        <v>527</v>
      </c>
      <c r="B2598" s="1">
        <v>141</v>
      </c>
      <c r="C2598" s="258" t="s">
        <v>5957</v>
      </c>
      <c r="D2598" t="s">
        <v>1280</v>
      </c>
      <c r="E2598" t="s">
        <v>1281</v>
      </c>
      <c r="F2598"/>
      <c r="H2598" s="1">
        <v>1400</v>
      </c>
      <c r="I2598"/>
      <c r="J2598"/>
      <c r="K2598" s="170">
        <v>46112</v>
      </c>
      <c r="L2598" s="1">
        <v>1555.5555555555557</v>
      </c>
      <c r="M2598" s="1">
        <v>46119</v>
      </c>
    </row>
    <row r="2599" spans="1:14" ht="14.4" hidden="1">
      <c r="A2599" t="s">
        <v>527</v>
      </c>
      <c r="B2599" s="1">
        <v>142</v>
      </c>
      <c r="C2599" s="258" t="s">
        <v>5958</v>
      </c>
      <c r="D2599" t="s">
        <v>1280</v>
      </c>
      <c r="E2599" t="s">
        <v>1281</v>
      </c>
      <c r="F2599"/>
      <c r="H2599" s="1">
        <v>1400</v>
      </c>
      <c r="I2599"/>
      <c r="J2599"/>
      <c r="K2599" s="170">
        <v>46142</v>
      </c>
      <c r="L2599" s="1">
        <v>1555.5555555555557</v>
      </c>
      <c r="M2599" s="1">
        <v>46149</v>
      </c>
    </row>
    <row r="2600" spans="1:14" ht="14.4" hidden="1">
      <c r="A2600" t="s">
        <v>527</v>
      </c>
      <c r="B2600" s="1">
        <v>143</v>
      </c>
      <c r="C2600" s="258" t="s">
        <v>5959</v>
      </c>
      <c r="D2600" t="s">
        <v>1280</v>
      </c>
      <c r="E2600" t="s">
        <v>1281</v>
      </c>
      <c r="F2600"/>
      <c r="H2600" s="1">
        <v>1400</v>
      </c>
      <c r="I2600"/>
      <c r="J2600"/>
      <c r="K2600" s="170">
        <v>46173</v>
      </c>
      <c r="L2600" s="1">
        <v>1555.5555555555557</v>
      </c>
      <c r="M2600" s="1">
        <v>46180</v>
      </c>
    </row>
    <row r="2601" spans="1:14" ht="14.4" hidden="1">
      <c r="A2601" t="s">
        <v>223</v>
      </c>
      <c r="B2601" s="1">
        <v>6</v>
      </c>
      <c r="C2601" s="258" t="s">
        <v>5960</v>
      </c>
      <c r="D2601" t="s">
        <v>1146</v>
      </c>
      <c r="E2601" t="s">
        <v>2729</v>
      </c>
      <c r="F2601">
        <v>821</v>
      </c>
      <c r="G2601">
        <v>1233.8</v>
      </c>
      <c r="H2601" s="1">
        <v>1012949.8</v>
      </c>
      <c r="I2601" t="s">
        <v>5961</v>
      </c>
      <c r="J2601" t="s">
        <v>5962</v>
      </c>
      <c r="K2601" s="170">
        <v>45808</v>
      </c>
      <c r="L2601" s="1">
        <v>1233423.688888889</v>
      </c>
      <c r="M2601" s="1">
        <v>45862</v>
      </c>
      <c r="N2601" s="1">
        <v>1017651.2</v>
      </c>
    </row>
    <row r="2602" spans="1:14" ht="14.4" hidden="1">
      <c r="A2602" t="s">
        <v>223</v>
      </c>
      <c r="B2602" s="1">
        <v>7</v>
      </c>
      <c r="C2602" s="258" t="s">
        <v>5963</v>
      </c>
      <c r="D2602" t="s">
        <v>1146</v>
      </c>
      <c r="E2602" t="s">
        <v>5964</v>
      </c>
      <c r="F2602">
        <v>3</v>
      </c>
      <c r="G2602">
        <v>1233.8</v>
      </c>
      <c r="H2602" s="1">
        <v>3701.4</v>
      </c>
      <c r="I2602"/>
      <c r="J2602" t="s">
        <v>5965</v>
      </c>
      <c r="K2602" s="170">
        <v>45991</v>
      </c>
      <c r="L2602" s="1">
        <v>0</v>
      </c>
      <c r="M2602" s="1">
        <v>46037</v>
      </c>
    </row>
    <row r="2603" spans="1:14" ht="14.4" hidden="1">
      <c r="A2603" t="s">
        <v>223</v>
      </c>
      <c r="B2603" s="1">
        <v>8</v>
      </c>
      <c r="C2603" s="258" t="s">
        <v>5966</v>
      </c>
      <c r="D2603" t="s">
        <v>1146</v>
      </c>
      <c r="E2603" t="s">
        <v>1152</v>
      </c>
      <c r="F2603"/>
      <c r="H2603" s="1">
        <v>1000</v>
      </c>
      <c r="I2603"/>
      <c r="J2603" t="s">
        <v>5965</v>
      </c>
      <c r="K2603" s="170">
        <v>45991</v>
      </c>
      <c r="L2603" s="1">
        <v>0</v>
      </c>
      <c r="M2603" s="1">
        <v>46037</v>
      </c>
    </row>
    <row r="2604" spans="1:14" ht="14.4" hidden="1">
      <c r="A2604" t="s">
        <v>223</v>
      </c>
      <c r="B2604" s="1">
        <v>13</v>
      </c>
      <c r="C2604" s="258" t="s">
        <v>5967</v>
      </c>
      <c r="D2604" t="s">
        <v>1157</v>
      </c>
      <c r="E2604" t="s">
        <v>4156</v>
      </c>
      <c r="F2604">
        <v>4</v>
      </c>
      <c r="G2604">
        <v>68870</v>
      </c>
      <c r="H2604" s="1">
        <v>275481.40000000002</v>
      </c>
      <c r="I2604" t="s">
        <v>5961</v>
      </c>
      <c r="J2604" t="s">
        <v>5962</v>
      </c>
      <c r="K2604" s="170">
        <v>45808</v>
      </c>
      <c r="L2604" s="1">
        <v>311111.11111111112</v>
      </c>
      <c r="M2604" s="1">
        <v>45862</v>
      </c>
      <c r="N2604" s="1">
        <v>275481.40000000002</v>
      </c>
    </row>
    <row r="2605" spans="1:14" ht="14.4" hidden="1">
      <c r="A2605" t="s">
        <v>223</v>
      </c>
      <c r="B2605" s="1">
        <v>21</v>
      </c>
      <c r="C2605" s="258" t="s">
        <v>5968</v>
      </c>
      <c r="D2605" t="s">
        <v>1160</v>
      </c>
      <c r="E2605" t="s">
        <v>1161</v>
      </c>
      <c r="F2605"/>
      <c r="H2605" s="1">
        <v>74458.2</v>
      </c>
      <c r="I2605" t="s">
        <v>5969</v>
      </c>
      <c r="J2605" t="s">
        <v>5970</v>
      </c>
      <c r="K2605" s="170">
        <v>45838</v>
      </c>
      <c r="L2605" s="1">
        <v>166046.5979998949</v>
      </c>
      <c r="M2605" s="1">
        <v>45867</v>
      </c>
      <c r="N2605" s="1">
        <v>147784.22</v>
      </c>
    </row>
    <row r="2606" spans="1:14" ht="14.4" hidden="1">
      <c r="A2606" t="s">
        <v>223</v>
      </c>
      <c r="B2606" s="1">
        <v>22</v>
      </c>
      <c r="C2606" s="258" t="s">
        <v>5971</v>
      </c>
      <c r="D2606" t="s">
        <v>1160</v>
      </c>
      <c r="F2606"/>
      <c r="H2606" s="1">
        <v>7278.8</v>
      </c>
      <c r="I2606"/>
      <c r="J2606" t="s">
        <v>5972</v>
      </c>
      <c r="K2606" s="170">
        <v>45900</v>
      </c>
      <c r="L2606" s="1">
        <v>88613.4</v>
      </c>
      <c r="M2606" s="1">
        <v>45930</v>
      </c>
    </row>
    <row r="2607" spans="1:14" ht="14.4" hidden="1">
      <c r="A2607" t="s">
        <v>223</v>
      </c>
      <c r="B2607" s="1">
        <v>24</v>
      </c>
      <c r="C2607" s="258" t="s">
        <v>5973</v>
      </c>
      <c r="D2607" t="s">
        <v>1160</v>
      </c>
      <c r="E2607" t="s">
        <v>5974</v>
      </c>
      <c r="F2607"/>
      <c r="H2607" s="1">
        <v>-40497.599999999999</v>
      </c>
      <c r="I2607"/>
      <c r="J2607" t="s">
        <v>5975</v>
      </c>
      <c r="K2607" s="170">
        <v>45961</v>
      </c>
      <c r="L2607" s="1">
        <v>0</v>
      </c>
      <c r="M2607" s="1">
        <v>45961</v>
      </c>
    </row>
    <row r="2608" spans="1:14" ht="14.4" hidden="1">
      <c r="A2608" t="s">
        <v>223</v>
      </c>
      <c r="B2608" s="1">
        <v>25</v>
      </c>
      <c r="C2608" s="258" t="s">
        <v>5976</v>
      </c>
      <c r="D2608" t="s">
        <v>1160</v>
      </c>
      <c r="E2608" t="s">
        <v>5974</v>
      </c>
      <c r="F2608"/>
      <c r="H2608" s="1">
        <v>616.91999999999996</v>
      </c>
      <c r="I2608"/>
      <c r="J2608" t="s">
        <v>5977</v>
      </c>
      <c r="K2608" s="170">
        <v>45991</v>
      </c>
      <c r="L2608" s="1">
        <v>0</v>
      </c>
      <c r="M2608" s="1">
        <v>46022</v>
      </c>
    </row>
    <row r="2609" spans="1:14" ht="14.4" hidden="1">
      <c r="A2609" t="s">
        <v>223</v>
      </c>
      <c r="B2609" s="1">
        <v>26</v>
      </c>
      <c r="C2609" s="258" t="s">
        <v>5978</v>
      </c>
      <c r="D2609" t="s">
        <v>1160</v>
      </c>
      <c r="E2609" t="s">
        <v>5979</v>
      </c>
      <c r="F2609"/>
      <c r="H2609" s="1">
        <v>83015.5</v>
      </c>
      <c r="I2609" t="s">
        <v>5980</v>
      </c>
      <c r="J2609" t="s">
        <v>5981</v>
      </c>
      <c r="K2609" s="170">
        <v>45961</v>
      </c>
      <c r="L2609" s="1">
        <v>0</v>
      </c>
      <c r="M2609" s="1">
        <v>45989</v>
      </c>
    </row>
    <row r="2610" spans="1:14" ht="14.4" hidden="1">
      <c r="A2610" t="s">
        <v>223</v>
      </c>
      <c r="B2610" s="1">
        <v>27</v>
      </c>
      <c r="C2610" s="258" t="s">
        <v>5982</v>
      </c>
      <c r="D2610" t="s">
        <v>1160</v>
      </c>
      <c r="F2610"/>
      <c r="H2610" s="1">
        <v>22912.400000000001</v>
      </c>
      <c r="I2610"/>
      <c r="J2610" t="s">
        <v>5983</v>
      </c>
      <c r="K2610" s="170">
        <v>45961</v>
      </c>
      <c r="L2610" s="1">
        <v>0</v>
      </c>
      <c r="M2610" s="1">
        <v>45989</v>
      </c>
    </row>
    <row r="2611" spans="1:14" ht="14.4" hidden="1">
      <c r="A2611" t="s">
        <v>223</v>
      </c>
      <c r="B2611" s="1">
        <v>30</v>
      </c>
      <c r="C2611" s="258" t="s">
        <v>5984</v>
      </c>
      <c r="D2611" t="s">
        <v>1165</v>
      </c>
      <c r="E2611" t="s">
        <v>836</v>
      </c>
      <c r="F2611">
        <v>10000</v>
      </c>
      <c r="G2611">
        <v>13.89</v>
      </c>
      <c r="H2611" s="1">
        <v>138900</v>
      </c>
      <c r="I2611" t="s">
        <v>5985</v>
      </c>
      <c r="J2611" t="s">
        <v>5986</v>
      </c>
      <c r="K2611" s="170">
        <v>45838</v>
      </c>
      <c r="L2611" s="1">
        <v>182172.37433613857</v>
      </c>
      <c r="M2611" s="1">
        <v>45867</v>
      </c>
      <c r="N2611" s="1">
        <v>374718.25</v>
      </c>
    </row>
    <row r="2612" spans="1:14" ht="14.4" hidden="1">
      <c r="A2612" t="s">
        <v>223</v>
      </c>
      <c r="B2612" s="1">
        <v>31</v>
      </c>
      <c r="C2612" s="258" t="s">
        <v>5987</v>
      </c>
      <c r="D2612" t="s">
        <v>1165</v>
      </c>
      <c r="E2612" t="s">
        <v>5988</v>
      </c>
      <c r="F2612"/>
      <c r="H2612" s="1">
        <v>10400</v>
      </c>
      <c r="I2612"/>
      <c r="J2612" t="s">
        <v>5986</v>
      </c>
      <c r="K2612" s="170">
        <v>45838</v>
      </c>
      <c r="L2612" s="1">
        <v>13639.976192194679</v>
      </c>
      <c r="M2612" s="1">
        <v>45867</v>
      </c>
    </row>
    <row r="2613" spans="1:14" ht="14.4" hidden="1">
      <c r="A2613" t="s">
        <v>223</v>
      </c>
      <c r="B2613" s="1">
        <v>32</v>
      </c>
      <c r="C2613" s="258" t="s">
        <v>5989</v>
      </c>
      <c r="D2613" t="s">
        <v>1165</v>
      </c>
      <c r="E2613" t="s">
        <v>5990</v>
      </c>
      <c r="F2613"/>
      <c r="H2613" s="1">
        <v>29500</v>
      </c>
      <c r="I2613" t="s">
        <v>5991</v>
      </c>
      <c r="J2613" t="s">
        <v>5992</v>
      </c>
      <c r="K2613" s="170">
        <v>46022</v>
      </c>
      <c r="L2613" s="1">
        <v>0</v>
      </c>
      <c r="M2613" s="1">
        <v>46052</v>
      </c>
    </row>
    <row r="2614" spans="1:14" ht="14.4" hidden="1">
      <c r="A2614" t="s">
        <v>223</v>
      </c>
      <c r="B2614" s="1">
        <v>34</v>
      </c>
      <c r="C2614" s="258" t="s">
        <v>5993</v>
      </c>
      <c r="D2614" t="s">
        <v>1165</v>
      </c>
      <c r="E2614" t="s">
        <v>1169</v>
      </c>
      <c r="F2614">
        <v>195918.25</v>
      </c>
      <c r="G2614">
        <v>0.1</v>
      </c>
      <c r="H2614" s="1">
        <v>19591.825000000001</v>
      </c>
      <c r="I2614" t="s">
        <v>5994</v>
      </c>
      <c r="J2614" t="s">
        <v>5995</v>
      </c>
      <c r="K2614" s="170">
        <v>45808</v>
      </c>
      <c r="L2614" s="1">
        <v>25695.387169388898</v>
      </c>
      <c r="M2614" s="1">
        <v>45792</v>
      </c>
    </row>
    <row r="2615" spans="1:14" ht="14.4" hidden="1">
      <c r="A2615" t="s">
        <v>223</v>
      </c>
      <c r="B2615" s="1">
        <v>35</v>
      </c>
      <c r="C2615" s="258" t="s">
        <v>5996</v>
      </c>
      <c r="D2615" t="s">
        <v>1165</v>
      </c>
      <c r="E2615" t="s">
        <v>558</v>
      </c>
      <c r="F2615"/>
      <c r="G2615">
        <v>0.15</v>
      </c>
      <c r="H2615" s="1">
        <v>29387.737499999999</v>
      </c>
      <c r="I2615"/>
      <c r="J2615" t="s">
        <v>5997</v>
      </c>
      <c r="K2615" s="170">
        <v>45838</v>
      </c>
      <c r="L2615" s="1">
        <v>38543.080754083341</v>
      </c>
      <c r="M2615" s="1">
        <v>45834</v>
      </c>
    </row>
    <row r="2616" spans="1:14" ht="14.4" hidden="1">
      <c r="A2616" t="s">
        <v>223</v>
      </c>
      <c r="B2616" s="1">
        <v>36</v>
      </c>
      <c r="C2616" s="258" t="s">
        <v>5998</v>
      </c>
      <c r="D2616" t="s">
        <v>1165</v>
      </c>
      <c r="E2616" t="s">
        <v>1175</v>
      </c>
      <c r="F2616"/>
      <c r="G2616">
        <v>0.2</v>
      </c>
      <c r="H2616" s="1">
        <v>39183.65</v>
      </c>
      <c r="I2616"/>
      <c r="J2616" t="s">
        <v>5999</v>
      </c>
      <c r="K2616" s="170">
        <v>45900</v>
      </c>
      <c r="L2616" s="1">
        <v>51390.774338777795</v>
      </c>
      <c r="M2616" s="1">
        <v>45974</v>
      </c>
    </row>
    <row r="2617" spans="1:14" ht="14.4" hidden="1">
      <c r="A2617" t="s">
        <v>223</v>
      </c>
      <c r="B2617" s="1">
        <v>37</v>
      </c>
      <c r="C2617" s="258" t="s">
        <v>6000</v>
      </c>
      <c r="D2617" t="s">
        <v>1165</v>
      </c>
      <c r="E2617" t="s">
        <v>1178</v>
      </c>
      <c r="F2617"/>
      <c r="G2617">
        <v>0.25</v>
      </c>
      <c r="H2617" s="1">
        <v>30766.06</v>
      </c>
      <c r="I2617"/>
      <c r="J2617" t="s">
        <v>6001</v>
      </c>
      <c r="K2617" s="170">
        <v>45900</v>
      </c>
      <c r="L2617" s="1">
        <v>64238.467923472243</v>
      </c>
      <c r="M2617" s="1">
        <v>45991</v>
      </c>
    </row>
    <row r="2618" spans="1:14" ht="14.4" hidden="1">
      <c r="A2618" t="s">
        <v>223</v>
      </c>
      <c r="B2618" s="1">
        <v>38</v>
      </c>
      <c r="C2618" s="258" t="s">
        <v>6002</v>
      </c>
      <c r="D2618" t="s">
        <v>1165</v>
      </c>
      <c r="E2618" t="s">
        <v>1178</v>
      </c>
      <c r="F2618"/>
      <c r="H2618" s="1">
        <v>18213.502499999999</v>
      </c>
      <c r="I2618"/>
      <c r="J2618" t="s">
        <v>6001</v>
      </c>
      <c r="K2618" s="170">
        <v>45900</v>
      </c>
      <c r="L2618" s="1">
        <v>0</v>
      </c>
      <c r="M2618" s="1">
        <v>46003</v>
      </c>
    </row>
    <row r="2619" spans="1:14" ht="14.4" hidden="1">
      <c r="A2619" t="s">
        <v>223</v>
      </c>
      <c r="B2619" s="1">
        <v>39</v>
      </c>
      <c r="C2619" s="258" t="s">
        <v>6003</v>
      </c>
      <c r="D2619" t="s">
        <v>1165</v>
      </c>
      <c r="E2619" t="s">
        <v>1181</v>
      </c>
      <c r="F2619"/>
      <c r="G2619">
        <v>0.1</v>
      </c>
      <c r="H2619" s="1">
        <v>19591.825000000001</v>
      </c>
      <c r="I2619"/>
      <c r="J2619" t="s">
        <v>6004</v>
      </c>
      <c r="K2619" s="170">
        <v>45900</v>
      </c>
      <c r="L2619" s="1">
        <v>25695.387169388898</v>
      </c>
      <c r="M2619" s="1">
        <v>46009</v>
      </c>
    </row>
    <row r="2620" spans="1:14" ht="14.4" hidden="1">
      <c r="A2620" t="s">
        <v>223</v>
      </c>
      <c r="B2620" s="1">
        <v>40</v>
      </c>
      <c r="C2620" s="258" t="s">
        <v>6005</v>
      </c>
      <c r="D2620" t="s">
        <v>1165</v>
      </c>
      <c r="E2620" t="s">
        <v>1184</v>
      </c>
      <c r="F2620"/>
      <c r="G2620">
        <v>0.1</v>
      </c>
      <c r="H2620" s="1">
        <v>19591.825000000001</v>
      </c>
      <c r="I2620"/>
      <c r="J2620" t="s">
        <v>6006</v>
      </c>
      <c r="K2620" s="170">
        <v>45900</v>
      </c>
      <c r="L2620" s="1">
        <v>25695.387169388898</v>
      </c>
      <c r="M2620" s="1">
        <v>46015</v>
      </c>
    </row>
    <row r="2621" spans="1:14" ht="14.4" hidden="1">
      <c r="A2621" t="s">
        <v>223</v>
      </c>
      <c r="B2621" s="1">
        <v>41</v>
      </c>
      <c r="C2621" s="258" t="s">
        <v>6007</v>
      </c>
      <c r="D2621" t="s">
        <v>1165</v>
      </c>
      <c r="E2621" t="s">
        <v>1187</v>
      </c>
      <c r="F2621"/>
      <c r="G2621">
        <v>0.05</v>
      </c>
      <c r="H2621" s="1">
        <v>9795.9125000000004</v>
      </c>
      <c r="I2621"/>
      <c r="J2621" t="s">
        <v>6008</v>
      </c>
      <c r="K2621" s="170">
        <v>45900</v>
      </c>
      <c r="L2621" s="1">
        <v>12847.693584694449</v>
      </c>
      <c r="M2621" s="1">
        <v>46386</v>
      </c>
    </row>
    <row r="2622" spans="1:14" ht="14.4" hidden="1">
      <c r="A2622" t="s">
        <v>223</v>
      </c>
      <c r="B2622" s="1">
        <v>42</v>
      </c>
      <c r="C2622" s="258" t="s">
        <v>6009</v>
      </c>
      <c r="D2622" t="s">
        <v>1165</v>
      </c>
      <c r="E2622" t="s">
        <v>1190</v>
      </c>
      <c r="F2622"/>
      <c r="G2622">
        <v>0.05</v>
      </c>
      <c r="H2622" s="1">
        <v>9795.9125000000004</v>
      </c>
      <c r="I2622"/>
      <c r="J2622" t="s">
        <v>6010</v>
      </c>
      <c r="K2622" s="170">
        <v>45900</v>
      </c>
      <c r="L2622" s="1">
        <v>12847.693584694449</v>
      </c>
      <c r="M2622" s="1">
        <v>46078</v>
      </c>
    </row>
    <row r="2623" spans="1:14" ht="14.4" hidden="1">
      <c r="A2623" t="s">
        <v>223</v>
      </c>
      <c r="B2623" s="1">
        <v>47</v>
      </c>
      <c r="C2623" s="258" t="s">
        <v>6011</v>
      </c>
      <c r="D2623" t="s">
        <v>1193</v>
      </c>
      <c r="E2623" t="s">
        <v>2755</v>
      </c>
      <c r="F2623"/>
      <c r="H2623" s="1">
        <v>8598.35</v>
      </c>
      <c r="I2623" t="s">
        <v>5961</v>
      </c>
      <c r="J2623" t="s">
        <v>6012</v>
      </c>
      <c r="K2623" s="170">
        <v>45808</v>
      </c>
      <c r="L2623" s="1">
        <v>9210.3317275571917</v>
      </c>
      <c r="M2623" s="1">
        <v>45855</v>
      </c>
      <c r="N2623" s="1">
        <v>35927.129999999997</v>
      </c>
    </row>
    <row r="2624" spans="1:14" ht="14.4" hidden="1">
      <c r="A2624" t="s">
        <v>223</v>
      </c>
      <c r="B2624" s="1">
        <v>48</v>
      </c>
      <c r="C2624" s="258" t="s">
        <v>6013</v>
      </c>
      <c r="D2624" t="s">
        <v>1193</v>
      </c>
      <c r="E2624" t="s">
        <v>1196</v>
      </c>
      <c r="F2624"/>
      <c r="H2624" s="1">
        <v>13695</v>
      </c>
      <c r="I2624" t="s">
        <v>6014</v>
      </c>
      <c r="J2624" t="s">
        <v>6015</v>
      </c>
      <c r="K2624" s="170">
        <v>45777</v>
      </c>
      <c r="L2624" s="1">
        <v>18689.476542590968</v>
      </c>
      <c r="M2624" s="1">
        <v>45804</v>
      </c>
    </row>
    <row r="2625" spans="1:13" ht="14.4" hidden="1">
      <c r="A2625" t="s">
        <v>223</v>
      </c>
      <c r="B2625" s="1">
        <v>49</v>
      </c>
      <c r="C2625" s="258" t="s">
        <v>6016</v>
      </c>
      <c r="D2625" t="s">
        <v>1193</v>
      </c>
      <c r="F2625"/>
      <c r="H2625" s="1">
        <v>214.28</v>
      </c>
      <c r="I2625"/>
      <c r="J2625" t="s">
        <v>3286</v>
      </c>
      <c r="K2625" s="170">
        <v>45838</v>
      </c>
      <c r="L2625" s="1">
        <v>3769.3927250146494</v>
      </c>
      <c r="M2625" s="1">
        <v>45867</v>
      </c>
    </row>
    <row r="2626" spans="1:13" ht="14.4" hidden="1">
      <c r="A2626" t="s">
        <v>223</v>
      </c>
      <c r="B2626" s="1">
        <v>50</v>
      </c>
      <c r="C2626" s="258" t="s">
        <v>6017</v>
      </c>
      <c r="D2626" t="s">
        <v>1193</v>
      </c>
      <c r="E2626" t="s">
        <v>1200</v>
      </c>
      <c r="F2626"/>
      <c r="H2626" s="1">
        <v>11169</v>
      </c>
      <c r="I2626"/>
      <c r="J2626" t="s">
        <v>2969</v>
      </c>
      <c r="K2626" s="170">
        <v>45838</v>
      </c>
      <c r="L2626" s="1">
        <v>21003.929223859523</v>
      </c>
      <c r="M2626" s="1">
        <v>45838</v>
      </c>
    </row>
    <row r="2627" spans="1:13" ht="14.4" hidden="1">
      <c r="A2627" t="s">
        <v>223</v>
      </c>
      <c r="B2627" s="1">
        <v>51</v>
      </c>
      <c r="C2627" s="258" t="s">
        <v>6018</v>
      </c>
      <c r="D2627" t="s">
        <v>1193</v>
      </c>
      <c r="E2627" t="s">
        <v>2768</v>
      </c>
      <c r="F2627"/>
      <c r="H2627" s="1">
        <v>2250.5</v>
      </c>
      <c r="I2627" t="s">
        <v>2971</v>
      </c>
      <c r="J2627" t="s">
        <v>2769</v>
      </c>
      <c r="K2627" s="170">
        <v>45808</v>
      </c>
      <c r="L2627" s="1">
        <v>2816.4684785880381</v>
      </c>
      <c r="M2627" s="1">
        <v>45799</v>
      </c>
    </row>
    <row r="2628" spans="1:13" ht="14.4" hidden="1">
      <c r="A2628" t="s">
        <v>223</v>
      </c>
      <c r="B2628" s="1">
        <v>52</v>
      </c>
      <c r="C2628" s="258" t="s">
        <v>6019</v>
      </c>
      <c r="D2628" t="s">
        <v>1193</v>
      </c>
      <c r="E2628" t="s">
        <v>1982</v>
      </c>
      <c r="F2628"/>
      <c r="H2628" s="1">
        <v>3960</v>
      </c>
      <c r="I2628" t="s">
        <v>6020</v>
      </c>
      <c r="J2628" t="s">
        <v>6021</v>
      </c>
      <c r="K2628" s="170">
        <v>45808</v>
      </c>
      <c r="L2628" s="1">
        <v>4955.8832149338514</v>
      </c>
      <c r="M2628" s="1">
        <v>45835</v>
      </c>
    </row>
    <row r="2629" spans="1:13" ht="14.4" hidden="1">
      <c r="A2629" t="s">
        <v>223</v>
      </c>
      <c r="B2629" s="1">
        <v>53</v>
      </c>
      <c r="C2629" s="258" t="s">
        <v>6022</v>
      </c>
      <c r="D2629" t="s">
        <v>1193</v>
      </c>
      <c r="F2629"/>
      <c r="H2629" s="1">
        <v>-3960</v>
      </c>
      <c r="I2629"/>
      <c r="J2629" t="s">
        <v>6023</v>
      </c>
      <c r="K2629" s="170">
        <v>45838</v>
      </c>
      <c r="L2629" s="1">
        <v>-6001.0359858970096</v>
      </c>
      <c r="M2629" s="1">
        <v>45838</v>
      </c>
    </row>
    <row r="2630" spans="1:13" ht="14.4" hidden="1">
      <c r="A2630" t="s">
        <v>223</v>
      </c>
      <c r="B2630" s="1">
        <v>57</v>
      </c>
      <c r="C2630" s="258" t="s">
        <v>6024</v>
      </c>
      <c r="D2630" t="s">
        <v>1211</v>
      </c>
      <c r="E2630" t="s">
        <v>6025</v>
      </c>
      <c r="F2630"/>
      <c r="H2630" s="1">
        <v>170430.32</v>
      </c>
      <c r="I2630" t="s">
        <v>6026</v>
      </c>
      <c r="J2630" t="s">
        <v>6027</v>
      </c>
      <c r="K2630" s="170">
        <v>45838</v>
      </c>
      <c r="L2630" s="1">
        <v>436685.80156772095</v>
      </c>
      <c r="M2630" s="1">
        <v>45867</v>
      </c>
    </row>
    <row r="2631" spans="1:13" ht="14.4" hidden="1">
      <c r="A2631" t="s">
        <v>223</v>
      </c>
      <c r="B2631" s="1">
        <v>62</v>
      </c>
      <c r="C2631" s="258" t="s">
        <v>6028</v>
      </c>
      <c r="D2631" t="s">
        <v>1211</v>
      </c>
      <c r="E2631" t="s">
        <v>1169</v>
      </c>
      <c r="F2631">
        <v>121839</v>
      </c>
      <c r="G2631">
        <v>0.1</v>
      </c>
      <c r="H2631" s="1">
        <v>12183.9</v>
      </c>
      <c r="I2631" t="s">
        <v>5994</v>
      </c>
      <c r="J2631" t="s">
        <v>5995</v>
      </c>
      <c r="K2631" s="170">
        <v>45808</v>
      </c>
      <c r="L2631" s="1">
        <v>31674.725966042024</v>
      </c>
      <c r="M2631" s="1">
        <v>45792</v>
      </c>
    </row>
    <row r="2632" spans="1:13" ht="14.4" hidden="1">
      <c r="A2632" t="s">
        <v>223</v>
      </c>
      <c r="B2632" s="1">
        <v>63</v>
      </c>
      <c r="C2632" s="258" t="s">
        <v>6029</v>
      </c>
      <c r="D2632" t="s">
        <v>1211</v>
      </c>
      <c r="E2632" t="s">
        <v>558</v>
      </c>
      <c r="F2632"/>
      <c r="G2632">
        <v>0.15</v>
      </c>
      <c r="H2632" s="1">
        <v>18275.849999999999</v>
      </c>
      <c r="I2632"/>
      <c r="J2632" t="s">
        <v>5997</v>
      </c>
      <c r="K2632" s="170">
        <v>45838</v>
      </c>
      <c r="L2632" s="1">
        <v>46370.893243102699</v>
      </c>
      <c r="M2632" s="1">
        <v>45834</v>
      </c>
    </row>
    <row r="2633" spans="1:13" ht="14.4" hidden="1">
      <c r="A2633" t="s">
        <v>223</v>
      </c>
      <c r="B2633" s="1">
        <v>64</v>
      </c>
      <c r="C2633" s="258" t="s">
        <v>6030</v>
      </c>
      <c r="D2633" t="s">
        <v>1211</v>
      </c>
      <c r="E2633" t="s">
        <v>1175</v>
      </c>
      <c r="F2633"/>
      <c r="G2633">
        <v>0.2</v>
      </c>
      <c r="H2633" s="1">
        <v>24367.800000000003</v>
      </c>
      <c r="I2633"/>
      <c r="J2633" t="s">
        <v>5999</v>
      </c>
      <c r="K2633" s="170">
        <v>45900</v>
      </c>
      <c r="L2633" s="1">
        <v>62436.497657470296</v>
      </c>
      <c r="M2633" s="1">
        <v>45960</v>
      </c>
    </row>
    <row r="2634" spans="1:13" ht="14.4" hidden="1">
      <c r="A2634" t="s">
        <v>223</v>
      </c>
      <c r="B2634" s="1">
        <v>65</v>
      </c>
      <c r="C2634" s="258" t="s">
        <v>6031</v>
      </c>
      <c r="D2634" t="s">
        <v>1211</v>
      </c>
      <c r="E2634" t="s">
        <v>1178</v>
      </c>
      <c r="F2634"/>
      <c r="G2634">
        <v>0.25</v>
      </c>
      <c r="H2634" s="1">
        <v>30459.75</v>
      </c>
      <c r="I2634"/>
      <c r="J2634" t="s">
        <v>6001</v>
      </c>
      <c r="K2634" s="170">
        <v>45900</v>
      </c>
      <c r="L2634" s="1">
        <v>78045.622071837846</v>
      </c>
      <c r="M2634" s="1">
        <v>46006</v>
      </c>
    </row>
    <row r="2635" spans="1:13" ht="14.4" hidden="1">
      <c r="A2635" t="s">
        <v>223</v>
      </c>
      <c r="B2635" s="1">
        <v>66</v>
      </c>
      <c r="C2635" s="258" t="s">
        <v>6032</v>
      </c>
      <c r="D2635" t="s">
        <v>1211</v>
      </c>
      <c r="E2635" t="s">
        <v>1181</v>
      </c>
      <c r="F2635"/>
      <c r="G2635">
        <v>0.1</v>
      </c>
      <c r="H2635" s="1">
        <v>12183.9</v>
      </c>
      <c r="I2635"/>
      <c r="J2635" t="s">
        <v>6004</v>
      </c>
      <c r="K2635" s="170">
        <v>45900</v>
      </c>
      <c r="L2635" s="1">
        <v>31218.248828735148</v>
      </c>
      <c r="M2635" s="1">
        <v>46009</v>
      </c>
    </row>
    <row r="2636" spans="1:13" ht="14.4" hidden="1">
      <c r="A2636" t="s">
        <v>223</v>
      </c>
      <c r="B2636" s="1">
        <v>67</v>
      </c>
      <c r="C2636" s="258" t="s">
        <v>6033</v>
      </c>
      <c r="D2636" t="s">
        <v>1211</v>
      </c>
      <c r="E2636" t="s">
        <v>1184</v>
      </c>
      <c r="F2636"/>
      <c r="G2636">
        <v>0.1</v>
      </c>
      <c r="H2636" s="1">
        <v>12183.9</v>
      </c>
      <c r="I2636"/>
      <c r="J2636" t="s">
        <v>6006</v>
      </c>
      <c r="K2636" s="170">
        <v>45900</v>
      </c>
      <c r="L2636" s="1">
        <v>31218.248828735148</v>
      </c>
      <c r="M2636" s="1">
        <v>46015</v>
      </c>
    </row>
    <row r="2637" spans="1:13" ht="14.4" hidden="1">
      <c r="A2637" t="s">
        <v>223</v>
      </c>
      <c r="B2637" s="1">
        <v>68</v>
      </c>
      <c r="C2637" s="258" t="s">
        <v>6034</v>
      </c>
      <c r="D2637" t="s">
        <v>1211</v>
      </c>
      <c r="E2637" t="s">
        <v>1187</v>
      </c>
      <c r="F2637"/>
      <c r="G2637">
        <v>0.05</v>
      </c>
      <c r="H2637" s="1">
        <v>6091.9500000000007</v>
      </c>
      <c r="I2637"/>
      <c r="J2637" t="s">
        <v>6008</v>
      </c>
      <c r="K2637" s="170">
        <v>45900</v>
      </c>
      <c r="L2637" s="1">
        <v>15609.124414367574</v>
      </c>
      <c r="M2637" s="1">
        <v>46386</v>
      </c>
    </row>
    <row r="2638" spans="1:13" ht="14.4" hidden="1">
      <c r="A2638" t="s">
        <v>223</v>
      </c>
      <c r="B2638" s="1">
        <v>69</v>
      </c>
      <c r="C2638" s="258" t="s">
        <v>6035</v>
      </c>
      <c r="D2638" t="s">
        <v>1211</v>
      </c>
      <c r="E2638" t="s">
        <v>1190</v>
      </c>
      <c r="F2638"/>
      <c r="G2638">
        <v>0.05</v>
      </c>
      <c r="H2638" s="1">
        <v>6091.9500000000007</v>
      </c>
      <c r="I2638"/>
      <c r="J2638" t="s">
        <v>6010</v>
      </c>
      <c r="K2638" s="170">
        <v>45900</v>
      </c>
      <c r="L2638" s="1">
        <v>15609.124414367574</v>
      </c>
      <c r="M2638" s="1">
        <v>46058</v>
      </c>
    </row>
    <row r="2639" spans="1:13" ht="14.4" hidden="1">
      <c r="A2639" t="s">
        <v>223</v>
      </c>
      <c r="B2639" s="1">
        <v>85</v>
      </c>
      <c r="C2639" s="258" t="s">
        <v>6036</v>
      </c>
      <c r="D2639" t="s">
        <v>1224</v>
      </c>
      <c r="E2639" t="s">
        <v>6037</v>
      </c>
      <c r="F2639"/>
      <c r="H2639" s="1">
        <v>64865</v>
      </c>
      <c r="I2639" t="s">
        <v>6038</v>
      </c>
      <c r="J2639" t="s">
        <v>6039</v>
      </c>
      <c r="K2639" s="170">
        <v>45838</v>
      </c>
      <c r="M2639" s="1">
        <v>45869</v>
      </c>
    </row>
    <row r="2640" spans="1:13" ht="14.4" hidden="1">
      <c r="A2640" t="s">
        <v>223</v>
      </c>
      <c r="B2640" s="1">
        <v>86</v>
      </c>
      <c r="C2640" s="258" t="s">
        <v>6040</v>
      </c>
      <c r="D2640" t="s">
        <v>1224</v>
      </c>
      <c r="E2640" t="s">
        <v>6041</v>
      </c>
      <c r="F2640"/>
      <c r="H2640" s="1">
        <v>22639</v>
      </c>
      <c r="I2640" t="s">
        <v>6042</v>
      </c>
      <c r="J2640" t="s">
        <v>6043</v>
      </c>
      <c r="K2640" s="170">
        <v>46022</v>
      </c>
      <c r="M2640" s="1">
        <v>46052</v>
      </c>
    </row>
    <row r="2641" spans="1:13" ht="14.4" hidden="1">
      <c r="A2641" t="s">
        <v>223</v>
      </c>
      <c r="B2641" s="1">
        <v>87</v>
      </c>
      <c r="C2641" s="258" t="s">
        <v>6044</v>
      </c>
      <c r="D2641" t="s">
        <v>1224</v>
      </c>
      <c r="E2641" t="s">
        <v>5818</v>
      </c>
      <c r="F2641"/>
      <c r="H2641" s="1">
        <v>14332</v>
      </c>
      <c r="I2641" t="s">
        <v>6045</v>
      </c>
      <c r="J2641" t="s">
        <v>6046</v>
      </c>
      <c r="K2641" s="170">
        <v>45991</v>
      </c>
      <c r="M2641" s="1">
        <v>46003</v>
      </c>
    </row>
    <row r="2642" spans="1:13" ht="14.4" hidden="1">
      <c r="A2642" t="s">
        <v>223</v>
      </c>
      <c r="B2642" s="1">
        <v>88</v>
      </c>
      <c r="C2642" s="258" t="s">
        <v>6047</v>
      </c>
      <c r="D2642" t="s">
        <v>1224</v>
      </c>
      <c r="E2642" t="s">
        <v>6048</v>
      </c>
      <c r="F2642"/>
      <c r="H2642" s="1">
        <v>6000</v>
      </c>
      <c r="I2642" t="s">
        <v>6049</v>
      </c>
      <c r="J2642" t="s">
        <v>6050</v>
      </c>
      <c r="K2642" s="170">
        <v>45991</v>
      </c>
      <c r="M2642" s="1">
        <v>45995</v>
      </c>
    </row>
    <row r="2643" spans="1:13" ht="14.4" hidden="1">
      <c r="A2643" t="s">
        <v>223</v>
      </c>
      <c r="B2643" s="1">
        <v>90</v>
      </c>
      <c r="C2643" s="258" t="s">
        <v>6051</v>
      </c>
      <c r="D2643" t="s">
        <v>1224</v>
      </c>
      <c r="E2643" t="s">
        <v>6052</v>
      </c>
      <c r="F2643"/>
      <c r="H2643" s="1">
        <v>44224</v>
      </c>
      <c r="I2643" t="s">
        <v>6053</v>
      </c>
      <c r="J2643" t="s">
        <v>6054</v>
      </c>
      <c r="K2643" s="170">
        <v>46053</v>
      </c>
      <c r="M2643" s="1">
        <v>46081</v>
      </c>
    </row>
    <row r="2644" spans="1:13" ht="14.4" hidden="1">
      <c r="A2644" t="s">
        <v>223</v>
      </c>
      <c r="B2644" s="1">
        <v>94</v>
      </c>
      <c r="C2644" s="258" t="s">
        <v>6055</v>
      </c>
      <c r="D2644" t="s">
        <v>1246</v>
      </c>
      <c r="E2644" t="s">
        <v>1169</v>
      </c>
      <c r="F2644">
        <v>509000</v>
      </c>
      <c r="G2644">
        <v>0.1</v>
      </c>
      <c r="H2644" s="1">
        <v>50900</v>
      </c>
      <c r="I2644" t="s">
        <v>5994</v>
      </c>
      <c r="J2644" t="s">
        <v>5995</v>
      </c>
      <c r="K2644" s="170">
        <v>45808</v>
      </c>
      <c r="L2644" s="1">
        <v>48464.705882352944</v>
      </c>
      <c r="M2644" s="1">
        <v>45792</v>
      </c>
    </row>
    <row r="2645" spans="1:13" ht="14.4" hidden="1">
      <c r="A2645" t="s">
        <v>223</v>
      </c>
      <c r="B2645" s="1">
        <v>95</v>
      </c>
      <c r="C2645" s="258" t="s">
        <v>6056</v>
      </c>
      <c r="D2645" t="s">
        <v>1246</v>
      </c>
      <c r="E2645" t="s">
        <v>558</v>
      </c>
      <c r="F2645"/>
      <c r="G2645">
        <v>0.15</v>
      </c>
      <c r="H2645" s="1">
        <v>76350</v>
      </c>
      <c r="I2645"/>
      <c r="J2645" t="s">
        <v>5997</v>
      </c>
      <c r="K2645" s="170">
        <v>45838</v>
      </c>
      <c r="L2645" s="1">
        <v>72697.058823529413</v>
      </c>
      <c r="M2645" s="1">
        <v>45834</v>
      </c>
    </row>
    <row r="2646" spans="1:13" ht="14.4" hidden="1">
      <c r="A2646" t="s">
        <v>223</v>
      </c>
      <c r="B2646" s="1">
        <v>96</v>
      </c>
      <c r="C2646" s="258" t="s">
        <v>6057</v>
      </c>
      <c r="D2646" t="s">
        <v>1246</v>
      </c>
      <c r="E2646" t="s">
        <v>1175</v>
      </c>
      <c r="F2646"/>
      <c r="G2646">
        <v>0.2</v>
      </c>
      <c r="H2646" s="1">
        <v>101800</v>
      </c>
      <c r="I2646"/>
      <c r="J2646" t="s">
        <v>5999</v>
      </c>
      <c r="K2646" s="170">
        <v>45900</v>
      </c>
      <c r="L2646" s="1">
        <v>96929.411764705888</v>
      </c>
      <c r="M2646" s="1">
        <v>45974</v>
      </c>
    </row>
    <row r="2647" spans="1:13" ht="14.4" hidden="1">
      <c r="A2647" t="s">
        <v>223</v>
      </c>
      <c r="B2647" s="1">
        <v>97</v>
      </c>
      <c r="C2647" s="258" t="s">
        <v>6058</v>
      </c>
      <c r="D2647" t="s">
        <v>1246</v>
      </c>
      <c r="E2647" t="s">
        <v>1178</v>
      </c>
      <c r="F2647"/>
      <c r="G2647">
        <v>0.25</v>
      </c>
      <c r="H2647" s="1">
        <v>127250</v>
      </c>
      <c r="I2647"/>
      <c r="J2647" t="s">
        <v>6001</v>
      </c>
      <c r="K2647" s="170">
        <v>45900</v>
      </c>
      <c r="L2647" s="1">
        <v>121161.76470588236</v>
      </c>
      <c r="M2647" s="1">
        <v>46009</v>
      </c>
    </row>
    <row r="2648" spans="1:13" ht="14.4" hidden="1">
      <c r="A2648" t="s">
        <v>223</v>
      </c>
      <c r="B2648" s="1">
        <v>98</v>
      </c>
      <c r="C2648" s="258" t="s">
        <v>6059</v>
      </c>
      <c r="D2648" t="s">
        <v>1246</v>
      </c>
      <c r="E2648" t="s">
        <v>1181</v>
      </c>
      <c r="F2648"/>
      <c r="G2648">
        <v>0.1</v>
      </c>
      <c r="H2648" s="1">
        <v>50900</v>
      </c>
      <c r="I2648"/>
      <c r="J2648" t="s">
        <v>6004</v>
      </c>
      <c r="K2648" s="170">
        <v>45900</v>
      </c>
      <c r="L2648" s="1">
        <v>48464.705882352944</v>
      </c>
      <c r="M2648" s="1">
        <v>46006</v>
      </c>
    </row>
    <row r="2649" spans="1:13" ht="14.4" hidden="1">
      <c r="A2649" t="s">
        <v>223</v>
      </c>
      <c r="B2649" s="1">
        <v>99</v>
      </c>
      <c r="C2649" s="258" t="s">
        <v>6060</v>
      </c>
      <c r="D2649" t="s">
        <v>1246</v>
      </c>
      <c r="E2649" t="s">
        <v>1184</v>
      </c>
      <c r="F2649"/>
      <c r="G2649">
        <v>0.1</v>
      </c>
      <c r="H2649" s="1">
        <v>21054.304347826088</v>
      </c>
      <c r="I2649"/>
      <c r="J2649" t="s">
        <v>6061</v>
      </c>
      <c r="K2649" s="170">
        <v>45961</v>
      </c>
      <c r="L2649" s="1">
        <v>48464.706834508281</v>
      </c>
      <c r="M2649" s="1">
        <v>46015</v>
      </c>
    </row>
    <row r="2650" spans="1:13" ht="14.4" hidden="1">
      <c r="A2650" t="s">
        <v>223</v>
      </c>
      <c r="B2650" s="1">
        <v>100</v>
      </c>
      <c r="C2650" s="258" t="s">
        <v>6062</v>
      </c>
      <c r="D2650" t="s">
        <v>1246</v>
      </c>
      <c r="E2650" t="s">
        <v>1184</v>
      </c>
      <c r="F2650"/>
      <c r="H2650" s="1">
        <v>29845.695652173912</v>
      </c>
      <c r="I2650"/>
      <c r="J2650" t="s">
        <v>6061</v>
      </c>
      <c r="K2650" s="170">
        <v>45961</v>
      </c>
      <c r="L2650" s="1">
        <v>0</v>
      </c>
      <c r="M2650" s="1">
        <v>46015</v>
      </c>
    </row>
    <row r="2651" spans="1:13" ht="14.4" hidden="1">
      <c r="A2651" t="s">
        <v>223</v>
      </c>
      <c r="B2651" s="1">
        <v>101</v>
      </c>
      <c r="C2651" s="258" t="s">
        <v>6063</v>
      </c>
      <c r="D2651" t="s">
        <v>1246</v>
      </c>
      <c r="E2651" t="s">
        <v>1187</v>
      </c>
      <c r="F2651"/>
      <c r="G2651">
        <v>0.05</v>
      </c>
      <c r="H2651" s="1">
        <v>25450</v>
      </c>
      <c r="I2651"/>
      <c r="J2651" t="s">
        <v>6064</v>
      </c>
      <c r="K2651" s="170">
        <v>45961</v>
      </c>
      <c r="L2651" s="1">
        <v>24232.35341725414</v>
      </c>
      <c r="M2651" s="1">
        <v>46009</v>
      </c>
    </row>
    <row r="2652" spans="1:13" ht="14.4" hidden="1">
      <c r="A2652" t="s">
        <v>223</v>
      </c>
      <c r="B2652" s="1">
        <v>102</v>
      </c>
      <c r="C2652" s="258" t="s">
        <v>6065</v>
      </c>
      <c r="D2652" t="s">
        <v>1246</v>
      </c>
      <c r="E2652" t="s">
        <v>1190</v>
      </c>
      <c r="F2652"/>
      <c r="G2652">
        <v>0.05</v>
      </c>
      <c r="H2652" s="1">
        <v>25450</v>
      </c>
      <c r="I2652"/>
      <c r="J2652" t="s">
        <v>6066</v>
      </c>
      <c r="K2652" s="170">
        <v>45961</v>
      </c>
      <c r="L2652" s="1">
        <v>24232.35341725414</v>
      </c>
      <c r="M2652" s="1">
        <v>46058</v>
      </c>
    </row>
    <row r="2653" spans="1:13" ht="14.4" hidden="1">
      <c r="A2653" t="s">
        <v>223</v>
      </c>
      <c r="B2653" s="1">
        <v>103</v>
      </c>
      <c r="C2653" s="258" t="s">
        <v>6067</v>
      </c>
      <c r="D2653" t="s">
        <v>1246</v>
      </c>
      <c r="E2653" t="s">
        <v>6068</v>
      </c>
      <c r="F2653"/>
      <c r="H2653" s="1">
        <v>-0.01</v>
      </c>
      <c r="I2653"/>
      <c r="J2653" t="s">
        <v>6061</v>
      </c>
      <c r="K2653" s="170">
        <v>45961</v>
      </c>
      <c r="L2653" s="1">
        <v>0</v>
      </c>
      <c r="M2653" s="1">
        <v>46058</v>
      </c>
    </row>
    <row r="2654" spans="1:13" ht="14.4" hidden="1">
      <c r="A2654" t="s">
        <v>223</v>
      </c>
      <c r="B2654" s="1">
        <v>109</v>
      </c>
      <c r="C2654" s="258" t="s">
        <v>6069</v>
      </c>
      <c r="D2654" t="s">
        <v>1255</v>
      </c>
      <c r="E2654" t="s">
        <v>3018</v>
      </c>
      <c r="F2654"/>
      <c r="H2654" s="1">
        <v>32400</v>
      </c>
      <c r="I2654" t="s">
        <v>6070</v>
      </c>
      <c r="J2654" t="s">
        <v>6071</v>
      </c>
      <c r="K2654" s="170">
        <v>45838</v>
      </c>
      <c r="L2654" s="1">
        <v>25852.400684623008</v>
      </c>
      <c r="M2654" s="1">
        <v>45869</v>
      </c>
    </row>
    <row r="2655" spans="1:13" ht="14.4" hidden="1">
      <c r="A2655" t="s">
        <v>223</v>
      </c>
      <c r="B2655" s="1">
        <v>110</v>
      </c>
      <c r="C2655" s="258" t="s">
        <v>6072</v>
      </c>
      <c r="D2655" t="s">
        <v>1255</v>
      </c>
      <c r="E2655" t="s">
        <v>3021</v>
      </c>
      <c r="F2655"/>
      <c r="H2655" s="1">
        <v>27900</v>
      </c>
      <c r="I2655"/>
      <c r="J2655" t="s">
        <v>6073</v>
      </c>
      <c r="K2655" s="170">
        <v>45900</v>
      </c>
      <c r="L2655" s="1">
        <v>26751.017076052933</v>
      </c>
      <c r="M2655" s="1">
        <v>45911</v>
      </c>
    </row>
    <row r="2656" spans="1:13" ht="14.4" hidden="1">
      <c r="A2656" t="s">
        <v>223</v>
      </c>
      <c r="B2656" s="1">
        <v>111</v>
      </c>
      <c r="C2656" s="258" t="s">
        <v>6074</v>
      </c>
      <c r="D2656" t="s">
        <v>1255</v>
      </c>
      <c r="E2656" t="s">
        <v>6075</v>
      </c>
      <c r="F2656"/>
      <c r="H2656" s="1">
        <v>22800</v>
      </c>
      <c r="I2656" t="s">
        <v>6076</v>
      </c>
      <c r="J2656" t="s">
        <v>6077</v>
      </c>
      <c r="K2656" s="170">
        <v>45930</v>
      </c>
      <c r="L2656" s="1">
        <v>17311.850295253818</v>
      </c>
      <c r="M2656" s="1">
        <v>45967</v>
      </c>
    </row>
    <row r="2657" spans="1:14" ht="14.4" hidden="1">
      <c r="A2657" t="s">
        <v>223</v>
      </c>
      <c r="B2657" s="1">
        <v>112</v>
      </c>
      <c r="C2657" s="258" t="s">
        <v>6078</v>
      </c>
      <c r="D2657" t="s">
        <v>1255</v>
      </c>
      <c r="E2657" t="s">
        <v>3024</v>
      </c>
      <c r="F2657"/>
      <c r="H2657" s="1">
        <v>27900</v>
      </c>
      <c r="I2657"/>
      <c r="J2657" t="s">
        <v>6079</v>
      </c>
      <c r="K2657" s="170">
        <v>45930</v>
      </c>
      <c r="L2657" s="1">
        <v>14421.769440244809</v>
      </c>
      <c r="M2657" s="1">
        <v>45939</v>
      </c>
    </row>
    <row r="2658" spans="1:14" ht="14.4" hidden="1">
      <c r="A2658" t="s">
        <v>223</v>
      </c>
      <c r="B2658" s="1">
        <v>113</v>
      </c>
      <c r="C2658" s="258" t="s">
        <v>6080</v>
      </c>
      <c r="D2658" t="s">
        <v>1255</v>
      </c>
      <c r="E2658" t="s">
        <v>3027</v>
      </c>
      <c r="F2658"/>
      <c r="H2658" s="1">
        <v>27900</v>
      </c>
      <c r="I2658"/>
      <c r="J2658" t="s">
        <v>6081</v>
      </c>
      <c r="K2658" s="170">
        <v>45961</v>
      </c>
      <c r="L2658" s="1">
        <v>0</v>
      </c>
      <c r="M2658" s="1">
        <v>45967</v>
      </c>
    </row>
    <row r="2659" spans="1:14" ht="14.4" hidden="1">
      <c r="A2659" t="s">
        <v>223</v>
      </c>
      <c r="B2659" s="1">
        <v>114</v>
      </c>
      <c r="C2659" s="258" t="s">
        <v>6082</v>
      </c>
      <c r="D2659" t="s">
        <v>1255</v>
      </c>
      <c r="E2659" t="s">
        <v>3030</v>
      </c>
      <c r="F2659"/>
      <c r="H2659" s="1">
        <v>27900</v>
      </c>
      <c r="I2659"/>
      <c r="J2659" t="s">
        <v>6083</v>
      </c>
      <c r="K2659" s="170">
        <v>45991</v>
      </c>
      <c r="L2659" s="1">
        <v>0</v>
      </c>
      <c r="M2659" s="1">
        <v>46003</v>
      </c>
    </row>
    <row r="2660" spans="1:14" ht="14.4" hidden="1">
      <c r="A2660" t="s">
        <v>223</v>
      </c>
      <c r="B2660" s="1">
        <v>115</v>
      </c>
      <c r="C2660" s="258" t="s">
        <v>6084</v>
      </c>
      <c r="D2660" t="s">
        <v>1255</v>
      </c>
      <c r="E2660" t="s">
        <v>3184</v>
      </c>
      <c r="F2660"/>
      <c r="H2660" s="1">
        <v>6750</v>
      </c>
      <c r="I2660"/>
      <c r="J2660" t="s">
        <v>6085</v>
      </c>
      <c r="K2660" s="170">
        <v>46022</v>
      </c>
      <c r="L2660" s="1">
        <v>0</v>
      </c>
      <c r="M2660" s="1">
        <v>46051</v>
      </c>
    </row>
    <row r="2661" spans="1:14" ht="14.4" hidden="1">
      <c r="A2661" t="s">
        <v>223</v>
      </c>
      <c r="B2661" s="1">
        <v>117</v>
      </c>
      <c r="C2661" s="258" t="s">
        <v>6086</v>
      </c>
      <c r="D2661" t="s">
        <v>1255</v>
      </c>
      <c r="E2661" t="s">
        <v>1169</v>
      </c>
      <c r="F2661">
        <v>44320</v>
      </c>
      <c r="G2661">
        <v>0.1</v>
      </c>
      <c r="H2661" s="1">
        <v>4432</v>
      </c>
      <c r="I2661" t="s">
        <v>5994</v>
      </c>
      <c r="J2661" t="s">
        <v>5995</v>
      </c>
      <c r="K2661" s="170">
        <v>45808</v>
      </c>
      <c r="L2661" s="1">
        <v>3372.7924470664602</v>
      </c>
      <c r="M2661" s="1">
        <v>45792</v>
      </c>
    </row>
    <row r="2662" spans="1:14" ht="14.4" hidden="1">
      <c r="A2662" t="s">
        <v>223</v>
      </c>
      <c r="B2662" s="1">
        <v>118</v>
      </c>
      <c r="C2662" s="258" t="s">
        <v>6087</v>
      </c>
      <c r="D2662" t="s">
        <v>1255</v>
      </c>
      <c r="E2662" t="s">
        <v>558</v>
      </c>
      <c r="F2662"/>
      <c r="G2662">
        <v>0.15</v>
      </c>
      <c r="H2662" s="1">
        <v>6648</v>
      </c>
      <c r="I2662"/>
      <c r="J2662" t="s">
        <v>5997</v>
      </c>
      <c r="K2662" s="170">
        <v>45838</v>
      </c>
      <c r="L2662" s="1">
        <v>5468.08962195598</v>
      </c>
      <c r="M2662" s="1">
        <v>45834</v>
      </c>
    </row>
    <row r="2663" spans="1:14" ht="14.4" hidden="1">
      <c r="A2663" t="s">
        <v>223</v>
      </c>
      <c r="B2663" s="1">
        <v>119</v>
      </c>
      <c r="C2663" s="258" t="s">
        <v>6088</v>
      </c>
      <c r="D2663" t="s">
        <v>1255</v>
      </c>
      <c r="E2663" t="s">
        <v>1175</v>
      </c>
      <c r="F2663"/>
      <c r="G2663">
        <v>0.2</v>
      </c>
      <c r="H2663" s="1">
        <v>8864</v>
      </c>
      <c r="I2663"/>
      <c r="J2663" t="s">
        <v>5999</v>
      </c>
      <c r="K2663" s="170">
        <v>45900</v>
      </c>
      <c r="L2663" s="1">
        <v>8498.9611240907961</v>
      </c>
      <c r="M2663" s="1">
        <v>45974</v>
      </c>
    </row>
    <row r="2664" spans="1:14" ht="14.4" hidden="1">
      <c r="A2664" t="s">
        <v>223</v>
      </c>
      <c r="B2664" s="1">
        <v>120</v>
      </c>
      <c r="C2664" s="258" t="s">
        <v>6089</v>
      </c>
      <c r="D2664" t="s">
        <v>1255</v>
      </c>
      <c r="E2664" t="s">
        <v>1178</v>
      </c>
      <c r="F2664"/>
      <c r="G2664">
        <v>0.25</v>
      </c>
      <c r="H2664" s="1">
        <v>11080</v>
      </c>
      <c r="I2664"/>
      <c r="J2664" t="s">
        <v>6001</v>
      </c>
      <c r="K2664" s="170">
        <v>45900</v>
      </c>
      <c r="L2664" s="1">
        <v>10623.701405113494</v>
      </c>
      <c r="M2664" s="1">
        <v>46006</v>
      </c>
    </row>
    <row r="2665" spans="1:14" ht="14.4" hidden="1">
      <c r="A2665" t="s">
        <v>223</v>
      </c>
      <c r="B2665" s="1">
        <v>121</v>
      </c>
      <c r="C2665" s="258" t="s">
        <v>6090</v>
      </c>
      <c r="D2665" t="s">
        <v>1255</v>
      </c>
      <c r="E2665" t="s">
        <v>1181</v>
      </c>
      <c r="F2665"/>
      <c r="G2665">
        <v>0.1</v>
      </c>
      <c r="H2665" s="1">
        <v>4432</v>
      </c>
      <c r="I2665"/>
      <c r="J2665" t="s">
        <v>6004</v>
      </c>
      <c r="K2665" s="170">
        <v>45900</v>
      </c>
      <c r="L2665" s="1">
        <v>4249.4805620453981</v>
      </c>
      <c r="M2665" s="1">
        <v>46009</v>
      </c>
    </row>
    <row r="2666" spans="1:14" ht="14.4" hidden="1">
      <c r="A2666" t="s">
        <v>223</v>
      </c>
      <c r="B2666" s="1">
        <v>122</v>
      </c>
      <c r="C2666" s="258" t="s">
        <v>6091</v>
      </c>
      <c r="D2666" t="s">
        <v>1255</v>
      </c>
      <c r="E2666" t="s">
        <v>1184</v>
      </c>
      <c r="F2666"/>
      <c r="G2666">
        <v>0.1</v>
      </c>
      <c r="H2666" s="1">
        <v>4432</v>
      </c>
      <c r="I2666"/>
      <c r="J2666" t="s">
        <v>6006</v>
      </c>
      <c r="K2666" s="170">
        <v>45900</v>
      </c>
      <c r="L2666" s="1">
        <v>4249.4805620453981</v>
      </c>
      <c r="M2666" s="1">
        <v>46015</v>
      </c>
    </row>
    <row r="2667" spans="1:14" ht="14.4" hidden="1">
      <c r="A2667" t="s">
        <v>223</v>
      </c>
      <c r="B2667" s="1">
        <v>123</v>
      </c>
      <c r="C2667" s="258" t="s">
        <v>6092</v>
      </c>
      <c r="D2667" t="s">
        <v>1255</v>
      </c>
      <c r="E2667" t="s">
        <v>1187</v>
      </c>
      <c r="F2667"/>
      <c r="G2667">
        <v>0.05</v>
      </c>
      <c r="H2667" s="1">
        <v>2216</v>
      </c>
      <c r="I2667"/>
      <c r="J2667" t="s">
        <v>6008</v>
      </c>
      <c r="K2667" s="170">
        <v>45900</v>
      </c>
      <c r="L2667" s="1">
        <v>2124.740281022699</v>
      </c>
      <c r="M2667" s="1">
        <v>46015</v>
      </c>
    </row>
    <row r="2668" spans="1:14" ht="14.4" hidden="1">
      <c r="A2668" t="s">
        <v>223</v>
      </c>
      <c r="B2668" s="1">
        <v>124</v>
      </c>
      <c r="C2668" s="258" t="s">
        <v>6093</v>
      </c>
      <c r="D2668" t="s">
        <v>1255</v>
      </c>
      <c r="E2668" t="s">
        <v>1190</v>
      </c>
      <c r="F2668"/>
      <c r="G2668">
        <v>0.05</v>
      </c>
      <c r="H2668" s="1">
        <v>2216</v>
      </c>
      <c r="I2668"/>
      <c r="J2668" t="s">
        <v>6010</v>
      </c>
      <c r="K2668" s="170">
        <v>45900</v>
      </c>
      <c r="L2668" s="1">
        <v>2124.740281022699</v>
      </c>
      <c r="M2668" s="1">
        <v>46058</v>
      </c>
    </row>
    <row r="2669" spans="1:14" ht="14.4" hidden="1">
      <c r="A2669" t="s">
        <v>223</v>
      </c>
      <c r="B2669" s="1">
        <v>129</v>
      </c>
      <c r="C2669" s="258" t="s">
        <v>6094</v>
      </c>
      <c r="D2669" t="s">
        <v>1264</v>
      </c>
      <c r="E2669" t="s">
        <v>1265</v>
      </c>
      <c r="F2669"/>
      <c r="H2669" s="1">
        <v>13977.96</v>
      </c>
      <c r="I2669"/>
      <c r="J2669" t="s">
        <v>2843</v>
      </c>
      <c r="K2669" s="170">
        <v>45869</v>
      </c>
      <c r="L2669" s="1">
        <v>56993.364120250895</v>
      </c>
      <c r="M2669" s="1">
        <v>46058</v>
      </c>
      <c r="N2669" s="1">
        <v>114589.71</v>
      </c>
    </row>
    <row r="2670" spans="1:14" ht="14.4" hidden="1">
      <c r="A2670" t="s">
        <v>223</v>
      </c>
      <c r="B2670" s="1">
        <v>130</v>
      </c>
      <c r="C2670" s="258" t="s">
        <v>6095</v>
      </c>
      <c r="D2670" t="s">
        <v>1264</v>
      </c>
      <c r="E2670" t="s">
        <v>1268</v>
      </c>
      <c r="F2670"/>
      <c r="H2670" s="1">
        <v>7811.75</v>
      </c>
      <c r="I2670" t="s">
        <v>2845</v>
      </c>
      <c r="J2670" t="s">
        <v>2846</v>
      </c>
      <c r="K2670" s="170">
        <v>45777</v>
      </c>
      <c r="L2670" s="1">
        <v>34198.965165004767</v>
      </c>
      <c r="M2670" s="1">
        <v>45757</v>
      </c>
    </row>
    <row r="2671" spans="1:14" ht="14.4" hidden="1">
      <c r="A2671" t="s">
        <v>223</v>
      </c>
      <c r="B2671" s="1">
        <v>131</v>
      </c>
      <c r="C2671" s="258" t="s">
        <v>6096</v>
      </c>
      <c r="D2671" t="s">
        <v>1264</v>
      </c>
      <c r="E2671" t="s">
        <v>6097</v>
      </c>
      <c r="F2671"/>
      <c r="H2671" s="1">
        <v>79700</v>
      </c>
      <c r="I2671" t="s">
        <v>6098</v>
      </c>
      <c r="J2671"/>
      <c r="K2671" s="170">
        <v>46081</v>
      </c>
      <c r="L2671" s="1">
        <v>0</v>
      </c>
      <c r="M2671" s="1">
        <v>46081</v>
      </c>
    </row>
    <row r="2672" spans="1:14" ht="14.4" hidden="1">
      <c r="A2672" t="s">
        <v>223</v>
      </c>
      <c r="B2672" s="1">
        <v>132</v>
      </c>
      <c r="C2672" s="258" t="s">
        <v>6099</v>
      </c>
      <c r="D2672" t="s">
        <v>1264</v>
      </c>
      <c r="E2672" t="s">
        <v>2094</v>
      </c>
      <c r="F2672"/>
      <c r="H2672" s="1">
        <v>5100</v>
      </c>
      <c r="I2672" t="s">
        <v>3049</v>
      </c>
      <c r="J2672" t="s">
        <v>6100</v>
      </c>
      <c r="K2672" s="170">
        <v>45777</v>
      </c>
      <c r="L2672" s="1">
        <v>22327.227873590979</v>
      </c>
      <c r="M2672" s="1">
        <v>45834</v>
      </c>
    </row>
    <row r="2673" spans="1:14" ht="14.4" hidden="1">
      <c r="A2673" t="s">
        <v>223</v>
      </c>
      <c r="B2673" s="1">
        <v>133</v>
      </c>
      <c r="C2673" s="258" t="s">
        <v>6101</v>
      </c>
      <c r="D2673" t="s">
        <v>1264</v>
      </c>
      <c r="E2673" t="s">
        <v>808</v>
      </c>
      <c r="F2673"/>
      <c r="H2673" s="1">
        <v>8000</v>
      </c>
      <c r="I2673"/>
      <c r="J2673" t="s">
        <v>3047</v>
      </c>
      <c r="K2673" s="170">
        <v>46022</v>
      </c>
      <c r="L2673" s="1">
        <v>33773.382736966421</v>
      </c>
      <c r="M2673" s="1">
        <v>46052</v>
      </c>
    </row>
    <row r="2674" spans="1:14" ht="14.4" hidden="1">
      <c r="A2674" t="s">
        <v>223</v>
      </c>
      <c r="B2674" s="1">
        <v>138</v>
      </c>
      <c r="C2674" s="258" t="s">
        <v>6102</v>
      </c>
      <c r="D2674" t="s">
        <v>1277</v>
      </c>
      <c r="E2674" t="s">
        <v>1278</v>
      </c>
      <c r="F2674"/>
      <c r="H2674" s="1">
        <v>59518.412500000006</v>
      </c>
      <c r="I2674"/>
      <c r="J2674"/>
      <c r="K2674" s="170">
        <v>46081</v>
      </c>
      <c r="L2674" s="1">
        <v>188915.91341873704</v>
      </c>
      <c r="M2674" s="1">
        <v>46080</v>
      </c>
      <c r="N2674" s="1">
        <v>59518.412500000006</v>
      </c>
    </row>
    <row r="2675" spans="1:14" ht="14.4" hidden="1">
      <c r="A2675" t="s">
        <v>223</v>
      </c>
      <c r="B2675" s="1">
        <v>139</v>
      </c>
      <c r="C2675" s="258" t="s">
        <v>6103</v>
      </c>
      <c r="D2675" t="s">
        <v>1277</v>
      </c>
      <c r="E2675" t="s">
        <v>1903</v>
      </c>
      <c r="F2675"/>
      <c r="H2675" s="1">
        <v>0</v>
      </c>
      <c r="I2675"/>
      <c r="J2675"/>
      <c r="K2675" s="170"/>
      <c r="L2675" s="1">
        <v>0</v>
      </c>
    </row>
    <row r="2676" spans="1:14" ht="14.4" hidden="1">
      <c r="A2676" t="s">
        <v>223</v>
      </c>
      <c r="B2676" s="1">
        <v>140</v>
      </c>
      <c r="C2676" s="258" t="s">
        <v>6104</v>
      </c>
      <c r="D2676" t="s">
        <v>1277</v>
      </c>
      <c r="E2676" t="s">
        <v>1905</v>
      </c>
      <c r="F2676"/>
      <c r="H2676" s="1">
        <v>0</v>
      </c>
      <c r="I2676"/>
      <c r="J2676"/>
      <c r="K2676" s="170"/>
      <c r="L2676" s="1">
        <v>0</v>
      </c>
    </row>
    <row r="2677" spans="1:14" ht="14.4" hidden="1">
      <c r="A2677" t="s">
        <v>223</v>
      </c>
      <c r="B2677" s="1">
        <v>141</v>
      </c>
      <c r="C2677" s="258" t="s">
        <v>6105</v>
      </c>
      <c r="D2677" t="s">
        <v>1277</v>
      </c>
      <c r="E2677" t="s">
        <v>1907</v>
      </c>
      <c r="F2677"/>
      <c r="H2677" s="1">
        <v>0</v>
      </c>
      <c r="I2677"/>
      <c r="J2677"/>
      <c r="K2677" s="170"/>
      <c r="L2677" s="1">
        <v>0</v>
      </c>
    </row>
    <row r="2678" spans="1:14" ht="14.4" hidden="1">
      <c r="A2678" t="s">
        <v>223</v>
      </c>
      <c r="B2678" s="1">
        <v>142</v>
      </c>
      <c r="C2678" s="258" t="s">
        <v>6106</v>
      </c>
      <c r="D2678" t="s">
        <v>1277</v>
      </c>
      <c r="E2678" t="s">
        <v>1909</v>
      </c>
      <c r="F2678"/>
      <c r="H2678" s="1">
        <v>0</v>
      </c>
      <c r="I2678"/>
      <c r="J2678"/>
      <c r="K2678" s="170"/>
      <c r="L2678" s="1">
        <v>0</v>
      </c>
    </row>
    <row r="2679" spans="1:14" ht="14.4" hidden="1">
      <c r="A2679" t="s">
        <v>223</v>
      </c>
      <c r="B2679" s="1">
        <v>145</v>
      </c>
      <c r="C2679" s="258" t="s">
        <v>6107</v>
      </c>
      <c r="D2679" t="s">
        <v>1280</v>
      </c>
      <c r="E2679" t="s">
        <v>1281</v>
      </c>
      <c r="F2679"/>
      <c r="H2679" s="1">
        <v>1182.26</v>
      </c>
      <c r="I2679"/>
      <c r="J2679" t="s">
        <v>1604</v>
      </c>
      <c r="K2679" s="170">
        <v>45777</v>
      </c>
      <c r="L2679" s="1">
        <v>1343.7091934439072</v>
      </c>
      <c r="M2679" s="1">
        <v>45785</v>
      </c>
      <c r="N2679" s="1">
        <v>13433.02</v>
      </c>
    </row>
    <row r="2680" spans="1:14" ht="14.4" hidden="1">
      <c r="A2680" t="s">
        <v>223</v>
      </c>
      <c r="B2680" s="1">
        <v>146</v>
      </c>
      <c r="C2680" s="258" t="s">
        <v>6108</v>
      </c>
      <c r="D2680" t="s">
        <v>1280</v>
      </c>
      <c r="E2680" t="s">
        <v>1281</v>
      </c>
      <c r="F2680"/>
      <c r="H2680" s="1">
        <v>0</v>
      </c>
      <c r="I2680"/>
      <c r="J2680" t="s">
        <v>1604</v>
      </c>
      <c r="K2680" s="170">
        <v>45808</v>
      </c>
      <c r="L2680" s="1">
        <v>0</v>
      </c>
      <c r="M2680" s="1">
        <v>45808</v>
      </c>
    </row>
    <row r="2681" spans="1:14" ht="14.4" hidden="1">
      <c r="A2681" t="s">
        <v>223</v>
      </c>
      <c r="B2681" s="1">
        <v>147</v>
      </c>
      <c r="C2681" s="258" t="s">
        <v>6109</v>
      </c>
      <c r="D2681" t="s">
        <v>1280</v>
      </c>
      <c r="E2681" t="s">
        <v>1281</v>
      </c>
      <c r="F2681"/>
      <c r="H2681" s="1">
        <v>3211.84</v>
      </c>
      <c r="I2681"/>
      <c r="J2681" t="s">
        <v>1604</v>
      </c>
      <c r="K2681" s="170">
        <v>45838</v>
      </c>
      <c r="L2681" s="1">
        <v>4165.4796446232021</v>
      </c>
      <c r="M2681" s="1">
        <v>45842</v>
      </c>
    </row>
    <row r="2682" spans="1:14" ht="14.4" hidden="1">
      <c r="A2682" t="s">
        <v>223</v>
      </c>
      <c r="B2682" s="1">
        <v>148</v>
      </c>
      <c r="C2682" s="258" t="s">
        <v>6110</v>
      </c>
      <c r="D2682" t="s">
        <v>1280</v>
      </c>
      <c r="E2682" t="s">
        <v>1281</v>
      </c>
      <c r="F2682"/>
      <c r="H2682" s="1">
        <v>0</v>
      </c>
      <c r="I2682"/>
      <c r="J2682" t="s">
        <v>1604</v>
      </c>
      <c r="K2682" s="170">
        <v>45869</v>
      </c>
      <c r="L2682" s="1">
        <v>0</v>
      </c>
      <c r="M2682" s="1">
        <v>45876</v>
      </c>
    </row>
    <row r="2683" spans="1:14" ht="14.4" hidden="1">
      <c r="A2683" t="s">
        <v>223</v>
      </c>
      <c r="B2683" s="1">
        <v>149</v>
      </c>
      <c r="C2683" s="258" t="s">
        <v>6111</v>
      </c>
      <c r="D2683" t="s">
        <v>1280</v>
      </c>
      <c r="E2683" t="s">
        <v>1281</v>
      </c>
      <c r="F2683"/>
      <c r="H2683" s="1">
        <v>542.64</v>
      </c>
      <c r="I2683"/>
      <c r="J2683" t="s">
        <v>1604</v>
      </c>
      <c r="K2683" s="170">
        <v>45900</v>
      </c>
      <c r="L2683" s="1">
        <v>925.33387225555509</v>
      </c>
      <c r="M2683" s="1">
        <v>45905</v>
      </c>
    </row>
    <row r="2684" spans="1:14" ht="14.4" hidden="1">
      <c r="A2684" t="s">
        <v>223</v>
      </c>
      <c r="B2684" s="1">
        <v>150</v>
      </c>
      <c r="C2684" s="258" t="s">
        <v>6112</v>
      </c>
      <c r="D2684" t="s">
        <v>1280</v>
      </c>
      <c r="E2684" t="s">
        <v>1281</v>
      </c>
      <c r="F2684"/>
      <c r="H2684" s="1">
        <v>1085.28</v>
      </c>
      <c r="I2684"/>
      <c r="J2684" t="s">
        <v>1604</v>
      </c>
      <c r="K2684" s="170">
        <v>45930</v>
      </c>
      <c r="L2684" s="1">
        <v>1983.8277445111096</v>
      </c>
      <c r="M2684" s="1">
        <v>45930</v>
      </c>
    </row>
    <row r="2685" spans="1:14" ht="14.4" hidden="1">
      <c r="A2685" t="s">
        <v>223</v>
      </c>
      <c r="B2685" s="1">
        <v>151</v>
      </c>
      <c r="C2685" s="258" t="s">
        <v>6113</v>
      </c>
      <c r="D2685" t="s">
        <v>1280</v>
      </c>
      <c r="E2685" t="s">
        <v>1281</v>
      </c>
      <c r="F2685"/>
      <c r="H2685" s="1">
        <v>3791.54</v>
      </c>
      <c r="I2685"/>
      <c r="J2685" t="s">
        <v>1604</v>
      </c>
      <c r="K2685" s="170">
        <v>45961</v>
      </c>
      <c r="L2685" s="1">
        <v>1080.8052651255412</v>
      </c>
      <c r="M2685" s="1">
        <v>45967</v>
      </c>
    </row>
    <row r="2686" spans="1:14" ht="14.4" hidden="1">
      <c r="A2686" t="s">
        <v>223</v>
      </c>
      <c r="B2686" s="1">
        <v>152</v>
      </c>
      <c r="C2686" s="258" t="s">
        <v>6114</v>
      </c>
      <c r="D2686" t="s">
        <v>1280</v>
      </c>
      <c r="E2686" t="s">
        <v>1281</v>
      </c>
      <c r="F2686"/>
      <c r="H2686" s="1">
        <v>2115.3000000000002</v>
      </c>
      <c r="I2686"/>
      <c r="J2686" t="s">
        <v>1604</v>
      </c>
      <c r="K2686" s="170">
        <v>45991</v>
      </c>
      <c r="L2686" s="1">
        <v>794.96</v>
      </c>
      <c r="M2686" s="1">
        <v>45996</v>
      </c>
    </row>
    <row r="2687" spans="1:14" ht="14.4" hidden="1">
      <c r="A2687" t="s">
        <v>223</v>
      </c>
      <c r="B2687" s="1">
        <v>153</v>
      </c>
      <c r="C2687" s="258" t="s">
        <v>6115</v>
      </c>
      <c r="D2687" t="s">
        <v>1280</v>
      </c>
      <c r="E2687" t="s">
        <v>1281</v>
      </c>
      <c r="F2687"/>
      <c r="H2687" s="1">
        <v>533.12</v>
      </c>
      <c r="I2687"/>
      <c r="J2687" t="s">
        <v>1604</v>
      </c>
      <c r="K2687" s="170">
        <v>46022</v>
      </c>
      <c r="L2687" s="1">
        <v>0</v>
      </c>
      <c r="M2687" s="1">
        <v>46030</v>
      </c>
    </row>
    <row r="2688" spans="1:14" ht="14.4" hidden="1">
      <c r="A2688" t="s">
        <v>223</v>
      </c>
      <c r="B2688" s="1">
        <v>154</v>
      </c>
      <c r="C2688" s="258" t="s">
        <v>6116</v>
      </c>
      <c r="D2688" t="s">
        <v>1280</v>
      </c>
      <c r="E2688" t="s">
        <v>1281</v>
      </c>
      <c r="F2688"/>
      <c r="H2688" s="1">
        <v>971.04</v>
      </c>
      <c r="I2688"/>
      <c r="J2688" t="s">
        <v>1604</v>
      </c>
      <c r="K2688" s="170">
        <v>46053</v>
      </c>
      <c r="L2688" s="1">
        <v>0</v>
      </c>
      <c r="M2688" s="1">
        <v>46058</v>
      </c>
    </row>
    <row r="2689" spans="1:14" ht="14.4" hidden="1">
      <c r="A2689" t="s">
        <v>223</v>
      </c>
      <c r="B2689" s="1">
        <v>155</v>
      </c>
      <c r="C2689" s="258" t="s">
        <v>6117</v>
      </c>
      <c r="D2689" t="s">
        <v>1280</v>
      </c>
      <c r="F2689"/>
      <c r="H2689" s="1">
        <v>0</v>
      </c>
      <c r="I2689"/>
      <c r="J2689"/>
      <c r="K2689" s="170" t="s">
        <v>51</v>
      </c>
      <c r="L2689" s="1">
        <v>0</v>
      </c>
    </row>
    <row r="2690" spans="1:14" ht="14.4" hidden="1">
      <c r="A2690" t="s">
        <v>223</v>
      </c>
      <c r="B2690" s="1">
        <v>158</v>
      </c>
      <c r="C2690" s="258" t="s">
        <v>6118</v>
      </c>
      <c r="D2690" t="s">
        <v>1451</v>
      </c>
      <c r="E2690" t="s">
        <v>2865</v>
      </c>
      <c r="F2690"/>
      <c r="H2690" s="1">
        <v>357000</v>
      </c>
      <c r="I2690"/>
      <c r="J2690" t="s">
        <v>6119</v>
      </c>
      <c r="K2690" s="170">
        <v>45838</v>
      </c>
      <c r="L2690" s="1">
        <v>375000</v>
      </c>
      <c r="M2690" s="1">
        <v>45849</v>
      </c>
      <c r="N2690" s="1">
        <v>726300</v>
      </c>
    </row>
    <row r="2691" spans="1:14" ht="14.4" hidden="1">
      <c r="A2691" t="s">
        <v>223</v>
      </c>
      <c r="B2691" s="1">
        <v>159</v>
      </c>
      <c r="C2691" s="258" t="s">
        <v>6120</v>
      </c>
      <c r="D2691" t="s">
        <v>1451</v>
      </c>
      <c r="E2691" t="s">
        <v>2868</v>
      </c>
      <c r="F2691"/>
      <c r="H2691" s="1">
        <v>357000</v>
      </c>
      <c r="I2691"/>
      <c r="J2691" t="s">
        <v>6119</v>
      </c>
      <c r="K2691" s="170">
        <v>45838</v>
      </c>
      <c r="L2691" s="1">
        <v>375000</v>
      </c>
      <c r="M2691" s="1">
        <v>46037</v>
      </c>
    </row>
    <row r="2692" spans="1:14" ht="14.4" hidden="1">
      <c r="A2692" t="s">
        <v>223</v>
      </c>
      <c r="B2692" s="1">
        <v>162</v>
      </c>
      <c r="C2692" s="258" t="s">
        <v>6121</v>
      </c>
      <c r="D2692" t="s">
        <v>1451</v>
      </c>
      <c r="E2692" t="s">
        <v>6122</v>
      </c>
      <c r="F2692"/>
      <c r="H2692" s="1">
        <v>7350</v>
      </c>
      <c r="I2692" t="s">
        <v>6123</v>
      </c>
      <c r="J2692" t="s">
        <v>6124</v>
      </c>
      <c r="K2692" s="170">
        <v>45991</v>
      </c>
      <c r="L2692" s="1">
        <v>0</v>
      </c>
      <c r="M2692" s="1">
        <v>45961</v>
      </c>
    </row>
    <row r="2693" spans="1:14" ht="14.4" hidden="1">
      <c r="A2693" t="s">
        <v>223</v>
      </c>
      <c r="B2693" s="1">
        <v>163</v>
      </c>
      <c r="C2693" s="258" t="s">
        <v>6125</v>
      </c>
      <c r="D2693" t="s">
        <v>1451</v>
      </c>
      <c r="E2693" t="s">
        <v>6126</v>
      </c>
      <c r="F2693"/>
      <c r="H2693" s="1">
        <v>4950</v>
      </c>
      <c r="I2693" t="s">
        <v>6127</v>
      </c>
      <c r="J2693" t="s">
        <v>6128</v>
      </c>
      <c r="K2693" s="170">
        <v>45991</v>
      </c>
      <c r="L2693" s="1">
        <v>0</v>
      </c>
      <c r="M2693" s="1">
        <v>45989</v>
      </c>
    </row>
    <row r="2694" spans="1:14" ht="14.4" hidden="1">
      <c r="A2694" t="s">
        <v>224</v>
      </c>
      <c r="B2694" s="1">
        <v>6</v>
      </c>
      <c r="C2694" s="258" t="s">
        <v>6129</v>
      </c>
      <c r="D2694" t="s">
        <v>1146</v>
      </c>
      <c r="E2694" t="s">
        <v>2729</v>
      </c>
      <c r="F2694">
        <v>597</v>
      </c>
      <c r="G2694">
        <v>1233.8</v>
      </c>
      <c r="H2694" s="1">
        <v>281646.11</v>
      </c>
      <c r="I2694" t="s">
        <v>6130</v>
      </c>
      <c r="J2694" t="s">
        <v>6131</v>
      </c>
      <c r="K2694" s="170">
        <v>45838</v>
      </c>
      <c r="L2694" s="1">
        <v>883589.875</v>
      </c>
      <c r="M2694" s="1">
        <v>45867</v>
      </c>
      <c r="N2694" s="1">
        <v>745481.4</v>
      </c>
    </row>
    <row r="2695" spans="1:14" ht="14.4" hidden="1">
      <c r="A2695" t="s">
        <v>224</v>
      </c>
      <c r="B2695" s="1">
        <v>7</v>
      </c>
      <c r="C2695" s="258" t="s">
        <v>6132</v>
      </c>
      <c r="D2695" t="s">
        <v>1146</v>
      </c>
      <c r="F2695"/>
      <c r="G2695">
        <v>1.99</v>
      </c>
      <c r="H2695" s="1">
        <v>454932.49</v>
      </c>
      <c r="I2695"/>
      <c r="J2695" t="s">
        <v>6131</v>
      </c>
      <c r="K2695" s="170">
        <v>45838</v>
      </c>
      <c r="L2695" s="1">
        <v>0</v>
      </c>
      <c r="M2695" s="1">
        <v>45883</v>
      </c>
    </row>
    <row r="2696" spans="1:14" ht="14.4" hidden="1">
      <c r="A2696" t="s">
        <v>224</v>
      </c>
      <c r="B2696" s="1">
        <v>9</v>
      </c>
      <c r="C2696" s="258" t="s">
        <v>6133</v>
      </c>
      <c r="D2696" t="s">
        <v>1146</v>
      </c>
      <c r="F2696"/>
      <c r="H2696" s="1">
        <v>4601.3999999999996</v>
      </c>
      <c r="I2696"/>
      <c r="J2696" t="s">
        <v>6134</v>
      </c>
      <c r="K2696" s="170">
        <v>45930</v>
      </c>
      <c r="L2696" s="1">
        <v>0</v>
      </c>
      <c r="M2696" s="1">
        <v>45980</v>
      </c>
    </row>
    <row r="2697" spans="1:14" ht="14.4" hidden="1">
      <c r="A2697" t="s">
        <v>224</v>
      </c>
      <c r="B2697" s="1">
        <v>10</v>
      </c>
      <c r="C2697" s="258" t="s">
        <v>6135</v>
      </c>
      <c r="D2697" t="s">
        <v>1146</v>
      </c>
      <c r="E2697" t="s">
        <v>6136</v>
      </c>
      <c r="F2697">
        <v>3</v>
      </c>
      <c r="G2697">
        <v>1233.8</v>
      </c>
      <c r="H2697" s="1">
        <v>3701.4</v>
      </c>
      <c r="I2697"/>
      <c r="J2697" t="s">
        <v>6137</v>
      </c>
      <c r="K2697" s="170">
        <v>45991</v>
      </c>
      <c r="L2697" s="1">
        <v>0</v>
      </c>
      <c r="M2697" s="1">
        <v>46045</v>
      </c>
    </row>
    <row r="2698" spans="1:14" ht="14.4" hidden="1">
      <c r="A2698" t="s">
        <v>224</v>
      </c>
      <c r="B2698" s="1">
        <v>11</v>
      </c>
      <c r="C2698" s="258" t="s">
        <v>6138</v>
      </c>
      <c r="D2698" t="s">
        <v>1146</v>
      </c>
      <c r="E2698" t="s">
        <v>1461</v>
      </c>
      <c r="F2698"/>
      <c r="H2698" s="1">
        <v>600</v>
      </c>
      <c r="I2698"/>
      <c r="J2698" t="s">
        <v>6137</v>
      </c>
      <c r="K2698" s="170">
        <v>45991</v>
      </c>
      <c r="L2698" s="1">
        <v>0</v>
      </c>
      <c r="M2698" s="1">
        <v>46045</v>
      </c>
    </row>
    <row r="2699" spans="1:14" ht="14.4" hidden="1">
      <c r="A2699" t="s">
        <v>224</v>
      </c>
      <c r="B2699" s="1">
        <v>13</v>
      </c>
      <c r="C2699" s="258" t="s">
        <v>6139</v>
      </c>
      <c r="D2699" t="s">
        <v>1157</v>
      </c>
      <c r="E2699" t="s">
        <v>3079</v>
      </c>
      <c r="F2699">
        <v>3</v>
      </c>
      <c r="G2699">
        <v>68870.349999999991</v>
      </c>
      <c r="H2699" s="1">
        <v>206611.05</v>
      </c>
      <c r="I2699" t="s">
        <v>6130</v>
      </c>
      <c r="J2699" t="s">
        <v>6131</v>
      </c>
      <c r="K2699" s="170">
        <v>45838</v>
      </c>
      <c r="L2699" s="1">
        <v>238636.36363636365</v>
      </c>
      <c r="M2699" s="1">
        <v>45867</v>
      </c>
      <c r="N2699" s="1">
        <v>206611.05</v>
      </c>
    </row>
    <row r="2700" spans="1:14" ht="14.4" hidden="1">
      <c r="A2700" t="s">
        <v>224</v>
      </c>
      <c r="B2700" s="1">
        <v>21</v>
      </c>
      <c r="C2700" s="258" t="s">
        <v>6140</v>
      </c>
      <c r="D2700" t="s">
        <v>1160</v>
      </c>
      <c r="E2700" t="s">
        <v>1161</v>
      </c>
      <c r="F2700"/>
      <c r="H2700" s="1">
        <v>66124.800000000003</v>
      </c>
      <c r="I2700" t="s">
        <v>6141</v>
      </c>
      <c r="J2700" t="s">
        <v>6142</v>
      </c>
      <c r="K2700" s="170">
        <v>45838</v>
      </c>
      <c r="L2700" s="1">
        <v>341912.69318181818</v>
      </c>
      <c r="M2700" s="1">
        <v>45867</v>
      </c>
      <c r="N2700" s="1">
        <v>67376.800000000003</v>
      </c>
    </row>
    <row r="2701" spans="1:14" ht="14.4" hidden="1">
      <c r="A2701" t="s">
        <v>224</v>
      </c>
      <c r="B2701" s="1">
        <v>22</v>
      </c>
      <c r="C2701" s="258" t="s">
        <v>6143</v>
      </c>
      <c r="D2701" t="s">
        <v>1160</v>
      </c>
      <c r="E2701" t="s">
        <v>6144</v>
      </c>
      <c r="F2701"/>
      <c r="H2701" s="1">
        <v>1252</v>
      </c>
      <c r="I2701" t="s">
        <v>6145</v>
      </c>
      <c r="J2701" t="s">
        <v>6146</v>
      </c>
      <c r="K2701" s="170">
        <v>46081</v>
      </c>
      <c r="L2701" s="1">
        <v>0</v>
      </c>
      <c r="M2701" s="1">
        <v>46111</v>
      </c>
    </row>
    <row r="2702" spans="1:14" ht="14.4" hidden="1">
      <c r="A2702" t="s">
        <v>224</v>
      </c>
      <c r="B2702" s="1">
        <v>28</v>
      </c>
      <c r="C2702" s="258" t="s">
        <v>6147</v>
      </c>
      <c r="D2702" t="s">
        <v>1165</v>
      </c>
      <c r="E2702" t="s">
        <v>6148</v>
      </c>
      <c r="F2702">
        <v>8000</v>
      </c>
      <c r="G2702">
        <v>13.4</v>
      </c>
      <c r="H2702" s="1">
        <v>107200</v>
      </c>
      <c r="I2702" t="s">
        <v>6130</v>
      </c>
      <c r="J2702" t="s">
        <v>6149</v>
      </c>
      <c r="K2702" s="170">
        <v>45838</v>
      </c>
      <c r="L2702" s="1">
        <v>126768.58884351132</v>
      </c>
      <c r="M2702" s="1">
        <v>45867</v>
      </c>
      <c r="N2702" s="1">
        <v>380751.14085279469</v>
      </c>
    </row>
    <row r="2703" spans="1:14" ht="14.4" hidden="1">
      <c r="A2703" t="s">
        <v>224</v>
      </c>
      <c r="B2703" s="1">
        <v>30</v>
      </c>
      <c r="C2703" s="258" t="s">
        <v>6150</v>
      </c>
      <c r="D2703" t="s">
        <v>1165</v>
      </c>
      <c r="E2703" t="s">
        <v>6151</v>
      </c>
      <c r="F2703">
        <v>6000</v>
      </c>
      <c r="G2703">
        <v>14</v>
      </c>
      <c r="H2703" s="1">
        <v>84000</v>
      </c>
      <c r="I2703" t="s">
        <v>6152</v>
      </c>
      <c r="J2703" t="s">
        <v>6153</v>
      </c>
      <c r="K2703" s="170">
        <v>46053</v>
      </c>
      <c r="L2703" s="1">
        <v>0</v>
      </c>
      <c r="M2703" s="1">
        <v>46079</v>
      </c>
    </row>
    <row r="2704" spans="1:14" ht="14.4" hidden="1">
      <c r="A2704" t="s">
        <v>224</v>
      </c>
      <c r="B2704" s="1">
        <v>31</v>
      </c>
      <c r="C2704" s="258" t="s">
        <v>6154</v>
      </c>
      <c r="D2704" t="s">
        <v>1165</v>
      </c>
      <c r="E2704" t="s">
        <v>6155</v>
      </c>
      <c r="F2704">
        <v>1</v>
      </c>
      <c r="H2704" s="1">
        <v>4500</v>
      </c>
      <c r="I2704"/>
      <c r="J2704" t="s">
        <v>6153</v>
      </c>
      <c r="K2704" s="170">
        <v>46053</v>
      </c>
      <c r="L2704" s="1">
        <v>0</v>
      </c>
      <c r="M2704" s="1">
        <v>46079</v>
      </c>
    </row>
    <row r="2705" spans="1:14" ht="14.4" hidden="1">
      <c r="A2705" t="s">
        <v>224</v>
      </c>
      <c r="B2705" s="1">
        <v>32</v>
      </c>
      <c r="C2705" s="258" t="s">
        <v>6156</v>
      </c>
      <c r="D2705" t="s">
        <v>1165</v>
      </c>
      <c r="E2705" t="s">
        <v>1169</v>
      </c>
      <c r="F2705">
        <v>185051.28917090109</v>
      </c>
      <c r="G2705">
        <v>0.1</v>
      </c>
      <c r="H2705" s="1">
        <v>18505.128917090111</v>
      </c>
      <c r="I2705" t="s">
        <v>6157</v>
      </c>
      <c r="J2705" t="s">
        <v>6158</v>
      </c>
      <c r="K2705" s="170">
        <v>45808</v>
      </c>
      <c r="L2705" s="1">
        <v>21883.107045730841</v>
      </c>
      <c r="M2705" s="1">
        <v>45792</v>
      </c>
    </row>
    <row r="2706" spans="1:14" ht="14.4" hidden="1">
      <c r="A2706" t="s">
        <v>224</v>
      </c>
      <c r="B2706" s="1">
        <v>33</v>
      </c>
      <c r="C2706" s="258" t="s">
        <v>6159</v>
      </c>
      <c r="D2706" t="s">
        <v>1165</v>
      </c>
      <c r="E2706" t="s">
        <v>558</v>
      </c>
      <c r="F2706"/>
      <c r="G2706">
        <v>0.15</v>
      </c>
      <c r="H2706" s="1">
        <v>27757.693375635161</v>
      </c>
      <c r="I2706"/>
      <c r="J2706" t="s">
        <v>6158</v>
      </c>
      <c r="K2706" s="170">
        <v>45808</v>
      </c>
      <c r="L2706" s="1">
        <v>32824.66056859625</v>
      </c>
      <c r="M2706" s="1">
        <v>45792</v>
      </c>
    </row>
    <row r="2707" spans="1:14" ht="14.4" hidden="1">
      <c r="A2707" t="s">
        <v>224</v>
      </c>
      <c r="B2707" s="1">
        <v>34</v>
      </c>
      <c r="C2707" s="258" t="s">
        <v>6160</v>
      </c>
      <c r="D2707" t="s">
        <v>1165</v>
      </c>
      <c r="E2707" t="s">
        <v>1175</v>
      </c>
      <c r="F2707"/>
      <c r="G2707">
        <v>0.2</v>
      </c>
      <c r="H2707" s="1">
        <v>37010.257834180222</v>
      </c>
      <c r="I2707"/>
      <c r="J2707" t="s">
        <v>6161</v>
      </c>
      <c r="K2707" s="170">
        <v>45869</v>
      </c>
      <c r="L2707" s="1">
        <v>43766.214163932244</v>
      </c>
      <c r="M2707" s="1">
        <v>46037</v>
      </c>
    </row>
    <row r="2708" spans="1:14" ht="14.4" hidden="1">
      <c r="A2708" t="s">
        <v>224</v>
      </c>
      <c r="B2708" s="1">
        <v>35</v>
      </c>
      <c r="C2708" s="258" t="s">
        <v>6162</v>
      </c>
      <c r="D2708" t="s">
        <v>1165</v>
      </c>
      <c r="E2708" t="s">
        <v>1178</v>
      </c>
      <c r="F2708"/>
      <c r="G2708">
        <v>0.14000000000000001</v>
      </c>
      <c r="H2708" s="1">
        <v>25907.18</v>
      </c>
      <c r="I2708"/>
      <c r="J2708" t="s">
        <v>6163</v>
      </c>
      <c r="K2708" s="170">
        <v>45869</v>
      </c>
      <c r="L2708" s="1">
        <v>30636.349342489171</v>
      </c>
      <c r="M2708" s="1">
        <v>45848</v>
      </c>
    </row>
    <row r="2709" spans="1:14" ht="14.4" hidden="1">
      <c r="A2709" t="s">
        <v>224</v>
      </c>
      <c r="B2709" s="1">
        <v>36</v>
      </c>
      <c r="C2709" s="258" t="s">
        <v>6164</v>
      </c>
      <c r="D2709" t="s">
        <v>1165</v>
      </c>
      <c r="E2709" t="s">
        <v>1178</v>
      </c>
      <c r="F2709"/>
      <c r="G2709">
        <v>0.11</v>
      </c>
      <c r="H2709" s="1">
        <v>20355.641808799119</v>
      </c>
      <c r="I2709"/>
      <c r="J2709" t="s">
        <v>6165</v>
      </c>
      <c r="K2709" s="170">
        <v>45900</v>
      </c>
      <c r="L2709" s="1">
        <v>24071.559966602163</v>
      </c>
      <c r="M2709" s="1">
        <v>45911</v>
      </c>
    </row>
    <row r="2710" spans="1:14" ht="14.4" hidden="1">
      <c r="A2710" t="s">
        <v>224</v>
      </c>
      <c r="B2710" s="1">
        <v>37</v>
      </c>
      <c r="C2710" s="258" t="s">
        <v>6166</v>
      </c>
      <c r="D2710" t="s">
        <v>1165</v>
      </c>
      <c r="E2710" t="s">
        <v>1181</v>
      </c>
      <c r="F2710"/>
      <c r="G2710">
        <v>0.1</v>
      </c>
      <c r="H2710" s="1">
        <v>18505.128917090111</v>
      </c>
      <c r="I2710"/>
      <c r="J2710" t="s">
        <v>6167</v>
      </c>
      <c r="K2710" s="170">
        <v>45900</v>
      </c>
      <c r="L2710" s="1">
        <v>21883.118151456511</v>
      </c>
      <c r="M2710" s="1">
        <v>46070</v>
      </c>
    </row>
    <row r="2711" spans="1:14" ht="14.4" hidden="1">
      <c r="A2711" t="s">
        <v>224</v>
      </c>
      <c r="B2711" s="1">
        <v>38</v>
      </c>
      <c r="C2711" s="258" t="s">
        <v>6168</v>
      </c>
      <c r="D2711" t="s">
        <v>1165</v>
      </c>
      <c r="E2711" t="s">
        <v>1184</v>
      </c>
      <c r="F2711"/>
      <c r="G2711">
        <v>0.1</v>
      </c>
      <c r="H2711" s="1">
        <v>18505.11</v>
      </c>
      <c r="I2711"/>
      <c r="J2711" t="s">
        <v>6169</v>
      </c>
      <c r="K2711" s="170">
        <v>45900</v>
      </c>
      <c r="L2711" s="1">
        <v>21883.095781176376</v>
      </c>
      <c r="M2711" s="1">
        <v>46077</v>
      </c>
    </row>
    <row r="2712" spans="1:14" ht="14.4" hidden="1">
      <c r="A2712" t="s">
        <v>224</v>
      </c>
      <c r="B2712" s="1">
        <v>39</v>
      </c>
      <c r="C2712" s="258" t="s">
        <v>6170</v>
      </c>
      <c r="D2712" t="s">
        <v>1165</v>
      </c>
      <c r="E2712" t="s">
        <v>1187</v>
      </c>
      <c r="F2712"/>
      <c r="G2712">
        <v>0.05</v>
      </c>
      <c r="H2712" s="1">
        <v>9252.5</v>
      </c>
      <c r="I2712"/>
      <c r="J2712" t="s">
        <v>6171</v>
      </c>
      <c r="K2712" s="170">
        <v>45900</v>
      </c>
      <c r="L2712" s="1">
        <v>10941.482850700935</v>
      </c>
      <c r="M2712" s="1">
        <v>46077</v>
      </c>
    </row>
    <row r="2713" spans="1:14" ht="14.4" hidden="1">
      <c r="A2713" t="s">
        <v>224</v>
      </c>
      <c r="B2713" s="1">
        <v>40</v>
      </c>
      <c r="C2713" s="258" t="s">
        <v>6172</v>
      </c>
      <c r="D2713" t="s">
        <v>1165</v>
      </c>
      <c r="E2713" t="s">
        <v>1190</v>
      </c>
      <c r="F2713"/>
      <c r="G2713">
        <v>0.05</v>
      </c>
      <c r="H2713" s="1">
        <v>9252.5</v>
      </c>
      <c r="I2713"/>
      <c r="J2713" t="s">
        <v>6173</v>
      </c>
      <c r="K2713" s="170">
        <v>45900</v>
      </c>
      <c r="L2713" s="1">
        <v>10941.482850700935</v>
      </c>
      <c r="M2713" s="1">
        <v>46100</v>
      </c>
    </row>
    <row r="2714" spans="1:14" ht="14.4" hidden="1">
      <c r="A2714" t="s">
        <v>224</v>
      </c>
      <c r="B2714" s="1">
        <v>45</v>
      </c>
      <c r="C2714" s="258" t="s">
        <v>6174</v>
      </c>
      <c r="D2714" t="s">
        <v>1193</v>
      </c>
      <c r="E2714" t="s">
        <v>2755</v>
      </c>
      <c r="F2714"/>
      <c r="H2714" s="1">
        <v>8598.35</v>
      </c>
      <c r="I2714" t="s">
        <v>6130</v>
      </c>
      <c r="J2714" t="s">
        <v>6175</v>
      </c>
      <c r="K2714" s="170">
        <v>45808</v>
      </c>
      <c r="L2714" s="1">
        <v>12277.093379226768</v>
      </c>
      <c r="M2714" s="1">
        <v>45855</v>
      </c>
      <c r="N2714" s="1">
        <v>43124.63</v>
      </c>
    </row>
    <row r="2715" spans="1:14" ht="14.4" hidden="1">
      <c r="A2715" t="s">
        <v>224</v>
      </c>
      <c r="B2715" s="1">
        <v>46</v>
      </c>
      <c r="C2715" s="258" t="s">
        <v>6176</v>
      </c>
      <c r="D2715" t="s">
        <v>1193</v>
      </c>
      <c r="E2715" t="s">
        <v>1196</v>
      </c>
      <c r="F2715"/>
      <c r="H2715" s="1">
        <v>13695</v>
      </c>
      <c r="I2715" t="s">
        <v>6177</v>
      </c>
      <c r="J2715" t="s">
        <v>6178</v>
      </c>
      <c r="K2715" s="170">
        <v>45777</v>
      </c>
      <c r="L2715" s="1">
        <v>19114.237373104399</v>
      </c>
      <c r="M2715" s="1">
        <v>45806</v>
      </c>
    </row>
    <row r="2716" spans="1:14" ht="14.4" hidden="1">
      <c r="A2716" t="s">
        <v>224</v>
      </c>
      <c r="B2716" s="1">
        <v>47</v>
      </c>
      <c r="C2716" s="258" t="s">
        <v>6179</v>
      </c>
      <c r="D2716" t="s">
        <v>1193</v>
      </c>
      <c r="F2716"/>
      <c r="H2716" s="1">
        <v>214.28</v>
      </c>
      <c r="I2716"/>
      <c r="J2716" t="s">
        <v>3286</v>
      </c>
      <c r="K2716" s="170">
        <v>45838</v>
      </c>
      <c r="L2716" s="1">
        <v>332.10278694680039</v>
      </c>
      <c r="M2716" s="1">
        <v>45867</v>
      </c>
    </row>
    <row r="2717" spans="1:14" ht="14.4" hidden="1">
      <c r="A2717" t="s">
        <v>224</v>
      </c>
      <c r="B2717" s="1">
        <v>48</v>
      </c>
      <c r="C2717" s="258" t="s">
        <v>6180</v>
      </c>
      <c r="D2717" t="s">
        <v>1193</v>
      </c>
      <c r="E2717" t="s">
        <v>1200</v>
      </c>
      <c r="F2717"/>
      <c r="H2717" s="1">
        <v>11169</v>
      </c>
      <c r="I2717"/>
      <c r="J2717" t="s">
        <v>2969</v>
      </c>
      <c r="K2717" s="170">
        <v>45838</v>
      </c>
      <c r="L2717" s="1">
        <v>20789.453069856329</v>
      </c>
      <c r="M2717" s="1">
        <v>45838</v>
      </c>
    </row>
    <row r="2718" spans="1:14" ht="14.4" hidden="1">
      <c r="A2718" t="s">
        <v>224</v>
      </c>
      <c r="B2718" s="1">
        <v>49</v>
      </c>
      <c r="C2718" s="258" t="s">
        <v>6181</v>
      </c>
      <c r="D2718" t="s">
        <v>1193</v>
      </c>
      <c r="E2718" t="s">
        <v>2768</v>
      </c>
      <c r="F2718"/>
      <c r="H2718" s="1">
        <v>2250.5</v>
      </c>
      <c r="I2718" t="s">
        <v>2971</v>
      </c>
      <c r="J2718" t="s">
        <v>2769</v>
      </c>
      <c r="K2718" s="170">
        <v>45808</v>
      </c>
      <c r="L2718" s="1">
        <v>3168.9360499339805</v>
      </c>
      <c r="M2718" s="1">
        <v>45799</v>
      </c>
    </row>
    <row r="2719" spans="1:14" ht="14.4" hidden="1">
      <c r="A2719" t="s">
        <v>224</v>
      </c>
      <c r="B2719" s="1">
        <v>50</v>
      </c>
      <c r="C2719" s="258" t="s">
        <v>6182</v>
      </c>
      <c r="D2719" t="s">
        <v>1193</v>
      </c>
      <c r="E2719" t="s">
        <v>6183</v>
      </c>
      <c r="F2719"/>
      <c r="H2719" s="1">
        <v>7197.5</v>
      </c>
      <c r="I2719" t="s">
        <v>6184</v>
      </c>
      <c r="J2719" t="s">
        <v>6185</v>
      </c>
      <c r="K2719" s="170">
        <v>46081</v>
      </c>
      <c r="L2719" s="1">
        <v>0</v>
      </c>
      <c r="M2719" s="1">
        <v>46111</v>
      </c>
    </row>
    <row r="2720" spans="1:14" ht="14.4" hidden="1">
      <c r="A2720" t="s">
        <v>224</v>
      </c>
      <c r="B2720" s="1">
        <v>55</v>
      </c>
      <c r="C2720" s="258" t="s">
        <v>6186</v>
      </c>
      <c r="D2720" t="s">
        <v>1211</v>
      </c>
      <c r="E2720" t="s">
        <v>1212</v>
      </c>
      <c r="F2720"/>
      <c r="H2720" s="1">
        <v>117330.71</v>
      </c>
      <c r="I2720" t="s">
        <v>6187</v>
      </c>
      <c r="J2720" t="s">
        <v>6188</v>
      </c>
      <c r="K2720" s="170">
        <v>45838</v>
      </c>
      <c r="L2720" s="1">
        <v>248633.70594693569</v>
      </c>
      <c r="M2720" s="1">
        <v>45867</v>
      </c>
    </row>
    <row r="2721" spans="1:14" ht="14.4" hidden="1">
      <c r="A2721" t="s">
        <v>224</v>
      </c>
      <c r="B2721" s="1">
        <v>60</v>
      </c>
      <c r="C2721" s="258" t="s">
        <v>6189</v>
      </c>
      <c r="D2721" t="s">
        <v>1211</v>
      </c>
      <c r="E2721" t="s">
        <v>1169</v>
      </c>
      <c r="F2721">
        <v>92394.534402792444</v>
      </c>
      <c r="G2721">
        <v>0.1</v>
      </c>
      <c r="H2721" s="1">
        <v>9239.4534402792451</v>
      </c>
      <c r="I2721" t="s">
        <v>6157</v>
      </c>
      <c r="J2721" t="s">
        <v>6158</v>
      </c>
      <c r="K2721" s="170">
        <v>45808</v>
      </c>
      <c r="L2721" s="1">
        <v>19912.532561219716</v>
      </c>
      <c r="M2721" s="1">
        <v>45792</v>
      </c>
    </row>
    <row r="2722" spans="1:14" ht="14.4" hidden="1">
      <c r="A2722" t="s">
        <v>224</v>
      </c>
      <c r="B2722" s="1">
        <v>61</v>
      </c>
      <c r="C2722" s="258" t="s">
        <v>6190</v>
      </c>
      <c r="D2722" t="s">
        <v>1211</v>
      </c>
      <c r="E2722" t="s">
        <v>558</v>
      </c>
      <c r="F2722"/>
      <c r="G2722">
        <v>0.15</v>
      </c>
      <c r="H2722" s="1">
        <v>13859.180160418866</v>
      </c>
      <c r="I2722"/>
      <c r="J2722" t="s">
        <v>6158</v>
      </c>
      <c r="K2722" s="170">
        <v>45808</v>
      </c>
      <c r="L2722" s="1">
        <v>29868.798841829572</v>
      </c>
      <c r="M2722" s="1">
        <v>45792</v>
      </c>
    </row>
    <row r="2723" spans="1:14" ht="14.4" hidden="1">
      <c r="A2723" t="s">
        <v>224</v>
      </c>
      <c r="B2723" s="1">
        <v>62</v>
      </c>
      <c r="C2723" s="258" t="s">
        <v>6191</v>
      </c>
      <c r="D2723" t="s">
        <v>1211</v>
      </c>
      <c r="E2723" t="s">
        <v>1175</v>
      </c>
      <c r="F2723"/>
      <c r="G2723">
        <v>0.2</v>
      </c>
      <c r="H2723" s="1">
        <v>18478.90688055849</v>
      </c>
      <c r="I2723"/>
      <c r="J2723" t="s">
        <v>6161</v>
      </c>
      <c r="K2723" s="170">
        <v>45869</v>
      </c>
      <c r="L2723" s="1">
        <v>39268.030368539163</v>
      </c>
      <c r="M2723" s="1">
        <v>46037</v>
      </c>
    </row>
    <row r="2724" spans="1:14" ht="14.4" hidden="1">
      <c r="A2724" t="s">
        <v>224</v>
      </c>
      <c r="B2724" s="1">
        <v>63</v>
      </c>
      <c r="C2724" s="258" t="s">
        <v>6192</v>
      </c>
      <c r="D2724" t="s">
        <v>1211</v>
      </c>
      <c r="E2724" t="s">
        <v>1178</v>
      </c>
      <c r="F2724"/>
      <c r="G2724">
        <v>0.14000000000000001</v>
      </c>
      <c r="H2724" s="1">
        <v>12935.23</v>
      </c>
      <c r="I2724"/>
      <c r="J2724" t="s">
        <v>6163</v>
      </c>
      <c r="K2724" s="170">
        <v>45869</v>
      </c>
      <c r="L2724" s="1">
        <v>27487.611023054589</v>
      </c>
      <c r="M2724" s="1">
        <v>45848</v>
      </c>
    </row>
    <row r="2725" spans="1:14" ht="14.4" hidden="1">
      <c r="A2725" t="s">
        <v>224</v>
      </c>
      <c r="B2725" s="1">
        <v>64</v>
      </c>
      <c r="C2725" s="258" t="s">
        <v>6193</v>
      </c>
      <c r="D2725" t="s">
        <v>1211</v>
      </c>
      <c r="E2725" t="s">
        <v>1178</v>
      </c>
      <c r="F2725"/>
      <c r="G2725">
        <v>0.11</v>
      </c>
      <c r="H2725" s="1">
        <v>10163.398784307168</v>
      </c>
      <c r="I2725"/>
      <c r="J2725" t="s">
        <v>6165</v>
      </c>
      <c r="K2725" s="170">
        <v>45900</v>
      </c>
      <c r="L2725" s="1">
        <v>21597.586003902303</v>
      </c>
      <c r="M2725" s="1">
        <v>45911</v>
      </c>
    </row>
    <row r="2726" spans="1:14" ht="14.4" hidden="1">
      <c r="A2726" t="s">
        <v>224</v>
      </c>
      <c r="B2726" s="1">
        <v>65</v>
      </c>
      <c r="C2726" s="258" t="s">
        <v>6194</v>
      </c>
      <c r="D2726" t="s">
        <v>1211</v>
      </c>
      <c r="E2726" t="s">
        <v>1181</v>
      </c>
      <c r="F2726"/>
      <c r="G2726">
        <v>0.1</v>
      </c>
      <c r="H2726" s="1">
        <v>9239.4599999999991</v>
      </c>
      <c r="I2726"/>
      <c r="J2726" t="s">
        <v>6167</v>
      </c>
      <c r="K2726" s="170">
        <v>45900</v>
      </c>
      <c r="L2726" s="1">
        <v>19634.037579449192</v>
      </c>
      <c r="M2726" s="1">
        <v>46070</v>
      </c>
    </row>
    <row r="2727" spans="1:14" ht="14.4" hidden="1">
      <c r="A2727" t="s">
        <v>224</v>
      </c>
      <c r="B2727" s="1">
        <v>66</v>
      </c>
      <c r="C2727" s="258" t="s">
        <v>6195</v>
      </c>
      <c r="D2727" t="s">
        <v>1211</v>
      </c>
      <c r="E2727" t="s">
        <v>1184</v>
      </c>
      <c r="F2727"/>
      <c r="G2727">
        <v>0.1</v>
      </c>
      <c r="H2727" s="1">
        <v>9239.41</v>
      </c>
      <c r="I2727"/>
      <c r="J2727" t="s">
        <v>6169</v>
      </c>
      <c r="K2727" s="170">
        <v>45900</v>
      </c>
      <c r="L2727" s="1">
        <v>19633.931328447623</v>
      </c>
      <c r="M2727" s="1">
        <v>46077</v>
      </c>
    </row>
    <row r="2728" spans="1:14" ht="14.4" hidden="1">
      <c r="A2728" t="s">
        <v>224</v>
      </c>
      <c r="B2728" s="1">
        <v>67</v>
      </c>
      <c r="C2728" s="258" t="s">
        <v>6196</v>
      </c>
      <c r="D2728" t="s">
        <v>1211</v>
      </c>
      <c r="E2728" t="s">
        <v>1187</v>
      </c>
      <c r="F2728"/>
      <c r="G2728">
        <v>0.05</v>
      </c>
      <c r="H2728" s="1">
        <v>4619.7</v>
      </c>
      <c r="I2728"/>
      <c r="J2728" t="s">
        <v>6171</v>
      </c>
      <c r="K2728" s="170">
        <v>45900</v>
      </c>
      <c r="L2728" s="1">
        <v>9816.9550391236535</v>
      </c>
      <c r="M2728" s="1">
        <v>46077</v>
      </c>
    </row>
    <row r="2729" spans="1:14" ht="14.4" hidden="1">
      <c r="A2729" t="s">
        <v>224</v>
      </c>
      <c r="B2729" s="1">
        <v>68</v>
      </c>
      <c r="C2729" s="258" t="s">
        <v>6197</v>
      </c>
      <c r="D2729" t="s">
        <v>1211</v>
      </c>
      <c r="E2729" t="s">
        <v>1190</v>
      </c>
      <c r="F2729"/>
      <c r="G2729">
        <v>0.05</v>
      </c>
      <c r="H2729" s="1">
        <v>4619.7</v>
      </c>
      <c r="I2729"/>
      <c r="J2729" t="s">
        <v>6173</v>
      </c>
      <c r="K2729" s="170">
        <v>45900</v>
      </c>
      <c r="L2729" s="1">
        <v>9816.9550391236535</v>
      </c>
      <c r="M2729" s="1">
        <v>46100</v>
      </c>
    </row>
    <row r="2730" spans="1:14" ht="14.4" hidden="1">
      <c r="A2730" t="s">
        <v>224</v>
      </c>
      <c r="B2730" s="1">
        <v>82</v>
      </c>
      <c r="C2730" s="258" t="s">
        <v>6198</v>
      </c>
      <c r="D2730" t="s">
        <v>1224</v>
      </c>
      <c r="E2730" t="s">
        <v>6199</v>
      </c>
      <c r="F2730"/>
      <c r="H2730" s="1">
        <v>245754.52</v>
      </c>
      <c r="I2730" t="s">
        <v>6200</v>
      </c>
      <c r="J2730" t="s">
        <v>6201</v>
      </c>
      <c r="K2730" s="170">
        <v>45991</v>
      </c>
      <c r="M2730" s="1">
        <v>46058</v>
      </c>
      <c r="N2730" s="1">
        <v>302099.08999999997</v>
      </c>
    </row>
    <row r="2731" spans="1:14" ht="14.4" hidden="1">
      <c r="A2731" t="s">
        <v>224</v>
      </c>
      <c r="B2731" s="1">
        <v>84</v>
      </c>
      <c r="C2731" s="258" t="s">
        <v>6202</v>
      </c>
      <c r="D2731" t="s">
        <v>1224</v>
      </c>
      <c r="E2731" t="s">
        <v>6203</v>
      </c>
      <c r="F2731"/>
      <c r="G2731">
        <v>18219.57</v>
      </c>
      <c r="H2731" s="1">
        <v>18219.57</v>
      </c>
      <c r="I2731"/>
      <c r="J2731" t="s">
        <v>6204</v>
      </c>
      <c r="K2731" s="170">
        <v>45838</v>
      </c>
      <c r="M2731" s="1">
        <v>45834</v>
      </c>
    </row>
    <row r="2732" spans="1:14" ht="14.4" hidden="1">
      <c r="A2732" t="s">
        <v>224</v>
      </c>
      <c r="B2732" s="1">
        <v>86</v>
      </c>
      <c r="C2732" s="258" t="s">
        <v>6205</v>
      </c>
      <c r="D2732" t="s">
        <v>1224</v>
      </c>
      <c r="E2732" t="s">
        <v>6206</v>
      </c>
      <c r="F2732"/>
      <c r="H2732" s="1">
        <v>17120</v>
      </c>
      <c r="I2732" t="s">
        <v>6207</v>
      </c>
      <c r="J2732" t="s">
        <v>6208</v>
      </c>
      <c r="K2732" s="170">
        <v>46053</v>
      </c>
      <c r="M2732" s="1">
        <v>46051</v>
      </c>
    </row>
    <row r="2733" spans="1:14" ht="14.4" hidden="1">
      <c r="A2733" t="s">
        <v>224</v>
      </c>
      <c r="B2733" s="1">
        <v>87</v>
      </c>
      <c r="C2733" s="258" t="s">
        <v>6209</v>
      </c>
      <c r="D2733" t="s">
        <v>1224</v>
      </c>
      <c r="E2733" t="s">
        <v>6210</v>
      </c>
      <c r="F2733"/>
      <c r="H2733" s="1">
        <v>4280</v>
      </c>
      <c r="I2733"/>
      <c r="J2733" t="s">
        <v>6208</v>
      </c>
      <c r="K2733" s="170">
        <v>46053</v>
      </c>
      <c r="M2733" s="1">
        <v>46065</v>
      </c>
    </row>
    <row r="2734" spans="1:14" ht="14.4" hidden="1">
      <c r="A2734" t="s">
        <v>224</v>
      </c>
      <c r="B2734" s="1">
        <v>89</v>
      </c>
      <c r="C2734" s="258" t="s">
        <v>6211</v>
      </c>
      <c r="D2734" t="s">
        <v>1224</v>
      </c>
      <c r="E2734" t="s">
        <v>6212</v>
      </c>
      <c r="F2734"/>
      <c r="H2734" s="1">
        <v>16725</v>
      </c>
      <c r="I2734" t="s">
        <v>6213</v>
      </c>
      <c r="J2734" t="s">
        <v>6214</v>
      </c>
      <c r="K2734" s="170">
        <v>46081</v>
      </c>
      <c r="M2734" s="1">
        <v>46081</v>
      </c>
    </row>
    <row r="2735" spans="1:14" ht="14.4" hidden="1">
      <c r="A2735" t="s">
        <v>224</v>
      </c>
      <c r="B2735" s="1">
        <v>93</v>
      </c>
      <c r="C2735" s="258" t="s">
        <v>6215</v>
      </c>
      <c r="D2735" t="s">
        <v>1246</v>
      </c>
      <c r="E2735" t="s">
        <v>1169</v>
      </c>
      <c r="F2735">
        <v>483120.24660138017</v>
      </c>
      <c r="G2735">
        <v>0.1</v>
      </c>
      <c r="H2735" s="1">
        <v>48312.024660138013</v>
      </c>
      <c r="I2735" t="s">
        <v>6157</v>
      </c>
      <c r="J2735" t="s">
        <v>6158</v>
      </c>
      <c r="K2735" s="170">
        <v>45808</v>
      </c>
      <c r="L2735" s="1">
        <v>33935.588235294119</v>
      </c>
      <c r="M2735" s="1">
        <v>45792</v>
      </c>
    </row>
    <row r="2736" spans="1:14" ht="14.4" hidden="1">
      <c r="A2736" t="s">
        <v>224</v>
      </c>
      <c r="B2736" s="1">
        <v>94</v>
      </c>
      <c r="C2736" s="258" t="s">
        <v>6216</v>
      </c>
      <c r="D2736" t="s">
        <v>1246</v>
      </c>
      <c r="E2736" t="s">
        <v>558</v>
      </c>
      <c r="F2736"/>
      <c r="G2736">
        <v>0.15</v>
      </c>
      <c r="H2736" s="1">
        <v>72468.036990207009</v>
      </c>
      <c r="I2736"/>
      <c r="J2736" t="s">
        <v>6158</v>
      </c>
      <c r="K2736" s="170">
        <v>45808</v>
      </c>
      <c r="L2736" s="1">
        <v>50903.382352941167</v>
      </c>
      <c r="M2736" s="1">
        <v>45792</v>
      </c>
    </row>
    <row r="2737" spans="1:13" ht="14.4" hidden="1">
      <c r="A2737" t="s">
        <v>224</v>
      </c>
      <c r="B2737" s="1">
        <v>95</v>
      </c>
      <c r="C2737" s="258" t="s">
        <v>6217</v>
      </c>
      <c r="D2737" t="s">
        <v>1246</v>
      </c>
      <c r="E2737" t="s">
        <v>1175</v>
      </c>
      <c r="F2737"/>
      <c r="G2737">
        <v>0.2</v>
      </c>
      <c r="H2737" s="1">
        <v>96624.049320276026</v>
      </c>
      <c r="I2737"/>
      <c r="J2737" t="s">
        <v>6161</v>
      </c>
      <c r="K2737" s="170">
        <v>45869</v>
      </c>
      <c r="L2737" s="1">
        <v>67871.177106169795</v>
      </c>
      <c r="M2737" s="1">
        <v>46037</v>
      </c>
    </row>
    <row r="2738" spans="1:13" ht="14.4" hidden="1">
      <c r="A2738" t="s">
        <v>224</v>
      </c>
      <c r="B2738" s="1">
        <v>96</v>
      </c>
      <c r="C2738" s="258" t="s">
        <v>6218</v>
      </c>
      <c r="D2738" t="s">
        <v>1246</v>
      </c>
      <c r="E2738" t="s">
        <v>1178</v>
      </c>
      <c r="F2738"/>
      <c r="G2738">
        <v>0.14000000000000001</v>
      </c>
      <c r="H2738" s="1">
        <v>67636.83</v>
      </c>
      <c r="I2738"/>
      <c r="J2738" t="s">
        <v>6163</v>
      </c>
      <c r="K2738" s="170">
        <v>45869</v>
      </c>
      <c r="L2738" s="1">
        <v>47509.820796411062</v>
      </c>
      <c r="M2738" s="1">
        <v>45848</v>
      </c>
    </row>
    <row r="2739" spans="1:13" ht="14.4" hidden="1">
      <c r="A2739" t="s">
        <v>224</v>
      </c>
      <c r="B2739" s="1">
        <v>97</v>
      </c>
      <c r="C2739" s="258" t="s">
        <v>6219</v>
      </c>
      <c r="D2739" t="s">
        <v>1246</v>
      </c>
      <c r="E2739" t="s">
        <v>1178</v>
      </c>
      <c r="F2739"/>
      <c r="G2739">
        <v>0.11</v>
      </c>
      <c r="H2739" s="1">
        <v>53143.227126151811</v>
      </c>
      <c r="I2739"/>
      <c r="J2739" t="s">
        <v>6165</v>
      </c>
      <c r="K2739" s="170">
        <v>45900</v>
      </c>
      <c r="L2739" s="1">
        <v>37329.147408393386</v>
      </c>
      <c r="M2739" s="1">
        <v>45911</v>
      </c>
    </row>
    <row r="2740" spans="1:13" ht="14.4" hidden="1">
      <c r="A2740" t="s">
        <v>224</v>
      </c>
      <c r="B2740" s="1">
        <v>98</v>
      </c>
      <c r="C2740" s="258" t="s">
        <v>6220</v>
      </c>
      <c r="D2740" t="s">
        <v>1246</v>
      </c>
      <c r="E2740" t="s">
        <v>1181</v>
      </c>
      <c r="F2740"/>
      <c r="G2740">
        <v>0.1</v>
      </c>
      <c r="H2740" s="1">
        <v>48312.024660138013</v>
      </c>
      <c r="I2740"/>
      <c r="J2740"/>
      <c r="K2740" s="170">
        <v>46081</v>
      </c>
      <c r="L2740" s="1">
        <v>33935.588553084897</v>
      </c>
      <c r="M2740" s="1">
        <v>46070</v>
      </c>
    </row>
    <row r="2741" spans="1:13" ht="14.4" hidden="1">
      <c r="A2741" t="s">
        <v>224</v>
      </c>
      <c r="B2741" s="1">
        <v>99</v>
      </c>
      <c r="C2741" s="258" t="s">
        <v>6221</v>
      </c>
      <c r="D2741" t="s">
        <v>1246</v>
      </c>
      <c r="E2741" t="s">
        <v>1184</v>
      </c>
      <c r="F2741"/>
      <c r="G2741">
        <v>0.1</v>
      </c>
      <c r="H2741" s="1">
        <v>48312.024660138013</v>
      </c>
      <c r="I2741"/>
      <c r="J2741"/>
      <c r="K2741" s="170">
        <v>46081</v>
      </c>
      <c r="L2741" s="1">
        <v>33935.588553084897</v>
      </c>
      <c r="M2741" s="1">
        <v>46077</v>
      </c>
    </row>
    <row r="2742" spans="1:13" ht="14.4" hidden="1">
      <c r="A2742" t="s">
        <v>224</v>
      </c>
      <c r="B2742" s="1">
        <v>100</v>
      </c>
      <c r="C2742" s="258" t="s">
        <v>6222</v>
      </c>
      <c r="D2742" t="s">
        <v>1246</v>
      </c>
      <c r="E2742" t="s">
        <v>1187</v>
      </c>
      <c r="F2742"/>
      <c r="G2742">
        <v>0.05</v>
      </c>
      <c r="H2742" s="1">
        <v>24156.012330069007</v>
      </c>
      <c r="I2742"/>
      <c r="J2742"/>
      <c r="K2742" s="170">
        <v>46081</v>
      </c>
      <c r="L2742" s="1">
        <v>16967.794276542449</v>
      </c>
      <c r="M2742" s="1">
        <v>46077</v>
      </c>
    </row>
    <row r="2743" spans="1:13" ht="14.4" hidden="1">
      <c r="A2743" t="s">
        <v>224</v>
      </c>
      <c r="B2743" s="1">
        <v>101</v>
      </c>
      <c r="C2743" s="258" t="s">
        <v>6223</v>
      </c>
      <c r="D2743" t="s">
        <v>1246</v>
      </c>
      <c r="E2743" t="s">
        <v>1190</v>
      </c>
      <c r="F2743"/>
      <c r="G2743">
        <v>0.05</v>
      </c>
      <c r="H2743" s="1">
        <v>24156.012330069007</v>
      </c>
      <c r="I2743"/>
      <c r="J2743"/>
      <c r="K2743" s="170">
        <v>46112</v>
      </c>
      <c r="L2743" s="1">
        <v>16967.794276542449</v>
      </c>
      <c r="M2743" s="1">
        <v>46100</v>
      </c>
    </row>
    <row r="2744" spans="1:13" ht="14.4" hidden="1">
      <c r="A2744" t="s">
        <v>224</v>
      </c>
      <c r="B2744" s="1">
        <v>108</v>
      </c>
      <c r="C2744" s="258" t="s">
        <v>6224</v>
      </c>
      <c r="D2744" t="s">
        <v>1255</v>
      </c>
      <c r="E2744" t="s">
        <v>6225</v>
      </c>
      <c r="F2744"/>
      <c r="H2744" s="1">
        <v>4600</v>
      </c>
      <c r="I2744"/>
      <c r="J2744" t="s">
        <v>6226</v>
      </c>
      <c r="K2744" s="170">
        <v>45838</v>
      </c>
      <c r="L2744" s="1">
        <v>4257.6438555352797</v>
      </c>
      <c r="M2744" s="1">
        <v>45849</v>
      </c>
    </row>
    <row r="2745" spans="1:13" ht="14.4" hidden="1">
      <c r="A2745" t="s">
        <v>224</v>
      </c>
      <c r="B2745" s="1">
        <v>114</v>
      </c>
      <c r="C2745" s="258" t="s">
        <v>6227</v>
      </c>
      <c r="D2745" t="s">
        <v>1255</v>
      </c>
      <c r="E2745" t="s">
        <v>1169</v>
      </c>
      <c r="F2745">
        <v>49733.929824926352</v>
      </c>
      <c r="G2745">
        <v>0.1</v>
      </c>
      <c r="H2745" s="1">
        <v>4973.3929824926354</v>
      </c>
      <c r="I2745" t="s">
        <v>6157</v>
      </c>
      <c r="J2745" t="s">
        <v>6158</v>
      </c>
      <c r="K2745" s="170">
        <v>45808</v>
      </c>
      <c r="L2745" s="1">
        <v>2617.0823062792065</v>
      </c>
      <c r="M2745" s="1">
        <v>45792</v>
      </c>
    </row>
    <row r="2746" spans="1:13" ht="14.4" hidden="1">
      <c r="A2746" t="s">
        <v>224</v>
      </c>
      <c r="B2746" s="1">
        <v>115</v>
      </c>
      <c r="C2746" s="258" t="s">
        <v>6228</v>
      </c>
      <c r="D2746" t="s">
        <v>1255</v>
      </c>
      <c r="E2746" t="s">
        <v>558</v>
      </c>
      <c r="F2746"/>
      <c r="G2746">
        <v>0.15</v>
      </c>
      <c r="H2746" s="1">
        <v>7460.0894737389517</v>
      </c>
      <c r="I2746"/>
      <c r="J2746" t="s">
        <v>6158</v>
      </c>
      <c r="K2746" s="170">
        <v>45808</v>
      </c>
      <c r="L2746" s="1">
        <v>3925.6234594188095</v>
      </c>
      <c r="M2746" s="1">
        <v>45792</v>
      </c>
    </row>
    <row r="2747" spans="1:13" ht="14.4" hidden="1">
      <c r="A2747" t="s">
        <v>224</v>
      </c>
      <c r="B2747" s="1">
        <v>116</v>
      </c>
      <c r="C2747" s="258" t="s">
        <v>6229</v>
      </c>
      <c r="D2747" t="s">
        <v>1255</v>
      </c>
      <c r="E2747" t="s">
        <v>1175</v>
      </c>
      <c r="F2747"/>
      <c r="G2747">
        <v>0.2</v>
      </c>
      <c r="H2747" s="1">
        <v>9946.7859649852708</v>
      </c>
      <c r="I2747"/>
      <c r="J2747" t="s">
        <v>6161</v>
      </c>
      <c r="K2747" s="170">
        <v>45869</v>
      </c>
      <c r="L2747" s="1">
        <v>6306.9193525095388</v>
      </c>
      <c r="M2747" s="1">
        <v>46037</v>
      </c>
    </row>
    <row r="2748" spans="1:13" ht="14.4" hidden="1">
      <c r="A2748" t="s">
        <v>224</v>
      </c>
      <c r="B2748" s="1">
        <v>117</v>
      </c>
      <c r="C2748" s="258" t="s">
        <v>6230</v>
      </c>
      <c r="D2748" t="s">
        <v>1255</v>
      </c>
      <c r="E2748" t="s">
        <v>1178</v>
      </c>
      <c r="F2748"/>
      <c r="G2748">
        <v>0.14000000000000001</v>
      </c>
      <c r="H2748" s="1">
        <v>6962.75</v>
      </c>
      <c r="I2748"/>
      <c r="J2748" t="s">
        <v>6163</v>
      </c>
      <c r="K2748" s="170">
        <v>45869</v>
      </c>
      <c r="L2748" s="1">
        <v>4414.8434354846222</v>
      </c>
      <c r="M2748" s="1">
        <v>45848</v>
      </c>
    </row>
    <row r="2749" spans="1:13" ht="14.4" hidden="1">
      <c r="A2749" t="s">
        <v>224</v>
      </c>
      <c r="B2749" s="1">
        <v>118</v>
      </c>
      <c r="C2749" s="258" t="s">
        <v>6231</v>
      </c>
      <c r="D2749" t="s">
        <v>1255</v>
      </c>
      <c r="E2749" t="s">
        <v>1178</v>
      </c>
      <c r="F2749"/>
      <c r="G2749">
        <v>0.11</v>
      </c>
      <c r="H2749" s="1">
        <v>5470.7322807418986</v>
      </c>
      <c r="I2749"/>
      <c r="J2749" t="s">
        <v>6165</v>
      </c>
      <c r="K2749" s="170">
        <v>45900</v>
      </c>
      <c r="L2749" s="1">
        <v>6873.7404798262696</v>
      </c>
      <c r="M2749" s="1">
        <v>45911</v>
      </c>
    </row>
    <row r="2750" spans="1:13" ht="14.4" hidden="1">
      <c r="A2750" t="s">
        <v>224</v>
      </c>
      <c r="B2750" s="1">
        <v>119</v>
      </c>
      <c r="C2750" s="258" t="s">
        <v>6232</v>
      </c>
      <c r="D2750" t="s">
        <v>1255</v>
      </c>
      <c r="E2750" t="s">
        <v>1181</v>
      </c>
      <c r="F2750"/>
      <c r="G2750">
        <v>0.1</v>
      </c>
      <c r="H2750" s="1">
        <v>4973.41</v>
      </c>
      <c r="I2750"/>
      <c r="J2750" t="s">
        <v>6167</v>
      </c>
      <c r="K2750" s="170">
        <v>45900</v>
      </c>
      <c r="L2750" s="1">
        <v>6248.8763634283951</v>
      </c>
      <c r="M2750" s="1">
        <v>46070</v>
      </c>
    </row>
    <row r="2751" spans="1:13" ht="14.4" hidden="1">
      <c r="A2751" t="s">
        <v>224</v>
      </c>
      <c r="B2751" s="1">
        <v>120</v>
      </c>
      <c r="C2751" s="258" t="s">
        <v>6233</v>
      </c>
      <c r="D2751" t="s">
        <v>1255</v>
      </c>
      <c r="E2751" t="s">
        <v>1184</v>
      </c>
      <c r="F2751"/>
      <c r="G2751">
        <v>0.1</v>
      </c>
      <c r="H2751" s="1">
        <v>4973.3</v>
      </c>
      <c r="I2751"/>
      <c r="J2751" t="s">
        <v>6169</v>
      </c>
      <c r="K2751" s="170">
        <v>45900</v>
      </c>
      <c r="L2751" s="1">
        <v>6248.7381531461197</v>
      </c>
      <c r="M2751" s="1">
        <v>46077</v>
      </c>
    </row>
    <row r="2752" spans="1:13" ht="14.4" hidden="1">
      <c r="A2752" t="s">
        <v>224</v>
      </c>
      <c r="B2752" s="1">
        <v>121</v>
      </c>
      <c r="C2752" s="258" t="s">
        <v>6234</v>
      </c>
      <c r="D2752" t="s">
        <v>1255</v>
      </c>
      <c r="E2752" t="s">
        <v>1187</v>
      </c>
      <c r="F2752"/>
      <c r="G2752">
        <v>0.05</v>
      </c>
      <c r="H2752" s="1">
        <v>2486.6964912463177</v>
      </c>
      <c r="I2752"/>
      <c r="J2752" t="s">
        <v>6171</v>
      </c>
      <c r="K2752" s="170">
        <v>45900</v>
      </c>
      <c r="L2752" s="1">
        <v>3124.4274908301227</v>
      </c>
      <c r="M2752" s="1">
        <v>46077</v>
      </c>
    </row>
    <row r="2753" spans="1:14" ht="14.4" hidden="1">
      <c r="A2753" t="s">
        <v>224</v>
      </c>
      <c r="B2753" s="1">
        <v>122</v>
      </c>
      <c r="C2753" s="258" t="s">
        <v>6235</v>
      </c>
      <c r="D2753" t="s">
        <v>1255</v>
      </c>
      <c r="E2753" t="s">
        <v>1190</v>
      </c>
      <c r="F2753"/>
      <c r="G2753">
        <v>0.05</v>
      </c>
      <c r="H2753" s="1">
        <v>2486.6964912463177</v>
      </c>
      <c r="I2753"/>
      <c r="J2753" t="s">
        <v>6173</v>
      </c>
      <c r="K2753" s="170">
        <v>45900</v>
      </c>
      <c r="L2753" s="1">
        <v>3124.4274908301227</v>
      </c>
      <c r="M2753" s="1">
        <v>46100</v>
      </c>
    </row>
    <row r="2754" spans="1:14" ht="14.4" hidden="1">
      <c r="A2754" t="s">
        <v>224</v>
      </c>
      <c r="B2754" s="1">
        <v>127</v>
      </c>
      <c r="C2754" s="258" t="s">
        <v>6236</v>
      </c>
      <c r="D2754" t="s">
        <v>1264</v>
      </c>
      <c r="E2754" t="s">
        <v>1265</v>
      </c>
      <c r="F2754"/>
      <c r="H2754" s="1">
        <v>10160.799999999999</v>
      </c>
      <c r="I2754"/>
      <c r="J2754" t="s">
        <v>3345</v>
      </c>
      <c r="K2754" s="170">
        <v>45869</v>
      </c>
      <c r="L2754" s="1">
        <v>48966.662532817616</v>
      </c>
      <c r="M2754" s="1">
        <v>46077</v>
      </c>
      <c r="N2754" s="1">
        <v>29473.040000000001</v>
      </c>
    </row>
    <row r="2755" spans="1:14" ht="14.4" hidden="1">
      <c r="A2755" t="s">
        <v>224</v>
      </c>
      <c r="B2755" s="1">
        <v>128</v>
      </c>
      <c r="C2755" s="258" t="s">
        <v>6237</v>
      </c>
      <c r="D2755" t="s">
        <v>1264</v>
      </c>
      <c r="E2755" t="s">
        <v>1268</v>
      </c>
      <c r="F2755"/>
      <c r="H2755" s="1">
        <v>8212.24</v>
      </c>
      <c r="I2755" t="s">
        <v>5847</v>
      </c>
      <c r="J2755" t="s">
        <v>3045</v>
      </c>
      <c r="K2755" s="170">
        <v>45777</v>
      </c>
      <c r="L2755" s="1">
        <v>37133.627521617753</v>
      </c>
      <c r="M2755" s="1">
        <v>45757</v>
      </c>
    </row>
    <row r="2756" spans="1:14" ht="14.4" hidden="1">
      <c r="A2756" t="s">
        <v>224</v>
      </c>
      <c r="B2756" s="1">
        <v>129</v>
      </c>
      <c r="C2756" s="258" t="s">
        <v>6238</v>
      </c>
      <c r="D2756" t="s">
        <v>1264</v>
      </c>
      <c r="E2756" t="s">
        <v>1271</v>
      </c>
      <c r="F2756"/>
      <c r="H2756" s="1">
        <v>0</v>
      </c>
      <c r="I2756"/>
      <c r="J2756"/>
      <c r="K2756" s="170" t="s">
        <v>51</v>
      </c>
      <c r="L2756" s="1">
        <v>0</v>
      </c>
    </row>
    <row r="2757" spans="1:14" ht="14.4" hidden="1">
      <c r="A2757" t="s">
        <v>224</v>
      </c>
      <c r="B2757" s="1">
        <v>130</v>
      </c>
      <c r="C2757" s="258" t="s">
        <v>6239</v>
      </c>
      <c r="D2757" t="s">
        <v>1264</v>
      </c>
      <c r="E2757" t="s">
        <v>2094</v>
      </c>
      <c r="F2757"/>
      <c r="H2757" s="1">
        <v>5100</v>
      </c>
      <c r="I2757" t="s">
        <v>3049</v>
      </c>
      <c r="J2757" t="s">
        <v>3050</v>
      </c>
      <c r="K2757" s="170">
        <v>45777</v>
      </c>
      <c r="L2757" s="1">
        <v>23060.88233664025</v>
      </c>
      <c r="M2757" s="1">
        <v>45834</v>
      </c>
    </row>
    <row r="2758" spans="1:14" ht="14.4" hidden="1">
      <c r="A2758" t="s">
        <v>224</v>
      </c>
      <c r="B2758" s="1">
        <v>131</v>
      </c>
      <c r="C2758" s="258" t="s">
        <v>6240</v>
      </c>
      <c r="D2758" t="s">
        <v>1264</v>
      </c>
      <c r="E2758" t="s">
        <v>808</v>
      </c>
      <c r="F2758"/>
      <c r="H2758" s="1">
        <v>6000</v>
      </c>
      <c r="I2758"/>
      <c r="J2758"/>
      <c r="K2758" s="170">
        <v>46081</v>
      </c>
      <c r="L2758" s="1">
        <v>27902.948114017181</v>
      </c>
      <c r="M2758" s="1">
        <v>46111</v>
      </c>
    </row>
    <row r="2759" spans="1:14" ht="14.4" hidden="1">
      <c r="A2759" t="s">
        <v>224</v>
      </c>
      <c r="B2759" s="1">
        <v>136</v>
      </c>
      <c r="C2759" s="258" t="s">
        <v>6241</v>
      </c>
      <c r="D2759" t="s">
        <v>1277</v>
      </c>
      <c r="E2759" t="s">
        <v>1278</v>
      </c>
      <c r="F2759"/>
      <c r="H2759" s="1">
        <v>41942.987500000003</v>
      </c>
      <c r="I2759"/>
      <c r="J2759"/>
      <c r="K2759" s="170">
        <v>46081</v>
      </c>
      <c r="L2759" s="1">
        <v>139101.48607131094</v>
      </c>
      <c r="M2759" s="1">
        <v>46053</v>
      </c>
      <c r="N2759" s="1">
        <v>41942.987500000003</v>
      </c>
    </row>
    <row r="2760" spans="1:14" ht="14.4" hidden="1">
      <c r="A2760" t="s">
        <v>224</v>
      </c>
      <c r="B2760" s="1">
        <v>137</v>
      </c>
      <c r="C2760" s="258" t="s">
        <v>6242</v>
      </c>
      <c r="D2760" t="s">
        <v>1277</v>
      </c>
      <c r="E2760" t="s">
        <v>1903</v>
      </c>
      <c r="F2760"/>
      <c r="H2760" s="1">
        <v>0</v>
      </c>
      <c r="I2760"/>
      <c r="J2760"/>
      <c r="K2760" s="170">
        <v>45961</v>
      </c>
      <c r="L2760" s="1">
        <v>0</v>
      </c>
      <c r="M2760" s="1">
        <v>45961</v>
      </c>
    </row>
    <row r="2761" spans="1:14" ht="14.4" hidden="1">
      <c r="A2761" t="s">
        <v>224</v>
      </c>
      <c r="B2761" s="1">
        <v>138</v>
      </c>
      <c r="C2761" s="258" t="s">
        <v>6243</v>
      </c>
      <c r="D2761" t="s">
        <v>1277</v>
      </c>
      <c r="E2761" t="s">
        <v>1905</v>
      </c>
      <c r="F2761"/>
      <c r="H2761" s="1">
        <v>0</v>
      </c>
      <c r="I2761"/>
      <c r="J2761"/>
      <c r="K2761" s="170">
        <v>45961</v>
      </c>
      <c r="L2761" s="1">
        <v>0</v>
      </c>
      <c r="M2761" s="1">
        <v>45961</v>
      </c>
    </row>
    <row r="2762" spans="1:14" ht="14.4" hidden="1">
      <c r="A2762" t="s">
        <v>224</v>
      </c>
      <c r="B2762" s="1">
        <v>139</v>
      </c>
      <c r="C2762" s="258" t="s">
        <v>6244</v>
      </c>
      <c r="D2762" t="s">
        <v>1277</v>
      </c>
      <c r="E2762" t="s">
        <v>1907</v>
      </c>
      <c r="F2762"/>
      <c r="H2762" s="1">
        <v>0</v>
      </c>
      <c r="I2762"/>
      <c r="J2762"/>
      <c r="K2762" s="170">
        <v>45961</v>
      </c>
      <c r="L2762" s="1">
        <v>0</v>
      </c>
      <c r="M2762" s="1">
        <v>45961</v>
      </c>
    </row>
    <row r="2763" spans="1:14" ht="14.4" hidden="1">
      <c r="A2763" t="s">
        <v>224</v>
      </c>
      <c r="B2763" s="1">
        <v>140</v>
      </c>
      <c r="C2763" s="258" t="s">
        <v>6245</v>
      </c>
      <c r="D2763" t="s">
        <v>1277</v>
      </c>
      <c r="E2763" t="s">
        <v>1909</v>
      </c>
      <c r="F2763"/>
      <c r="H2763" s="1">
        <v>0</v>
      </c>
      <c r="I2763"/>
      <c r="J2763"/>
      <c r="K2763" s="170">
        <v>45961</v>
      </c>
      <c r="L2763" s="1">
        <v>0</v>
      </c>
      <c r="M2763" s="1">
        <v>45961</v>
      </c>
    </row>
    <row r="2764" spans="1:14" ht="14.4" hidden="1">
      <c r="A2764" t="s">
        <v>224</v>
      </c>
      <c r="B2764" s="1">
        <v>143</v>
      </c>
      <c r="C2764" s="258" t="s">
        <v>6246</v>
      </c>
      <c r="D2764" t="s">
        <v>1280</v>
      </c>
      <c r="E2764" t="s">
        <v>1281</v>
      </c>
      <c r="F2764"/>
      <c r="H2764" s="1">
        <v>0</v>
      </c>
      <c r="I2764"/>
      <c r="J2764"/>
      <c r="K2764" s="170">
        <v>45777</v>
      </c>
      <c r="L2764" s="1">
        <v>0</v>
      </c>
      <c r="M2764" s="1">
        <v>45777</v>
      </c>
      <c r="N2764" s="1">
        <v>5266.4599999999991</v>
      </c>
    </row>
    <row r="2765" spans="1:14" ht="14.4" hidden="1">
      <c r="A2765" t="s">
        <v>224</v>
      </c>
      <c r="B2765" s="1">
        <v>144</v>
      </c>
      <c r="C2765" s="258" t="s">
        <v>6247</v>
      </c>
      <c r="D2765" t="s">
        <v>1280</v>
      </c>
      <c r="E2765" t="s">
        <v>1281</v>
      </c>
      <c r="F2765"/>
      <c r="H2765" s="1">
        <v>1399.43</v>
      </c>
      <c r="I2765"/>
      <c r="J2765" t="s">
        <v>1604</v>
      </c>
      <c r="K2765" s="170">
        <v>45808</v>
      </c>
      <c r="L2765" s="1">
        <v>3189.8824402454302</v>
      </c>
      <c r="M2765" s="1">
        <v>45817</v>
      </c>
    </row>
    <row r="2766" spans="1:14" ht="14.4" hidden="1">
      <c r="A2766" t="s">
        <v>224</v>
      </c>
      <c r="B2766" s="1">
        <v>145</v>
      </c>
      <c r="C2766" s="258" t="s">
        <v>6248</v>
      </c>
      <c r="D2766" t="s">
        <v>1280</v>
      </c>
      <c r="E2766" t="s">
        <v>1281</v>
      </c>
      <c r="F2766"/>
      <c r="H2766" s="1">
        <v>1699.57</v>
      </c>
      <c r="I2766"/>
      <c r="J2766" t="s">
        <v>1604</v>
      </c>
      <c r="K2766" s="170">
        <v>45838</v>
      </c>
      <c r="L2766" s="1">
        <v>2182.6952598463149</v>
      </c>
      <c r="M2766" s="1">
        <v>45842</v>
      </c>
    </row>
    <row r="2767" spans="1:14" ht="14.4" hidden="1">
      <c r="A2767" t="s">
        <v>224</v>
      </c>
      <c r="B2767" s="1">
        <v>146</v>
      </c>
      <c r="C2767" s="258" t="s">
        <v>6249</v>
      </c>
      <c r="D2767" t="s">
        <v>1280</v>
      </c>
      <c r="E2767" t="s">
        <v>1281</v>
      </c>
      <c r="F2767"/>
      <c r="H2767" s="1">
        <v>502.18</v>
      </c>
      <c r="I2767"/>
      <c r="J2767" t="s">
        <v>1604</v>
      </c>
      <c r="K2767" s="170">
        <v>45869</v>
      </c>
      <c r="L2767" s="1">
        <v>230.25910219804015</v>
      </c>
      <c r="M2767" s="1">
        <v>45876</v>
      </c>
    </row>
    <row r="2768" spans="1:14" ht="14.4" hidden="1">
      <c r="A2768" t="s">
        <v>224</v>
      </c>
      <c r="B2768" s="1">
        <v>147</v>
      </c>
      <c r="C2768" s="258" t="s">
        <v>6250</v>
      </c>
      <c r="D2768" t="s">
        <v>1280</v>
      </c>
      <c r="E2768" t="s">
        <v>1281</v>
      </c>
      <c r="F2768"/>
      <c r="H2768" s="1">
        <v>380.32</v>
      </c>
      <c r="I2768"/>
      <c r="J2768" t="s">
        <v>1604</v>
      </c>
      <c r="K2768" s="170">
        <v>45900</v>
      </c>
      <c r="L2768" s="1">
        <v>625.86812041731798</v>
      </c>
      <c r="M2768" s="1">
        <v>45900</v>
      </c>
    </row>
    <row r="2769" spans="1:14" ht="14.4" hidden="1">
      <c r="A2769" t="s">
        <v>224</v>
      </c>
      <c r="B2769" s="1">
        <v>148</v>
      </c>
      <c r="C2769" s="258" t="s">
        <v>6251</v>
      </c>
      <c r="D2769" t="s">
        <v>1280</v>
      </c>
      <c r="E2769" t="s">
        <v>1281</v>
      </c>
      <c r="F2769"/>
      <c r="H2769" s="1">
        <v>0</v>
      </c>
      <c r="I2769"/>
      <c r="J2769" t="s">
        <v>1604</v>
      </c>
      <c r="K2769" s="170">
        <v>45930</v>
      </c>
      <c r="L2769" s="1">
        <v>0</v>
      </c>
      <c r="M2769" s="1">
        <v>45939</v>
      </c>
    </row>
    <row r="2770" spans="1:14" ht="14.4" hidden="1">
      <c r="A2770" t="s">
        <v>224</v>
      </c>
      <c r="B2770" s="1">
        <v>149</v>
      </c>
      <c r="C2770" s="258" t="s">
        <v>6252</v>
      </c>
      <c r="D2770" t="s">
        <v>1280</v>
      </c>
      <c r="E2770" t="s">
        <v>1281</v>
      </c>
      <c r="F2770"/>
      <c r="H2770" s="1">
        <v>125.19</v>
      </c>
      <c r="I2770"/>
      <c r="J2770" t="s">
        <v>1604</v>
      </c>
      <c r="K2770" s="170">
        <v>45961</v>
      </c>
      <c r="L2770" s="1">
        <v>176.54719824612627</v>
      </c>
      <c r="M2770" s="1">
        <v>45967</v>
      </c>
    </row>
    <row r="2771" spans="1:14" ht="14.4" hidden="1">
      <c r="A2771" t="s">
        <v>224</v>
      </c>
      <c r="B2771" s="1">
        <v>150</v>
      </c>
      <c r="C2771" s="258" t="s">
        <v>6253</v>
      </c>
      <c r="D2771" t="s">
        <v>1280</v>
      </c>
      <c r="E2771" t="s">
        <v>1281</v>
      </c>
      <c r="F2771"/>
      <c r="H2771" s="1">
        <v>0</v>
      </c>
      <c r="I2771"/>
      <c r="J2771" t="s">
        <v>1604</v>
      </c>
      <c r="K2771" s="170">
        <v>45991</v>
      </c>
      <c r="L2771" s="1">
        <v>0</v>
      </c>
      <c r="M2771" s="1">
        <v>45991</v>
      </c>
    </row>
    <row r="2772" spans="1:14" ht="14.4" hidden="1">
      <c r="A2772" t="s">
        <v>224</v>
      </c>
      <c r="B2772" s="1">
        <v>151</v>
      </c>
      <c r="C2772" s="258" t="s">
        <v>6254</v>
      </c>
      <c r="D2772" t="s">
        <v>1280</v>
      </c>
      <c r="E2772" t="s">
        <v>1281</v>
      </c>
      <c r="F2772"/>
      <c r="H2772" s="1">
        <v>244.66</v>
      </c>
      <c r="I2772"/>
      <c r="J2772" t="s">
        <v>1604</v>
      </c>
      <c r="K2772" s="170">
        <v>46022</v>
      </c>
      <c r="L2772" s="1">
        <v>242.87560130476257</v>
      </c>
      <c r="M2772" s="1">
        <v>46030</v>
      </c>
    </row>
    <row r="2773" spans="1:14" ht="14.4" hidden="1">
      <c r="A2773" t="s">
        <v>224</v>
      </c>
      <c r="B2773" s="1">
        <v>152</v>
      </c>
      <c r="C2773" s="258" t="s">
        <v>6255</v>
      </c>
      <c r="D2773" t="s">
        <v>1280</v>
      </c>
      <c r="E2773" t="s">
        <v>1281</v>
      </c>
      <c r="F2773"/>
      <c r="H2773" s="1">
        <v>315.11</v>
      </c>
      <c r="I2773"/>
      <c r="J2773" t="s">
        <v>1604</v>
      </c>
      <c r="K2773" s="170">
        <v>46053</v>
      </c>
      <c r="L2773" s="1">
        <v>325.66942301012125</v>
      </c>
      <c r="M2773" s="1">
        <v>46058</v>
      </c>
    </row>
    <row r="2774" spans="1:14" ht="14.4" hidden="1">
      <c r="A2774" t="s">
        <v>224</v>
      </c>
      <c r="B2774" s="1">
        <v>153</v>
      </c>
      <c r="C2774" s="258" t="s">
        <v>6256</v>
      </c>
      <c r="D2774" t="s">
        <v>1280</v>
      </c>
      <c r="E2774" t="s">
        <v>1281</v>
      </c>
      <c r="F2774"/>
      <c r="H2774" s="1">
        <v>300</v>
      </c>
      <c r="I2774"/>
      <c r="J2774"/>
      <c r="K2774" s="170">
        <v>46081</v>
      </c>
      <c r="L2774" s="1">
        <v>321.92363239197857</v>
      </c>
      <c r="M2774" s="1">
        <v>46086</v>
      </c>
    </row>
    <row r="2775" spans="1:14" ht="14.4" hidden="1">
      <c r="A2775" t="s">
        <v>224</v>
      </c>
      <c r="B2775" s="1">
        <v>154</v>
      </c>
      <c r="C2775" s="258" t="s">
        <v>6257</v>
      </c>
      <c r="D2775" t="s">
        <v>1280</v>
      </c>
      <c r="E2775" t="s">
        <v>1281</v>
      </c>
      <c r="F2775"/>
      <c r="H2775" s="1">
        <v>300</v>
      </c>
      <c r="I2775"/>
      <c r="J2775"/>
      <c r="K2775" s="170">
        <v>46112</v>
      </c>
      <c r="L2775" s="1">
        <v>321.92363239197857</v>
      </c>
      <c r="M2775" s="1">
        <v>46121</v>
      </c>
    </row>
    <row r="2776" spans="1:14" ht="14.4" hidden="1">
      <c r="A2776" t="s">
        <v>224</v>
      </c>
      <c r="B2776" s="1">
        <v>157</v>
      </c>
      <c r="C2776" s="258" t="s">
        <v>6258</v>
      </c>
      <c r="D2776" t="s">
        <v>1451</v>
      </c>
      <c r="E2776" t="s">
        <v>5870</v>
      </c>
      <c r="F2776"/>
      <c r="H2776" s="1">
        <v>251500</v>
      </c>
      <c r="I2776"/>
      <c r="J2776" t="s">
        <v>6259</v>
      </c>
      <c r="K2776" s="170">
        <v>45838</v>
      </c>
      <c r="L2776" s="1">
        <v>168114.97326203209</v>
      </c>
      <c r="M2776" s="1">
        <v>45849</v>
      </c>
      <c r="N2776" s="1">
        <v>646138</v>
      </c>
    </row>
    <row r="2777" spans="1:14" ht="14.4" hidden="1">
      <c r="A2777" t="s">
        <v>224</v>
      </c>
      <c r="B2777" s="1">
        <v>158</v>
      </c>
      <c r="C2777" s="258" t="s">
        <v>6260</v>
      </c>
      <c r="D2777" t="s">
        <v>1451</v>
      </c>
      <c r="E2777" t="s">
        <v>2868</v>
      </c>
      <c r="F2777"/>
      <c r="H2777" s="1">
        <v>251500</v>
      </c>
      <c r="I2777"/>
      <c r="J2777" t="s">
        <v>6259</v>
      </c>
      <c r="K2777" s="170">
        <v>45838</v>
      </c>
      <c r="L2777" s="1">
        <v>168114.97326203209</v>
      </c>
      <c r="M2777" s="1">
        <v>46070</v>
      </c>
    </row>
    <row r="2778" spans="1:14" ht="14.4" hidden="1">
      <c r="A2778" t="s">
        <v>224</v>
      </c>
      <c r="B2778" s="1">
        <v>160</v>
      </c>
      <c r="C2778" s="258" t="s">
        <v>6261</v>
      </c>
      <c r="D2778" t="s">
        <v>1451</v>
      </c>
      <c r="E2778" t="s">
        <v>6262</v>
      </c>
      <c r="F2778">
        <v>0.5</v>
      </c>
      <c r="G2778">
        <v>143138</v>
      </c>
      <c r="H2778" s="1">
        <v>27040.37</v>
      </c>
      <c r="I2778"/>
      <c r="J2778" t="s">
        <v>6263</v>
      </c>
      <c r="K2778" s="170">
        <v>45930</v>
      </c>
      <c r="L2778" s="1">
        <v>5570.41</v>
      </c>
      <c r="M2778" s="1">
        <v>45911</v>
      </c>
    </row>
    <row r="2779" spans="1:14" ht="14.4" hidden="1">
      <c r="A2779" t="s">
        <v>224</v>
      </c>
      <c r="B2779" s="1">
        <v>161</v>
      </c>
      <c r="C2779" s="258" t="s">
        <v>6264</v>
      </c>
      <c r="D2779" t="s">
        <v>1451</v>
      </c>
      <c r="F2779"/>
      <c r="G2779">
        <v>71569</v>
      </c>
      <c r="H2779" s="1">
        <v>44528.630000000005</v>
      </c>
      <c r="I2779"/>
      <c r="J2779" t="s">
        <v>6263</v>
      </c>
      <c r="K2779" s="170">
        <v>45930</v>
      </c>
      <c r="L2779" s="1">
        <v>5570.41</v>
      </c>
      <c r="M2779" s="1">
        <v>45932</v>
      </c>
    </row>
    <row r="2780" spans="1:14" ht="14.4" hidden="1">
      <c r="A2780" t="s">
        <v>224</v>
      </c>
      <c r="B2780" s="1">
        <v>162</v>
      </c>
      <c r="C2780" s="258" t="s">
        <v>6265</v>
      </c>
      <c r="D2780" t="s">
        <v>1451</v>
      </c>
      <c r="F2780"/>
      <c r="H2780" s="1">
        <v>71569</v>
      </c>
      <c r="I2780"/>
      <c r="J2780" t="s">
        <v>6263</v>
      </c>
      <c r="K2780" s="170">
        <v>45930</v>
      </c>
      <c r="L2780" s="1">
        <v>5570.41</v>
      </c>
      <c r="M2780" s="1">
        <v>45995</v>
      </c>
    </row>
    <row r="2781" spans="1:14" ht="14.4" hidden="1">
      <c r="A2781" t="s">
        <v>528</v>
      </c>
      <c r="B2781" s="1">
        <v>6</v>
      </c>
      <c r="C2781" s="258" t="s">
        <v>6266</v>
      </c>
      <c r="D2781" t="s">
        <v>1146</v>
      </c>
      <c r="E2781" t="s">
        <v>6267</v>
      </c>
      <c r="F2781">
        <v>1108.9430894308944</v>
      </c>
      <c r="G2781">
        <v>1156.4000000000001</v>
      </c>
      <c r="H2781" s="1">
        <v>1282447.6000000001</v>
      </c>
      <c r="I2781"/>
      <c r="J2781" t="s">
        <v>6268</v>
      </c>
      <c r="K2781" s="170">
        <v>45838</v>
      </c>
      <c r="L2781" s="1">
        <v>2235676.710097719</v>
      </c>
      <c r="M2781" s="1">
        <v>45901</v>
      </c>
      <c r="N2781" s="1">
        <v>1263945.2000000002</v>
      </c>
    </row>
    <row r="2782" spans="1:14" ht="14.4" hidden="1">
      <c r="A2782" t="s">
        <v>528</v>
      </c>
      <c r="B2782" s="1">
        <v>9</v>
      </c>
      <c r="C2782" s="258" t="s">
        <v>6269</v>
      </c>
      <c r="D2782" t="s">
        <v>1146</v>
      </c>
      <c r="E2782" t="s">
        <v>6270</v>
      </c>
      <c r="F2782">
        <v>-16</v>
      </c>
      <c r="G2782">
        <v>1156.4000000000001</v>
      </c>
      <c r="H2782" s="1">
        <v>-18502.400000000001</v>
      </c>
      <c r="I2782"/>
      <c r="J2782" t="s">
        <v>3381</v>
      </c>
      <c r="K2782" s="170">
        <v>45991</v>
      </c>
      <c r="L2782" s="1">
        <v>0</v>
      </c>
      <c r="M2782" s="1">
        <v>45991</v>
      </c>
    </row>
    <row r="2783" spans="1:14" ht="14.4" hidden="1">
      <c r="A2783" t="s">
        <v>528</v>
      </c>
      <c r="B2783" s="1">
        <v>10</v>
      </c>
      <c r="C2783" s="258" t="s">
        <v>6271</v>
      </c>
      <c r="D2783" t="s">
        <v>1146</v>
      </c>
      <c r="E2783" t="s">
        <v>6272</v>
      </c>
      <c r="F2783"/>
      <c r="G2783">
        <v>1156.4000000000001</v>
      </c>
      <c r="H2783" s="1">
        <v>0</v>
      </c>
      <c r="I2783"/>
      <c r="J2783" t="s">
        <v>6273</v>
      </c>
      <c r="K2783" s="170">
        <v>45991</v>
      </c>
      <c r="L2783" s="1">
        <v>0</v>
      </c>
      <c r="M2783" s="1">
        <v>45991</v>
      </c>
    </row>
    <row r="2784" spans="1:14" ht="14.4" hidden="1">
      <c r="A2784" t="s">
        <v>528</v>
      </c>
      <c r="B2784" s="1">
        <v>14</v>
      </c>
      <c r="C2784" s="258" t="s">
        <v>6274</v>
      </c>
      <c r="D2784" t="s">
        <v>1157</v>
      </c>
      <c r="E2784" t="s">
        <v>6275</v>
      </c>
      <c r="F2784">
        <v>4</v>
      </c>
      <c r="G2784">
        <v>69140</v>
      </c>
      <c r="H2784" s="1">
        <v>276560</v>
      </c>
      <c r="I2784" t="s">
        <v>6276</v>
      </c>
      <c r="J2784" t="s">
        <v>6277</v>
      </c>
      <c r="K2784" s="170">
        <v>45838</v>
      </c>
      <c r="L2784" s="1">
        <v>389826.32645308343</v>
      </c>
      <c r="M2784" s="1">
        <v>45867</v>
      </c>
      <c r="N2784" s="1">
        <v>316436.03999999998</v>
      </c>
    </row>
    <row r="2785" spans="1:14" ht="14.4" hidden="1">
      <c r="A2785" t="s">
        <v>528</v>
      </c>
      <c r="B2785" s="1">
        <v>15</v>
      </c>
      <c r="C2785" s="258" t="s">
        <v>6278</v>
      </c>
      <c r="D2785" t="s">
        <v>1157</v>
      </c>
      <c r="E2785" t="s">
        <v>6279</v>
      </c>
      <c r="F2785">
        <v>1</v>
      </c>
      <c r="G2785">
        <v>39320</v>
      </c>
      <c r="H2785" s="1">
        <v>39320</v>
      </c>
      <c r="I2785"/>
      <c r="J2785" t="s">
        <v>6277</v>
      </c>
      <c r="K2785" s="170">
        <v>45838</v>
      </c>
      <c r="L2785" s="1">
        <v>55423.673546916551</v>
      </c>
      <c r="M2785" s="1">
        <v>45867</v>
      </c>
    </row>
    <row r="2786" spans="1:14" ht="14.4" hidden="1">
      <c r="A2786" t="s">
        <v>528</v>
      </c>
      <c r="B2786" s="1">
        <v>16</v>
      </c>
      <c r="C2786" s="258" t="s">
        <v>6280</v>
      </c>
      <c r="D2786" t="s">
        <v>1157</v>
      </c>
      <c r="E2786" t="s">
        <v>6275</v>
      </c>
      <c r="F2786">
        <v>1</v>
      </c>
      <c r="H2786" s="1">
        <v>68050</v>
      </c>
      <c r="I2786"/>
      <c r="J2786" t="s">
        <v>6281</v>
      </c>
      <c r="K2786" s="170">
        <v>45961</v>
      </c>
      <c r="L2786" s="1">
        <v>0</v>
      </c>
      <c r="M2786" s="1">
        <v>45989</v>
      </c>
    </row>
    <row r="2787" spans="1:14" ht="14.4" hidden="1">
      <c r="A2787" t="s">
        <v>528</v>
      </c>
      <c r="B2787" s="1">
        <v>17</v>
      </c>
      <c r="C2787" s="258" t="s">
        <v>6282</v>
      </c>
      <c r="D2787" t="s">
        <v>1157</v>
      </c>
      <c r="E2787" t="s">
        <v>6283</v>
      </c>
      <c r="F2787"/>
      <c r="H2787" s="1">
        <v>-69140</v>
      </c>
      <c r="I2787" t="s">
        <v>6284</v>
      </c>
      <c r="J2787" t="s">
        <v>6285</v>
      </c>
      <c r="K2787" s="170">
        <v>46053</v>
      </c>
      <c r="L2787" s="1">
        <v>0</v>
      </c>
      <c r="M2787" s="1">
        <v>46053</v>
      </c>
    </row>
    <row r="2788" spans="1:14" ht="14.4" hidden="1">
      <c r="A2788" t="s">
        <v>528</v>
      </c>
      <c r="B2788" s="1">
        <v>18</v>
      </c>
      <c r="C2788" s="258" t="s">
        <v>6286</v>
      </c>
      <c r="D2788" t="s">
        <v>1157</v>
      </c>
      <c r="E2788" t="s">
        <v>6287</v>
      </c>
      <c r="F2788"/>
      <c r="H2788" s="1">
        <v>1646.04</v>
      </c>
      <c r="I2788"/>
      <c r="J2788" t="s">
        <v>6288</v>
      </c>
      <c r="K2788" s="170">
        <v>45991</v>
      </c>
      <c r="L2788" s="1">
        <v>0</v>
      </c>
      <c r="M2788" s="1">
        <v>46021</v>
      </c>
    </row>
    <row r="2789" spans="1:14" ht="14.4" hidden="1">
      <c r="A2789" t="s">
        <v>528</v>
      </c>
      <c r="B2789" s="1">
        <v>22</v>
      </c>
      <c r="C2789" s="258" t="s">
        <v>6289</v>
      </c>
      <c r="D2789" t="s">
        <v>1160</v>
      </c>
      <c r="E2789" t="s">
        <v>1161</v>
      </c>
      <c r="F2789"/>
      <c r="H2789" s="1">
        <v>344822.96</v>
      </c>
      <c r="I2789" t="s">
        <v>6290</v>
      </c>
      <c r="J2789" t="s">
        <v>6291</v>
      </c>
      <c r="K2789" s="170">
        <v>45838</v>
      </c>
      <c r="L2789" s="1">
        <v>431028.7</v>
      </c>
      <c r="M2789" s="1">
        <v>45867</v>
      </c>
      <c r="N2789" s="1">
        <v>887538.46</v>
      </c>
    </row>
    <row r="2790" spans="1:14" ht="14.4" hidden="1">
      <c r="A2790" t="s">
        <v>528</v>
      </c>
      <c r="B2790" s="1">
        <v>23</v>
      </c>
      <c r="C2790" s="258" t="s">
        <v>6292</v>
      </c>
      <c r="D2790" t="s">
        <v>1160</v>
      </c>
      <c r="E2790" t="s">
        <v>6293</v>
      </c>
      <c r="F2790">
        <v>-120</v>
      </c>
      <c r="G2790">
        <v>119.75</v>
      </c>
      <c r="H2790" s="1">
        <v>-16705.46</v>
      </c>
      <c r="I2790"/>
      <c r="J2790" t="s">
        <v>6294</v>
      </c>
      <c r="K2790" s="170">
        <v>45991</v>
      </c>
      <c r="L2790" s="1">
        <v>0</v>
      </c>
      <c r="M2790" s="1">
        <v>45991</v>
      </c>
    </row>
    <row r="2791" spans="1:14" ht="14.4" hidden="1">
      <c r="A2791" t="s">
        <v>528</v>
      </c>
      <c r="B2791" s="1">
        <v>24</v>
      </c>
      <c r="C2791" s="258" t="s">
        <v>6295</v>
      </c>
      <c r="D2791" t="s">
        <v>1160</v>
      </c>
      <c r="E2791" t="s">
        <v>6296</v>
      </c>
      <c r="F2791"/>
      <c r="H2791" s="1">
        <v>1436.9</v>
      </c>
      <c r="I2791"/>
      <c r="J2791" t="s">
        <v>6294</v>
      </c>
      <c r="K2791" s="170">
        <v>45991</v>
      </c>
      <c r="L2791" s="1">
        <v>0</v>
      </c>
      <c r="M2791" s="1">
        <v>45991</v>
      </c>
    </row>
    <row r="2792" spans="1:14" ht="14.4" hidden="1">
      <c r="A2792" t="s">
        <v>528</v>
      </c>
      <c r="B2792" s="1">
        <v>26</v>
      </c>
      <c r="C2792" s="258" t="s">
        <v>6297</v>
      </c>
      <c r="D2792" t="s">
        <v>1160</v>
      </c>
      <c r="E2792" t="s">
        <v>1371</v>
      </c>
      <c r="F2792">
        <v>-65</v>
      </c>
      <c r="G2792">
        <v>31.54</v>
      </c>
      <c r="H2792" s="1">
        <v>-2050.1</v>
      </c>
      <c r="I2792" t="s">
        <v>6298</v>
      </c>
      <c r="J2792" t="s">
        <v>6299</v>
      </c>
      <c r="K2792" s="170">
        <v>46053</v>
      </c>
      <c r="L2792" s="1">
        <v>0</v>
      </c>
      <c r="M2792" s="1">
        <v>46053</v>
      </c>
    </row>
    <row r="2793" spans="1:14" ht="14.4" hidden="1">
      <c r="A2793" t="s">
        <v>528</v>
      </c>
      <c r="B2793" s="1">
        <v>27</v>
      </c>
      <c r="C2793" s="258" t="s">
        <v>6300</v>
      </c>
      <c r="D2793" t="s">
        <v>1160</v>
      </c>
      <c r="E2793" t="s">
        <v>1379</v>
      </c>
      <c r="F2793"/>
      <c r="H2793" s="1">
        <v>278899.15999999997</v>
      </c>
      <c r="I2793" t="s">
        <v>6301</v>
      </c>
      <c r="J2793" t="s">
        <v>6302</v>
      </c>
      <c r="K2793" s="170">
        <v>45869</v>
      </c>
      <c r="L2793" s="1">
        <v>525027.76742806623</v>
      </c>
      <c r="M2793" s="1">
        <v>45869</v>
      </c>
    </row>
    <row r="2794" spans="1:14" ht="14.4" hidden="1">
      <c r="A2794" t="s">
        <v>528</v>
      </c>
      <c r="B2794" s="1">
        <v>28</v>
      </c>
      <c r="C2794" s="258" t="s">
        <v>6303</v>
      </c>
      <c r="D2794" t="s">
        <v>1160</v>
      </c>
      <c r="E2794" t="s">
        <v>6304</v>
      </c>
      <c r="F2794"/>
      <c r="H2794" s="1">
        <v>280280</v>
      </c>
      <c r="I2794" t="s">
        <v>6290</v>
      </c>
      <c r="J2794" t="s">
        <v>6305</v>
      </c>
      <c r="K2794" s="170">
        <v>45869</v>
      </c>
      <c r="L2794" s="1">
        <v>527293.55642203591</v>
      </c>
      <c r="M2794" s="1">
        <v>45899</v>
      </c>
    </row>
    <row r="2795" spans="1:14" ht="14.4" hidden="1">
      <c r="A2795" t="s">
        <v>528</v>
      </c>
      <c r="B2795" s="1">
        <v>29</v>
      </c>
      <c r="C2795" s="258" t="s">
        <v>6306</v>
      </c>
      <c r="D2795" t="s">
        <v>1160</v>
      </c>
      <c r="E2795" t="s">
        <v>3597</v>
      </c>
      <c r="F2795"/>
      <c r="H2795" s="1">
        <v>650</v>
      </c>
      <c r="I2795" t="s">
        <v>6307</v>
      </c>
      <c r="J2795" t="s">
        <v>6308</v>
      </c>
      <c r="K2795" s="170">
        <v>45961</v>
      </c>
      <c r="L2795" s="1">
        <v>-0.02</v>
      </c>
      <c r="M2795" s="1">
        <v>45974</v>
      </c>
    </row>
    <row r="2796" spans="1:14" ht="14.4" hidden="1">
      <c r="A2796" t="s">
        <v>528</v>
      </c>
      <c r="B2796" s="1">
        <v>30</v>
      </c>
      <c r="C2796" s="258" t="s">
        <v>6309</v>
      </c>
      <c r="D2796" t="s">
        <v>1160</v>
      </c>
      <c r="E2796" t="s">
        <v>6310</v>
      </c>
      <c r="F2796"/>
      <c r="H2796" s="1">
        <v>205</v>
      </c>
      <c r="I2796"/>
      <c r="J2796" t="s">
        <v>6311</v>
      </c>
      <c r="K2796" s="170">
        <v>45961</v>
      </c>
      <c r="L2796" s="1">
        <v>0</v>
      </c>
      <c r="M2796" s="1">
        <v>45940</v>
      </c>
    </row>
    <row r="2797" spans="1:14" ht="14.4" hidden="1">
      <c r="A2797" t="s">
        <v>528</v>
      </c>
      <c r="B2797" s="1">
        <v>32</v>
      </c>
      <c r="C2797" s="258" t="s">
        <v>6312</v>
      </c>
      <c r="D2797" t="s">
        <v>1165</v>
      </c>
      <c r="E2797" t="s">
        <v>836</v>
      </c>
      <c r="F2797">
        <v>40000</v>
      </c>
      <c r="G2797">
        <v>13.5</v>
      </c>
      <c r="H2797" s="1">
        <v>540000</v>
      </c>
      <c r="I2797" t="s">
        <v>6313</v>
      </c>
      <c r="J2797" t="s">
        <v>6314</v>
      </c>
      <c r="K2797" s="170">
        <v>45869</v>
      </c>
      <c r="L2797" s="1">
        <v>1491518.4828380791</v>
      </c>
      <c r="M2797" s="1">
        <v>45899</v>
      </c>
      <c r="N2797" s="1">
        <v>371619.9800000001</v>
      </c>
    </row>
    <row r="2798" spans="1:14" ht="14.4" hidden="1">
      <c r="A2798" t="s">
        <v>528</v>
      </c>
      <c r="B2798" s="1">
        <v>33</v>
      </c>
      <c r="C2798" s="258" t="s">
        <v>6315</v>
      </c>
      <c r="D2798" t="s">
        <v>1165</v>
      </c>
      <c r="E2798" t="s">
        <v>6316</v>
      </c>
      <c r="F2798">
        <v>-16000</v>
      </c>
      <c r="G2798">
        <v>13.5</v>
      </c>
      <c r="H2798" s="1">
        <v>-216000</v>
      </c>
      <c r="I2798"/>
      <c r="J2798" t="s">
        <v>6317</v>
      </c>
      <c r="K2798" s="170">
        <v>45869</v>
      </c>
      <c r="L2798" s="1">
        <v>-596607.39313523169</v>
      </c>
      <c r="M2798" s="1">
        <v>45869</v>
      </c>
    </row>
    <row r="2799" spans="1:14" ht="14.4" hidden="1">
      <c r="A2799" t="s">
        <v>528</v>
      </c>
      <c r="B2799" s="1">
        <v>34</v>
      </c>
      <c r="C2799" s="258" t="s">
        <v>6318</v>
      </c>
      <c r="D2799" t="s">
        <v>1165</v>
      </c>
      <c r="E2799" t="s">
        <v>6319</v>
      </c>
      <c r="F2799">
        <v>-6000</v>
      </c>
      <c r="G2799">
        <v>13.5</v>
      </c>
      <c r="H2799" s="1">
        <v>-81000</v>
      </c>
      <c r="I2799"/>
      <c r="J2799" t="s">
        <v>6317</v>
      </c>
      <c r="K2799" s="170">
        <v>45961</v>
      </c>
      <c r="L2799" s="1">
        <v>0</v>
      </c>
      <c r="M2799" s="1">
        <v>45961</v>
      </c>
    </row>
    <row r="2800" spans="1:14" ht="14.4" hidden="1">
      <c r="A2800" t="s">
        <v>528</v>
      </c>
      <c r="B2800" s="1">
        <v>35</v>
      </c>
      <c r="C2800" s="258" t="s">
        <v>6320</v>
      </c>
      <c r="D2800" t="s">
        <v>1165</v>
      </c>
      <c r="E2800" t="s">
        <v>6321</v>
      </c>
      <c r="F2800">
        <v>-7000</v>
      </c>
      <c r="G2800">
        <v>13.5</v>
      </c>
      <c r="H2800" s="1">
        <v>-94500</v>
      </c>
      <c r="I2800"/>
      <c r="J2800" t="s">
        <v>6317</v>
      </c>
      <c r="K2800" s="170">
        <v>45961</v>
      </c>
      <c r="L2800" s="1">
        <v>0</v>
      </c>
      <c r="M2800" s="1">
        <v>45961</v>
      </c>
    </row>
    <row r="2801" spans="1:13" ht="14.4" hidden="1">
      <c r="A2801" t="s">
        <v>528</v>
      </c>
      <c r="B2801" s="1">
        <v>37</v>
      </c>
      <c r="C2801" s="258" t="s">
        <v>6322</v>
      </c>
      <c r="D2801" t="s">
        <v>1165</v>
      </c>
      <c r="E2801" t="s">
        <v>1169</v>
      </c>
      <c r="F2801">
        <v>223119.98</v>
      </c>
      <c r="G2801">
        <v>0.1</v>
      </c>
      <c r="H2801" s="1">
        <v>22311.998000000003</v>
      </c>
      <c r="I2801"/>
      <c r="J2801" t="s">
        <v>6323</v>
      </c>
      <c r="K2801" s="170">
        <v>45900</v>
      </c>
      <c r="L2801" s="1">
        <v>61627.328529715305</v>
      </c>
      <c r="M2801" s="1">
        <v>45883</v>
      </c>
    </row>
    <row r="2802" spans="1:13" ht="14.4" hidden="1">
      <c r="A2802" t="s">
        <v>528</v>
      </c>
      <c r="B2802" s="1">
        <v>38</v>
      </c>
      <c r="C2802" s="258" t="s">
        <v>6324</v>
      </c>
      <c r="D2802" t="s">
        <v>1165</v>
      </c>
      <c r="E2802" t="s">
        <v>558</v>
      </c>
      <c r="F2802"/>
      <c r="G2802">
        <v>0.15</v>
      </c>
      <c r="H2802" s="1">
        <v>33467.997000000003</v>
      </c>
      <c r="I2802"/>
      <c r="J2802" t="s">
        <v>6323</v>
      </c>
      <c r="K2802" s="170">
        <v>45900</v>
      </c>
      <c r="L2802" s="1">
        <v>92440.992794572943</v>
      </c>
      <c r="M2802" s="1">
        <v>45898</v>
      </c>
    </row>
    <row r="2803" spans="1:13" ht="14.4" hidden="1">
      <c r="A2803" t="s">
        <v>528</v>
      </c>
      <c r="B2803" s="1">
        <v>39</v>
      </c>
      <c r="C2803" s="258" t="s">
        <v>6325</v>
      </c>
      <c r="D2803" t="s">
        <v>1165</v>
      </c>
      <c r="E2803" t="s">
        <v>1175</v>
      </c>
      <c r="F2803"/>
      <c r="G2803">
        <v>0.2</v>
      </c>
      <c r="H2803" s="1">
        <v>44623.996000000006</v>
      </c>
      <c r="I2803"/>
      <c r="J2803" t="s">
        <v>6323</v>
      </c>
      <c r="K2803" s="170">
        <v>45900</v>
      </c>
      <c r="L2803" s="1">
        <v>123254.6570594306</v>
      </c>
      <c r="M2803" s="1">
        <v>45946</v>
      </c>
    </row>
    <row r="2804" spans="1:13" ht="14.4" hidden="1">
      <c r="A2804" t="s">
        <v>528</v>
      </c>
      <c r="B2804" s="1">
        <v>40</v>
      </c>
      <c r="C2804" s="258" t="s">
        <v>6326</v>
      </c>
      <c r="D2804" t="s">
        <v>1165</v>
      </c>
      <c r="E2804" t="s">
        <v>1178</v>
      </c>
      <c r="F2804"/>
      <c r="G2804">
        <v>0.25</v>
      </c>
      <c r="H2804" s="1">
        <v>55779.995000000003</v>
      </c>
      <c r="I2804"/>
      <c r="J2804" t="s">
        <v>6323</v>
      </c>
      <c r="K2804" s="170">
        <v>45900</v>
      </c>
      <c r="L2804" s="1">
        <v>154068.32132428823</v>
      </c>
      <c r="M2804" s="1">
        <v>45946</v>
      </c>
    </row>
    <row r="2805" spans="1:13" ht="14.4" hidden="1">
      <c r="A2805" t="s">
        <v>528</v>
      </c>
      <c r="B2805" s="1">
        <v>41</v>
      </c>
      <c r="C2805" s="258" t="s">
        <v>6327</v>
      </c>
      <c r="D2805" t="s">
        <v>1165</v>
      </c>
      <c r="E2805" t="s">
        <v>1181</v>
      </c>
      <c r="F2805"/>
      <c r="G2805">
        <v>0.1</v>
      </c>
      <c r="H2805" s="1">
        <v>22311.998000000003</v>
      </c>
      <c r="I2805"/>
      <c r="J2805" t="s">
        <v>6323</v>
      </c>
      <c r="K2805" s="170">
        <v>45900</v>
      </c>
      <c r="L2805" s="1">
        <v>61627.328529715305</v>
      </c>
      <c r="M2805" s="1">
        <v>45989</v>
      </c>
    </row>
    <row r="2806" spans="1:13" ht="14.4" hidden="1">
      <c r="A2806" t="s">
        <v>528</v>
      </c>
      <c r="B2806" s="1">
        <v>42</v>
      </c>
      <c r="C2806" s="258" t="s">
        <v>6328</v>
      </c>
      <c r="D2806" t="s">
        <v>1165</v>
      </c>
      <c r="E2806" t="s">
        <v>1184</v>
      </c>
      <c r="F2806"/>
      <c r="G2806">
        <v>0.1</v>
      </c>
      <c r="H2806" s="1">
        <v>22311.998000000003</v>
      </c>
      <c r="I2806"/>
      <c r="J2806" t="s">
        <v>6323</v>
      </c>
      <c r="K2806" s="170">
        <v>45900</v>
      </c>
      <c r="L2806" s="1">
        <v>61627.328529715305</v>
      </c>
      <c r="M2806" s="1">
        <v>45996</v>
      </c>
    </row>
    <row r="2807" spans="1:13" ht="14.4" hidden="1">
      <c r="A2807" t="s">
        <v>528</v>
      </c>
      <c r="B2807" s="1">
        <v>43</v>
      </c>
      <c r="C2807" s="258" t="s">
        <v>6329</v>
      </c>
      <c r="D2807" t="s">
        <v>1165</v>
      </c>
      <c r="E2807" t="s">
        <v>1187</v>
      </c>
      <c r="F2807"/>
      <c r="G2807">
        <v>0.05</v>
      </c>
      <c r="H2807" s="1">
        <v>11155.999000000002</v>
      </c>
      <c r="I2807"/>
      <c r="J2807" t="s">
        <v>6323</v>
      </c>
      <c r="K2807" s="170">
        <v>45900</v>
      </c>
      <c r="L2807" s="1">
        <v>30813.664264857653</v>
      </c>
      <c r="M2807" s="1">
        <v>45996</v>
      </c>
    </row>
    <row r="2808" spans="1:13" ht="14.4" hidden="1">
      <c r="A2808" t="s">
        <v>528</v>
      </c>
      <c r="B2808" s="1">
        <v>44</v>
      </c>
      <c r="C2808" s="258" t="s">
        <v>6330</v>
      </c>
      <c r="D2808" t="s">
        <v>1165</v>
      </c>
      <c r="E2808" t="s">
        <v>1190</v>
      </c>
      <c r="F2808"/>
      <c r="G2808">
        <v>0.05</v>
      </c>
      <c r="H2808" s="1">
        <v>11155.999000000002</v>
      </c>
      <c r="I2808"/>
      <c r="J2808" t="s">
        <v>6323</v>
      </c>
      <c r="K2808" s="170">
        <v>45900</v>
      </c>
      <c r="L2808" s="1">
        <v>30813.664264857653</v>
      </c>
      <c r="M2808" s="1">
        <v>46015</v>
      </c>
    </row>
    <row r="2809" spans="1:13" ht="14.4" hidden="1">
      <c r="A2809" t="s">
        <v>528</v>
      </c>
      <c r="B2809" s="1">
        <v>50</v>
      </c>
      <c r="C2809" s="258" t="s">
        <v>6331</v>
      </c>
      <c r="D2809" t="s">
        <v>1193</v>
      </c>
      <c r="E2809" t="s">
        <v>1196</v>
      </c>
      <c r="F2809"/>
      <c r="H2809" s="1">
        <v>17131.5</v>
      </c>
      <c r="I2809" t="s">
        <v>6332</v>
      </c>
      <c r="J2809" t="s">
        <v>6333</v>
      </c>
      <c r="K2809" s="170">
        <v>45838</v>
      </c>
      <c r="L2809" s="1">
        <v>17332.950542726401</v>
      </c>
      <c r="M2809" s="1">
        <v>45867</v>
      </c>
    </row>
    <row r="2810" spans="1:13" ht="14.4" hidden="1">
      <c r="A2810" t="s">
        <v>528</v>
      </c>
      <c r="B2810" s="1">
        <v>51</v>
      </c>
      <c r="C2810" s="258" t="s">
        <v>6334</v>
      </c>
      <c r="D2810" t="s">
        <v>1193</v>
      </c>
      <c r="E2810" t="s">
        <v>6335</v>
      </c>
      <c r="F2810">
        <v>1</v>
      </c>
      <c r="G2810">
        <v>2970</v>
      </c>
      <c r="H2810" s="1">
        <v>-2970</v>
      </c>
      <c r="I2810"/>
      <c r="J2810" t="s">
        <v>6336</v>
      </c>
      <c r="K2810" s="170">
        <v>45930</v>
      </c>
      <c r="L2810" s="1">
        <v>0</v>
      </c>
      <c r="M2810" s="1">
        <v>45930</v>
      </c>
    </row>
    <row r="2811" spans="1:13" ht="14.4" hidden="1">
      <c r="A2811" t="s">
        <v>528</v>
      </c>
      <c r="B2811" s="1">
        <v>52</v>
      </c>
      <c r="C2811" s="258" t="s">
        <v>6337</v>
      </c>
      <c r="D2811" t="s">
        <v>1193</v>
      </c>
      <c r="E2811" t="s">
        <v>6338</v>
      </c>
      <c r="F2811">
        <v>3</v>
      </c>
      <c r="G2811">
        <v>1260</v>
      </c>
      <c r="H2811" s="1">
        <v>-3780</v>
      </c>
      <c r="I2811"/>
      <c r="J2811" t="s">
        <v>6336</v>
      </c>
      <c r="K2811" s="170">
        <v>45930</v>
      </c>
      <c r="L2811" s="1">
        <v>0</v>
      </c>
      <c r="M2811" s="1">
        <v>45930</v>
      </c>
    </row>
    <row r="2812" spans="1:13" ht="14.4" hidden="1">
      <c r="A2812" t="s">
        <v>528</v>
      </c>
      <c r="B2812" s="1">
        <v>53</v>
      </c>
      <c r="C2812" s="258" t="s">
        <v>6339</v>
      </c>
      <c r="D2812" t="s">
        <v>1193</v>
      </c>
      <c r="E2812" t="s">
        <v>6338</v>
      </c>
      <c r="F2812">
        <v>-3</v>
      </c>
      <c r="G2812">
        <v>1260</v>
      </c>
      <c r="H2812" s="1">
        <v>-3780</v>
      </c>
      <c r="I2812"/>
      <c r="J2812" t="s">
        <v>6336</v>
      </c>
      <c r="K2812" s="170">
        <v>45991</v>
      </c>
      <c r="L2812" s="1">
        <v>0</v>
      </c>
      <c r="M2812" s="1">
        <v>45991</v>
      </c>
    </row>
    <row r="2813" spans="1:13" ht="14.4" hidden="1">
      <c r="A2813" t="s">
        <v>528</v>
      </c>
      <c r="B2813" s="1">
        <v>54</v>
      </c>
      <c r="C2813" s="258" t="s">
        <v>6340</v>
      </c>
      <c r="D2813" t="s">
        <v>1193</v>
      </c>
      <c r="E2813" t="s">
        <v>6341</v>
      </c>
      <c r="F2813"/>
      <c r="H2813" s="1">
        <v>11169</v>
      </c>
      <c r="I2813"/>
      <c r="J2813" t="s">
        <v>1494</v>
      </c>
      <c r="K2813" s="170">
        <v>45869</v>
      </c>
      <c r="L2813" s="1">
        <v>1489.3545618197209</v>
      </c>
      <c r="M2813" s="1">
        <v>45869</v>
      </c>
    </row>
    <row r="2814" spans="1:13" ht="14.4" hidden="1">
      <c r="A2814" t="s">
        <v>528</v>
      </c>
      <c r="B2814" s="1">
        <v>55</v>
      </c>
      <c r="C2814" s="258" t="s">
        <v>6342</v>
      </c>
      <c r="D2814" t="s">
        <v>1193</v>
      </c>
      <c r="E2814" t="s">
        <v>6341</v>
      </c>
      <c r="F2814"/>
      <c r="H2814" s="1">
        <v>11169</v>
      </c>
      <c r="I2814"/>
      <c r="J2814" t="s">
        <v>1201</v>
      </c>
      <c r="K2814" s="170">
        <v>45961</v>
      </c>
      <c r="L2814" s="1">
        <v>3098.8520637391098</v>
      </c>
      <c r="M2814" s="1">
        <v>45974</v>
      </c>
    </row>
    <row r="2815" spans="1:13" ht="14.4" hidden="1">
      <c r="A2815" t="s">
        <v>528</v>
      </c>
      <c r="B2815" s="1">
        <v>56</v>
      </c>
      <c r="C2815" s="258" t="s">
        <v>6343</v>
      </c>
      <c r="D2815" t="s">
        <v>1193</v>
      </c>
      <c r="E2815" t="s">
        <v>2301</v>
      </c>
      <c r="F2815"/>
      <c r="H2815" s="1">
        <v>206.91</v>
      </c>
      <c r="I2815"/>
      <c r="J2815" t="s">
        <v>1204</v>
      </c>
      <c r="K2815" s="170">
        <v>45961</v>
      </c>
      <c r="L2815" s="1">
        <v>34.86</v>
      </c>
      <c r="M2815" s="1">
        <v>45991</v>
      </c>
    </row>
    <row r="2816" spans="1:13" ht="14.4" hidden="1">
      <c r="A2816" t="s">
        <v>528</v>
      </c>
      <c r="B2816" s="1">
        <v>57</v>
      </c>
      <c r="C2816" s="258" t="s">
        <v>6344</v>
      </c>
      <c r="D2816" t="s">
        <v>1193</v>
      </c>
      <c r="E2816" t="s">
        <v>2768</v>
      </c>
      <c r="F2816"/>
      <c r="H2816" s="1">
        <v>2250.5</v>
      </c>
      <c r="I2816" t="s">
        <v>6345</v>
      </c>
      <c r="J2816" t="s">
        <v>6346</v>
      </c>
      <c r="K2816" s="170">
        <v>45869</v>
      </c>
      <c r="L2816" s="1">
        <v>300.09781013298249</v>
      </c>
      <c r="M2816" s="1">
        <v>45876</v>
      </c>
    </row>
    <row r="2817" spans="1:13" ht="14.4" hidden="1">
      <c r="A2817" t="s">
        <v>528</v>
      </c>
      <c r="B2817" s="1">
        <v>58</v>
      </c>
      <c r="C2817" s="258" t="s">
        <v>6347</v>
      </c>
      <c r="D2817" t="s">
        <v>1193</v>
      </c>
      <c r="E2817" t="s">
        <v>6348</v>
      </c>
      <c r="F2817"/>
      <c r="H2817" s="1">
        <v>0</v>
      </c>
      <c r="I2817"/>
      <c r="J2817"/>
      <c r="K2817" s="170"/>
      <c r="L2817" s="1">
        <v>0</v>
      </c>
    </row>
    <row r="2818" spans="1:13" ht="14.4" hidden="1">
      <c r="A2818" t="s">
        <v>528</v>
      </c>
      <c r="B2818" s="1">
        <v>59</v>
      </c>
      <c r="C2818" s="258" t="s">
        <v>6349</v>
      </c>
      <c r="D2818" t="s">
        <v>1193</v>
      </c>
      <c r="E2818" t="s">
        <v>6350</v>
      </c>
      <c r="F2818"/>
      <c r="H2818" s="1">
        <v>25703</v>
      </c>
      <c r="I2818" t="s">
        <v>6351</v>
      </c>
      <c r="J2818" t="s">
        <v>6352</v>
      </c>
      <c r="K2818" s="170">
        <v>45900</v>
      </c>
      <c r="L2818" s="1">
        <v>5254.222739440329</v>
      </c>
      <c r="M2818" s="1">
        <v>45930</v>
      </c>
    </row>
    <row r="2819" spans="1:13" ht="14.4" hidden="1">
      <c r="A2819" t="s">
        <v>528</v>
      </c>
      <c r="B2819" s="1">
        <v>64</v>
      </c>
      <c r="C2819" s="258" t="s">
        <v>6353</v>
      </c>
      <c r="D2819" t="s">
        <v>1193</v>
      </c>
      <c r="E2819" t="s">
        <v>6354</v>
      </c>
      <c r="F2819"/>
      <c r="H2819" s="1">
        <v>1644.5</v>
      </c>
      <c r="I2819" t="s">
        <v>6355</v>
      </c>
      <c r="J2819" t="s">
        <v>6356</v>
      </c>
      <c r="K2819" s="170">
        <v>45900</v>
      </c>
      <c r="L2819" s="1">
        <v>336.16968038787775</v>
      </c>
      <c r="M2819" s="1">
        <v>45930</v>
      </c>
    </row>
    <row r="2820" spans="1:13" ht="14.4" hidden="1">
      <c r="A2820" t="s">
        <v>528</v>
      </c>
      <c r="B2820" s="1">
        <v>65</v>
      </c>
      <c r="C2820" s="258" t="s">
        <v>6357</v>
      </c>
      <c r="D2820" t="s">
        <v>1193</v>
      </c>
      <c r="E2820" t="s">
        <v>6354</v>
      </c>
      <c r="F2820"/>
      <c r="H2820" s="1">
        <v>-940.5</v>
      </c>
      <c r="I2820"/>
      <c r="J2820" t="s">
        <v>6358</v>
      </c>
      <c r="K2820" s="170">
        <v>45900</v>
      </c>
      <c r="L2820" s="1">
        <v>-192.2575764091207</v>
      </c>
      <c r="M2820" s="1">
        <v>45900</v>
      </c>
    </row>
    <row r="2821" spans="1:13" ht="14.4" hidden="1">
      <c r="A2821" t="s">
        <v>528</v>
      </c>
      <c r="B2821" s="1">
        <v>66</v>
      </c>
      <c r="C2821" s="258" t="s">
        <v>6359</v>
      </c>
      <c r="D2821" t="s">
        <v>1193</v>
      </c>
      <c r="E2821" t="s">
        <v>1152</v>
      </c>
      <c r="F2821"/>
      <c r="H2821" s="1">
        <v>200</v>
      </c>
      <c r="I2821"/>
      <c r="J2821" t="s">
        <v>6360</v>
      </c>
      <c r="K2821" s="170">
        <v>45900</v>
      </c>
      <c r="L2821" s="1">
        <v>0</v>
      </c>
      <c r="M2821" s="1">
        <v>45930</v>
      </c>
    </row>
    <row r="2822" spans="1:13" ht="14.4" hidden="1">
      <c r="A2822" t="s">
        <v>528</v>
      </c>
      <c r="B2822" s="1">
        <v>67</v>
      </c>
      <c r="C2822" s="258" t="s">
        <v>6361</v>
      </c>
      <c r="D2822" t="s">
        <v>1193</v>
      </c>
      <c r="E2822" t="s">
        <v>6362</v>
      </c>
      <c r="F2822">
        <v>2</v>
      </c>
      <c r="H2822" s="1">
        <v>21200</v>
      </c>
      <c r="I2822" t="s">
        <v>6363</v>
      </c>
      <c r="J2822" t="s">
        <v>6364</v>
      </c>
      <c r="K2822" s="170">
        <v>45900</v>
      </c>
      <c r="L2822" s="1">
        <v>4333.7167675421151</v>
      </c>
      <c r="M2822" s="1">
        <v>45930</v>
      </c>
    </row>
    <row r="2823" spans="1:13" ht="14.4" hidden="1">
      <c r="A2823" t="s">
        <v>528</v>
      </c>
      <c r="B2823" s="1">
        <v>68</v>
      </c>
      <c r="C2823" s="258" t="s">
        <v>6365</v>
      </c>
      <c r="D2823" t="s">
        <v>1193</v>
      </c>
      <c r="E2823" t="s">
        <v>6366</v>
      </c>
      <c r="F2823">
        <v>2</v>
      </c>
      <c r="H2823" s="1">
        <v>9040</v>
      </c>
      <c r="I2823"/>
      <c r="J2823" t="s">
        <v>6364</v>
      </c>
      <c r="K2823" s="170">
        <v>45900</v>
      </c>
      <c r="L2823" s="1">
        <v>1847.9622442726752</v>
      </c>
      <c r="M2823" s="1">
        <v>45930</v>
      </c>
    </row>
    <row r="2824" spans="1:13" ht="14.4" hidden="1">
      <c r="A2824" t="s">
        <v>528</v>
      </c>
      <c r="B2824" s="1">
        <v>71</v>
      </c>
      <c r="C2824" s="258" t="s">
        <v>6367</v>
      </c>
      <c r="D2824" t="s">
        <v>1193</v>
      </c>
      <c r="E2824" t="s">
        <v>6368</v>
      </c>
      <c r="F2824">
        <v>3</v>
      </c>
      <c r="H2824" s="1">
        <v>28431.279999999999</v>
      </c>
      <c r="I2824" t="s">
        <v>6369</v>
      </c>
      <c r="J2824" t="s">
        <v>6370</v>
      </c>
      <c r="K2824" s="170">
        <v>45961</v>
      </c>
      <c r="L2824" s="1">
        <v>7888.2917631609344</v>
      </c>
      <c r="M2824" s="1">
        <v>45947</v>
      </c>
    </row>
    <row r="2825" spans="1:13" ht="14.4" hidden="1">
      <c r="A2825" t="s">
        <v>528</v>
      </c>
      <c r="B2825" s="1">
        <v>73</v>
      </c>
      <c r="C2825" s="258" t="s">
        <v>6371</v>
      </c>
      <c r="D2825" t="s">
        <v>1193</v>
      </c>
      <c r="E2825" t="s">
        <v>6372</v>
      </c>
      <c r="F2825"/>
      <c r="H2825" s="1">
        <v>52911.24</v>
      </c>
      <c r="I2825" t="s">
        <v>6373</v>
      </c>
      <c r="J2825" t="s">
        <v>6374</v>
      </c>
      <c r="K2825" s="170">
        <v>45961</v>
      </c>
      <c r="L2825" s="1">
        <v>6376.4951883781287</v>
      </c>
      <c r="M2825" s="1">
        <v>45961</v>
      </c>
    </row>
    <row r="2826" spans="1:13" ht="14.4" hidden="1">
      <c r="A2826" t="s">
        <v>528</v>
      </c>
      <c r="B2826" s="1">
        <v>74</v>
      </c>
      <c r="C2826" s="258" t="s">
        <v>6375</v>
      </c>
      <c r="D2826" t="s">
        <v>1193</v>
      </c>
      <c r="F2826"/>
      <c r="H2826" s="1">
        <v>28219.32</v>
      </c>
      <c r="I2826"/>
      <c r="J2826" t="s">
        <v>6374</v>
      </c>
      <c r="K2826" s="170">
        <v>45961</v>
      </c>
      <c r="L2826" s="1">
        <v>7829.483214192348</v>
      </c>
      <c r="M2826" s="1">
        <v>45939</v>
      </c>
    </row>
    <row r="2827" spans="1:13" ht="14.4" hidden="1">
      <c r="A2827" t="s">
        <v>528</v>
      </c>
      <c r="B2827" s="1">
        <v>76</v>
      </c>
      <c r="C2827" s="258" t="s">
        <v>6376</v>
      </c>
      <c r="D2827" t="s">
        <v>1193</v>
      </c>
      <c r="E2827" t="s">
        <v>6377</v>
      </c>
      <c r="F2827"/>
      <c r="H2827" s="1">
        <v>1767.5</v>
      </c>
      <c r="I2827" t="s">
        <v>6378</v>
      </c>
      <c r="J2827" t="s">
        <v>6379</v>
      </c>
      <c r="K2827" s="170">
        <v>45961</v>
      </c>
      <c r="L2827" s="1">
        <v>490.39493443091385</v>
      </c>
      <c r="M2827" s="1">
        <v>45991</v>
      </c>
    </row>
    <row r="2828" spans="1:13" ht="14.4" hidden="1">
      <c r="A2828" t="s">
        <v>528</v>
      </c>
      <c r="B2828" s="1">
        <v>77</v>
      </c>
      <c r="C2828" s="258" t="s">
        <v>6380</v>
      </c>
      <c r="D2828" t="s">
        <v>1193</v>
      </c>
      <c r="E2828" t="s">
        <v>6377</v>
      </c>
      <c r="F2828"/>
      <c r="H2828" s="1">
        <v>-1767.5</v>
      </c>
      <c r="I2828"/>
      <c r="J2828" t="s">
        <v>6381</v>
      </c>
      <c r="K2828" s="170">
        <v>46053</v>
      </c>
      <c r="L2828" s="1">
        <v>0</v>
      </c>
      <c r="M2828" s="1">
        <v>46053</v>
      </c>
    </row>
    <row r="2829" spans="1:13" ht="14.4" hidden="1">
      <c r="A2829" t="s">
        <v>528</v>
      </c>
      <c r="B2829" s="1">
        <v>78</v>
      </c>
      <c r="C2829" s="258" t="s">
        <v>6382</v>
      </c>
      <c r="D2829" t="s">
        <v>1193</v>
      </c>
      <c r="E2829" t="s">
        <v>6383</v>
      </c>
      <c r="F2829"/>
      <c r="H2829" s="1">
        <v>2250.5</v>
      </c>
      <c r="I2829" t="s">
        <v>6384</v>
      </c>
      <c r="J2829" t="s">
        <v>6385</v>
      </c>
      <c r="K2829" s="170">
        <v>45961</v>
      </c>
      <c r="L2829" s="1">
        <v>624.40384720609427</v>
      </c>
      <c r="M2829" s="1">
        <v>45961</v>
      </c>
    </row>
    <row r="2830" spans="1:13" ht="14.4" hidden="1">
      <c r="A2830" t="s">
        <v>528</v>
      </c>
      <c r="B2830" s="1">
        <v>87</v>
      </c>
      <c r="C2830" s="258" t="s">
        <v>6386</v>
      </c>
      <c r="D2830" t="s">
        <v>1211</v>
      </c>
      <c r="E2830" t="s">
        <v>6387</v>
      </c>
      <c r="F2830"/>
      <c r="H2830" s="1">
        <v>13151</v>
      </c>
      <c r="I2830"/>
      <c r="J2830" t="s">
        <v>6388</v>
      </c>
      <c r="K2830" s="170">
        <v>45961</v>
      </c>
      <c r="L2830" s="1">
        <v>0</v>
      </c>
      <c r="M2830" s="1">
        <v>46009</v>
      </c>
    </row>
    <row r="2831" spans="1:13" ht="14.4" hidden="1">
      <c r="A2831" t="s">
        <v>528</v>
      </c>
      <c r="B2831" s="1">
        <v>92</v>
      </c>
      <c r="C2831" s="258" t="s">
        <v>6389</v>
      </c>
      <c r="D2831" t="s">
        <v>1211</v>
      </c>
      <c r="E2831" t="s">
        <v>1169</v>
      </c>
      <c r="F2831">
        <v>1058756.23</v>
      </c>
      <c r="G2831">
        <v>0.1</v>
      </c>
      <c r="H2831" s="1">
        <v>105875.62300000001</v>
      </c>
      <c r="I2831"/>
      <c r="J2831" t="s">
        <v>6323</v>
      </c>
      <c r="K2831" s="170">
        <v>45900</v>
      </c>
      <c r="L2831" s="1">
        <v>106236.4375</v>
      </c>
      <c r="M2831" s="1">
        <v>45883</v>
      </c>
    </row>
    <row r="2832" spans="1:13" ht="14.4" hidden="1">
      <c r="A2832" t="s">
        <v>528</v>
      </c>
      <c r="B2832" s="1">
        <v>93</v>
      </c>
      <c r="C2832" s="258" t="s">
        <v>6390</v>
      </c>
      <c r="D2832" t="s">
        <v>1211</v>
      </c>
      <c r="E2832" t="s">
        <v>558</v>
      </c>
      <c r="F2832"/>
      <c r="G2832">
        <v>0.15</v>
      </c>
      <c r="H2832" s="1">
        <v>158813.4345</v>
      </c>
      <c r="I2832"/>
      <c r="J2832" t="s">
        <v>6323</v>
      </c>
      <c r="K2832" s="170">
        <v>45900</v>
      </c>
      <c r="L2832" s="1">
        <v>159354.65625</v>
      </c>
      <c r="M2832" s="1">
        <v>45898</v>
      </c>
    </row>
    <row r="2833" spans="1:14" ht="14.4" hidden="1">
      <c r="A2833" t="s">
        <v>528</v>
      </c>
      <c r="B2833" s="1">
        <v>94</v>
      </c>
      <c r="C2833" s="258" t="s">
        <v>6391</v>
      </c>
      <c r="D2833" t="s">
        <v>1211</v>
      </c>
      <c r="E2833" t="s">
        <v>1175</v>
      </c>
      <c r="F2833"/>
      <c r="G2833">
        <v>0.2</v>
      </c>
      <c r="H2833" s="1">
        <v>211751.24600000001</v>
      </c>
      <c r="I2833"/>
      <c r="J2833" t="s">
        <v>6323</v>
      </c>
      <c r="K2833" s="170">
        <v>45900</v>
      </c>
      <c r="L2833" s="1">
        <v>212472.875</v>
      </c>
      <c r="M2833" s="1">
        <v>45946</v>
      </c>
    </row>
    <row r="2834" spans="1:14" ht="14.4" hidden="1">
      <c r="A2834" t="s">
        <v>528</v>
      </c>
      <c r="B2834" s="1">
        <v>95</v>
      </c>
      <c r="C2834" s="258" t="s">
        <v>6392</v>
      </c>
      <c r="D2834" t="s">
        <v>1211</v>
      </c>
      <c r="E2834" t="s">
        <v>1178</v>
      </c>
      <c r="F2834"/>
      <c r="G2834">
        <v>0.25</v>
      </c>
      <c r="H2834" s="1">
        <v>264689.0575</v>
      </c>
      <c r="I2834"/>
      <c r="J2834" t="s">
        <v>6323</v>
      </c>
      <c r="K2834" s="170">
        <v>45900</v>
      </c>
      <c r="L2834" s="1">
        <v>265591.09375</v>
      </c>
      <c r="M2834" s="1">
        <v>45946</v>
      </c>
    </row>
    <row r="2835" spans="1:14" ht="14.4" hidden="1">
      <c r="A2835" t="s">
        <v>528</v>
      </c>
      <c r="B2835" s="1">
        <v>96</v>
      </c>
      <c r="C2835" s="258" t="s">
        <v>6393</v>
      </c>
      <c r="D2835" t="s">
        <v>1211</v>
      </c>
      <c r="E2835" t="s">
        <v>1181</v>
      </c>
      <c r="F2835"/>
      <c r="G2835">
        <v>0.1</v>
      </c>
      <c r="H2835" s="1">
        <v>105875.62300000001</v>
      </c>
      <c r="I2835"/>
      <c r="J2835" t="s">
        <v>6323</v>
      </c>
      <c r="K2835" s="170">
        <v>45900</v>
      </c>
      <c r="L2835" s="1">
        <v>106236.4375</v>
      </c>
      <c r="M2835" s="1">
        <v>45989</v>
      </c>
    </row>
    <row r="2836" spans="1:14" ht="14.4" hidden="1">
      <c r="A2836" t="s">
        <v>528</v>
      </c>
      <c r="B2836" s="1">
        <v>97</v>
      </c>
      <c r="C2836" s="258" t="s">
        <v>6394</v>
      </c>
      <c r="D2836" t="s">
        <v>1211</v>
      </c>
      <c r="E2836" t="s">
        <v>1184</v>
      </c>
      <c r="F2836"/>
      <c r="G2836">
        <v>0.1</v>
      </c>
      <c r="H2836" s="1">
        <v>105875.62300000001</v>
      </c>
      <c r="I2836"/>
      <c r="J2836" t="s">
        <v>6323</v>
      </c>
      <c r="K2836" s="170">
        <v>45900</v>
      </c>
      <c r="L2836" s="1">
        <v>106236.4375</v>
      </c>
      <c r="M2836" s="1">
        <v>45996</v>
      </c>
    </row>
    <row r="2837" spans="1:14" ht="14.4" hidden="1">
      <c r="A2837" t="s">
        <v>528</v>
      </c>
      <c r="B2837" s="1">
        <v>98</v>
      </c>
      <c r="C2837" s="258" t="s">
        <v>6395</v>
      </c>
      <c r="D2837" t="s">
        <v>1211</v>
      </c>
      <c r="E2837" t="s">
        <v>1187</v>
      </c>
      <c r="F2837"/>
      <c r="G2837">
        <v>0.05</v>
      </c>
      <c r="H2837" s="1">
        <v>52937.811500000003</v>
      </c>
      <c r="I2837"/>
      <c r="J2837" t="s">
        <v>6323</v>
      </c>
      <c r="K2837" s="170">
        <v>45900</v>
      </c>
      <c r="L2837" s="1">
        <v>53118.21875</v>
      </c>
      <c r="M2837" s="1">
        <v>45996</v>
      </c>
    </row>
    <row r="2838" spans="1:14" ht="14.4" hidden="1">
      <c r="A2838" t="s">
        <v>528</v>
      </c>
      <c r="B2838" s="1">
        <v>99</v>
      </c>
      <c r="C2838" s="258" t="s">
        <v>6396</v>
      </c>
      <c r="D2838" t="s">
        <v>1211</v>
      </c>
      <c r="E2838" t="s">
        <v>1190</v>
      </c>
      <c r="F2838"/>
      <c r="G2838">
        <v>0.05</v>
      </c>
      <c r="H2838" s="1">
        <v>52937.811500000003</v>
      </c>
      <c r="I2838"/>
      <c r="J2838" t="s">
        <v>6323</v>
      </c>
      <c r="K2838" s="170">
        <v>45900</v>
      </c>
      <c r="L2838" s="1">
        <v>53118.21875</v>
      </c>
      <c r="M2838" s="1">
        <v>46015</v>
      </c>
    </row>
    <row r="2839" spans="1:14" ht="14.4" hidden="1">
      <c r="A2839" t="s">
        <v>528</v>
      </c>
      <c r="B2839" s="1">
        <v>104</v>
      </c>
      <c r="C2839" s="258" t="s">
        <v>6397</v>
      </c>
      <c r="D2839" t="s">
        <v>1316</v>
      </c>
      <c r="E2839" t="s">
        <v>6398</v>
      </c>
      <c r="F2839">
        <v>2</v>
      </c>
      <c r="G2839">
        <v>673930</v>
      </c>
      <c r="H2839" s="1">
        <v>1347860</v>
      </c>
      <c r="I2839" t="s">
        <v>6399</v>
      </c>
      <c r="J2839" t="s">
        <v>6400</v>
      </c>
      <c r="K2839" s="170">
        <v>45869</v>
      </c>
      <c r="L2839" s="1">
        <v>2342698.6135199242</v>
      </c>
      <c r="M2839" s="1">
        <v>45900</v>
      </c>
      <c r="N2839" s="1">
        <v>2378460</v>
      </c>
    </row>
    <row r="2840" spans="1:14" ht="14.4" hidden="1">
      <c r="A2840" t="s">
        <v>528</v>
      </c>
      <c r="B2840" s="1">
        <v>105</v>
      </c>
      <c r="C2840" s="258" t="s">
        <v>6401</v>
      </c>
      <c r="D2840" t="s">
        <v>1316</v>
      </c>
      <c r="E2840" t="s">
        <v>6402</v>
      </c>
      <c r="F2840">
        <v>2</v>
      </c>
      <c r="G2840">
        <v>316900</v>
      </c>
      <c r="H2840" s="1">
        <v>633800</v>
      </c>
      <c r="I2840"/>
      <c r="J2840" t="s">
        <v>6400</v>
      </c>
      <c r="K2840" s="170">
        <v>45869</v>
      </c>
      <c r="L2840" s="1">
        <v>1101599.8555109047</v>
      </c>
      <c r="M2840" s="1">
        <v>45900</v>
      </c>
    </row>
    <row r="2841" spans="1:14" ht="14.4" hidden="1">
      <c r="A2841" t="s">
        <v>528</v>
      </c>
      <c r="B2841" s="1">
        <v>107</v>
      </c>
      <c r="C2841" s="258" t="s">
        <v>6403</v>
      </c>
      <c r="D2841" t="s">
        <v>1316</v>
      </c>
      <c r="E2841" t="s">
        <v>6404</v>
      </c>
      <c r="F2841">
        <v>0.5</v>
      </c>
      <c r="G2841">
        <v>396800</v>
      </c>
      <c r="H2841" s="1">
        <v>198400</v>
      </c>
      <c r="I2841" t="s">
        <v>6405</v>
      </c>
      <c r="J2841" t="s">
        <v>6406</v>
      </c>
      <c r="K2841" s="170">
        <v>45900</v>
      </c>
      <c r="L2841" s="1">
        <v>286784.43698216981</v>
      </c>
      <c r="M2841" s="1">
        <v>45890</v>
      </c>
    </row>
    <row r="2842" spans="1:14" ht="14.4" hidden="1">
      <c r="A2842" t="s">
        <v>528</v>
      </c>
      <c r="B2842" s="1">
        <v>108</v>
      </c>
      <c r="C2842" s="258" t="s">
        <v>6407</v>
      </c>
      <c r="D2842" t="s">
        <v>1316</v>
      </c>
      <c r="E2842" t="s">
        <v>6408</v>
      </c>
      <c r="F2842">
        <v>0.5</v>
      </c>
      <c r="H2842" s="1">
        <v>31388.959999999992</v>
      </c>
      <c r="I2842"/>
      <c r="J2842" t="s">
        <v>6406</v>
      </c>
      <c r="K2842" s="170">
        <v>45900</v>
      </c>
      <c r="L2842" s="1">
        <v>286784.43698216981</v>
      </c>
      <c r="M2842" s="1">
        <v>46081</v>
      </c>
    </row>
    <row r="2843" spans="1:14" ht="14.4" hidden="1">
      <c r="A2843" t="s">
        <v>528</v>
      </c>
      <c r="B2843" s="1">
        <v>109</v>
      </c>
      <c r="C2843" s="258" t="s">
        <v>6409</v>
      </c>
      <c r="D2843" t="s">
        <v>1316</v>
      </c>
      <c r="F2843"/>
      <c r="H2843" s="1">
        <v>167011.04</v>
      </c>
      <c r="I2843"/>
      <c r="J2843" t="s">
        <v>6406</v>
      </c>
      <c r="K2843" s="170">
        <v>45900</v>
      </c>
      <c r="L2843" s="1">
        <v>0</v>
      </c>
      <c r="M2843" s="1">
        <v>45967</v>
      </c>
    </row>
    <row r="2844" spans="1:14" ht="14.4" hidden="1">
      <c r="A2844" t="s">
        <v>528</v>
      </c>
      <c r="B2844" s="1">
        <v>113</v>
      </c>
      <c r="C2844" s="258" t="s">
        <v>6410</v>
      </c>
      <c r="D2844" t="s">
        <v>1224</v>
      </c>
      <c r="E2844" t="s">
        <v>6411</v>
      </c>
      <c r="F2844"/>
      <c r="H2844" s="1">
        <v>120223.89</v>
      </c>
      <c r="I2844" t="s">
        <v>6412</v>
      </c>
      <c r="J2844" t="s">
        <v>6413</v>
      </c>
      <c r="K2844" s="170">
        <v>45991</v>
      </c>
      <c r="L2844" s="1">
        <v>0</v>
      </c>
      <c r="M2844" s="1">
        <v>45989</v>
      </c>
      <c r="N2844" s="1">
        <v>256749.19</v>
      </c>
    </row>
    <row r="2845" spans="1:14" ht="14.4" hidden="1">
      <c r="A2845" t="s">
        <v>528</v>
      </c>
      <c r="B2845" s="1">
        <v>116</v>
      </c>
      <c r="C2845" s="258" t="s">
        <v>6414</v>
      </c>
      <c r="D2845" t="s">
        <v>1224</v>
      </c>
      <c r="E2845" t="s">
        <v>6415</v>
      </c>
      <c r="F2845"/>
      <c r="H2845" s="1">
        <v>0</v>
      </c>
      <c r="I2845"/>
      <c r="J2845"/>
      <c r="K2845" s="170"/>
      <c r="L2845" s="1">
        <v>0</v>
      </c>
    </row>
    <row r="2846" spans="1:14" ht="14.4" hidden="1">
      <c r="A2846" t="s">
        <v>528</v>
      </c>
      <c r="B2846" s="1">
        <v>117</v>
      </c>
      <c r="C2846" s="258" t="s">
        <v>6416</v>
      </c>
      <c r="D2846" t="s">
        <v>1224</v>
      </c>
      <c r="E2846" t="s">
        <v>6417</v>
      </c>
      <c r="F2846">
        <v>4</v>
      </c>
      <c r="H2846" s="1">
        <v>20597.8</v>
      </c>
      <c r="I2846"/>
      <c r="J2846" t="s">
        <v>6418</v>
      </c>
      <c r="K2846" s="170">
        <v>45961</v>
      </c>
      <c r="L2846" s="1">
        <v>0</v>
      </c>
      <c r="M2846" s="1">
        <v>45989</v>
      </c>
    </row>
    <row r="2847" spans="1:14" ht="14.4" hidden="1">
      <c r="A2847" t="s">
        <v>528</v>
      </c>
      <c r="B2847" s="1">
        <v>120</v>
      </c>
      <c r="C2847" s="258" t="s">
        <v>6419</v>
      </c>
      <c r="D2847" t="s">
        <v>1224</v>
      </c>
      <c r="E2847" t="s">
        <v>6420</v>
      </c>
      <c r="F2847"/>
      <c r="H2847" s="1">
        <v>18995</v>
      </c>
      <c r="I2847" t="s">
        <v>6421</v>
      </c>
      <c r="J2847"/>
      <c r="K2847" s="170">
        <v>46081</v>
      </c>
      <c r="M2847" s="1">
        <v>46079</v>
      </c>
    </row>
    <row r="2848" spans="1:14" ht="14.4" hidden="1">
      <c r="A2848" t="s">
        <v>528</v>
      </c>
      <c r="B2848" s="1">
        <v>121</v>
      </c>
      <c r="C2848" s="258" t="s">
        <v>6422</v>
      </c>
      <c r="D2848" t="s">
        <v>1224</v>
      </c>
      <c r="E2848" t="s">
        <v>6423</v>
      </c>
      <c r="F2848"/>
      <c r="H2848" s="1">
        <v>11229.25</v>
      </c>
      <c r="I2848" t="s">
        <v>6424</v>
      </c>
      <c r="J2848" t="s">
        <v>6425</v>
      </c>
      <c r="K2848" s="170">
        <v>45991</v>
      </c>
      <c r="M2848" s="1">
        <v>45980</v>
      </c>
    </row>
    <row r="2849" spans="1:13" ht="14.4" hidden="1">
      <c r="A2849" t="s">
        <v>528</v>
      </c>
      <c r="B2849" s="1">
        <v>124</v>
      </c>
      <c r="C2849" s="258" t="s">
        <v>6426</v>
      </c>
      <c r="D2849" t="s">
        <v>1224</v>
      </c>
      <c r="E2849" t="s">
        <v>6427</v>
      </c>
      <c r="F2849"/>
      <c r="H2849" s="1">
        <v>7600</v>
      </c>
      <c r="I2849"/>
      <c r="J2849" t="s">
        <v>6428</v>
      </c>
      <c r="K2849" s="170">
        <v>45991</v>
      </c>
      <c r="M2849" s="1">
        <v>45974</v>
      </c>
    </row>
    <row r="2850" spans="1:13" ht="14.4" hidden="1">
      <c r="A2850" t="s">
        <v>528</v>
      </c>
      <c r="B2850" s="1">
        <v>130</v>
      </c>
      <c r="C2850" s="258" t="s">
        <v>6429</v>
      </c>
      <c r="D2850" t="s">
        <v>1224</v>
      </c>
      <c r="E2850" t="s">
        <v>1547</v>
      </c>
      <c r="F2850"/>
      <c r="H2850" s="1">
        <v>12508.5</v>
      </c>
      <c r="I2850"/>
      <c r="J2850" t="s">
        <v>6430</v>
      </c>
      <c r="K2850" s="170">
        <v>45900</v>
      </c>
      <c r="L2850" s="1">
        <v>56118.152622224297</v>
      </c>
      <c r="M2850" s="1">
        <v>45876</v>
      </c>
    </row>
    <row r="2851" spans="1:13" ht="14.4" hidden="1">
      <c r="A2851" t="s">
        <v>528</v>
      </c>
      <c r="B2851" s="1">
        <v>131</v>
      </c>
      <c r="C2851" s="258" t="s">
        <v>6431</v>
      </c>
      <c r="D2851" t="s">
        <v>1224</v>
      </c>
      <c r="E2851" t="s">
        <v>1547</v>
      </c>
      <c r="F2851"/>
      <c r="H2851" s="1">
        <v>14200</v>
      </c>
      <c r="I2851" t="s">
        <v>6432</v>
      </c>
      <c r="J2851" t="s">
        <v>6433</v>
      </c>
      <c r="K2851" s="170">
        <v>45838</v>
      </c>
      <c r="L2851" s="1">
        <v>16166.77135678392</v>
      </c>
      <c r="M2851" s="1">
        <v>45841</v>
      </c>
    </row>
    <row r="2852" spans="1:13" ht="14.4" hidden="1">
      <c r="A2852" t="s">
        <v>528</v>
      </c>
      <c r="B2852" s="1">
        <v>132</v>
      </c>
      <c r="C2852" s="258" t="s">
        <v>6434</v>
      </c>
      <c r="D2852" t="s">
        <v>1224</v>
      </c>
      <c r="E2852" t="s">
        <v>6075</v>
      </c>
      <c r="F2852"/>
      <c r="H2852" s="1">
        <v>9900</v>
      </c>
      <c r="I2852" t="s">
        <v>6435</v>
      </c>
      <c r="J2852" t="s">
        <v>6436</v>
      </c>
      <c r="K2852" s="170">
        <v>45900</v>
      </c>
      <c r="L2852" s="1">
        <v>46812.807552009661</v>
      </c>
      <c r="M2852" s="1">
        <v>45904</v>
      </c>
    </row>
    <row r="2853" spans="1:13" ht="14.4" hidden="1">
      <c r="A2853" t="s">
        <v>528</v>
      </c>
      <c r="B2853" s="1">
        <v>133</v>
      </c>
      <c r="C2853" s="258" t="s">
        <v>6437</v>
      </c>
      <c r="D2853" t="s">
        <v>1224</v>
      </c>
      <c r="E2853" t="s">
        <v>1547</v>
      </c>
      <c r="F2853"/>
      <c r="H2853" s="1">
        <v>14200</v>
      </c>
      <c r="I2853"/>
      <c r="J2853" t="s">
        <v>6438</v>
      </c>
      <c r="K2853" s="170">
        <v>45900</v>
      </c>
      <c r="L2853" s="1">
        <v>62152.26846898222</v>
      </c>
      <c r="M2853" s="1">
        <v>45900</v>
      </c>
    </row>
    <row r="2854" spans="1:13" ht="14.4" hidden="1">
      <c r="A2854" t="s">
        <v>528</v>
      </c>
      <c r="B2854" s="1">
        <v>134</v>
      </c>
      <c r="C2854" s="258" t="s">
        <v>6439</v>
      </c>
      <c r="D2854" t="s">
        <v>1224</v>
      </c>
      <c r="E2854" t="s">
        <v>6440</v>
      </c>
      <c r="F2854"/>
      <c r="H2854" s="1">
        <v>0</v>
      </c>
      <c r="I2854"/>
      <c r="J2854"/>
      <c r="K2854" s="170"/>
    </row>
    <row r="2855" spans="1:13" ht="14.4" hidden="1">
      <c r="A2855" t="s">
        <v>528</v>
      </c>
      <c r="B2855" s="1">
        <v>135</v>
      </c>
      <c r="C2855" s="258" t="s">
        <v>6441</v>
      </c>
      <c r="D2855" t="s">
        <v>1224</v>
      </c>
      <c r="E2855" t="s">
        <v>6442</v>
      </c>
      <c r="F2855"/>
      <c r="H2855" s="1">
        <v>27294.75</v>
      </c>
      <c r="I2855" t="s">
        <v>6443</v>
      </c>
      <c r="J2855"/>
      <c r="K2855" s="170">
        <v>46081</v>
      </c>
      <c r="L2855" s="1">
        <v>0</v>
      </c>
      <c r="M2855" s="1">
        <v>46081</v>
      </c>
    </row>
    <row r="2856" spans="1:13" ht="14.4" hidden="1">
      <c r="A2856" t="s">
        <v>528</v>
      </c>
      <c r="B2856" s="1">
        <v>138</v>
      </c>
      <c r="C2856" s="258" t="s">
        <v>6444</v>
      </c>
      <c r="D2856" t="s">
        <v>1246</v>
      </c>
      <c r="E2856" t="s">
        <v>1169</v>
      </c>
      <c r="F2856">
        <v>900817.81</v>
      </c>
      <c r="G2856">
        <v>0.1</v>
      </c>
      <c r="H2856" s="1">
        <v>90081.781000000017</v>
      </c>
      <c r="I2856"/>
      <c r="J2856" t="s">
        <v>6323</v>
      </c>
      <c r="K2856" s="170">
        <v>45900</v>
      </c>
      <c r="L2856" s="1">
        <v>77247.191011235962</v>
      </c>
      <c r="M2856" s="1">
        <v>45883</v>
      </c>
    </row>
    <row r="2857" spans="1:13" ht="14.4" hidden="1">
      <c r="A2857" t="s">
        <v>528</v>
      </c>
      <c r="B2857" s="1">
        <v>139</v>
      </c>
      <c r="C2857" s="258" t="s">
        <v>6445</v>
      </c>
      <c r="D2857" t="s">
        <v>1246</v>
      </c>
      <c r="E2857" t="s">
        <v>558</v>
      </c>
      <c r="F2857"/>
      <c r="G2857">
        <v>0.15</v>
      </c>
      <c r="H2857" s="1">
        <v>135122.6715</v>
      </c>
      <c r="I2857"/>
      <c r="J2857" t="s">
        <v>6323</v>
      </c>
      <c r="K2857" s="170">
        <v>45900</v>
      </c>
      <c r="L2857" s="1">
        <v>115870.78651685391</v>
      </c>
      <c r="M2857" s="1">
        <v>45898</v>
      </c>
    </row>
    <row r="2858" spans="1:13" ht="14.4" hidden="1">
      <c r="A2858" t="s">
        <v>528</v>
      </c>
      <c r="B2858" s="1">
        <v>140</v>
      </c>
      <c r="C2858" s="258" t="s">
        <v>6446</v>
      </c>
      <c r="D2858" t="s">
        <v>1246</v>
      </c>
      <c r="E2858" t="s">
        <v>1175</v>
      </c>
      <c r="F2858"/>
      <c r="G2858">
        <v>0.2</v>
      </c>
      <c r="H2858" s="1">
        <v>180163.56200000003</v>
      </c>
      <c r="I2858"/>
      <c r="J2858" t="s">
        <v>6323</v>
      </c>
      <c r="K2858" s="170">
        <v>45930</v>
      </c>
      <c r="L2858" s="1">
        <v>154494.38202247195</v>
      </c>
      <c r="M2858" s="1">
        <v>45946</v>
      </c>
    </row>
    <row r="2859" spans="1:13" ht="14.4" hidden="1">
      <c r="A2859" t="s">
        <v>528</v>
      </c>
      <c r="B2859" s="1">
        <v>141</v>
      </c>
      <c r="C2859" s="258" t="s">
        <v>6447</v>
      </c>
      <c r="D2859" t="s">
        <v>1246</v>
      </c>
      <c r="E2859" t="s">
        <v>1178</v>
      </c>
      <c r="F2859"/>
      <c r="G2859">
        <v>0.25</v>
      </c>
      <c r="H2859" s="1">
        <v>225204.45250000001</v>
      </c>
      <c r="I2859"/>
      <c r="J2859" t="s">
        <v>6323</v>
      </c>
      <c r="K2859" s="170">
        <v>45961</v>
      </c>
      <c r="L2859" s="1">
        <v>189849.53326426129</v>
      </c>
      <c r="M2859" s="1">
        <v>45946</v>
      </c>
    </row>
    <row r="2860" spans="1:13" ht="14.4" hidden="1">
      <c r="A2860" t="s">
        <v>528</v>
      </c>
      <c r="B2860" s="1">
        <v>142</v>
      </c>
      <c r="C2860" s="258" t="s">
        <v>6448</v>
      </c>
      <c r="D2860" t="s">
        <v>1246</v>
      </c>
      <c r="E2860" t="s">
        <v>1181</v>
      </c>
      <c r="F2860"/>
      <c r="G2860">
        <v>0.1</v>
      </c>
      <c r="H2860" s="1">
        <v>90081.781000000017</v>
      </c>
      <c r="I2860"/>
      <c r="J2860" t="s">
        <v>6323</v>
      </c>
      <c r="K2860" s="170">
        <v>45961</v>
      </c>
      <c r="L2860" s="1">
        <v>78336.673305704506</v>
      </c>
      <c r="M2860" s="1">
        <v>45989</v>
      </c>
    </row>
    <row r="2861" spans="1:13" ht="14.4" hidden="1">
      <c r="A2861" t="s">
        <v>528</v>
      </c>
      <c r="B2861" s="1">
        <v>143</v>
      </c>
      <c r="C2861" s="258" t="s">
        <v>6449</v>
      </c>
      <c r="D2861" t="s">
        <v>1246</v>
      </c>
      <c r="E2861" t="s">
        <v>1184</v>
      </c>
      <c r="F2861"/>
      <c r="G2861">
        <v>0.1</v>
      </c>
      <c r="H2861" s="1">
        <v>90081.781000000017</v>
      </c>
      <c r="I2861"/>
      <c r="J2861" t="s">
        <v>6323</v>
      </c>
      <c r="K2861" s="170">
        <v>45961</v>
      </c>
      <c r="L2861" s="1">
        <v>78336.673305704506</v>
      </c>
      <c r="M2861" s="1">
        <v>45996</v>
      </c>
    </row>
    <row r="2862" spans="1:13" ht="14.4" hidden="1">
      <c r="A2862" t="s">
        <v>528</v>
      </c>
      <c r="B2862" s="1">
        <v>144</v>
      </c>
      <c r="C2862" s="258" t="s">
        <v>6450</v>
      </c>
      <c r="D2862" t="s">
        <v>1246</v>
      </c>
      <c r="E2862" t="s">
        <v>1187</v>
      </c>
      <c r="F2862"/>
      <c r="G2862">
        <v>0.05</v>
      </c>
      <c r="H2862" s="1">
        <v>45040.890500000009</v>
      </c>
      <c r="I2862"/>
      <c r="J2862" t="s">
        <v>6323</v>
      </c>
      <c r="K2862" s="170">
        <v>45961</v>
      </c>
      <c r="L2862" s="1">
        <v>39168.336652852253</v>
      </c>
      <c r="M2862" s="1">
        <v>45996</v>
      </c>
    </row>
    <row r="2863" spans="1:13" ht="14.4" hidden="1">
      <c r="A2863" t="s">
        <v>528</v>
      </c>
      <c r="B2863" s="1">
        <v>145</v>
      </c>
      <c r="C2863" s="258" t="s">
        <v>6451</v>
      </c>
      <c r="D2863" t="s">
        <v>1246</v>
      </c>
      <c r="E2863" t="s">
        <v>1190</v>
      </c>
      <c r="F2863"/>
      <c r="G2863">
        <v>0.05</v>
      </c>
      <c r="H2863" s="1">
        <v>45040.890500000009</v>
      </c>
      <c r="I2863"/>
      <c r="J2863" t="s">
        <v>6323</v>
      </c>
      <c r="K2863" s="170">
        <v>45961</v>
      </c>
      <c r="L2863" s="1">
        <v>39168.336652852253</v>
      </c>
      <c r="M2863" s="1">
        <v>46015</v>
      </c>
    </row>
    <row r="2864" spans="1:13" ht="14.4" hidden="1">
      <c r="A2864" t="s">
        <v>528</v>
      </c>
      <c r="B2864" s="1">
        <v>147</v>
      </c>
      <c r="C2864" s="258" t="s">
        <v>6452</v>
      </c>
      <c r="D2864" t="s">
        <v>1246</v>
      </c>
      <c r="E2864" t="s">
        <v>6453</v>
      </c>
      <c r="F2864"/>
      <c r="H2864" s="1">
        <v>0</v>
      </c>
      <c r="I2864"/>
      <c r="J2864"/>
      <c r="K2864" s="170">
        <v>46022</v>
      </c>
      <c r="L2864" s="1">
        <v>0</v>
      </c>
      <c r="M2864" s="1">
        <v>46022</v>
      </c>
    </row>
    <row r="2865" spans="1:13" ht="14.4" hidden="1">
      <c r="A2865" t="s">
        <v>528</v>
      </c>
      <c r="B2865" s="1">
        <v>151</v>
      </c>
      <c r="C2865" s="258" t="s">
        <v>6454</v>
      </c>
      <c r="D2865" t="s">
        <v>1255</v>
      </c>
      <c r="E2865" t="s">
        <v>6455</v>
      </c>
      <c r="F2865"/>
      <c r="H2865" s="1">
        <v>6100</v>
      </c>
      <c r="I2865"/>
      <c r="J2865" t="s">
        <v>6456</v>
      </c>
      <c r="K2865" s="170">
        <v>45838</v>
      </c>
      <c r="L2865" s="1">
        <v>195.46528088002731</v>
      </c>
      <c r="M2865" s="1">
        <v>45835</v>
      </c>
    </row>
    <row r="2866" spans="1:13" ht="14.4" hidden="1">
      <c r="A2866" t="s">
        <v>528</v>
      </c>
      <c r="B2866" s="1">
        <v>152</v>
      </c>
      <c r="C2866" s="258" t="s">
        <v>6457</v>
      </c>
      <c r="D2866" t="s">
        <v>1255</v>
      </c>
      <c r="F2866"/>
      <c r="H2866" s="1">
        <v>100</v>
      </c>
      <c r="I2866"/>
      <c r="J2866" t="s">
        <v>6458</v>
      </c>
      <c r="K2866" s="170">
        <v>45838</v>
      </c>
      <c r="L2866" s="1">
        <v>3.204348866885693</v>
      </c>
      <c r="M2866" s="1">
        <v>45876</v>
      </c>
    </row>
    <row r="2867" spans="1:13" ht="14.4" hidden="1">
      <c r="A2867" t="s">
        <v>528</v>
      </c>
      <c r="B2867" s="1">
        <v>153</v>
      </c>
      <c r="C2867" s="258" t="s">
        <v>6459</v>
      </c>
      <c r="D2867" t="s">
        <v>1255</v>
      </c>
      <c r="F2867"/>
      <c r="H2867" s="1">
        <v>4900</v>
      </c>
      <c r="I2867"/>
      <c r="J2867" t="s">
        <v>6460</v>
      </c>
      <c r="K2867" s="170">
        <v>45869</v>
      </c>
      <c r="L2867" s="1">
        <v>267.04030349143488</v>
      </c>
      <c r="M2867" s="1">
        <v>45890</v>
      </c>
    </row>
    <row r="2868" spans="1:13" ht="14.4" hidden="1">
      <c r="A2868" t="s">
        <v>528</v>
      </c>
      <c r="B2868" s="1">
        <v>154</v>
      </c>
      <c r="C2868" s="258" t="s">
        <v>6461</v>
      </c>
      <c r="D2868" t="s">
        <v>1255</v>
      </c>
      <c r="E2868" t="s">
        <v>1557</v>
      </c>
      <c r="F2868"/>
      <c r="H2868" s="1">
        <v>620</v>
      </c>
      <c r="I2868"/>
      <c r="J2868" t="s">
        <v>6462</v>
      </c>
      <c r="K2868" s="170">
        <v>45869</v>
      </c>
      <c r="L2868" s="1">
        <v>44.785466972385635</v>
      </c>
      <c r="M2868" s="1">
        <v>45899</v>
      </c>
    </row>
    <row r="2869" spans="1:13" ht="14.4" hidden="1">
      <c r="A2869" t="s">
        <v>528</v>
      </c>
      <c r="B2869" s="1">
        <v>155</v>
      </c>
      <c r="C2869" s="258" t="s">
        <v>6463</v>
      </c>
      <c r="D2869" t="s">
        <v>1255</v>
      </c>
      <c r="E2869" t="s">
        <v>1560</v>
      </c>
      <c r="F2869"/>
      <c r="H2869" s="1">
        <v>600</v>
      </c>
      <c r="I2869"/>
      <c r="J2869" t="s">
        <v>6464</v>
      </c>
      <c r="K2869" s="170">
        <v>45900</v>
      </c>
      <c r="L2869" s="1">
        <v>24.663003621551457</v>
      </c>
      <c r="M2869" s="1">
        <v>45930</v>
      </c>
    </row>
    <row r="2870" spans="1:13" ht="14.4" hidden="1">
      <c r="A2870" t="s">
        <v>528</v>
      </c>
      <c r="B2870" s="1">
        <v>156</v>
      </c>
      <c r="C2870" s="258" t="s">
        <v>6465</v>
      </c>
      <c r="D2870" t="s">
        <v>1255</v>
      </c>
      <c r="F2870"/>
      <c r="H2870" s="1">
        <v>6900</v>
      </c>
      <c r="I2870"/>
      <c r="J2870" t="s">
        <v>6466</v>
      </c>
      <c r="K2870" s="170">
        <v>45900</v>
      </c>
      <c r="L2870" s="1">
        <v>0</v>
      </c>
      <c r="M2870" s="1">
        <v>45930</v>
      </c>
    </row>
    <row r="2871" spans="1:13" ht="14.4" hidden="1">
      <c r="A2871" t="s">
        <v>528</v>
      </c>
      <c r="B2871" s="1">
        <v>157</v>
      </c>
      <c r="C2871" s="258" t="s">
        <v>6467</v>
      </c>
      <c r="D2871" t="s">
        <v>1255</v>
      </c>
      <c r="F2871"/>
      <c r="H2871" s="1">
        <v>0</v>
      </c>
      <c r="I2871"/>
      <c r="J2871" t="s">
        <v>6468</v>
      </c>
      <c r="K2871" s="170">
        <v>45900</v>
      </c>
      <c r="L2871" s="1">
        <v>0</v>
      </c>
      <c r="M2871" s="1">
        <v>45930</v>
      </c>
    </row>
    <row r="2872" spans="1:13" ht="14.4" hidden="1">
      <c r="A2872" t="s">
        <v>528</v>
      </c>
      <c r="B2872" s="1">
        <v>158</v>
      </c>
      <c r="C2872" s="258" t="s">
        <v>6469</v>
      </c>
      <c r="D2872" t="s">
        <v>1255</v>
      </c>
      <c r="E2872" t="s">
        <v>1569</v>
      </c>
      <c r="F2872"/>
      <c r="H2872" s="1">
        <v>620</v>
      </c>
      <c r="I2872"/>
      <c r="J2872" t="s">
        <v>6470</v>
      </c>
      <c r="K2872" s="170">
        <v>45930</v>
      </c>
      <c r="M2872" s="1">
        <v>45961</v>
      </c>
    </row>
    <row r="2873" spans="1:13" ht="14.4" hidden="1">
      <c r="A2873" t="s">
        <v>528</v>
      </c>
      <c r="B2873" s="1">
        <v>159</v>
      </c>
      <c r="C2873" s="258" t="s">
        <v>6471</v>
      </c>
      <c r="D2873" t="s">
        <v>1255</v>
      </c>
      <c r="F2873"/>
      <c r="H2873" s="1">
        <v>-5700</v>
      </c>
      <c r="I2873"/>
      <c r="J2873" t="s">
        <v>6472</v>
      </c>
      <c r="K2873" s="170">
        <v>45900</v>
      </c>
      <c r="L2873" s="1">
        <v>0</v>
      </c>
      <c r="M2873" s="1">
        <v>45930</v>
      </c>
    </row>
    <row r="2874" spans="1:13" ht="14.4" hidden="1">
      <c r="A2874" t="s">
        <v>528</v>
      </c>
      <c r="B2874" s="1">
        <v>160</v>
      </c>
      <c r="C2874" s="258" t="s">
        <v>6473</v>
      </c>
      <c r="D2874" t="s">
        <v>1255</v>
      </c>
      <c r="F2874"/>
      <c r="H2874" s="1">
        <v>-6100</v>
      </c>
      <c r="I2874"/>
      <c r="J2874" t="s">
        <v>6474</v>
      </c>
      <c r="K2874" s="170">
        <v>45900</v>
      </c>
      <c r="L2874" s="1">
        <v>0</v>
      </c>
      <c r="M2874" s="1">
        <v>45930</v>
      </c>
    </row>
    <row r="2875" spans="1:13" ht="14.4" hidden="1">
      <c r="A2875" t="s">
        <v>528</v>
      </c>
      <c r="B2875" s="1">
        <v>161</v>
      </c>
      <c r="C2875" s="258" t="s">
        <v>6475</v>
      </c>
      <c r="D2875" t="s">
        <v>1255</v>
      </c>
      <c r="E2875" t="s">
        <v>1572</v>
      </c>
      <c r="F2875"/>
      <c r="H2875" s="1">
        <v>600</v>
      </c>
      <c r="I2875"/>
      <c r="J2875" t="s">
        <v>6476</v>
      </c>
      <c r="K2875" s="170">
        <v>45961</v>
      </c>
      <c r="L2875" s="1">
        <v>0</v>
      </c>
      <c r="M2875" s="1">
        <v>45974</v>
      </c>
    </row>
    <row r="2876" spans="1:13" ht="14.4" hidden="1">
      <c r="A2876" t="s">
        <v>528</v>
      </c>
      <c r="B2876" s="1">
        <v>162</v>
      </c>
      <c r="C2876" s="258" t="s">
        <v>6477</v>
      </c>
      <c r="D2876" t="s">
        <v>1255</v>
      </c>
      <c r="E2876" t="s">
        <v>1575</v>
      </c>
      <c r="F2876"/>
      <c r="H2876" s="1">
        <v>620</v>
      </c>
      <c r="I2876"/>
      <c r="J2876" t="s">
        <v>6478</v>
      </c>
      <c r="K2876" s="170">
        <v>45991</v>
      </c>
      <c r="L2876" s="1">
        <v>0</v>
      </c>
      <c r="M2876" s="1">
        <v>45995</v>
      </c>
    </row>
    <row r="2877" spans="1:13" ht="14.4" hidden="1">
      <c r="A2877" t="s">
        <v>528</v>
      </c>
      <c r="B2877" s="1">
        <v>163</v>
      </c>
      <c r="C2877" s="258" t="s">
        <v>6479</v>
      </c>
      <c r="D2877" t="s">
        <v>1255</v>
      </c>
      <c r="F2877"/>
      <c r="H2877" s="1">
        <v>-400</v>
      </c>
      <c r="I2877"/>
      <c r="J2877" t="s">
        <v>6480</v>
      </c>
      <c r="K2877" s="170">
        <v>46022</v>
      </c>
      <c r="M2877" s="1">
        <v>46031</v>
      </c>
    </row>
    <row r="2878" spans="1:13" ht="14.4" hidden="1">
      <c r="A2878" t="s">
        <v>528</v>
      </c>
      <c r="B2878" s="1">
        <v>165</v>
      </c>
      <c r="C2878" s="258" t="s">
        <v>6481</v>
      </c>
      <c r="D2878" t="s">
        <v>1255</v>
      </c>
      <c r="F2878">
        <v>207544.8</v>
      </c>
      <c r="G2878">
        <v>0.1</v>
      </c>
      <c r="H2878" s="1">
        <v>20754.48</v>
      </c>
      <c r="I2878"/>
      <c r="J2878" t="s">
        <v>6323</v>
      </c>
      <c r="K2878" s="170">
        <v>45900</v>
      </c>
      <c r="L2878" s="1">
        <v>901.54014567236197</v>
      </c>
      <c r="M2878" s="1">
        <v>45883</v>
      </c>
    </row>
    <row r="2879" spans="1:13" ht="14.4" hidden="1">
      <c r="A2879" t="s">
        <v>528</v>
      </c>
      <c r="B2879" s="1">
        <v>166</v>
      </c>
      <c r="C2879" s="258" t="s">
        <v>6482</v>
      </c>
      <c r="D2879" t="s">
        <v>1255</v>
      </c>
      <c r="E2879" t="s">
        <v>558</v>
      </c>
      <c r="F2879"/>
      <c r="G2879">
        <v>0.15</v>
      </c>
      <c r="H2879" s="1">
        <v>31131.72</v>
      </c>
      <c r="I2879"/>
      <c r="J2879" t="s">
        <v>6323</v>
      </c>
      <c r="K2879" s="170">
        <v>45900</v>
      </c>
      <c r="L2879" s="1">
        <v>1352.3102185085429</v>
      </c>
      <c r="M2879" s="1">
        <v>45898</v>
      </c>
    </row>
    <row r="2880" spans="1:13" ht="14.4" hidden="1">
      <c r="A2880" t="s">
        <v>528</v>
      </c>
      <c r="B2880" s="1">
        <v>167</v>
      </c>
      <c r="C2880" s="258" t="s">
        <v>6483</v>
      </c>
      <c r="D2880" t="s">
        <v>1255</v>
      </c>
      <c r="E2880" t="s">
        <v>1175</v>
      </c>
      <c r="F2880"/>
      <c r="G2880">
        <v>0.2</v>
      </c>
      <c r="H2880" s="1">
        <v>41508.959999999999</v>
      </c>
      <c r="I2880"/>
      <c r="J2880" t="s">
        <v>6323</v>
      </c>
      <c r="K2880" s="170">
        <v>45900</v>
      </c>
      <c r="L2880" s="1">
        <v>1803.0802913447235</v>
      </c>
      <c r="M2880" s="1">
        <v>45946</v>
      </c>
    </row>
    <row r="2881" spans="1:14" ht="14.4" hidden="1">
      <c r="A2881" t="s">
        <v>528</v>
      </c>
      <c r="B2881" s="1">
        <v>168</v>
      </c>
      <c r="C2881" s="258" t="s">
        <v>6484</v>
      </c>
      <c r="D2881" t="s">
        <v>1255</v>
      </c>
      <c r="E2881" t="s">
        <v>1178</v>
      </c>
      <c r="F2881"/>
      <c r="G2881">
        <v>0.25</v>
      </c>
      <c r="H2881" s="1">
        <v>51886.2</v>
      </c>
      <c r="I2881"/>
      <c r="J2881" t="s">
        <v>6323</v>
      </c>
      <c r="K2881" s="170">
        <v>45961</v>
      </c>
      <c r="L2881" s="1">
        <v>2253.8503641809048</v>
      </c>
      <c r="M2881" s="1">
        <v>45946</v>
      </c>
    </row>
    <row r="2882" spans="1:14" ht="14.4" hidden="1">
      <c r="A2882" t="s">
        <v>528</v>
      </c>
      <c r="B2882" s="1">
        <v>169</v>
      </c>
      <c r="C2882" s="258" t="s">
        <v>6485</v>
      </c>
      <c r="D2882" t="s">
        <v>1255</v>
      </c>
      <c r="E2882" t="s">
        <v>1181</v>
      </c>
      <c r="F2882"/>
      <c r="G2882">
        <v>0.1</v>
      </c>
      <c r="H2882" s="1">
        <v>20754.48</v>
      </c>
      <c r="I2882"/>
      <c r="J2882" t="s">
        <v>6323</v>
      </c>
      <c r="K2882" s="170">
        <v>45961</v>
      </c>
      <c r="L2882" s="1">
        <v>901.54014567236197</v>
      </c>
      <c r="M2882" s="1">
        <v>45989</v>
      </c>
    </row>
    <row r="2883" spans="1:14" ht="14.4" hidden="1">
      <c r="A2883" t="s">
        <v>528</v>
      </c>
      <c r="B2883" s="1">
        <v>170</v>
      </c>
      <c r="C2883" s="258" t="s">
        <v>6486</v>
      </c>
      <c r="D2883" t="s">
        <v>1255</v>
      </c>
      <c r="E2883" t="s">
        <v>1184</v>
      </c>
      <c r="F2883"/>
      <c r="G2883">
        <v>0.1</v>
      </c>
      <c r="H2883" s="1">
        <v>20754.48</v>
      </c>
      <c r="I2883"/>
      <c r="J2883" t="s">
        <v>6323</v>
      </c>
      <c r="K2883" s="170">
        <v>45961</v>
      </c>
      <c r="L2883" s="1">
        <v>901.54014567236197</v>
      </c>
      <c r="M2883" s="1">
        <v>45996</v>
      </c>
    </row>
    <row r="2884" spans="1:14" ht="14.4" hidden="1">
      <c r="A2884" t="s">
        <v>528</v>
      </c>
      <c r="B2884" s="1">
        <v>171</v>
      </c>
      <c r="C2884" s="258" t="s">
        <v>6487</v>
      </c>
      <c r="D2884" t="s">
        <v>1255</v>
      </c>
      <c r="E2884" t="s">
        <v>1187</v>
      </c>
      <c r="F2884"/>
      <c r="G2884">
        <v>0.05</v>
      </c>
      <c r="H2884" s="1">
        <v>10377.24</v>
      </c>
      <c r="I2884"/>
      <c r="J2884" t="s">
        <v>6323</v>
      </c>
      <c r="K2884" s="170">
        <v>45961</v>
      </c>
      <c r="L2884" s="1">
        <v>450.77007283618099</v>
      </c>
      <c r="M2884" s="1">
        <v>45996</v>
      </c>
    </row>
    <row r="2885" spans="1:14" ht="14.4" hidden="1">
      <c r="A2885" t="s">
        <v>528</v>
      </c>
      <c r="B2885" s="1">
        <v>172</v>
      </c>
      <c r="C2885" s="258" t="s">
        <v>6488</v>
      </c>
      <c r="D2885" t="s">
        <v>1255</v>
      </c>
      <c r="E2885" t="s">
        <v>1190</v>
      </c>
      <c r="F2885"/>
      <c r="G2885">
        <v>0.05</v>
      </c>
      <c r="H2885" s="1">
        <v>10377.24</v>
      </c>
      <c r="I2885"/>
      <c r="J2885" t="s">
        <v>6323</v>
      </c>
      <c r="K2885" s="170">
        <v>45961</v>
      </c>
      <c r="L2885" s="1">
        <v>450.77007283618099</v>
      </c>
      <c r="M2885" s="1">
        <v>46015</v>
      </c>
    </row>
    <row r="2886" spans="1:14" ht="14.4" hidden="1">
      <c r="A2886" t="s">
        <v>528</v>
      </c>
      <c r="B2886" s="1">
        <v>177</v>
      </c>
      <c r="C2886" s="258" t="s">
        <v>6489</v>
      </c>
      <c r="D2886" t="s">
        <v>1264</v>
      </c>
      <c r="E2886" t="s">
        <v>1265</v>
      </c>
      <c r="F2886"/>
      <c r="H2886" s="1">
        <v>24500</v>
      </c>
      <c r="I2886"/>
      <c r="J2886" t="s">
        <v>6490</v>
      </c>
      <c r="K2886" s="170">
        <v>45991</v>
      </c>
      <c r="L2886" s="1">
        <v>33132.88780466724</v>
      </c>
      <c r="M2886" s="1">
        <v>45989</v>
      </c>
      <c r="N2886" s="1">
        <v>52000</v>
      </c>
    </row>
    <row r="2887" spans="1:14" ht="14.4" hidden="1">
      <c r="A2887" t="s">
        <v>528</v>
      </c>
      <c r="B2887" s="1">
        <v>178</v>
      </c>
      <c r="C2887" s="258" t="s">
        <v>6491</v>
      </c>
      <c r="D2887" t="s">
        <v>1264</v>
      </c>
      <c r="E2887" t="s">
        <v>817</v>
      </c>
      <c r="F2887"/>
      <c r="H2887" s="1">
        <v>7500</v>
      </c>
      <c r="I2887"/>
      <c r="J2887" t="s">
        <v>6492</v>
      </c>
      <c r="K2887" s="170">
        <v>45869</v>
      </c>
      <c r="L2887" s="1">
        <v>19947.703619323769</v>
      </c>
      <c r="M2887" s="1">
        <v>45899</v>
      </c>
    </row>
    <row r="2888" spans="1:14" ht="14.4" hidden="1">
      <c r="A2888" t="s">
        <v>528</v>
      </c>
      <c r="B2888" s="1">
        <v>179</v>
      </c>
      <c r="C2888" s="258" t="s">
        <v>6493</v>
      </c>
      <c r="D2888" t="s">
        <v>1264</v>
      </c>
      <c r="F2888"/>
      <c r="H2888" s="1">
        <v>12000</v>
      </c>
      <c r="I2888"/>
      <c r="J2888" t="s">
        <v>6494</v>
      </c>
      <c r="K2888" s="170">
        <v>45930</v>
      </c>
      <c r="L2888" s="1">
        <v>17946.215678886241</v>
      </c>
      <c r="M2888" s="1">
        <v>45930</v>
      </c>
    </row>
    <row r="2889" spans="1:14" ht="14.4" hidden="1">
      <c r="A2889" t="s">
        <v>528</v>
      </c>
      <c r="B2889" s="1">
        <v>180</v>
      </c>
      <c r="C2889" s="258" t="s">
        <v>6495</v>
      </c>
      <c r="D2889" t="s">
        <v>1264</v>
      </c>
      <c r="E2889" t="s">
        <v>808</v>
      </c>
      <c r="F2889"/>
      <c r="H2889" s="1">
        <v>8000</v>
      </c>
      <c r="I2889"/>
      <c r="J2889" t="s">
        <v>3571</v>
      </c>
      <c r="K2889" s="170">
        <v>45961</v>
      </c>
      <c r="L2889" s="1">
        <v>15546.22378592416</v>
      </c>
      <c r="M2889" s="1">
        <v>45991</v>
      </c>
    </row>
    <row r="2890" spans="1:14" ht="14.4" hidden="1">
      <c r="A2890" t="s">
        <v>528</v>
      </c>
      <c r="B2890" s="1">
        <v>186</v>
      </c>
      <c r="C2890" s="258" t="s">
        <v>6496</v>
      </c>
      <c r="D2890" t="s">
        <v>1277</v>
      </c>
      <c r="E2890" t="s">
        <v>1278</v>
      </c>
      <c r="F2890"/>
      <c r="H2890" s="1">
        <v>154022.95000000001</v>
      </c>
      <c r="I2890"/>
      <c r="J2890" t="s">
        <v>6497</v>
      </c>
      <c r="K2890" s="170">
        <v>46022</v>
      </c>
      <c r="L2890" s="1">
        <v>488104.31147154258</v>
      </c>
      <c r="M2890" s="1">
        <v>46051</v>
      </c>
      <c r="N2890" s="1">
        <v>154022.95000000001</v>
      </c>
    </row>
    <row r="2891" spans="1:14" ht="14.4" hidden="1">
      <c r="A2891" t="s">
        <v>528</v>
      </c>
      <c r="B2891" s="1">
        <v>188</v>
      </c>
      <c r="C2891" s="258" t="s">
        <v>6498</v>
      </c>
      <c r="D2891" t="s">
        <v>1277</v>
      </c>
      <c r="E2891" t="s">
        <v>1905</v>
      </c>
      <c r="F2891"/>
      <c r="H2891" s="1">
        <v>0</v>
      </c>
      <c r="I2891"/>
      <c r="J2891"/>
      <c r="K2891" s="170"/>
      <c r="L2891" s="1">
        <v>0</v>
      </c>
    </row>
    <row r="2892" spans="1:14" ht="14.4" hidden="1">
      <c r="A2892" t="s">
        <v>528</v>
      </c>
      <c r="B2892" s="1">
        <v>189</v>
      </c>
      <c r="C2892" s="258" t="s">
        <v>6499</v>
      </c>
      <c r="D2892" t="s">
        <v>1277</v>
      </c>
      <c r="E2892" t="s">
        <v>1907</v>
      </c>
      <c r="F2892"/>
      <c r="H2892" s="1">
        <v>0</v>
      </c>
      <c r="I2892"/>
      <c r="J2892"/>
      <c r="K2892" s="170"/>
      <c r="L2892" s="1">
        <v>0</v>
      </c>
    </row>
    <row r="2893" spans="1:14" ht="14.4" hidden="1">
      <c r="A2893" t="s">
        <v>528</v>
      </c>
      <c r="B2893" s="1">
        <v>190</v>
      </c>
      <c r="C2893" s="258" t="s">
        <v>6500</v>
      </c>
      <c r="D2893" t="s">
        <v>1277</v>
      </c>
      <c r="E2893" t="s">
        <v>1909</v>
      </c>
      <c r="F2893"/>
      <c r="H2893" s="1">
        <v>0</v>
      </c>
      <c r="I2893"/>
      <c r="J2893"/>
      <c r="K2893" s="170"/>
      <c r="L2893" s="1">
        <v>0</v>
      </c>
    </row>
    <row r="2894" spans="1:14" ht="14.4" hidden="1">
      <c r="A2894" t="s">
        <v>528</v>
      </c>
      <c r="B2894" s="1">
        <v>193</v>
      </c>
      <c r="C2894" s="258" t="s">
        <v>6501</v>
      </c>
      <c r="D2894" t="s">
        <v>1280</v>
      </c>
      <c r="E2894" t="s">
        <v>1281</v>
      </c>
      <c r="F2894"/>
      <c r="H2894" s="1">
        <v>1418.96</v>
      </c>
      <c r="I2894"/>
      <c r="J2894" t="s">
        <v>1604</v>
      </c>
      <c r="K2894" s="170">
        <v>45838</v>
      </c>
      <c r="L2894" s="1">
        <v>2574.6702266317702</v>
      </c>
      <c r="M2894" s="1">
        <v>45842</v>
      </c>
      <c r="N2894" s="1">
        <v>8514.52</v>
      </c>
    </row>
    <row r="2895" spans="1:14" ht="14.4" hidden="1">
      <c r="A2895" t="s">
        <v>528</v>
      </c>
      <c r="B2895" s="1">
        <v>194</v>
      </c>
      <c r="C2895" s="258" t="s">
        <v>6502</v>
      </c>
      <c r="D2895" t="s">
        <v>1280</v>
      </c>
      <c r="E2895" t="s">
        <v>1281</v>
      </c>
      <c r="F2895"/>
      <c r="H2895" s="1">
        <v>735.36</v>
      </c>
      <c r="I2895"/>
      <c r="J2895" t="s">
        <v>1604</v>
      </c>
      <c r="K2895" s="170">
        <v>45869</v>
      </c>
      <c r="L2895" s="1">
        <v>887.44991326486718</v>
      </c>
      <c r="M2895" s="1">
        <v>45876</v>
      </c>
    </row>
    <row r="2896" spans="1:14" ht="14.4" hidden="1">
      <c r="A2896" t="s">
        <v>528</v>
      </c>
      <c r="B2896" s="1">
        <v>195</v>
      </c>
      <c r="C2896" s="258" t="s">
        <v>6503</v>
      </c>
      <c r="D2896" t="s">
        <v>1280</v>
      </c>
      <c r="E2896" t="s">
        <v>1281</v>
      </c>
      <c r="F2896"/>
      <c r="H2896" s="1">
        <v>861.56</v>
      </c>
      <c r="I2896"/>
      <c r="J2896" t="s">
        <v>1604</v>
      </c>
      <c r="K2896" s="170">
        <v>45900</v>
      </c>
      <c r="L2896" s="1">
        <v>422.60151376782551</v>
      </c>
      <c r="M2896" s="1">
        <v>45905</v>
      </c>
    </row>
    <row r="2897" spans="1:14" ht="14.4" hidden="1">
      <c r="A2897" t="s">
        <v>528</v>
      </c>
      <c r="B2897" s="1">
        <v>196</v>
      </c>
      <c r="C2897" s="258" t="s">
        <v>6504</v>
      </c>
      <c r="D2897" t="s">
        <v>1280</v>
      </c>
      <c r="E2897" t="s">
        <v>1281</v>
      </c>
      <c r="F2897"/>
      <c r="H2897" s="1">
        <v>1311.5</v>
      </c>
      <c r="I2897"/>
      <c r="J2897" t="s">
        <v>1604</v>
      </c>
      <c r="K2897" s="170">
        <v>45930</v>
      </c>
      <c r="L2897" s="1">
        <v>1080.6295604622517</v>
      </c>
      <c r="M2897" s="1">
        <v>45940</v>
      </c>
    </row>
    <row r="2898" spans="1:14" ht="14.4" hidden="1">
      <c r="A2898" t="s">
        <v>528</v>
      </c>
      <c r="B2898" s="1">
        <v>197</v>
      </c>
      <c r="C2898" s="258" t="s">
        <v>6505</v>
      </c>
      <c r="D2898" t="s">
        <v>1280</v>
      </c>
      <c r="E2898" t="s">
        <v>1281</v>
      </c>
      <c r="F2898"/>
      <c r="H2898" s="1">
        <v>2775.54</v>
      </c>
      <c r="I2898"/>
      <c r="J2898" t="s">
        <v>1604</v>
      </c>
      <c r="K2898" s="170">
        <v>45961</v>
      </c>
      <c r="L2898" s="1">
        <v>309.82666592975067</v>
      </c>
      <c r="M2898" s="1">
        <v>45967</v>
      </c>
    </row>
    <row r="2899" spans="1:14" ht="14.4" hidden="1">
      <c r="A2899" t="s">
        <v>528</v>
      </c>
      <c r="B2899" s="1">
        <v>198</v>
      </c>
      <c r="C2899" s="258" t="s">
        <v>6506</v>
      </c>
      <c r="D2899" t="s">
        <v>1280</v>
      </c>
      <c r="E2899" t="s">
        <v>1281</v>
      </c>
      <c r="F2899"/>
      <c r="H2899" s="1">
        <v>0</v>
      </c>
      <c r="I2899"/>
      <c r="J2899" t="s">
        <v>1604</v>
      </c>
      <c r="K2899" s="170">
        <v>45991</v>
      </c>
      <c r="L2899" s="1">
        <v>0</v>
      </c>
      <c r="M2899" s="1">
        <v>45991</v>
      </c>
    </row>
    <row r="2900" spans="1:14" ht="14.4" hidden="1">
      <c r="A2900" t="s">
        <v>528</v>
      </c>
      <c r="B2900" s="1">
        <v>199</v>
      </c>
      <c r="C2900" s="258" t="s">
        <v>6507</v>
      </c>
      <c r="D2900" t="s">
        <v>1280</v>
      </c>
      <c r="E2900" t="s">
        <v>1281</v>
      </c>
      <c r="F2900"/>
      <c r="H2900" s="1">
        <v>123.76</v>
      </c>
      <c r="I2900"/>
      <c r="J2900" t="s">
        <v>1604</v>
      </c>
      <c r="K2900" s="170">
        <v>46022</v>
      </c>
      <c r="L2900" s="1">
        <v>162.20549353889189</v>
      </c>
      <c r="M2900" s="1">
        <v>46030</v>
      </c>
    </row>
    <row r="2901" spans="1:14" ht="14.4" hidden="1">
      <c r="A2901" t="s">
        <v>528</v>
      </c>
      <c r="B2901" s="1">
        <v>200</v>
      </c>
      <c r="C2901" s="258" t="s">
        <v>6508</v>
      </c>
      <c r="D2901" t="s">
        <v>1280</v>
      </c>
      <c r="E2901" t="s">
        <v>1281</v>
      </c>
      <c r="F2901"/>
      <c r="H2901" s="1">
        <v>637.84</v>
      </c>
      <c r="I2901"/>
      <c r="J2901" t="s">
        <v>1604</v>
      </c>
      <c r="K2901" s="170">
        <v>46053</v>
      </c>
      <c r="L2901" s="1">
        <v>1001.6327957313052</v>
      </c>
      <c r="M2901" s="1">
        <v>46058</v>
      </c>
    </row>
    <row r="2902" spans="1:14" ht="14.4" hidden="1">
      <c r="A2902" t="s">
        <v>528</v>
      </c>
      <c r="B2902" s="1">
        <v>201</v>
      </c>
      <c r="C2902" s="258" t="s">
        <v>6509</v>
      </c>
      <c r="D2902" t="s">
        <v>1280</v>
      </c>
      <c r="F2902"/>
      <c r="H2902" s="1">
        <v>650</v>
      </c>
      <c r="I2902"/>
      <c r="J2902"/>
      <c r="K2902" s="170">
        <v>46081</v>
      </c>
      <c r="L2902" s="1">
        <v>6931.7682660625678</v>
      </c>
      <c r="M2902" s="1">
        <v>46086</v>
      </c>
    </row>
    <row r="2903" spans="1:14" ht="14.4" hidden="1">
      <c r="A2903" t="s">
        <v>528</v>
      </c>
      <c r="B2903" s="1">
        <v>206</v>
      </c>
      <c r="C2903" s="258" t="s">
        <v>9295</v>
      </c>
      <c r="D2903" t="s">
        <v>1451</v>
      </c>
      <c r="E2903" t="s">
        <v>6510</v>
      </c>
      <c r="F2903"/>
      <c r="H2903" s="1">
        <v>52687.973913043483</v>
      </c>
      <c r="I2903" t="s">
        <v>6511</v>
      </c>
      <c r="J2903" t="s">
        <v>9296</v>
      </c>
      <c r="K2903" s="170">
        <v>46081</v>
      </c>
      <c r="M2903" s="1">
        <v>46073</v>
      </c>
      <c r="N2903" s="1">
        <v>156196.88391304348</v>
      </c>
    </row>
    <row r="2904" spans="1:14" ht="14.4" hidden="1">
      <c r="A2904" t="s">
        <v>528</v>
      </c>
      <c r="B2904" s="1">
        <v>207</v>
      </c>
      <c r="C2904" s="258" t="s">
        <v>6512</v>
      </c>
      <c r="D2904" t="s">
        <v>1451</v>
      </c>
      <c r="E2904" t="s">
        <v>6513</v>
      </c>
      <c r="F2904"/>
      <c r="H2904" s="1">
        <v>5500</v>
      </c>
      <c r="I2904" t="s">
        <v>6514</v>
      </c>
      <c r="J2904" t="s">
        <v>6515</v>
      </c>
      <c r="K2904" s="170">
        <v>45991</v>
      </c>
      <c r="M2904" s="1">
        <v>45967</v>
      </c>
    </row>
    <row r="2905" spans="1:14" ht="14.4" hidden="1">
      <c r="A2905" t="s">
        <v>528</v>
      </c>
      <c r="B2905" s="1">
        <v>208</v>
      </c>
      <c r="C2905" s="258" t="s">
        <v>6516</v>
      </c>
      <c r="D2905" t="s">
        <v>1451</v>
      </c>
      <c r="E2905" t="s">
        <v>6517</v>
      </c>
      <c r="F2905"/>
      <c r="H2905" s="1">
        <v>801.11</v>
      </c>
      <c r="I2905"/>
      <c r="J2905" t="s">
        <v>4072</v>
      </c>
      <c r="K2905" s="170">
        <v>45961</v>
      </c>
      <c r="M2905" s="1">
        <v>45989</v>
      </c>
    </row>
    <row r="2906" spans="1:14" ht="14.4" hidden="1">
      <c r="A2906" t="s">
        <v>528</v>
      </c>
      <c r="B2906" s="1">
        <v>209</v>
      </c>
      <c r="C2906" s="258" t="s">
        <v>6518</v>
      </c>
      <c r="D2906" t="s">
        <v>1451</v>
      </c>
      <c r="E2906" t="s">
        <v>6519</v>
      </c>
      <c r="F2906"/>
      <c r="H2906" s="1">
        <v>11500</v>
      </c>
      <c r="I2906"/>
      <c r="J2906" t="s">
        <v>6520</v>
      </c>
      <c r="K2906" s="170">
        <v>45991</v>
      </c>
      <c r="M2906" s="1">
        <v>45974</v>
      </c>
    </row>
    <row r="2907" spans="1:14" ht="14.4" hidden="1">
      <c r="A2907" t="s">
        <v>528</v>
      </c>
      <c r="B2907" s="1">
        <v>210</v>
      </c>
      <c r="C2907" s="258" t="s">
        <v>6521</v>
      </c>
      <c r="D2907" t="s">
        <v>1451</v>
      </c>
      <c r="E2907" t="s">
        <v>6522</v>
      </c>
      <c r="F2907"/>
      <c r="H2907" s="1">
        <v>2500</v>
      </c>
      <c r="I2907"/>
      <c r="J2907" t="s">
        <v>6523</v>
      </c>
      <c r="K2907" s="170">
        <v>45991</v>
      </c>
      <c r="M2907" s="1">
        <v>45980</v>
      </c>
    </row>
    <row r="2908" spans="1:14" ht="14.4" hidden="1">
      <c r="A2908" t="s">
        <v>528</v>
      </c>
      <c r="B2908" s="1">
        <v>211</v>
      </c>
      <c r="C2908" s="258" t="s">
        <v>6524</v>
      </c>
      <c r="D2908" t="s">
        <v>1451</v>
      </c>
      <c r="E2908" t="s">
        <v>6525</v>
      </c>
      <c r="F2908"/>
      <c r="H2908" s="1">
        <v>5450</v>
      </c>
      <c r="I2908" t="s">
        <v>6526</v>
      </c>
      <c r="J2908" t="s">
        <v>6527</v>
      </c>
      <c r="K2908" s="170">
        <v>45991</v>
      </c>
      <c r="M2908" s="1">
        <v>45995</v>
      </c>
    </row>
    <row r="2909" spans="1:14" ht="14.4" hidden="1">
      <c r="A2909" t="s">
        <v>528</v>
      </c>
      <c r="B2909" s="1">
        <v>212</v>
      </c>
      <c r="C2909" s="258" t="s">
        <v>6528</v>
      </c>
      <c r="D2909" t="s">
        <v>1451</v>
      </c>
      <c r="E2909" t="s">
        <v>6529</v>
      </c>
      <c r="F2909"/>
      <c r="H2909" s="1">
        <v>61237.8</v>
      </c>
      <c r="I2909" t="s">
        <v>6530</v>
      </c>
      <c r="J2909" t="s">
        <v>6531</v>
      </c>
      <c r="K2909" s="170">
        <v>46053</v>
      </c>
      <c r="L2909" s="1">
        <v>70757.8</v>
      </c>
      <c r="M2909" s="1">
        <v>46037</v>
      </c>
    </row>
    <row r="2910" spans="1:14" ht="14.4" hidden="1">
      <c r="A2910" t="s">
        <v>528</v>
      </c>
      <c r="B2910" s="1">
        <v>213</v>
      </c>
      <c r="C2910" s="258" t="s">
        <v>6532</v>
      </c>
      <c r="D2910" t="s">
        <v>1451</v>
      </c>
      <c r="E2910" t="s">
        <v>6533</v>
      </c>
      <c r="F2910"/>
      <c r="H2910" s="1">
        <v>9520</v>
      </c>
      <c r="I2910" t="s">
        <v>6534</v>
      </c>
      <c r="J2910" t="s">
        <v>6535</v>
      </c>
      <c r="K2910" s="170">
        <v>46053</v>
      </c>
      <c r="M2910" s="1">
        <v>46051</v>
      </c>
    </row>
    <row r="2911" spans="1:14" ht="14.4" hidden="1">
      <c r="A2911" t="s">
        <v>528</v>
      </c>
      <c r="B2911" s="1">
        <v>214</v>
      </c>
      <c r="C2911" s="258" t="s">
        <v>9297</v>
      </c>
      <c r="D2911" t="s">
        <v>1451</v>
      </c>
      <c r="E2911" t="s">
        <v>9298</v>
      </c>
      <c r="F2911"/>
      <c r="H2911" s="1">
        <v>7000.0000000000009</v>
      </c>
      <c r="I2911" t="s">
        <v>9299</v>
      </c>
      <c r="J2911" t="s">
        <v>9300</v>
      </c>
      <c r="K2911" s="170">
        <v>46081</v>
      </c>
      <c r="M2911" s="1">
        <v>46079</v>
      </c>
    </row>
    <row r="2912" spans="1:14" ht="14.4" hidden="1">
      <c r="A2912" t="s">
        <v>529</v>
      </c>
      <c r="B2912" s="1">
        <v>6</v>
      </c>
      <c r="C2912" s="258" t="s">
        <v>6536</v>
      </c>
      <c r="D2912" t="s">
        <v>1146</v>
      </c>
      <c r="E2912" t="s">
        <v>6537</v>
      </c>
      <c r="F2912">
        <v>1044</v>
      </c>
      <c r="G2912">
        <v>1138.9596799999999</v>
      </c>
      <c r="H2912" s="1">
        <v>1189070.8999999999</v>
      </c>
      <c r="I2912" t="s">
        <v>6538</v>
      </c>
      <c r="J2912" t="s">
        <v>6539</v>
      </c>
      <c r="K2912" s="170">
        <v>45747</v>
      </c>
      <c r="L2912" s="1">
        <v>1666674.4449367679</v>
      </c>
      <c r="M2912" s="1">
        <v>45799</v>
      </c>
      <c r="N2912" s="1">
        <v>1208550.8899999999</v>
      </c>
    </row>
    <row r="2913" spans="1:14" ht="14.4" hidden="1">
      <c r="A2913" t="s">
        <v>529</v>
      </c>
      <c r="B2913" s="1">
        <v>7</v>
      </c>
      <c r="C2913" s="258" t="s">
        <v>6540</v>
      </c>
      <c r="D2913" t="s">
        <v>1146</v>
      </c>
      <c r="E2913" t="s">
        <v>6541</v>
      </c>
      <c r="F2913"/>
      <c r="H2913" s="1">
        <v>5526</v>
      </c>
      <c r="I2913"/>
      <c r="J2913" t="s">
        <v>6539</v>
      </c>
      <c r="K2913" s="170">
        <v>45747</v>
      </c>
      <c r="L2913" s="1">
        <v>7745.5793281297028</v>
      </c>
      <c r="M2913" s="1">
        <v>45799</v>
      </c>
    </row>
    <row r="2914" spans="1:14" ht="14.4" hidden="1">
      <c r="A2914" t="s">
        <v>529</v>
      </c>
      <c r="B2914" s="1">
        <v>8</v>
      </c>
      <c r="C2914" s="258" t="s">
        <v>6542</v>
      </c>
      <c r="D2914" t="s">
        <v>1146</v>
      </c>
      <c r="E2914" t="s">
        <v>5988</v>
      </c>
      <c r="F2914"/>
      <c r="H2914" s="1">
        <v>10480</v>
      </c>
      <c r="I2914"/>
      <c r="J2914" t="s">
        <v>6539</v>
      </c>
      <c r="K2914" s="170">
        <v>45747</v>
      </c>
      <c r="L2914" s="1">
        <v>14689.408497792128</v>
      </c>
      <c r="M2914" s="1">
        <v>45799</v>
      </c>
    </row>
    <row r="2915" spans="1:14" ht="14.4" hidden="1">
      <c r="A2915" t="s">
        <v>529</v>
      </c>
      <c r="B2915" s="1">
        <v>9</v>
      </c>
      <c r="C2915" s="258" t="s">
        <v>6543</v>
      </c>
      <c r="D2915" t="s">
        <v>1146</v>
      </c>
      <c r="E2915" t="s">
        <v>6544</v>
      </c>
      <c r="F2915"/>
      <c r="H2915" s="1">
        <v>3473.99</v>
      </c>
      <c r="I2915"/>
      <c r="J2915" t="s">
        <v>6545</v>
      </c>
      <c r="K2915" s="170">
        <v>45900</v>
      </c>
      <c r="L2915" s="1">
        <v>0</v>
      </c>
      <c r="M2915" s="1">
        <v>45932</v>
      </c>
    </row>
    <row r="2916" spans="1:14" ht="14.4" hidden="1">
      <c r="A2916" t="s">
        <v>529</v>
      </c>
      <c r="B2916" s="1">
        <v>13</v>
      </c>
      <c r="C2916" s="258" t="s">
        <v>6546</v>
      </c>
      <c r="D2916" t="s">
        <v>1157</v>
      </c>
      <c r="E2916" t="s">
        <v>1369</v>
      </c>
      <c r="F2916">
        <v>5</v>
      </c>
      <c r="G2916">
        <v>68870</v>
      </c>
      <c r="H2916" s="1">
        <v>344350</v>
      </c>
      <c r="I2916" t="s">
        <v>6538</v>
      </c>
      <c r="J2916" t="s">
        <v>6547</v>
      </c>
      <c r="K2916" s="170">
        <v>45747</v>
      </c>
      <c r="L2916" s="1">
        <v>395037.543002113</v>
      </c>
      <c r="M2916" s="1">
        <v>45785</v>
      </c>
      <c r="N2916" s="1">
        <v>344350</v>
      </c>
    </row>
    <row r="2917" spans="1:14" ht="14.4" hidden="1">
      <c r="A2917" t="s">
        <v>529</v>
      </c>
      <c r="B2917" s="1">
        <v>19</v>
      </c>
      <c r="C2917" s="258" t="s">
        <v>6548</v>
      </c>
      <c r="D2917" t="s">
        <v>1160</v>
      </c>
      <c r="E2917" t="s">
        <v>6549</v>
      </c>
      <c r="F2917"/>
      <c r="H2917" s="1">
        <v>71546.52</v>
      </c>
      <c r="I2917" t="s">
        <v>6550</v>
      </c>
      <c r="J2917" t="s">
        <v>6551</v>
      </c>
      <c r="K2917" s="170">
        <v>45747</v>
      </c>
      <c r="L2917" s="1">
        <v>234881.4785535009</v>
      </c>
      <c r="M2917" s="1">
        <v>45777</v>
      </c>
      <c r="N2917" s="1">
        <v>93481.82</v>
      </c>
    </row>
    <row r="2918" spans="1:14" ht="14.4" hidden="1">
      <c r="A2918" t="s">
        <v>529</v>
      </c>
      <c r="B2918" s="1">
        <v>20</v>
      </c>
      <c r="C2918" s="258" t="s">
        <v>6552</v>
      </c>
      <c r="D2918" t="s">
        <v>1160</v>
      </c>
      <c r="E2918" t="s">
        <v>1152</v>
      </c>
      <c r="F2918"/>
      <c r="H2918" s="1">
        <v>2750</v>
      </c>
      <c r="I2918"/>
      <c r="J2918" t="s">
        <v>6551</v>
      </c>
      <c r="K2918" s="170">
        <v>45747</v>
      </c>
      <c r="L2918" s="1">
        <v>9028.0291203838769</v>
      </c>
      <c r="M2918" s="1">
        <v>45777</v>
      </c>
    </row>
    <row r="2919" spans="1:14" ht="14.4" hidden="1">
      <c r="A2919" t="s">
        <v>529</v>
      </c>
      <c r="B2919" s="1">
        <v>22</v>
      </c>
      <c r="C2919" s="258" t="s">
        <v>6553</v>
      </c>
      <c r="D2919" t="s">
        <v>1160</v>
      </c>
      <c r="E2919" t="s">
        <v>6554</v>
      </c>
      <c r="F2919">
        <v>434</v>
      </c>
      <c r="G2919">
        <v>24.88</v>
      </c>
      <c r="H2919" s="1">
        <v>10797.92</v>
      </c>
      <c r="I2919"/>
      <c r="J2919" t="s">
        <v>1962</v>
      </c>
      <c r="K2919" s="170">
        <v>45747</v>
      </c>
      <c r="L2919" s="1">
        <v>35448.704072572902</v>
      </c>
      <c r="M2919" s="1">
        <v>45747</v>
      </c>
    </row>
    <row r="2920" spans="1:14" ht="14.4" hidden="1">
      <c r="A2920" t="s">
        <v>529</v>
      </c>
      <c r="B2920" s="1">
        <v>23</v>
      </c>
      <c r="C2920" s="258" t="s">
        <v>6555</v>
      </c>
      <c r="D2920" t="s">
        <v>1160</v>
      </c>
      <c r="F2920">
        <v>166</v>
      </c>
      <c r="G2920">
        <v>28.35</v>
      </c>
      <c r="H2920" s="1">
        <v>4706.1000000000004</v>
      </c>
      <c r="I2920"/>
      <c r="J2920" t="s">
        <v>1962</v>
      </c>
      <c r="K2920" s="170">
        <v>45869</v>
      </c>
      <c r="L2920" s="1">
        <v>13558.719432532092</v>
      </c>
      <c r="M2920" s="1">
        <v>45869</v>
      </c>
    </row>
    <row r="2921" spans="1:14" ht="14.4" hidden="1">
      <c r="A2921" t="s">
        <v>529</v>
      </c>
      <c r="B2921" s="1">
        <v>24</v>
      </c>
      <c r="C2921" s="258" t="s">
        <v>6556</v>
      </c>
      <c r="D2921" t="s">
        <v>1160</v>
      </c>
      <c r="E2921" t="s">
        <v>6557</v>
      </c>
      <c r="F2921">
        <v>146</v>
      </c>
      <c r="G2921">
        <v>11.48</v>
      </c>
      <c r="H2921" s="1">
        <v>1676.0800000000002</v>
      </c>
      <c r="I2921"/>
      <c r="J2921" t="s">
        <v>1962</v>
      </c>
      <c r="K2921" s="170">
        <v>45747</v>
      </c>
      <c r="L2921" s="1">
        <v>5502.4360174883677</v>
      </c>
      <c r="M2921" s="1">
        <v>45747</v>
      </c>
    </row>
    <row r="2922" spans="1:14" ht="14.4" hidden="1">
      <c r="A2922" t="s">
        <v>529</v>
      </c>
      <c r="B2922" s="1">
        <v>25</v>
      </c>
      <c r="C2922" s="258" t="s">
        <v>6558</v>
      </c>
      <c r="D2922" t="s">
        <v>1160</v>
      </c>
      <c r="E2922" t="s">
        <v>6559</v>
      </c>
      <c r="F2922">
        <v>180</v>
      </c>
      <c r="G2922">
        <v>11.14</v>
      </c>
      <c r="H2922" s="1">
        <v>2005.2</v>
      </c>
      <c r="I2922"/>
      <c r="J2922" t="s">
        <v>1962</v>
      </c>
      <c r="K2922" s="170">
        <v>45747</v>
      </c>
      <c r="L2922" s="1">
        <v>6582.9105426159094</v>
      </c>
      <c r="M2922" s="1">
        <v>45747</v>
      </c>
    </row>
    <row r="2923" spans="1:14" ht="14.4" hidden="1">
      <c r="A2923" t="s">
        <v>529</v>
      </c>
      <c r="B2923" s="1">
        <v>29</v>
      </c>
      <c r="C2923" s="258" t="s">
        <v>6560</v>
      </c>
      <c r="D2923" t="s">
        <v>1165</v>
      </c>
      <c r="E2923" t="s">
        <v>836</v>
      </c>
      <c r="F2923">
        <v>16000</v>
      </c>
      <c r="G2923">
        <v>13.89</v>
      </c>
      <c r="H2923" s="1">
        <v>222240</v>
      </c>
      <c r="I2923" t="s">
        <v>6538</v>
      </c>
      <c r="J2923" t="s">
        <v>6547</v>
      </c>
      <c r="K2923" s="170">
        <v>45747</v>
      </c>
      <c r="L2923" s="1">
        <v>205240.59555651515</v>
      </c>
      <c r="M2923" s="1">
        <v>45785</v>
      </c>
    </row>
    <row r="2924" spans="1:14" ht="14.4" hidden="1">
      <c r="A2924" t="s">
        <v>529</v>
      </c>
      <c r="B2924" s="1">
        <v>30</v>
      </c>
      <c r="C2924" s="258" t="s">
        <v>6561</v>
      </c>
      <c r="D2924" t="s">
        <v>1165</v>
      </c>
      <c r="F2924">
        <v>2000</v>
      </c>
      <c r="H2924" s="1">
        <v>111120</v>
      </c>
      <c r="I2924"/>
      <c r="J2924" t="s">
        <v>6562</v>
      </c>
      <c r="K2924" s="170">
        <v>45747</v>
      </c>
      <c r="L2924" s="1">
        <v>102620.29777825758</v>
      </c>
      <c r="M2924" s="1">
        <v>45785</v>
      </c>
    </row>
    <row r="2925" spans="1:14" ht="14.4" hidden="1">
      <c r="A2925" t="s">
        <v>529</v>
      </c>
      <c r="B2925" s="1">
        <v>31</v>
      </c>
      <c r="C2925" s="258" t="s">
        <v>6563</v>
      </c>
      <c r="D2925" t="s">
        <v>1165</v>
      </c>
      <c r="E2925" t="s">
        <v>6564</v>
      </c>
      <c r="F2925">
        <v>100</v>
      </c>
      <c r="G2925">
        <v>13.3</v>
      </c>
      <c r="H2925" s="1">
        <v>1330</v>
      </c>
      <c r="I2925"/>
      <c r="J2925" t="s">
        <v>6565</v>
      </c>
      <c r="K2925" s="170">
        <v>45900</v>
      </c>
      <c r="L2925" s="1">
        <v>1225.8328447050419</v>
      </c>
      <c r="M2925" s="1">
        <v>45900</v>
      </c>
    </row>
    <row r="2926" spans="1:14" ht="14.4" hidden="1">
      <c r="A2926" t="s">
        <v>529</v>
      </c>
      <c r="B2926" s="1">
        <v>32</v>
      </c>
      <c r="C2926" s="258" t="s">
        <v>6566</v>
      </c>
      <c r="D2926" t="s">
        <v>1165</v>
      </c>
      <c r="E2926" t="s">
        <v>6567</v>
      </c>
      <c r="F2926">
        <v>336509.25</v>
      </c>
      <c r="G2926">
        <v>0.3</v>
      </c>
      <c r="H2926" s="1">
        <v>100952.77499999999</v>
      </c>
      <c r="I2926" t="s">
        <v>6568</v>
      </c>
      <c r="J2926" t="s">
        <v>6569</v>
      </c>
      <c r="K2926" s="170">
        <v>45747</v>
      </c>
      <c r="L2926" s="1">
        <v>93230.776026290827</v>
      </c>
      <c r="M2926" s="1">
        <v>45729</v>
      </c>
    </row>
    <row r="2927" spans="1:14" ht="14.4" hidden="1">
      <c r="A2927" t="s">
        <v>529</v>
      </c>
      <c r="B2927" s="1">
        <v>33</v>
      </c>
      <c r="C2927" s="258" t="s">
        <v>6570</v>
      </c>
      <c r="D2927" t="s">
        <v>1165</v>
      </c>
      <c r="E2927" t="s">
        <v>6571</v>
      </c>
      <c r="F2927"/>
      <c r="G2927">
        <v>0.2</v>
      </c>
      <c r="H2927" s="1">
        <v>67301.850000000006</v>
      </c>
      <c r="I2927"/>
      <c r="J2927" t="s">
        <v>6572</v>
      </c>
      <c r="K2927" s="170">
        <v>45777</v>
      </c>
      <c r="L2927" s="1">
        <v>62153.850684193887</v>
      </c>
      <c r="M2927" s="1">
        <v>45785</v>
      </c>
    </row>
    <row r="2928" spans="1:14" ht="14.4" hidden="1">
      <c r="A2928" t="s">
        <v>529</v>
      </c>
      <c r="B2928" s="1">
        <v>34</v>
      </c>
      <c r="C2928" s="258" t="s">
        <v>6573</v>
      </c>
      <c r="D2928" t="s">
        <v>1165</v>
      </c>
      <c r="E2928" t="s">
        <v>6574</v>
      </c>
      <c r="F2928"/>
      <c r="G2928">
        <v>0.3</v>
      </c>
      <c r="H2928" s="1">
        <v>100952.78</v>
      </c>
      <c r="I2928"/>
      <c r="J2928" t="s">
        <v>6575</v>
      </c>
      <c r="K2928" s="170">
        <v>45838</v>
      </c>
      <c r="L2928" s="1">
        <v>93230.769600002983</v>
      </c>
      <c r="M2928" s="1">
        <v>45855</v>
      </c>
    </row>
    <row r="2929" spans="1:14" ht="14.4" hidden="1">
      <c r="A2929" t="s">
        <v>529</v>
      </c>
      <c r="B2929" s="1">
        <v>35</v>
      </c>
      <c r="C2929" s="258" t="s">
        <v>6576</v>
      </c>
      <c r="D2929" t="s">
        <v>1165</v>
      </c>
      <c r="E2929" t="s">
        <v>6577</v>
      </c>
      <c r="F2929"/>
      <c r="G2929">
        <v>0.15</v>
      </c>
      <c r="H2929" s="1">
        <v>50476.39</v>
      </c>
      <c r="I2929"/>
      <c r="J2929" t="s">
        <v>6578</v>
      </c>
      <c r="K2929" s="170">
        <v>45838</v>
      </c>
      <c r="L2929" s="1">
        <v>46615.389800001489</v>
      </c>
      <c r="M2929" s="1">
        <v>45862</v>
      </c>
    </row>
    <row r="2930" spans="1:14" ht="14.4" hidden="1">
      <c r="A2930" t="s">
        <v>529</v>
      </c>
      <c r="B2930" s="1">
        <v>36</v>
      </c>
      <c r="C2930" s="258" t="s">
        <v>6579</v>
      </c>
      <c r="D2930" t="s">
        <v>1165</v>
      </c>
      <c r="E2930" t="s">
        <v>2138</v>
      </c>
      <c r="F2930"/>
      <c r="G2930">
        <v>0.05</v>
      </c>
      <c r="H2930" s="1">
        <v>16825.462500000001</v>
      </c>
      <c r="I2930"/>
      <c r="J2930" t="s">
        <v>6580</v>
      </c>
      <c r="K2930" s="170">
        <v>45900</v>
      </c>
      <c r="L2930" s="1">
        <v>14312.632601393239</v>
      </c>
      <c r="M2930" s="1">
        <v>45890</v>
      </c>
    </row>
    <row r="2931" spans="1:14" ht="14.4" hidden="1">
      <c r="A2931" t="s">
        <v>529</v>
      </c>
      <c r="B2931" s="1">
        <v>42</v>
      </c>
      <c r="C2931" s="258" t="s">
        <v>6581</v>
      </c>
      <c r="D2931" t="s">
        <v>1193</v>
      </c>
      <c r="E2931" t="s">
        <v>6582</v>
      </c>
      <c r="F2931"/>
      <c r="H2931" s="1">
        <v>13396</v>
      </c>
      <c r="I2931" t="s">
        <v>6583</v>
      </c>
      <c r="J2931" t="s">
        <v>6584</v>
      </c>
      <c r="K2931" s="170">
        <v>45747</v>
      </c>
      <c r="L2931" s="1">
        <v>22167.138302118816</v>
      </c>
      <c r="M2931" s="1">
        <v>45777</v>
      </c>
    </row>
    <row r="2932" spans="1:14" ht="14.4" hidden="1">
      <c r="A2932" t="s">
        <v>529</v>
      </c>
      <c r="B2932" s="1">
        <v>44</v>
      </c>
      <c r="C2932" s="258" t="s">
        <v>6585</v>
      </c>
      <c r="D2932" t="s">
        <v>1193</v>
      </c>
      <c r="E2932" t="s">
        <v>1302</v>
      </c>
      <c r="F2932"/>
      <c r="H2932" s="1">
        <v>8333.33</v>
      </c>
      <c r="I2932" t="s">
        <v>6538</v>
      </c>
      <c r="J2932" t="s">
        <v>6547</v>
      </c>
      <c r="K2932" s="170">
        <v>45747</v>
      </c>
      <c r="L2932" s="1">
        <v>13789.644567572095</v>
      </c>
      <c r="M2932" s="1">
        <v>45785</v>
      </c>
    </row>
    <row r="2933" spans="1:14" ht="14.4" hidden="1">
      <c r="A2933" t="s">
        <v>529</v>
      </c>
      <c r="B2933" s="1">
        <v>45</v>
      </c>
      <c r="C2933" s="258" t="s">
        <v>6586</v>
      </c>
      <c r="D2933" t="s">
        <v>1193</v>
      </c>
      <c r="E2933" t="s">
        <v>1306</v>
      </c>
      <c r="F2933"/>
      <c r="H2933" s="1">
        <v>11169</v>
      </c>
      <c r="I2933"/>
      <c r="J2933" t="s">
        <v>6587</v>
      </c>
      <c r="K2933" s="170">
        <v>45747</v>
      </c>
      <c r="L2933" s="1">
        <v>18481.99221382241</v>
      </c>
      <c r="M2933" s="1">
        <v>45777</v>
      </c>
    </row>
    <row r="2934" spans="1:14" ht="14.4" hidden="1">
      <c r="A2934" t="s">
        <v>529</v>
      </c>
      <c r="B2934" s="1">
        <v>46</v>
      </c>
      <c r="C2934" s="258" t="s">
        <v>6588</v>
      </c>
      <c r="D2934" t="s">
        <v>1193</v>
      </c>
      <c r="E2934" t="s">
        <v>2301</v>
      </c>
      <c r="F2934"/>
      <c r="H2934" s="1">
        <v>523.63</v>
      </c>
      <c r="I2934"/>
      <c r="J2934" t="s">
        <v>6589</v>
      </c>
      <c r="K2934" s="170">
        <v>45747</v>
      </c>
      <c r="L2934" s="1">
        <v>866.4809367825078</v>
      </c>
      <c r="M2934" s="1">
        <v>45777</v>
      </c>
    </row>
    <row r="2935" spans="1:14" ht="14.4" hidden="1">
      <c r="A2935" t="s">
        <v>529</v>
      </c>
      <c r="B2935" s="1">
        <v>49</v>
      </c>
      <c r="C2935" s="258" t="s">
        <v>6590</v>
      </c>
      <c r="D2935" t="s">
        <v>1211</v>
      </c>
      <c r="E2935" t="s">
        <v>6567</v>
      </c>
      <c r="F2935">
        <v>357261</v>
      </c>
      <c r="G2935">
        <v>0.3</v>
      </c>
      <c r="H2935" s="1">
        <v>107178.3</v>
      </c>
      <c r="I2935" t="s">
        <v>6568</v>
      </c>
      <c r="J2935" t="s">
        <v>6569</v>
      </c>
      <c r="K2935" s="170">
        <v>45747</v>
      </c>
      <c r="L2935" s="1">
        <v>285239.46615391923</v>
      </c>
      <c r="M2935" s="1">
        <v>45729</v>
      </c>
    </row>
    <row r="2936" spans="1:14" ht="14.4" hidden="1">
      <c r="A2936" t="s">
        <v>529</v>
      </c>
      <c r="B2936" s="1">
        <v>50</v>
      </c>
      <c r="C2936" s="258" t="s">
        <v>6591</v>
      </c>
      <c r="D2936" t="s">
        <v>1211</v>
      </c>
      <c r="E2936" t="s">
        <v>6571</v>
      </c>
      <c r="F2936"/>
      <c r="G2936">
        <v>0.2</v>
      </c>
      <c r="H2936" s="1">
        <v>71452.2</v>
      </c>
      <c r="I2936"/>
      <c r="J2936" t="s">
        <v>6572</v>
      </c>
      <c r="K2936" s="170">
        <v>45777</v>
      </c>
      <c r="L2936" s="1">
        <v>190159.64410261283</v>
      </c>
      <c r="M2936" s="1">
        <v>45785</v>
      </c>
    </row>
    <row r="2937" spans="1:14" ht="14.4" hidden="1">
      <c r="A2937" t="s">
        <v>529</v>
      </c>
      <c r="B2937" s="1">
        <v>51</v>
      </c>
      <c r="C2937" s="258" t="s">
        <v>6592</v>
      </c>
      <c r="D2937" t="s">
        <v>1211</v>
      </c>
      <c r="E2937" t="s">
        <v>6574</v>
      </c>
      <c r="F2937"/>
      <c r="G2937">
        <v>0.3</v>
      </c>
      <c r="H2937" s="1">
        <v>107178.3</v>
      </c>
      <c r="I2937"/>
      <c r="J2937" t="s">
        <v>6575</v>
      </c>
      <c r="K2937" s="170">
        <v>45838</v>
      </c>
      <c r="L2937" s="1">
        <v>208441.99234143723</v>
      </c>
      <c r="M2937" s="1">
        <v>45855</v>
      </c>
    </row>
    <row r="2938" spans="1:14" ht="14.4" hidden="1">
      <c r="A2938" t="s">
        <v>529</v>
      </c>
      <c r="B2938" s="1">
        <v>52</v>
      </c>
      <c r="C2938" s="258" t="s">
        <v>6593</v>
      </c>
      <c r="D2938" t="s">
        <v>1211</v>
      </c>
      <c r="E2938" t="s">
        <v>6577</v>
      </c>
      <c r="F2938"/>
      <c r="G2938">
        <v>0.15</v>
      </c>
      <c r="H2938" s="1">
        <v>53589.15</v>
      </c>
      <c r="I2938"/>
      <c r="J2938" t="s">
        <v>6578</v>
      </c>
      <c r="K2938" s="170">
        <v>45838</v>
      </c>
      <c r="L2938" s="1">
        <v>92421.511170718615</v>
      </c>
      <c r="M2938" s="1">
        <v>45862</v>
      </c>
    </row>
    <row r="2939" spans="1:14" ht="14.4" hidden="1">
      <c r="A2939" t="s">
        <v>529</v>
      </c>
      <c r="B2939" s="1">
        <v>53</v>
      </c>
      <c r="C2939" s="258" t="s">
        <v>6594</v>
      </c>
      <c r="D2939" t="s">
        <v>1211</v>
      </c>
      <c r="E2939" t="s">
        <v>2138</v>
      </c>
      <c r="F2939"/>
      <c r="G2939">
        <v>0.05</v>
      </c>
      <c r="H2939" s="1">
        <v>17863.05</v>
      </c>
      <c r="I2939"/>
      <c r="J2939" t="s">
        <v>6580</v>
      </c>
      <c r="K2939" s="170">
        <v>45900</v>
      </c>
      <c r="L2939" s="1">
        <v>40855.60824720173</v>
      </c>
      <c r="M2939" s="1">
        <v>45890</v>
      </c>
    </row>
    <row r="2940" spans="1:14" ht="14.4" hidden="1">
      <c r="A2940" t="s">
        <v>529</v>
      </c>
      <c r="B2940" s="1">
        <v>54</v>
      </c>
      <c r="C2940" s="258" t="s">
        <v>6595</v>
      </c>
      <c r="D2940" t="s">
        <v>1211</v>
      </c>
      <c r="E2940" t="s">
        <v>6596</v>
      </c>
      <c r="F2940"/>
      <c r="H2940" s="1">
        <v>-24757</v>
      </c>
      <c r="I2940"/>
      <c r="J2940" t="s">
        <v>6597</v>
      </c>
      <c r="K2940" s="170">
        <v>45900</v>
      </c>
      <c r="L2940" s="1">
        <v>0</v>
      </c>
      <c r="M2940" s="1">
        <v>45900</v>
      </c>
    </row>
    <row r="2941" spans="1:14" ht="14.4" hidden="1">
      <c r="A2941" t="s">
        <v>529</v>
      </c>
      <c r="B2941" s="1">
        <v>55</v>
      </c>
      <c r="C2941" s="258" t="s">
        <v>6598</v>
      </c>
      <c r="D2941" t="s">
        <v>1211</v>
      </c>
      <c r="E2941" t="s">
        <v>6599</v>
      </c>
      <c r="F2941"/>
      <c r="H2941" s="1">
        <v>29881.5</v>
      </c>
      <c r="I2941" t="s">
        <v>6600</v>
      </c>
      <c r="J2941" t="s">
        <v>6601</v>
      </c>
      <c r="K2941" s="170">
        <v>45869</v>
      </c>
      <c r="L2941" s="1">
        <v>68344.393657225635</v>
      </c>
      <c r="M2941" s="1">
        <v>45849</v>
      </c>
    </row>
    <row r="2942" spans="1:14" ht="14.4" hidden="1">
      <c r="A2942" t="s">
        <v>529</v>
      </c>
      <c r="B2942" s="1">
        <v>56</v>
      </c>
      <c r="C2942" s="258" t="s">
        <v>6602</v>
      </c>
      <c r="D2942" t="s">
        <v>1211</v>
      </c>
      <c r="E2942" t="s">
        <v>6603</v>
      </c>
      <c r="F2942"/>
      <c r="H2942" s="1">
        <v>28566</v>
      </c>
      <c r="I2942" t="s">
        <v>6604</v>
      </c>
      <c r="J2942" t="s">
        <v>6605</v>
      </c>
      <c r="K2942" s="170">
        <v>45869</v>
      </c>
      <c r="L2942" s="1">
        <v>65335.607289202599</v>
      </c>
      <c r="M2942" s="1">
        <v>45849</v>
      </c>
    </row>
    <row r="2943" spans="1:14" ht="14.4" hidden="1">
      <c r="A2943" t="s">
        <v>529</v>
      </c>
      <c r="B2943" s="1">
        <v>67</v>
      </c>
      <c r="C2943" s="258" t="s">
        <v>6606</v>
      </c>
      <c r="D2943" t="s">
        <v>1224</v>
      </c>
      <c r="E2943" t="s">
        <v>6607</v>
      </c>
      <c r="F2943">
        <v>89800</v>
      </c>
      <c r="G2943">
        <v>0.8</v>
      </c>
      <c r="H2943" s="1">
        <v>71840</v>
      </c>
      <c r="I2943" t="s">
        <v>6608</v>
      </c>
      <c r="J2943" t="s">
        <v>6609</v>
      </c>
      <c r="K2943" s="170">
        <v>45808</v>
      </c>
      <c r="L2943" s="1">
        <v>0</v>
      </c>
      <c r="M2943" s="1">
        <v>45799</v>
      </c>
      <c r="N2943" s="1">
        <v>138014.51999999999</v>
      </c>
    </row>
    <row r="2944" spans="1:14" ht="14.4" hidden="1">
      <c r="A2944" t="s">
        <v>529</v>
      </c>
      <c r="B2944" s="1">
        <v>68</v>
      </c>
      <c r="C2944" s="258" t="s">
        <v>6610</v>
      </c>
      <c r="D2944" t="s">
        <v>1224</v>
      </c>
      <c r="E2944" t="s">
        <v>6607</v>
      </c>
      <c r="F2944"/>
      <c r="G2944">
        <v>0.2</v>
      </c>
      <c r="H2944" s="1">
        <v>17960</v>
      </c>
      <c r="I2944"/>
      <c r="J2944" t="s">
        <v>6609</v>
      </c>
      <c r="K2944" s="170">
        <v>45808</v>
      </c>
      <c r="L2944" s="1">
        <v>0</v>
      </c>
      <c r="M2944" s="1">
        <v>45827</v>
      </c>
    </row>
    <row r="2945" spans="1:14" ht="14.4" hidden="1">
      <c r="A2945" t="s">
        <v>529</v>
      </c>
      <c r="B2945" s="1">
        <v>69</v>
      </c>
      <c r="C2945" s="258" t="s">
        <v>6611</v>
      </c>
      <c r="D2945" t="s">
        <v>1224</v>
      </c>
      <c r="E2945" t="s">
        <v>6612</v>
      </c>
      <c r="F2945">
        <v>61258</v>
      </c>
      <c r="G2945">
        <v>0.5</v>
      </c>
      <c r="H2945" s="1">
        <v>30629</v>
      </c>
      <c r="I2945" t="s">
        <v>6613</v>
      </c>
      <c r="J2945" t="s">
        <v>6614</v>
      </c>
      <c r="K2945" s="170">
        <v>45777</v>
      </c>
      <c r="L2945" s="1">
        <v>175000.00000000003</v>
      </c>
      <c r="M2945" s="1">
        <v>45764</v>
      </c>
    </row>
    <row r="2946" spans="1:14" ht="14.4" hidden="1">
      <c r="A2946" t="s">
        <v>529</v>
      </c>
      <c r="B2946" s="1">
        <v>70</v>
      </c>
      <c r="C2946" s="258" t="s">
        <v>6615</v>
      </c>
      <c r="D2946" t="s">
        <v>1224</v>
      </c>
      <c r="E2946" t="s">
        <v>6616</v>
      </c>
      <c r="F2946"/>
      <c r="G2946">
        <v>0.3</v>
      </c>
      <c r="H2946" s="1">
        <v>18377.400000000001</v>
      </c>
      <c r="I2946"/>
      <c r="J2946" t="s">
        <v>6614</v>
      </c>
      <c r="K2946" s="170">
        <v>45777</v>
      </c>
      <c r="L2946" s="1">
        <v>0</v>
      </c>
      <c r="M2946" s="1">
        <v>45772</v>
      </c>
    </row>
    <row r="2947" spans="1:14" ht="14.4" hidden="1">
      <c r="A2947" t="s">
        <v>529</v>
      </c>
      <c r="B2947" s="1">
        <v>71</v>
      </c>
      <c r="C2947" s="258" t="s">
        <v>6617</v>
      </c>
      <c r="D2947" t="s">
        <v>1224</v>
      </c>
      <c r="E2947" t="s">
        <v>6616</v>
      </c>
      <c r="F2947"/>
      <c r="G2947">
        <v>0.2</v>
      </c>
      <c r="H2947" s="1">
        <v>12251.6</v>
      </c>
      <c r="I2947"/>
      <c r="J2947" t="s">
        <v>6614</v>
      </c>
      <c r="K2947" s="170">
        <v>45777</v>
      </c>
      <c r="L2947" s="1">
        <v>0</v>
      </c>
      <c r="M2947" s="1">
        <v>45827</v>
      </c>
    </row>
    <row r="2948" spans="1:14" ht="14.4" hidden="1">
      <c r="A2948" t="s">
        <v>529</v>
      </c>
      <c r="B2948" s="1">
        <v>72</v>
      </c>
      <c r="C2948" s="258" t="s">
        <v>6618</v>
      </c>
      <c r="D2948" t="s">
        <v>1224</v>
      </c>
      <c r="E2948" t="s">
        <v>6619</v>
      </c>
      <c r="F2948"/>
      <c r="H2948" s="1">
        <v>-13043.48</v>
      </c>
      <c r="I2948"/>
      <c r="J2948" t="s">
        <v>6620</v>
      </c>
      <c r="K2948" s="170">
        <v>45838</v>
      </c>
      <c r="M2948" s="1">
        <v>45838</v>
      </c>
    </row>
    <row r="2949" spans="1:14" ht="14.4" hidden="1">
      <c r="A2949" t="s">
        <v>529</v>
      </c>
      <c r="B2949" s="1">
        <v>75</v>
      </c>
      <c r="C2949" s="258" t="s">
        <v>6621</v>
      </c>
      <c r="D2949" t="s">
        <v>1246</v>
      </c>
      <c r="E2949" t="s">
        <v>6567</v>
      </c>
      <c r="F2949">
        <v>600000</v>
      </c>
      <c r="G2949">
        <v>0.3</v>
      </c>
      <c r="H2949" s="1">
        <v>180000</v>
      </c>
      <c r="I2949" t="s">
        <v>6568</v>
      </c>
      <c r="J2949" t="s">
        <v>6569</v>
      </c>
      <c r="K2949" s="170">
        <v>45747</v>
      </c>
      <c r="L2949" s="1">
        <v>179962.0588235294</v>
      </c>
      <c r="M2949" s="1">
        <v>45729</v>
      </c>
      <c r="N2949" s="1">
        <v>600000</v>
      </c>
    </row>
    <row r="2950" spans="1:14" ht="14.4" hidden="1">
      <c r="A2950" t="s">
        <v>529</v>
      </c>
      <c r="B2950" s="1">
        <v>76</v>
      </c>
      <c r="C2950" s="258" t="s">
        <v>6622</v>
      </c>
      <c r="D2950" t="s">
        <v>1246</v>
      </c>
      <c r="E2950" t="s">
        <v>6571</v>
      </c>
      <c r="F2950"/>
      <c r="G2950">
        <v>0.2</v>
      </c>
      <c r="H2950" s="1">
        <v>120000</v>
      </c>
      <c r="I2950"/>
      <c r="J2950" t="s">
        <v>6572</v>
      </c>
      <c r="K2950" s="170">
        <v>45777</v>
      </c>
      <c r="L2950" s="1">
        <v>119974.70588235297</v>
      </c>
      <c r="M2950" s="1">
        <v>45785</v>
      </c>
    </row>
    <row r="2951" spans="1:14" ht="14.4" hidden="1">
      <c r="A2951" t="s">
        <v>529</v>
      </c>
      <c r="B2951" s="1">
        <v>77</v>
      </c>
      <c r="C2951" s="258" t="s">
        <v>6623</v>
      </c>
      <c r="D2951" t="s">
        <v>1246</v>
      </c>
      <c r="E2951" t="s">
        <v>6574</v>
      </c>
      <c r="F2951"/>
      <c r="G2951">
        <v>0.3</v>
      </c>
      <c r="H2951" s="1">
        <v>180000</v>
      </c>
      <c r="I2951"/>
      <c r="J2951" t="s">
        <v>6575</v>
      </c>
      <c r="K2951" s="170">
        <v>45838</v>
      </c>
      <c r="L2951" s="1">
        <v>179962.0588235294</v>
      </c>
      <c r="M2951" s="1">
        <v>45855</v>
      </c>
    </row>
    <row r="2952" spans="1:14" ht="14.4" hidden="1">
      <c r="A2952" t="s">
        <v>529</v>
      </c>
      <c r="B2952" s="1">
        <v>78</v>
      </c>
      <c r="C2952" s="258" t="s">
        <v>6624</v>
      </c>
      <c r="D2952" t="s">
        <v>1246</v>
      </c>
      <c r="E2952" t="s">
        <v>6577</v>
      </c>
      <c r="F2952"/>
      <c r="G2952">
        <v>0.15</v>
      </c>
      <c r="H2952" s="1">
        <v>90000</v>
      </c>
      <c r="I2952"/>
      <c r="J2952" t="s">
        <v>6578</v>
      </c>
      <c r="K2952" s="170">
        <v>45838</v>
      </c>
      <c r="L2952" s="1">
        <v>89981.029411764699</v>
      </c>
      <c r="M2952" s="1">
        <v>45862</v>
      </c>
    </row>
    <row r="2953" spans="1:14" ht="14.4" hidden="1">
      <c r="A2953" t="s">
        <v>529</v>
      </c>
      <c r="B2953" s="1">
        <v>79</v>
      </c>
      <c r="C2953" s="258" t="s">
        <v>6625</v>
      </c>
      <c r="D2953" t="s">
        <v>1246</v>
      </c>
      <c r="E2953" t="s">
        <v>2138</v>
      </c>
      <c r="F2953"/>
      <c r="G2953">
        <v>0.05</v>
      </c>
      <c r="H2953" s="1">
        <v>30000</v>
      </c>
      <c r="I2953"/>
      <c r="J2953" t="s">
        <v>6580</v>
      </c>
      <c r="K2953" s="170">
        <v>45900</v>
      </c>
      <c r="L2953" s="1">
        <v>29993.676470588242</v>
      </c>
      <c r="M2953" s="1">
        <v>45890</v>
      </c>
    </row>
    <row r="2954" spans="1:14" ht="14.4" hidden="1">
      <c r="A2954" t="s">
        <v>529</v>
      </c>
      <c r="B2954" s="1">
        <v>85</v>
      </c>
      <c r="C2954" s="258" t="s">
        <v>6626</v>
      </c>
      <c r="D2954" t="s">
        <v>1255</v>
      </c>
      <c r="E2954" t="s">
        <v>6627</v>
      </c>
      <c r="F2954"/>
      <c r="H2954" s="1">
        <v>4050</v>
      </c>
      <c r="I2954" t="s">
        <v>6628</v>
      </c>
      <c r="J2954" t="s">
        <v>6629</v>
      </c>
      <c r="K2954" s="170">
        <v>45688</v>
      </c>
      <c r="L2954" s="1">
        <v>4810.7689339461931</v>
      </c>
      <c r="M2954" s="1">
        <v>45744</v>
      </c>
    </row>
    <row r="2955" spans="1:14" ht="14.4" hidden="1">
      <c r="A2955" t="s">
        <v>529</v>
      </c>
      <c r="B2955" s="1">
        <v>86</v>
      </c>
      <c r="C2955" s="258" t="s">
        <v>6630</v>
      </c>
      <c r="D2955" t="s">
        <v>1255</v>
      </c>
      <c r="E2955" t="s">
        <v>6631</v>
      </c>
      <c r="F2955"/>
      <c r="H2955" s="1">
        <v>5350</v>
      </c>
      <c r="I2955" t="s">
        <v>6632</v>
      </c>
      <c r="J2955" t="s">
        <v>6633</v>
      </c>
      <c r="K2955" s="170">
        <v>45688</v>
      </c>
      <c r="L2955" s="1">
        <v>6354.9663695338604</v>
      </c>
      <c r="M2955" s="1">
        <v>45744</v>
      </c>
    </row>
    <row r="2956" spans="1:14" ht="14.4" hidden="1">
      <c r="A2956" t="s">
        <v>529</v>
      </c>
      <c r="B2956" s="1">
        <v>87</v>
      </c>
      <c r="C2956" s="258" t="s">
        <v>6634</v>
      </c>
      <c r="D2956" t="s">
        <v>1255</v>
      </c>
      <c r="E2956" t="s">
        <v>6635</v>
      </c>
      <c r="F2956"/>
      <c r="H2956" s="1">
        <v>-5350</v>
      </c>
      <c r="I2956"/>
      <c r="J2956" t="s">
        <v>6636</v>
      </c>
      <c r="K2956" s="170">
        <v>45747</v>
      </c>
      <c r="L2956" s="1">
        <v>0</v>
      </c>
      <c r="M2956" s="1">
        <v>45747</v>
      </c>
    </row>
    <row r="2957" spans="1:14" ht="14.4" hidden="1">
      <c r="A2957" t="s">
        <v>529</v>
      </c>
      <c r="B2957" s="1">
        <v>88</v>
      </c>
      <c r="C2957" s="258" t="s">
        <v>6637</v>
      </c>
      <c r="D2957" t="s">
        <v>1255</v>
      </c>
      <c r="E2957" t="s">
        <v>6635</v>
      </c>
      <c r="F2957"/>
      <c r="H2957" s="1">
        <v>-4050</v>
      </c>
      <c r="I2957"/>
      <c r="J2957" t="s">
        <v>6638</v>
      </c>
      <c r="K2957" s="170">
        <v>45747</v>
      </c>
      <c r="L2957" s="1">
        <v>0</v>
      </c>
      <c r="M2957" s="1">
        <v>45747</v>
      </c>
    </row>
    <row r="2958" spans="1:14" ht="14.4" hidden="1">
      <c r="A2958" t="s">
        <v>529</v>
      </c>
      <c r="B2958" s="1">
        <v>89</v>
      </c>
      <c r="C2958" s="258" t="s">
        <v>6639</v>
      </c>
      <c r="D2958" t="s">
        <v>1255</v>
      </c>
      <c r="E2958" t="s">
        <v>6640</v>
      </c>
      <c r="F2958"/>
      <c r="H2958" s="1">
        <v>8250</v>
      </c>
      <c r="I2958"/>
      <c r="J2958" t="s">
        <v>6641</v>
      </c>
      <c r="K2958" s="170">
        <v>45747</v>
      </c>
      <c r="L2958" s="1">
        <v>-5807.1211247446554</v>
      </c>
      <c r="M2958" s="1">
        <v>45744</v>
      </c>
    </row>
    <row r="2959" spans="1:14" ht="14.4" hidden="1">
      <c r="A2959" t="s">
        <v>529</v>
      </c>
      <c r="B2959" s="1">
        <v>90</v>
      </c>
      <c r="C2959" s="258" t="s">
        <v>6642</v>
      </c>
      <c r="D2959" t="s">
        <v>1255</v>
      </c>
      <c r="E2959" t="s">
        <v>6631</v>
      </c>
      <c r="F2959"/>
      <c r="H2959" s="1">
        <v>2250</v>
      </c>
      <c r="I2959" t="s">
        <v>6643</v>
      </c>
      <c r="J2959" t="s">
        <v>6644</v>
      </c>
      <c r="K2959" s="170">
        <v>45777</v>
      </c>
      <c r="L2959" s="1">
        <v>5480.6151477969115</v>
      </c>
      <c r="M2959" s="1">
        <v>45764</v>
      </c>
    </row>
    <row r="2960" spans="1:14" ht="14.4" hidden="1">
      <c r="A2960" t="s">
        <v>529</v>
      </c>
      <c r="B2960" s="1">
        <v>91</v>
      </c>
      <c r="C2960" s="258" t="s">
        <v>6645</v>
      </c>
      <c r="D2960" t="s">
        <v>1255</v>
      </c>
      <c r="E2960" t="s">
        <v>6567</v>
      </c>
      <c r="F2960">
        <v>56057</v>
      </c>
      <c r="G2960">
        <v>0.3</v>
      </c>
      <c r="H2960" s="1">
        <v>16817.099999999999</v>
      </c>
      <c r="I2960" t="s">
        <v>6568</v>
      </c>
      <c r="J2960" t="s">
        <v>6569</v>
      </c>
      <c r="K2960" s="170">
        <v>45747</v>
      </c>
      <c r="L2960" s="1">
        <v>40963.579112006853</v>
      </c>
      <c r="M2960" s="1">
        <v>45729</v>
      </c>
    </row>
    <row r="2961" spans="1:14" ht="14.4" hidden="1">
      <c r="A2961" t="s">
        <v>529</v>
      </c>
      <c r="B2961" s="1">
        <v>92</v>
      </c>
      <c r="C2961" s="258" t="s">
        <v>6646</v>
      </c>
      <c r="D2961" t="s">
        <v>1255</v>
      </c>
      <c r="E2961" t="s">
        <v>6571</v>
      </c>
      <c r="F2961"/>
      <c r="G2961">
        <v>0.2</v>
      </c>
      <c r="H2961" s="1">
        <v>11211.4</v>
      </c>
      <c r="I2961"/>
      <c r="J2961" t="s">
        <v>6572</v>
      </c>
      <c r="K2961" s="170">
        <v>45777</v>
      </c>
      <c r="L2961" s="1">
        <v>27309.05274133791</v>
      </c>
      <c r="M2961" s="1">
        <v>45785</v>
      </c>
    </row>
    <row r="2962" spans="1:14" ht="14.4" hidden="1">
      <c r="A2962" t="s">
        <v>529</v>
      </c>
      <c r="B2962" s="1">
        <v>93</v>
      </c>
      <c r="C2962" s="258" t="s">
        <v>6647</v>
      </c>
      <c r="D2962" t="s">
        <v>1255</v>
      </c>
      <c r="E2962" t="s">
        <v>6574</v>
      </c>
      <c r="F2962"/>
      <c r="G2962">
        <v>0.3</v>
      </c>
      <c r="H2962" s="1">
        <v>16817.099999999999</v>
      </c>
      <c r="I2962"/>
      <c r="J2962" t="s">
        <v>6575</v>
      </c>
      <c r="K2962" s="170">
        <v>45838</v>
      </c>
      <c r="L2962" s="1">
        <v>54687.385584715303</v>
      </c>
      <c r="M2962" s="1">
        <v>45855</v>
      </c>
    </row>
    <row r="2963" spans="1:14" ht="14.4" hidden="1">
      <c r="A2963" t="s">
        <v>529</v>
      </c>
      <c r="B2963" s="1">
        <v>94</v>
      </c>
      <c r="C2963" s="258" t="s">
        <v>6648</v>
      </c>
      <c r="D2963" t="s">
        <v>1255</v>
      </c>
      <c r="E2963" t="s">
        <v>6577</v>
      </c>
      <c r="F2963"/>
      <c r="G2963">
        <v>0.15</v>
      </c>
      <c r="H2963" s="1">
        <v>8408.5499999999993</v>
      </c>
      <c r="I2963"/>
      <c r="J2963" t="s">
        <v>6578</v>
      </c>
      <c r="K2963" s="170">
        <v>45838</v>
      </c>
      <c r="L2963" s="1">
        <v>27343.692792357651</v>
      </c>
      <c r="M2963" s="1">
        <v>45862</v>
      </c>
    </row>
    <row r="2964" spans="1:14" ht="14.4" hidden="1">
      <c r="A2964" t="s">
        <v>529</v>
      </c>
      <c r="B2964" s="1">
        <v>95</v>
      </c>
      <c r="C2964" s="258" t="s">
        <v>6649</v>
      </c>
      <c r="D2964" t="s">
        <v>1255</v>
      </c>
      <c r="E2964" t="s">
        <v>2138</v>
      </c>
      <c r="F2964"/>
      <c r="G2964">
        <v>0.05</v>
      </c>
      <c r="H2964" s="1">
        <v>2802.8500000000004</v>
      </c>
      <c r="I2964"/>
      <c r="J2964" t="s">
        <v>6580</v>
      </c>
      <c r="K2964" s="170">
        <v>45900</v>
      </c>
      <c r="L2964" s="1">
        <v>9114.5642641192208</v>
      </c>
      <c r="M2964" s="1">
        <v>45890</v>
      </c>
    </row>
    <row r="2965" spans="1:14" ht="14.4" hidden="1">
      <c r="A2965" t="s">
        <v>529</v>
      </c>
      <c r="B2965" s="1">
        <v>96</v>
      </c>
      <c r="C2965" s="258" t="s">
        <v>6650</v>
      </c>
      <c r="D2965" t="s">
        <v>1255</v>
      </c>
      <c r="E2965" t="s">
        <v>6651</v>
      </c>
      <c r="F2965"/>
      <c r="H2965" s="1">
        <v>10900</v>
      </c>
      <c r="I2965" t="s">
        <v>6652</v>
      </c>
      <c r="J2965" t="s">
        <v>6653</v>
      </c>
      <c r="K2965" s="170">
        <v>45838</v>
      </c>
      <c r="L2965" s="1">
        <v>81624.258024118128</v>
      </c>
      <c r="M2965" s="1">
        <v>45855</v>
      </c>
    </row>
    <row r="2966" spans="1:14" ht="14.4" hidden="1">
      <c r="A2966" t="s">
        <v>529</v>
      </c>
      <c r="B2966" s="1">
        <v>100</v>
      </c>
      <c r="C2966" s="258" t="s">
        <v>6654</v>
      </c>
      <c r="D2966" t="s">
        <v>1264</v>
      </c>
      <c r="E2966" t="s">
        <v>1265</v>
      </c>
      <c r="F2966"/>
      <c r="H2966" s="1">
        <v>15750</v>
      </c>
      <c r="I2966"/>
      <c r="J2966" t="s">
        <v>6655</v>
      </c>
      <c r="K2966" s="170">
        <v>45838</v>
      </c>
      <c r="L2966" s="1">
        <v>22754.869946524064</v>
      </c>
      <c r="M2966" s="1">
        <v>45867</v>
      </c>
      <c r="N2966" s="1">
        <v>102050</v>
      </c>
    </row>
    <row r="2967" spans="1:14" ht="14.4" hidden="1">
      <c r="A2967" t="s">
        <v>529</v>
      </c>
      <c r="B2967" s="1">
        <v>101</v>
      </c>
      <c r="C2967" s="258" t="s">
        <v>6656</v>
      </c>
      <c r="D2967" t="s">
        <v>1264</v>
      </c>
      <c r="E2967" t="s">
        <v>6657</v>
      </c>
      <c r="F2967"/>
      <c r="H2967" s="1">
        <v>7500</v>
      </c>
      <c r="I2967" t="s">
        <v>6658</v>
      </c>
      <c r="J2967" t="s">
        <v>6659</v>
      </c>
      <c r="K2967" s="170">
        <v>45688</v>
      </c>
      <c r="L2967" s="1">
        <v>10638.426871327232</v>
      </c>
      <c r="M2967" s="1">
        <v>45695</v>
      </c>
    </row>
    <row r="2968" spans="1:14" ht="14.4" hidden="1">
      <c r="A2968" t="s">
        <v>529</v>
      </c>
      <c r="B2968" s="1">
        <v>102</v>
      </c>
      <c r="C2968" s="258" t="s">
        <v>6660</v>
      </c>
      <c r="D2968" t="s">
        <v>1264</v>
      </c>
      <c r="E2968" t="s">
        <v>3853</v>
      </c>
      <c r="F2968"/>
      <c r="H2968" s="1">
        <v>8000</v>
      </c>
      <c r="I2968"/>
      <c r="J2968" t="s">
        <v>3691</v>
      </c>
      <c r="K2968" s="170">
        <v>45869</v>
      </c>
      <c r="L2968" s="1">
        <v>13703.880849352969</v>
      </c>
      <c r="M2968" s="1">
        <v>45869</v>
      </c>
    </row>
    <row r="2969" spans="1:14" ht="14.4" hidden="1">
      <c r="A2969" t="s">
        <v>529</v>
      </c>
      <c r="B2969" s="1">
        <v>103</v>
      </c>
      <c r="C2969" s="258" t="s">
        <v>6661</v>
      </c>
      <c r="D2969" t="s">
        <v>1264</v>
      </c>
      <c r="E2969" t="s">
        <v>2090</v>
      </c>
      <c r="F2969"/>
      <c r="H2969" s="1">
        <v>65700</v>
      </c>
      <c r="I2969" t="s">
        <v>6662</v>
      </c>
      <c r="J2969" t="s">
        <v>6663</v>
      </c>
      <c r="K2969" s="170">
        <v>45777</v>
      </c>
      <c r="L2969" s="1">
        <v>98881.000936529308</v>
      </c>
      <c r="M2969" s="1">
        <v>46112</v>
      </c>
    </row>
    <row r="2970" spans="1:14" ht="14.4" hidden="1">
      <c r="A2970" t="s">
        <v>529</v>
      </c>
      <c r="B2970" s="1">
        <v>104</v>
      </c>
      <c r="C2970" s="258" t="s">
        <v>6664</v>
      </c>
      <c r="D2970" t="s">
        <v>1264</v>
      </c>
      <c r="E2970" t="s">
        <v>6665</v>
      </c>
      <c r="F2970"/>
      <c r="H2970" s="1">
        <v>5100</v>
      </c>
      <c r="I2970" t="s">
        <v>6666</v>
      </c>
      <c r="J2970" t="s">
        <v>6667</v>
      </c>
      <c r="K2970" s="170">
        <v>45900</v>
      </c>
      <c r="L2970" s="1">
        <v>9360.9404164625194</v>
      </c>
      <c r="M2970" s="1">
        <v>45911</v>
      </c>
    </row>
    <row r="2971" spans="1:14" ht="14.4" hidden="1">
      <c r="A2971" t="s">
        <v>529</v>
      </c>
      <c r="B2971" s="1">
        <v>106</v>
      </c>
      <c r="C2971" s="258" t="s">
        <v>6668</v>
      </c>
      <c r="D2971" t="s">
        <v>2101</v>
      </c>
      <c r="E2971" t="s">
        <v>6669</v>
      </c>
      <c r="F2971"/>
      <c r="H2971" s="1">
        <v>304347.83</v>
      </c>
      <c r="I2971"/>
      <c r="J2971" t="s">
        <v>6670</v>
      </c>
      <c r="K2971" s="170">
        <v>45747</v>
      </c>
      <c r="M2971" s="1">
        <v>45743</v>
      </c>
      <c r="N2971" s="1">
        <v>304347.83</v>
      </c>
    </row>
    <row r="2972" spans="1:14" ht="14.4" hidden="1">
      <c r="A2972" t="s">
        <v>529</v>
      </c>
      <c r="B2972" s="1">
        <v>109</v>
      </c>
      <c r="C2972" s="258" t="s">
        <v>6671</v>
      </c>
      <c r="D2972" t="s">
        <v>1277</v>
      </c>
      <c r="E2972" t="s">
        <v>6672</v>
      </c>
      <c r="F2972"/>
      <c r="H2972" s="1">
        <v>72672.500000362998</v>
      </c>
      <c r="I2972"/>
      <c r="J2972" t="s">
        <v>3693</v>
      </c>
      <c r="K2972" s="170">
        <v>45869</v>
      </c>
      <c r="L2972" s="1">
        <v>430469.76881484682</v>
      </c>
      <c r="M2972" s="1">
        <v>45869</v>
      </c>
      <c r="N2972" s="1">
        <v>72672.500000362998</v>
      </c>
    </row>
    <row r="2973" spans="1:14" ht="14.4" hidden="1">
      <c r="A2973" t="s">
        <v>529</v>
      </c>
      <c r="B2973" s="1">
        <v>110</v>
      </c>
      <c r="C2973" s="258" t="s">
        <v>6673</v>
      </c>
      <c r="D2973" t="s">
        <v>1277</v>
      </c>
      <c r="E2973" t="s">
        <v>1903</v>
      </c>
      <c r="F2973"/>
      <c r="H2973" s="1">
        <v>0</v>
      </c>
      <c r="I2973"/>
      <c r="J2973"/>
      <c r="K2973" s="170">
        <v>45869</v>
      </c>
      <c r="L2973" s="1">
        <v>0</v>
      </c>
      <c r="M2973" s="1">
        <v>45869</v>
      </c>
    </row>
    <row r="2974" spans="1:14" ht="14.4" hidden="1">
      <c r="A2974" t="s">
        <v>529</v>
      </c>
      <c r="B2974" s="1">
        <v>111</v>
      </c>
      <c r="C2974" s="258" t="s">
        <v>6674</v>
      </c>
      <c r="D2974" t="s">
        <v>1277</v>
      </c>
      <c r="E2974" t="s">
        <v>1905</v>
      </c>
      <c r="F2974"/>
      <c r="H2974" s="1">
        <v>0</v>
      </c>
      <c r="I2974"/>
      <c r="J2974"/>
      <c r="K2974" s="170">
        <v>45869</v>
      </c>
      <c r="L2974" s="1">
        <v>0</v>
      </c>
      <c r="M2974" s="1">
        <v>45869</v>
      </c>
    </row>
    <row r="2975" spans="1:14" ht="14.4" hidden="1">
      <c r="A2975" t="s">
        <v>529</v>
      </c>
      <c r="B2975" s="1">
        <v>112</v>
      </c>
      <c r="C2975" s="258" t="s">
        <v>6675</v>
      </c>
      <c r="D2975" t="s">
        <v>1277</v>
      </c>
      <c r="E2975" t="s">
        <v>1907</v>
      </c>
      <c r="F2975"/>
      <c r="H2975" s="1">
        <v>0</v>
      </c>
      <c r="I2975"/>
      <c r="J2975"/>
      <c r="K2975" s="170">
        <v>45869</v>
      </c>
      <c r="L2975" s="1">
        <v>0</v>
      </c>
      <c r="M2975" s="1">
        <v>45869</v>
      </c>
    </row>
    <row r="2976" spans="1:14" ht="14.4" hidden="1">
      <c r="A2976" t="s">
        <v>529</v>
      </c>
      <c r="B2976" s="1">
        <v>113</v>
      </c>
      <c r="C2976" s="258" t="s">
        <v>6676</v>
      </c>
      <c r="D2976" t="s">
        <v>1277</v>
      </c>
      <c r="E2976" t="s">
        <v>1909</v>
      </c>
      <c r="F2976"/>
      <c r="H2976" s="1">
        <v>0</v>
      </c>
      <c r="I2976"/>
      <c r="J2976"/>
      <c r="K2976" s="170">
        <v>45869</v>
      </c>
      <c r="L2976" s="1">
        <v>0</v>
      </c>
      <c r="M2976" s="1">
        <v>45869</v>
      </c>
    </row>
    <row r="2977" spans="1:14" ht="14.4" hidden="1">
      <c r="A2977" t="s">
        <v>529</v>
      </c>
      <c r="B2977" s="1">
        <v>117</v>
      </c>
      <c r="C2977" s="258" t="s">
        <v>6677</v>
      </c>
      <c r="D2977" t="s">
        <v>1280</v>
      </c>
      <c r="E2977" t="s">
        <v>2112</v>
      </c>
      <c r="F2977"/>
      <c r="H2977" s="1">
        <v>602.58000000000004</v>
      </c>
      <c r="I2977"/>
      <c r="J2977" t="s">
        <v>1282</v>
      </c>
      <c r="K2977" s="170">
        <v>45688</v>
      </c>
      <c r="L2977" s="1">
        <v>455.06798335107544</v>
      </c>
      <c r="M2977" s="1">
        <v>45695</v>
      </c>
      <c r="N2977" s="1">
        <v>6386.7699999999995</v>
      </c>
    </row>
    <row r="2978" spans="1:14" ht="14.4" hidden="1">
      <c r="A2978" t="s">
        <v>529</v>
      </c>
      <c r="B2978" s="1">
        <v>118</v>
      </c>
      <c r="C2978" s="258" t="s">
        <v>6678</v>
      </c>
      <c r="D2978" t="s">
        <v>1280</v>
      </c>
      <c r="F2978"/>
      <c r="H2978" s="1">
        <v>514.98</v>
      </c>
      <c r="I2978"/>
      <c r="J2978" t="s">
        <v>1282</v>
      </c>
      <c r="K2978" s="170">
        <v>45716</v>
      </c>
      <c r="L2978" s="1">
        <v>286.44448880835216</v>
      </c>
      <c r="M2978" s="1">
        <v>45722</v>
      </c>
    </row>
    <row r="2979" spans="1:14" ht="14.4" hidden="1">
      <c r="A2979" t="s">
        <v>529</v>
      </c>
      <c r="B2979" s="1">
        <v>119</v>
      </c>
      <c r="C2979" s="258" t="s">
        <v>6679</v>
      </c>
      <c r="D2979" t="s">
        <v>1280</v>
      </c>
      <c r="F2979"/>
      <c r="H2979" s="1">
        <v>2896.82</v>
      </c>
      <c r="I2979"/>
      <c r="J2979" t="s">
        <v>1282</v>
      </c>
      <c r="K2979" s="170">
        <v>45747</v>
      </c>
      <c r="L2979" s="1">
        <v>2011.2567911981168</v>
      </c>
      <c r="M2979" s="1">
        <v>45751</v>
      </c>
    </row>
    <row r="2980" spans="1:14" ht="14.4" hidden="1">
      <c r="A2980" t="s">
        <v>529</v>
      </c>
      <c r="B2980" s="1">
        <v>120</v>
      </c>
      <c r="C2980" s="258" t="s">
        <v>6680</v>
      </c>
      <c r="D2980" t="s">
        <v>1280</v>
      </c>
      <c r="F2980"/>
      <c r="H2980" s="1">
        <v>639.27</v>
      </c>
      <c r="I2980"/>
      <c r="J2980" t="s">
        <v>1282</v>
      </c>
      <c r="K2980" s="170">
        <v>45777</v>
      </c>
      <c r="L2980" s="1">
        <v>521.11964483027862</v>
      </c>
      <c r="M2980" s="1">
        <v>45785</v>
      </c>
    </row>
    <row r="2981" spans="1:14" ht="14.4" hidden="1">
      <c r="A2981" t="s">
        <v>529</v>
      </c>
      <c r="B2981" s="1">
        <v>121</v>
      </c>
      <c r="C2981" s="258" t="s">
        <v>6681</v>
      </c>
      <c r="D2981" t="s">
        <v>1280</v>
      </c>
      <c r="F2981"/>
      <c r="H2981" s="1">
        <v>421.74</v>
      </c>
      <c r="I2981"/>
      <c r="J2981" t="s">
        <v>1282</v>
      </c>
      <c r="K2981" s="170">
        <v>45808</v>
      </c>
      <c r="L2981" s="1">
        <v>431.4336358299571</v>
      </c>
      <c r="M2981" s="1">
        <v>45817</v>
      </c>
    </row>
    <row r="2982" spans="1:14" ht="14.4" hidden="1">
      <c r="A2982" t="s">
        <v>529</v>
      </c>
      <c r="B2982" s="1">
        <v>122</v>
      </c>
      <c r="C2982" s="258" t="s">
        <v>6682</v>
      </c>
      <c r="D2982" t="s">
        <v>1280</v>
      </c>
      <c r="F2982"/>
      <c r="H2982" s="1">
        <v>704.96</v>
      </c>
      <c r="I2982"/>
      <c r="J2982" t="s">
        <v>1282</v>
      </c>
      <c r="K2982" s="170">
        <v>45838</v>
      </c>
      <c r="L2982" s="1">
        <v>2502.1021751081271</v>
      </c>
      <c r="M2982" s="1">
        <v>45842</v>
      </c>
    </row>
    <row r="2983" spans="1:14" ht="14.4" hidden="1">
      <c r="A2983" t="s">
        <v>529</v>
      </c>
      <c r="B2983" s="1">
        <v>123</v>
      </c>
      <c r="C2983" s="258" t="s">
        <v>6683</v>
      </c>
      <c r="D2983" t="s">
        <v>1280</v>
      </c>
      <c r="F2983"/>
      <c r="H2983" s="1">
        <v>606.41999999999996</v>
      </c>
      <c r="I2983"/>
      <c r="J2983" t="s">
        <v>1282</v>
      </c>
      <c r="K2983" s="170">
        <v>45869</v>
      </c>
      <c r="L2983" s="1">
        <v>6145.5143927110712</v>
      </c>
      <c r="M2983" s="1">
        <v>45876</v>
      </c>
    </row>
    <row r="2984" spans="1:14" ht="14.4" hidden="1">
      <c r="A2984" t="s">
        <v>529</v>
      </c>
      <c r="B2984" s="1">
        <v>127</v>
      </c>
      <c r="C2984" s="258" t="s">
        <v>6684</v>
      </c>
      <c r="D2984" t="s">
        <v>1451</v>
      </c>
      <c r="E2984" t="s">
        <v>6685</v>
      </c>
      <c r="F2984"/>
      <c r="H2984" s="1">
        <v>3250</v>
      </c>
      <c r="I2984" t="s">
        <v>6686</v>
      </c>
      <c r="J2984" t="s">
        <v>6687</v>
      </c>
      <c r="K2984" s="170">
        <v>45900</v>
      </c>
      <c r="M2984" s="1">
        <v>45890</v>
      </c>
    </row>
    <row r="2985" spans="1:14" ht="14.4" hidden="1">
      <c r="A2985" t="s">
        <v>530</v>
      </c>
      <c r="B2985" s="1">
        <v>6</v>
      </c>
      <c r="C2985" s="258" t="s">
        <v>6688</v>
      </c>
      <c r="D2985" t="s">
        <v>1146</v>
      </c>
      <c r="E2985" t="s">
        <v>1365</v>
      </c>
      <c r="F2985">
        <v>302</v>
      </c>
      <c r="G2985">
        <v>1220</v>
      </c>
      <c r="H2985" s="1">
        <v>368440</v>
      </c>
      <c r="I2985"/>
      <c r="J2985" t="s">
        <v>6689</v>
      </c>
      <c r="K2985" s="170">
        <v>46053</v>
      </c>
      <c r="L2985" s="1">
        <v>511106.6875</v>
      </c>
      <c r="M2985" s="1">
        <v>46109</v>
      </c>
      <c r="N2985" s="1">
        <v>368440</v>
      </c>
    </row>
    <row r="2986" spans="1:14" ht="14.4" hidden="1">
      <c r="A2986" t="s">
        <v>530</v>
      </c>
      <c r="B2986" s="1">
        <v>13</v>
      </c>
      <c r="C2986" s="258" t="s">
        <v>6690</v>
      </c>
      <c r="D2986" t="s">
        <v>1157</v>
      </c>
      <c r="E2986" t="s">
        <v>3079</v>
      </c>
      <c r="F2986">
        <v>1</v>
      </c>
      <c r="G2986">
        <v>68870.350000000006</v>
      </c>
      <c r="H2986" s="1">
        <v>68870.350000000006</v>
      </c>
      <c r="I2986"/>
      <c r="J2986" t="s">
        <v>6689</v>
      </c>
      <c r="K2986" s="170">
        <v>46053</v>
      </c>
      <c r="L2986" s="1">
        <v>88048.509138168272</v>
      </c>
      <c r="M2986" s="1">
        <v>46109</v>
      </c>
      <c r="N2986" s="1">
        <v>112476.43</v>
      </c>
    </row>
    <row r="2987" spans="1:14" ht="14.4" hidden="1">
      <c r="A2987" t="s">
        <v>530</v>
      </c>
      <c r="B2987" s="1">
        <v>14</v>
      </c>
      <c r="C2987" s="258" t="s">
        <v>6691</v>
      </c>
      <c r="D2987" t="s">
        <v>1157</v>
      </c>
      <c r="E2987" t="s">
        <v>1804</v>
      </c>
      <c r="F2987">
        <v>1</v>
      </c>
      <c r="G2987">
        <v>43606.080000000002</v>
      </c>
      <c r="H2987" s="1">
        <v>43606.080000000002</v>
      </c>
      <c r="I2987"/>
      <c r="J2987" t="s">
        <v>6689</v>
      </c>
      <c r="K2987" s="170">
        <v>46053</v>
      </c>
      <c r="L2987" s="1">
        <v>55748.959216262105</v>
      </c>
      <c r="M2987" s="1">
        <v>46109</v>
      </c>
    </row>
    <row r="2988" spans="1:14" ht="14.4" hidden="1">
      <c r="A2988" t="s">
        <v>530</v>
      </c>
      <c r="B2988" s="1">
        <v>21</v>
      </c>
      <c r="C2988" s="258" t="s">
        <v>6692</v>
      </c>
      <c r="D2988" t="s">
        <v>1160</v>
      </c>
      <c r="E2988" t="s">
        <v>1161</v>
      </c>
      <c r="F2988"/>
      <c r="H2988" s="1">
        <v>51620.6</v>
      </c>
      <c r="I2988" t="s">
        <v>6693</v>
      </c>
      <c r="J2988" t="s">
        <v>6694</v>
      </c>
      <c r="K2988" s="170">
        <v>46053</v>
      </c>
      <c r="L2988" s="1">
        <v>105322.5</v>
      </c>
      <c r="M2988" s="1">
        <v>46083</v>
      </c>
      <c r="N2988" s="1">
        <v>51620.6</v>
      </c>
    </row>
    <row r="2989" spans="1:14" ht="14.4" hidden="1">
      <c r="A2989" t="s">
        <v>530</v>
      </c>
      <c r="B2989" s="1">
        <v>28</v>
      </c>
      <c r="C2989" s="258" t="s">
        <v>6695</v>
      </c>
      <c r="D2989" t="s">
        <v>1165</v>
      </c>
      <c r="E2989" t="s">
        <v>1953</v>
      </c>
      <c r="F2989">
        <v>4000</v>
      </c>
      <c r="G2989">
        <v>13.99</v>
      </c>
      <c r="H2989" s="1">
        <v>55960</v>
      </c>
      <c r="I2989"/>
      <c r="J2989" t="s">
        <v>6689</v>
      </c>
      <c r="K2989" s="170">
        <v>46053</v>
      </c>
      <c r="L2989" s="1">
        <v>69733.17127227415</v>
      </c>
      <c r="M2989" s="1">
        <v>46109</v>
      </c>
      <c r="N2989" s="1">
        <v>155527.80000000002</v>
      </c>
    </row>
    <row r="2990" spans="1:14" ht="14.4" hidden="1">
      <c r="A2990" t="s">
        <v>530</v>
      </c>
      <c r="B2990" s="1">
        <v>32</v>
      </c>
      <c r="C2990" s="258" t="s">
        <v>6696</v>
      </c>
      <c r="D2990" t="s">
        <v>1165</v>
      </c>
      <c r="E2990" t="s">
        <v>1169</v>
      </c>
      <c r="F2990">
        <v>99567.8</v>
      </c>
      <c r="G2990">
        <v>0.2</v>
      </c>
      <c r="H2990" s="1">
        <v>19913.560000000001</v>
      </c>
      <c r="I2990"/>
      <c r="J2990" t="s">
        <v>6697</v>
      </c>
      <c r="K2990" s="170">
        <v>46053</v>
      </c>
      <c r="L2990" s="1">
        <v>24814.790745545168</v>
      </c>
      <c r="M2990" s="1">
        <v>46051</v>
      </c>
    </row>
    <row r="2991" spans="1:14" ht="14.4" hidden="1">
      <c r="A2991" t="s">
        <v>530</v>
      </c>
      <c r="B2991" s="1">
        <v>33</v>
      </c>
      <c r="C2991" s="258" t="s">
        <v>6698</v>
      </c>
      <c r="D2991" t="s">
        <v>1165</v>
      </c>
      <c r="E2991" t="s">
        <v>558</v>
      </c>
      <c r="F2991"/>
      <c r="G2991">
        <v>0.2</v>
      </c>
      <c r="H2991" s="1">
        <v>19913.560000000001</v>
      </c>
      <c r="I2991"/>
      <c r="J2991" t="s">
        <v>6699</v>
      </c>
      <c r="K2991" s="170">
        <v>46053</v>
      </c>
      <c r="L2991" s="1">
        <v>24814.790745545168</v>
      </c>
      <c r="M2991" s="1">
        <v>46058</v>
      </c>
    </row>
    <row r="2992" spans="1:14" ht="14.4" hidden="1">
      <c r="A2992" t="s">
        <v>530</v>
      </c>
      <c r="B2992" s="1">
        <v>34</v>
      </c>
      <c r="C2992" s="258" t="s">
        <v>6700</v>
      </c>
      <c r="D2992" t="s">
        <v>1165</v>
      </c>
      <c r="E2992" t="s">
        <v>1175</v>
      </c>
      <c r="F2992"/>
      <c r="G2992">
        <v>0.15</v>
      </c>
      <c r="H2992" s="1">
        <v>14935.17</v>
      </c>
      <c r="I2992"/>
      <c r="J2992"/>
      <c r="K2992" s="170">
        <v>46112</v>
      </c>
      <c r="L2992" s="1">
        <v>18611.093059158877</v>
      </c>
      <c r="M2992" s="1">
        <v>46084</v>
      </c>
    </row>
    <row r="2993" spans="1:14" ht="14.4" hidden="1">
      <c r="A2993" t="s">
        <v>530</v>
      </c>
      <c r="B2993" s="1">
        <v>35</v>
      </c>
      <c r="C2993" s="258" t="s">
        <v>6701</v>
      </c>
      <c r="D2993" t="s">
        <v>1165</v>
      </c>
      <c r="E2993" t="s">
        <v>1178</v>
      </c>
      <c r="F2993"/>
      <c r="G2993">
        <v>0.15</v>
      </c>
      <c r="H2993" s="1">
        <v>14935.17</v>
      </c>
      <c r="I2993"/>
      <c r="J2993"/>
      <c r="K2993" s="170">
        <v>46112</v>
      </c>
      <c r="L2993" s="1">
        <v>18611.093059158877</v>
      </c>
      <c r="M2993" s="1">
        <v>46092</v>
      </c>
    </row>
    <row r="2994" spans="1:14" ht="14.4" hidden="1">
      <c r="A2994" t="s">
        <v>530</v>
      </c>
      <c r="B2994" s="1">
        <v>36</v>
      </c>
      <c r="C2994" s="258" t="s">
        <v>6702</v>
      </c>
      <c r="D2994" t="s">
        <v>1165</v>
      </c>
      <c r="E2994" t="s">
        <v>1181</v>
      </c>
      <c r="F2994"/>
      <c r="G2994">
        <v>0.1</v>
      </c>
      <c r="H2994" s="1">
        <v>9956.7800000000007</v>
      </c>
      <c r="I2994"/>
      <c r="J2994"/>
      <c r="K2994" s="170">
        <v>46112</v>
      </c>
      <c r="L2994" s="1">
        <v>12407.395372772584</v>
      </c>
      <c r="M2994" s="1">
        <v>46101</v>
      </c>
    </row>
    <row r="2995" spans="1:14" ht="14.4" hidden="1">
      <c r="A2995" t="s">
        <v>530</v>
      </c>
      <c r="B2995" s="1">
        <v>37</v>
      </c>
      <c r="C2995" s="258" t="s">
        <v>6703</v>
      </c>
      <c r="D2995" t="s">
        <v>1165</v>
      </c>
      <c r="E2995" t="s">
        <v>1184</v>
      </c>
      <c r="F2995"/>
      <c r="G2995">
        <v>0.1</v>
      </c>
      <c r="H2995" s="1">
        <v>9956.7800000000007</v>
      </c>
      <c r="I2995"/>
      <c r="J2995"/>
      <c r="K2995" s="170">
        <v>46112</v>
      </c>
      <c r="L2995" s="1">
        <v>12407.395372772584</v>
      </c>
      <c r="M2995" s="1">
        <v>46108</v>
      </c>
    </row>
    <row r="2996" spans="1:14" ht="14.4" hidden="1">
      <c r="A2996" t="s">
        <v>530</v>
      </c>
      <c r="B2996" s="1">
        <v>38</v>
      </c>
      <c r="C2996" s="258" t="s">
        <v>6704</v>
      </c>
      <c r="D2996" t="s">
        <v>1165</v>
      </c>
      <c r="E2996" t="s">
        <v>1187</v>
      </c>
      <c r="F2996"/>
      <c r="G2996">
        <v>0.05</v>
      </c>
      <c r="H2996" s="1">
        <v>4978.3900000000003</v>
      </c>
      <c r="I2996"/>
      <c r="J2996"/>
      <c r="K2996" s="170">
        <v>46112</v>
      </c>
      <c r="L2996" s="1">
        <v>6203.6976863862919</v>
      </c>
      <c r="M2996" s="1">
        <v>46108</v>
      </c>
    </row>
    <row r="2997" spans="1:14" ht="14.4" hidden="1">
      <c r="A2997" t="s">
        <v>530</v>
      </c>
      <c r="B2997" s="1">
        <v>39</v>
      </c>
      <c r="C2997" s="258" t="s">
        <v>6705</v>
      </c>
      <c r="D2997" t="s">
        <v>1165</v>
      </c>
      <c r="E2997" t="s">
        <v>1190</v>
      </c>
      <c r="F2997"/>
      <c r="G2997">
        <v>0.05</v>
      </c>
      <c r="H2997" s="1">
        <v>4978.3900000000003</v>
      </c>
      <c r="I2997"/>
      <c r="J2997"/>
      <c r="K2997" s="170">
        <v>46142</v>
      </c>
      <c r="L2997" s="1">
        <v>6203.6976863862919</v>
      </c>
      <c r="M2997" s="1">
        <v>46131</v>
      </c>
    </row>
    <row r="2998" spans="1:14" ht="14.4" hidden="1">
      <c r="A2998" t="s">
        <v>530</v>
      </c>
      <c r="B2998" s="1">
        <v>44</v>
      </c>
      <c r="C2998" s="258" t="s">
        <v>6706</v>
      </c>
      <c r="D2998" t="s">
        <v>1193</v>
      </c>
      <c r="E2998" t="s">
        <v>1489</v>
      </c>
      <c r="F2998"/>
      <c r="H2998" s="1">
        <v>8598.34</v>
      </c>
      <c r="I2998"/>
      <c r="J2998" t="s">
        <v>6707</v>
      </c>
      <c r="K2998" s="170">
        <v>46053</v>
      </c>
      <c r="L2998" s="1">
        <v>9671.8364739124972</v>
      </c>
      <c r="M2998" s="1">
        <v>46111</v>
      </c>
      <c r="N2998" s="1">
        <v>37782.839999999997</v>
      </c>
    </row>
    <row r="2999" spans="1:14" ht="14.4" hidden="1">
      <c r="A2999" t="s">
        <v>530</v>
      </c>
      <c r="B2999" s="1">
        <v>45</v>
      </c>
      <c r="C2999" s="258" t="s">
        <v>6708</v>
      </c>
      <c r="D2999" t="s">
        <v>1193</v>
      </c>
      <c r="E2999" t="s">
        <v>1196</v>
      </c>
      <c r="F2999"/>
      <c r="H2999" s="1">
        <v>12417</v>
      </c>
      <c r="I2999" t="s">
        <v>6709</v>
      </c>
      <c r="J2999" t="s">
        <v>6710</v>
      </c>
      <c r="K2999" s="170">
        <v>46053</v>
      </c>
      <c r="L2999" s="1">
        <v>13967.253388046003</v>
      </c>
      <c r="M2999" s="1">
        <v>46080</v>
      </c>
    </row>
    <row r="3000" spans="1:14" ht="14.4" hidden="1">
      <c r="A3000" t="s">
        <v>530</v>
      </c>
      <c r="B3000" s="1">
        <v>46</v>
      </c>
      <c r="C3000" s="258" t="s">
        <v>6711</v>
      </c>
      <c r="D3000" t="s">
        <v>1193</v>
      </c>
      <c r="E3000" t="s">
        <v>6377</v>
      </c>
      <c r="F3000"/>
      <c r="H3000" s="1">
        <v>1767.5</v>
      </c>
      <c r="I3000"/>
      <c r="J3000" t="s">
        <v>6712</v>
      </c>
      <c r="K3000" s="170">
        <v>46053</v>
      </c>
      <c r="L3000" s="1">
        <v>1988.1710850746003</v>
      </c>
      <c r="M3000" s="1">
        <v>46053</v>
      </c>
    </row>
    <row r="3001" spans="1:14" ht="14.4" hidden="1">
      <c r="A3001" t="s">
        <v>530</v>
      </c>
      <c r="B3001" s="1">
        <v>47</v>
      </c>
      <c r="C3001" s="258" t="s">
        <v>6713</v>
      </c>
      <c r="D3001" t="s">
        <v>1193</v>
      </c>
      <c r="E3001" t="s">
        <v>1200</v>
      </c>
      <c r="F3001"/>
      <c r="H3001" s="1">
        <v>15000</v>
      </c>
      <c r="I3001"/>
      <c r="J3001"/>
      <c r="K3001" s="170">
        <v>46081</v>
      </c>
      <c r="L3001" s="1">
        <v>16872.739052966903</v>
      </c>
      <c r="M3001" s="1">
        <v>46111</v>
      </c>
    </row>
    <row r="3002" spans="1:14" ht="14.4" hidden="1">
      <c r="A3002" t="s">
        <v>530</v>
      </c>
      <c r="B3002" s="1">
        <v>54</v>
      </c>
      <c r="C3002" s="258" t="s">
        <v>6714</v>
      </c>
      <c r="D3002" t="s">
        <v>1211</v>
      </c>
      <c r="E3002" t="s">
        <v>1212</v>
      </c>
      <c r="F3002"/>
      <c r="H3002" s="1">
        <v>80831.95</v>
      </c>
      <c r="I3002"/>
      <c r="J3002"/>
      <c r="K3002" s="170">
        <v>46111</v>
      </c>
      <c r="L3002" s="1">
        <v>168517.12520401945</v>
      </c>
      <c r="M3002" s="1">
        <v>46141</v>
      </c>
    </row>
    <row r="3003" spans="1:14" ht="14.4" hidden="1">
      <c r="A3003" t="s">
        <v>530</v>
      </c>
      <c r="B3003" s="1">
        <v>59</v>
      </c>
      <c r="C3003" s="258" t="s">
        <v>6715</v>
      </c>
      <c r="D3003" t="s">
        <v>1211</v>
      </c>
      <c r="E3003" t="s">
        <v>1169</v>
      </c>
      <c r="F3003">
        <v>68823.16</v>
      </c>
      <c r="G3003">
        <v>0.2</v>
      </c>
      <c r="H3003" s="1">
        <v>13764.632</v>
      </c>
      <c r="I3003"/>
      <c r="J3003" t="s">
        <v>6697</v>
      </c>
      <c r="K3003" s="170">
        <v>46053</v>
      </c>
      <c r="L3003" s="1">
        <v>28696.279307022203</v>
      </c>
      <c r="M3003" s="1">
        <v>46051</v>
      </c>
    </row>
    <row r="3004" spans="1:14" ht="14.4" hidden="1">
      <c r="A3004" t="s">
        <v>530</v>
      </c>
      <c r="B3004" s="1">
        <v>60</v>
      </c>
      <c r="C3004" s="258" t="s">
        <v>6716</v>
      </c>
      <c r="D3004" t="s">
        <v>1211</v>
      </c>
      <c r="E3004" t="s">
        <v>558</v>
      </c>
      <c r="F3004"/>
      <c r="G3004">
        <v>0.2</v>
      </c>
      <c r="H3004" s="1">
        <v>13764.632</v>
      </c>
      <c r="I3004"/>
      <c r="J3004" t="s">
        <v>6699</v>
      </c>
      <c r="K3004" s="170">
        <v>46053</v>
      </c>
      <c r="L3004" s="1">
        <v>28696.279307022203</v>
      </c>
      <c r="M3004" s="1">
        <v>46058</v>
      </c>
    </row>
    <row r="3005" spans="1:14" ht="14.4" hidden="1">
      <c r="A3005" t="s">
        <v>530</v>
      </c>
      <c r="B3005" s="1">
        <v>61</v>
      </c>
      <c r="C3005" s="258" t="s">
        <v>6717</v>
      </c>
      <c r="D3005" t="s">
        <v>1211</v>
      </c>
      <c r="E3005" t="s">
        <v>1175</v>
      </c>
      <c r="F3005"/>
      <c r="G3005">
        <v>0.15</v>
      </c>
      <c r="H3005" s="1">
        <v>10323.474</v>
      </c>
      <c r="I3005"/>
      <c r="J3005"/>
      <c r="K3005" s="170">
        <v>46112</v>
      </c>
      <c r="L3005" s="1">
        <v>21522.209480266651</v>
      </c>
      <c r="M3005" s="1">
        <v>46084</v>
      </c>
    </row>
    <row r="3006" spans="1:14" ht="14.4" hidden="1">
      <c r="A3006" t="s">
        <v>530</v>
      </c>
      <c r="B3006" s="1">
        <v>62</v>
      </c>
      <c r="C3006" s="258" t="s">
        <v>6718</v>
      </c>
      <c r="D3006" t="s">
        <v>1211</v>
      </c>
      <c r="E3006" t="s">
        <v>1178</v>
      </c>
      <c r="F3006"/>
      <c r="G3006">
        <v>0.15</v>
      </c>
      <c r="H3006" s="1">
        <v>10323.474</v>
      </c>
      <c r="I3006"/>
      <c r="J3006"/>
      <c r="K3006" s="170">
        <v>46112</v>
      </c>
      <c r="L3006" s="1">
        <v>21522.209480266651</v>
      </c>
      <c r="M3006" s="1">
        <v>46092</v>
      </c>
    </row>
    <row r="3007" spans="1:14" ht="14.4" hidden="1">
      <c r="A3007" t="s">
        <v>530</v>
      </c>
      <c r="B3007" s="1">
        <v>63</v>
      </c>
      <c r="C3007" s="258" t="s">
        <v>6719</v>
      </c>
      <c r="D3007" t="s">
        <v>1211</v>
      </c>
      <c r="E3007" t="s">
        <v>1181</v>
      </c>
      <c r="F3007"/>
      <c r="G3007">
        <v>0.1</v>
      </c>
      <c r="H3007" s="1">
        <v>6882.3160000000007</v>
      </c>
      <c r="I3007"/>
      <c r="J3007"/>
      <c r="K3007" s="170">
        <v>46112</v>
      </c>
      <c r="L3007" s="1">
        <v>14348.139653511102</v>
      </c>
      <c r="M3007" s="1">
        <v>46101</v>
      </c>
    </row>
    <row r="3008" spans="1:14" ht="14.4" hidden="1">
      <c r="A3008" t="s">
        <v>530</v>
      </c>
      <c r="B3008" s="1">
        <v>64</v>
      </c>
      <c r="C3008" s="258" t="s">
        <v>6720</v>
      </c>
      <c r="D3008" t="s">
        <v>1211</v>
      </c>
      <c r="E3008" t="s">
        <v>1184</v>
      </c>
      <c r="F3008"/>
      <c r="G3008">
        <v>0.1</v>
      </c>
      <c r="H3008" s="1">
        <v>6882.3160000000007</v>
      </c>
      <c r="I3008"/>
      <c r="J3008"/>
      <c r="K3008" s="170">
        <v>46112</v>
      </c>
      <c r="L3008" s="1">
        <v>14348.139653511102</v>
      </c>
      <c r="M3008" s="1">
        <v>46108</v>
      </c>
    </row>
    <row r="3009" spans="1:13" ht="14.4" hidden="1">
      <c r="A3009" t="s">
        <v>530</v>
      </c>
      <c r="B3009" s="1">
        <v>65</v>
      </c>
      <c r="C3009" s="258" t="s">
        <v>6721</v>
      </c>
      <c r="D3009" t="s">
        <v>1211</v>
      </c>
      <c r="E3009" t="s">
        <v>1187</v>
      </c>
      <c r="F3009"/>
      <c r="G3009">
        <v>0.05</v>
      </c>
      <c r="H3009" s="1">
        <v>3441.1580000000004</v>
      </c>
      <c r="I3009"/>
      <c r="J3009"/>
      <c r="K3009" s="170">
        <v>46112</v>
      </c>
      <c r="L3009" s="1">
        <v>7174.0698267555508</v>
      </c>
      <c r="M3009" s="1">
        <v>46108</v>
      </c>
    </row>
    <row r="3010" spans="1:13" ht="14.4" hidden="1">
      <c r="A3010" t="s">
        <v>530</v>
      </c>
      <c r="B3010" s="1">
        <v>66</v>
      </c>
      <c r="C3010" s="258" t="s">
        <v>6722</v>
      </c>
      <c r="D3010" t="s">
        <v>1211</v>
      </c>
      <c r="E3010" t="s">
        <v>1190</v>
      </c>
      <c r="F3010"/>
      <c r="G3010">
        <v>0.05</v>
      </c>
      <c r="H3010" s="1">
        <v>3441.1580000000004</v>
      </c>
      <c r="I3010"/>
      <c r="J3010"/>
      <c r="K3010" s="170">
        <v>46142</v>
      </c>
      <c r="L3010" s="1">
        <v>7174.0698267555508</v>
      </c>
      <c r="M3010" s="1">
        <v>46131</v>
      </c>
    </row>
    <row r="3011" spans="1:13" ht="14.4" hidden="1">
      <c r="A3011" t="s">
        <v>530</v>
      </c>
      <c r="B3011" s="1">
        <v>81</v>
      </c>
      <c r="C3011" s="258" t="s">
        <v>6723</v>
      </c>
      <c r="D3011" t="s">
        <v>1224</v>
      </c>
      <c r="E3011" t="s">
        <v>6724</v>
      </c>
      <c r="F3011"/>
      <c r="H3011" s="1">
        <v>80000</v>
      </c>
      <c r="I3011"/>
      <c r="J3011"/>
      <c r="K3011" s="170">
        <v>46081</v>
      </c>
      <c r="L3011" s="1">
        <v>234438.97253463036</v>
      </c>
      <c r="M3011" s="1">
        <v>46081</v>
      </c>
    </row>
    <row r="3012" spans="1:13" ht="14.4" hidden="1">
      <c r="A3012" t="s">
        <v>530</v>
      </c>
      <c r="B3012" s="1">
        <v>84</v>
      </c>
      <c r="C3012" s="258" t="s">
        <v>6725</v>
      </c>
      <c r="D3012" t="s">
        <v>1224</v>
      </c>
      <c r="E3012" t="s">
        <v>6726</v>
      </c>
      <c r="F3012">
        <v>67474.559999999998</v>
      </c>
      <c r="G3012">
        <v>0.5</v>
      </c>
      <c r="H3012" s="1">
        <v>-33737.279999999999</v>
      </c>
      <c r="I3012" t="s">
        <v>6727</v>
      </c>
      <c r="J3012" t="s">
        <v>6728</v>
      </c>
      <c r="K3012" s="170">
        <v>46053</v>
      </c>
      <c r="L3012" s="1">
        <v>53617.213707910028</v>
      </c>
      <c r="M3012" s="1">
        <v>46051</v>
      </c>
    </row>
    <row r="3013" spans="1:13" ht="14.4" hidden="1">
      <c r="A3013" t="s">
        <v>530</v>
      </c>
      <c r="B3013" s="1">
        <v>85</v>
      </c>
      <c r="C3013" s="258" t="s">
        <v>6729</v>
      </c>
      <c r="D3013" t="s">
        <v>1224</v>
      </c>
      <c r="E3013" t="s">
        <v>6730</v>
      </c>
      <c r="F3013"/>
      <c r="H3013" s="1">
        <v>33715.449999999997</v>
      </c>
      <c r="I3013"/>
      <c r="J3013" t="s">
        <v>6731</v>
      </c>
      <c r="K3013" s="170">
        <v>46081</v>
      </c>
      <c r="L3013" s="1">
        <v>53617.213707910028</v>
      </c>
      <c r="M3013" s="1">
        <v>46065</v>
      </c>
    </row>
    <row r="3014" spans="1:13" ht="14.4" hidden="1">
      <c r="A3014" t="s">
        <v>530</v>
      </c>
      <c r="B3014" s="1">
        <v>91</v>
      </c>
      <c r="C3014" s="258" t="s">
        <v>6732</v>
      </c>
      <c r="D3014" t="s">
        <v>1246</v>
      </c>
      <c r="E3014" t="s">
        <v>1169</v>
      </c>
      <c r="F3014">
        <v>194250.01</v>
      </c>
      <c r="G3014">
        <v>0.2</v>
      </c>
      <c r="H3014" s="1">
        <v>38850.002</v>
      </c>
      <c r="I3014"/>
      <c r="J3014" t="s">
        <v>6697</v>
      </c>
      <c r="K3014" s="170">
        <v>46053</v>
      </c>
      <c r="L3014" s="1">
        <v>32716.666666666672</v>
      </c>
      <c r="M3014" s="1">
        <v>46051</v>
      </c>
    </row>
    <row r="3015" spans="1:13" ht="14.4" hidden="1">
      <c r="A3015" t="s">
        <v>530</v>
      </c>
      <c r="B3015" s="1">
        <v>92</v>
      </c>
      <c r="C3015" s="258" t="s">
        <v>6733</v>
      </c>
      <c r="D3015" t="s">
        <v>1246</v>
      </c>
      <c r="E3015" t="s">
        <v>558</v>
      </c>
      <c r="F3015"/>
      <c r="G3015">
        <v>0.2</v>
      </c>
      <c r="H3015" s="1">
        <v>38850.002</v>
      </c>
      <c r="I3015"/>
      <c r="J3015" t="s">
        <v>6699</v>
      </c>
      <c r="K3015" s="170">
        <v>46053</v>
      </c>
      <c r="L3015" s="1">
        <v>32716.666666666672</v>
      </c>
      <c r="M3015" s="1">
        <v>46058</v>
      </c>
    </row>
    <row r="3016" spans="1:13" ht="14.4" hidden="1">
      <c r="A3016" t="s">
        <v>530</v>
      </c>
      <c r="B3016" s="1">
        <v>93</v>
      </c>
      <c r="C3016" s="258" t="s">
        <v>6734</v>
      </c>
      <c r="D3016" t="s">
        <v>1246</v>
      </c>
      <c r="E3016" t="s">
        <v>1175</v>
      </c>
      <c r="F3016"/>
      <c r="G3016">
        <v>0.15</v>
      </c>
      <c r="H3016" s="1">
        <v>29137.501499999998</v>
      </c>
      <c r="I3016"/>
      <c r="J3016"/>
      <c r="K3016" s="170">
        <v>46112</v>
      </c>
      <c r="L3016" s="1">
        <v>24537.500000000004</v>
      </c>
      <c r="M3016" s="1">
        <v>46084</v>
      </c>
    </row>
    <row r="3017" spans="1:13" ht="14.4" hidden="1">
      <c r="A3017" t="s">
        <v>530</v>
      </c>
      <c r="B3017" s="1">
        <v>94</v>
      </c>
      <c r="C3017" s="258" t="s">
        <v>6735</v>
      </c>
      <c r="D3017" t="s">
        <v>1246</v>
      </c>
      <c r="E3017" t="s">
        <v>1178</v>
      </c>
      <c r="F3017"/>
      <c r="G3017">
        <v>0.15</v>
      </c>
      <c r="H3017" s="1">
        <v>29137.501499999998</v>
      </c>
      <c r="I3017"/>
      <c r="J3017"/>
      <c r="K3017" s="170">
        <v>46112</v>
      </c>
      <c r="L3017" s="1">
        <v>24537.500000000004</v>
      </c>
      <c r="M3017" s="1">
        <v>46092</v>
      </c>
    </row>
    <row r="3018" spans="1:13" ht="14.4" hidden="1">
      <c r="A3018" t="s">
        <v>530</v>
      </c>
      <c r="B3018" s="1">
        <v>95</v>
      </c>
      <c r="C3018" s="258" t="s">
        <v>6736</v>
      </c>
      <c r="D3018" t="s">
        <v>1246</v>
      </c>
      <c r="E3018" t="s">
        <v>1181</v>
      </c>
      <c r="F3018"/>
      <c r="G3018">
        <v>0.1</v>
      </c>
      <c r="H3018" s="1">
        <v>19425.001</v>
      </c>
      <c r="I3018"/>
      <c r="J3018"/>
      <c r="K3018" s="170">
        <v>46112</v>
      </c>
      <c r="L3018" s="1">
        <v>16358.333333333336</v>
      </c>
      <c r="M3018" s="1">
        <v>46101</v>
      </c>
    </row>
    <row r="3019" spans="1:13" ht="14.4" hidden="1">
      <c r="A3019" t="s">
        <v>530</v>
      </c>
      <c r="B3019" s="1">
        <v>96</v>
      </c>
      <c r="C3019" s="258" t="s">
        <v>6737</v>
      </c>
      <c r="D3019" t="s">
        <v>1246</v>
      </c>
      <c r="E3019" t="s">
        <v>1184</v>
      </c>
      <c r="F3019"/>
      <c r="G3019">
        <v>0.1</v>
      </c>
      <c r="H3019" s="1">
        <v>19425.001</v>
      </c>
      <c r="I3019"/>
      <c r="J3019"/>
      <c r="K3019" s="170">
        <v>46112</v>
      </c>
      <c r="L3019" s="1">
        <v>16358.333333333336</v>
      </c>
      <c r="M3019" s="1">
        <v>46108</v>
      </c>
    </row>
    <row r="3020" spans="1:13" ht="14.4" hidden="1">
      <c r="A3020" t="s">
        <v>530</v>
      </c>
      <c r="B3020" s="1">
        <v>97</v>
      </c>
      <c r="C3020" s="258" t="s">
        <v>6738</v>
      </c>
      <c r="D3020" t="s">
        <v>1246</v>
      </c>
      <c r="E3020" t="s">
        <v>1187</v>
      </c>
      <c r="F3020"/>
      <c r="G3020">
        <v>0.05</v>
      </c>
      <c r="H3020" s="1">
        <v>9712.5005000000001</v>
      </c>
      <c r="I3020"/>
      <c r="J3020"/>
      <c r="K3020" s="170">
        <v>46112</v>
      </c>
      <c r="L3020" s="1">
        <v>8179.166666666667</v>
      </c>
      <c r="M3020" s="1">
        <v>46108</v>
      </c>
    </row>
    <row r="3021" spans="1:13" ht="14.4" hidden="1">
      <c r="A3021" t="s">
        <v>530</v>
      </c>
      <c r="B3021" s="1">
        <v>98</v>
      </c>
      <c r="C3021" s="258" t="s">
        <v>6739</v>
      </c>
      <c r="D3021" t="s">
        <v>1246</v>
      </c>
      <c r="E3021" t="s">
        <v>1190</v>
      </c>
      <c r="F3021"/>
      <c r="G3021">
        <v>0.05</v>
      </c>
      <c r="H3021" s="1">
        <v>9712.5005000000001</v>
      </c>
      <c r="I3021"/>
      <c r="J3021"/>
      <c r="K3021" s="170">
        <v>46142</v>
      </c>
      <c r="L3021" s="1">
        <v>8179.166666666667</v>
      </c>
      <c r="M3021" s="1">
        <v>46131</v>
      </c>
    </row>
    <row r="3022" spans="1:13" ht="14.4" hidden="1">
      <c r="A3022" t="s">
        <v>530</v>
      </c>
      <c r="B3022" s="1">
        <v>107</v>
      </c>
      <c r="C3022" s="258" t="s">
        <v>6740</v>
      </c>
      <c r="D3022" t="s">
        <v>1255</v>
      </c>
      <c r="E3022" t="s">
        <v>1169</v>
      </c>
      <c r="F3022">
        <v>44166.2</v>
      </c>
      <c r="G3022">
        <v>0.2</v>
      </c>
      <c r="H3022" s="1">
        <v>8833.24</v>
      </c>
      <c r="I3022"/>
      <c r="J3022" t="s">
        <v>6697</v>
      </c>
      <c r="K3022" s="170">
        <v>46053</v>
      </c>
      <c r="L3022" s="1">
        <v>7636.9481481481489</v>
      </c>
      <c r="M3022" s="1">
        <v>46051</v>
      </c>
    </row>
    <row r="3023" spans="1:13" ht="14.4" hidden="1">
      <c r="A3023" t="s">
        <v>530</v>
      </c>
      <c r="B3023" s="1">
        <v>108</v>
      </c>
      <c r="C3023" s="258" t="s">
        <v>6741</v>
      </c>
      <c r="D3023" t="s">
        <v>1255</v>
      </c>
      <c r="E3023" t="s">
        <v>558</v>
      </c>
      <c r="F3023"/>
      <c r="G3023">
        <v>0.2</v>
      </c>
      <c r="H3023" s="1">
        <v>8833.24</v>
      </c>
      <c r="I3023"/>
      <c r="J3023" t="s">
        <v>6699</v>
      </c>
      <c r="K3023" s="170">
        <v>46053</v>
      </c>
      <c r="L3023" s="1">
        <v>7636.9481481481489</v>
      </c>
      <c r="M3023" s="1">
        <v>46058</v>
      </c>
    </row>
    <row r="3024" spans="1:13" ht="14.4" hidden="1">
      <c r="A3024" t="s">
        <v>530</v>
      </c>
      <c r="B3024" s="1">
        <v>109</v>
      </c>
      <c r="C3024" s="258" t="s">
        <v>6742</v>
      </c>
      <c r="D3024" t="s">
        <v>1255</v>
      </c>
      <c r="E3024" t="s">
        <v>1175</v>
      </c>
      <c r="F3024"/>
      <c r="G3024">
        <v>0.15</v>
      </c>
      <c r="H3024" s="1">
        <v>6624.9299999999994</v>
      </c>
      <c r="I3024"/>
      <c r="J3024"/>
      <c r="K3024" s="170">
        <v>46112</v>
      </c>
      <c r="L3024" s="1">
        <v>5727.7111111111117</v>
      </c>
      <c r="M3024" s="1">
        <v>46084</v>
      </c>
    </row>
    <row r="3025" spans="1:14" ht="14.4" hidden="1">
      <c r="A3025" t="s">
        <v>530</v>
      </c>
      <c r="B3025" s="1">
        <v>110</v>
      </c>
      <c r="C3025" s="258" t="s">
        <v>6743</v>
      </c>
      <c r="D3025" t="s">
        <v>1255</v>
      </c>
      <c r="E3025" t="s">
        <v>1178</v>
      </c>
      <c r="F3025"/>
      <c r="G3025">
        <v>0.15</v>
      </c>
      <c r="H3025" s="1">
        <v>6624.9299999999994</v>
      </c>
      <c r="I3025"/>
      <c r="J3025"/>
      <c r="K3025" s="170">
        <v>46112</v>
      </c>
      <c r="L3025" s="1">
        <v>5727.7111111111117</v>
      </c>
      <c r="M3025" s="1">
        <v>46092</v>
      </c>
    </row>
    <row r="3026" spans="1:14" ht="14.4" hidden="1">
      <c r="A3026" t="s">
        <v>530</v>
      </c>
      <c r="B3026" s="1">
        <v>111</v>
      </c>
      <c r="C3026" s="258" t="s">
        <v>6744</v>
      </c>
      <c r="D3026" t="s">
        <v>1255</v>
      </c>
      <c r="E3026" t="s">
        <v>1181</v>
      </c>
      <c r="F3026"/>
      <c r="G3026">
        <v>0.1</v>
      </c>
      <c r="H3026" s="1">
        <v>4416.62</v>
      </c>
      <c r="I3026"/>
      <c r="J3026"/>
      <c r="K3026" s="170">
        <v>46112</v>
      </c>
      <c r="L3026" s="1">
        <v>3818.4740740740745</v>
      </c>
      <c r="M3026" s="1">
        <v>46101</v>
      </c>
    </row>
    <row r="3027" spans="1:14" ht="14.4" hidden="1">
      <c r="A3027" t="s">
        <v>530</v>
      </c>
      <c r="B3027" s="1">
        <v>112</v>
      </c>
      <c r="C3027" s="258" t="s">
        <v>6745</v>
      </c>
      <c r="D3027" t="s">
        <v>1255</v>
      </c>
      <c r="E3027" t="s">
        <v>1184</v>
      </c>
      <c r="F3027"/>
      <c r="G3027">
        <v>0.1</v>
      </c>
      <c r="H3027" s="1">
        <v>4416.62</v>
      </c>
      <c r="I3027"/>
      <c r="J3027"/>
      <c r="K3027" s="170">
        <v>46112</v>
      </c>
      <c r="L3027" s="1">
        <v>3818.4740740740745</v>
      </c>
      <c r="M3027" s="1">
        <v>46108</v>
      </c>
    </row>
    <row r="3028" spans="1:14" ht="14.4" hidden="1">
      <c r="A3028" t="s">
        <v>530</v>
      </c>
      <c r="B3028" s="1">
        <v>113</v>
      </c>
      <c r="C3028" s="258" t="s">
        <v>6746</v>
      </c>
      <c r="D3028" t="s">
        <v>1255</v>
      </c>
      <c r="E3028" t="s">
        <v>1187</v>
      </c>
      <c r="F3028"/>
      <c r="G3028">
        <v>0.05</v>
      </c>
      <c r="H3028" s="1">
        <v>2208.31</v>
      </c>
      <c r="I3028"/>
      <c r="J3028"/>
      <c r="K3028" s="170">
        <v>46112</v>
      </c>
      <c r="L3028" s="1">
        <v>1909.2370370370372</v>
      </c>
      <c r="M3028" s="1">
        <v>46108</v>
      </c>
    </row>
    <row r="3029" spans="1:14" ht="14.4" hidden="1">
      <c r="A3029" t="s">
        <v>530</v>
      </c>
      <c r="B3029" s="1">
        <v>114</v>
      </c>
      <c r="C3029" s="258" t="s">
        <v>6747</v>
      </c>
      <c r="D3029" t="s">
        <v>1255</v>
      </c>
      <c r="E3029" t="s">
        <v>1190</v>
      </c>
      <c r="F3029"/>
      <c r="G3029">
        <v>0.05</v>
      </c>
      <c r="H3029" s="1">
        <v>2208.31</v>
      </c>
      <c r="I3029"/>
      <c r="J3029"/>
      <c r="K3029" s="170">
        <v>46142</v>
      </c>
      <c r="L3029" s="1">
        <v>1909.2370370370372</v>
      </c>
      <c r="M3029" s="1">
        <v>46131</v>
      </c>
    </row>
    <row r="3030" spans="1:14" ht="14.4" hidden="1">
      <c r="A3030" t="s">
        <v>530</v>
      </c>
      <c r="B3030" s="1">
        <v>119</v>
      </c>
      <c r="C3030" s="258" t="s">
        <v>6748</v>
      </c>
      <c r="D3030" t="s">
        <v>1264</v>
      </c>
      <c r="E3030" t="s">
        <v>1265</v>
      </c>
      <c r="F3030"/>
      <c r="H3030" s="1">
        <v>11000</v>
      </c>
      <c r="I3030"/>
      <c r="J3030"/>
      <c r="K3030" s="170">
        <v>46112</v>
      </c>
      <c r="L3030" s="1">
        <v>12594.628349049601</v>
      </c>
      <c r="M3030" s="1">
        <v>46108</v>
      </c>
      <c r="N3030" s="1">
        <v>75572.5</v>
      </c>
    </row>
    <row r="3031" spans="1:14" ht="14.4" hidden="1">
      <c r="A3031" t="s">
        <v>530</v>
      </c>
      <c r="B3031" s="1">
        <v>120</v>
      </c>
      <c r="C3031" s="258" t="s">
        <v>6749</v>
      </c>
      <c r="D3031" t="s">
        <v>1264</v>
      </c>
      <c r="E3031" t="s">
        <v>1268</v>
      </c>
      <c r="F3031"/>
      <c r="H3031" s="1">
        <v>8572.5</v>
      </c>
      <c r="I3031"/>
      <c r="J3031" t="s">
        <v>6750</v>
      </c>
      <c r="K3031" s="170">
        <v>45991</v>
      </c>
      <c r="L3031" s="1">
        <v>10023.648349049632</v>
      </c>
      <c r="M3031" s="1">
        <v>45974</v>
      </c>
    </row>
    <row r="3032" spans="1:14" ht="14.4" hidden="1">
      <c r="A3032" t="s">
        <v>530</v>
      </c>
      <c r="B3032" s="1">
        <v>121</v>
      </c>
      <c r="C3032" s="258" t="s">
        <v>6751</v>
      </c>
      <c r="D3032" t="s">
        <v>1264</v>
      </c>
      <c r="E3032" t="s">
        <v>1363</v>
      </c>
      <c r="F3032"/>
      <c r="H3032" s="1">
        <v>50000</v>
      </c>
      <c r="I3032" t="s">
        <v>6752</v>
      </c>
      <c r="J3032"/>
      <c r="K3032" s="170">
        <v>46081</v>
      </c>
      <c r="L3032" s="1">
        <v>68419.433614998095</v>
      </c>
      <c r="M3032" s="1">
        <v>46111</v>
      </c>
    </row>
    <row r="3033" spans="1:14" ht="14.4" hidden="1">
      <c r="A3033" t="s">
        <v>530</v>
      </c>
      <c r="B3033" s="1">
        <v>122</v>
      </c>
      <c r="C3033" s="258" t="s">
        <v>6753</v>
      </c>
      <c r="D3033" t="s">
        <v>1264</v>
      </c>
      <c r="E3033" t="s">
        <v>808</v>
      </c>
      <c r="F3033"/>
      <c r="H3033" s="1">
        <v>6000</v>
      </c>
      <c r="I3033"/>
      <c r="J3033"/>
      <c r="K3033" s="170">
        <v>46112</v>
      </c>
      <c r="L3033" s="1">
        <v>7851.1804337997728</v>
      </c>
      <c r="M3033" s="1">
        <v>46112</v>
      </c>
    </row>
    <row r="3034" spans="1:14" ht="14.4" hidden="1">
      <c r="A3034" t="s">
        <v>530</v>
      </c>
      <c r="B3034" s="1">
        <v>125</v>
      </c>
      <c r="C3034" s="258" t="s">
        <v>6754</v>
      </c>
      <c r="D3034" t="s">
        <v>1274</v>
      </c>
      <c r="E3034" t="s">
        <v>1275</v>
      </c>
      <c r="F3034"/>
      <c r="H3034" s="1">
        <v>0</v>
      </c>
      <c r="I3034"/>
      <c r="J3034"/>
      <c r="K3034" s="170" t="s">
        <v>51</v>
      </c>
      <c r="N3034" s="1">
        <v>0</v>
      </c>
    </row>
    <row r="3035" spans="1:14" ht="14.4" hidden="1">
      <c r="A3035" t="s">
        <v>530</v>
      </c>
      <c r="B3035" s="1">
        <v>128</v>
      </c>
      <c r="C3035" s="258" t="s">
        <v>6755</v>
      </c>
      <c r="D3035" t="s">
        <v>1277</v>
      </c>
      <c r="E3035" t="s">
        <v>1278</v>
      </c>
      <c r="F3035"/>
      <c r="H3035" s="1">
        <v>23286.964387293548</v>
      </c>
      <c r="I3035"/>
      <c r="J3035"/>
      <c r="K3035" s="170">
        <v>46112</v>
      </c>
      <c r="L3035" s="1">
        <v>18692.885426959816</v>
      </c>
      <c r="M3035" s="1">
        <v>46094</v>
      </c>
      <c r="N3035" s="1">
        <v>23286.964387293548</v>
      </c>
    </row>
    <row r="3036" spans="1:14" ht="14.4" hidden="1">
      <c r="A3036" t="s">
        <v>530</v>
      </c>
      <c r="B3036" s="1">
        <v>135</v>
      </c>
      <c r="C3036" s="258" t="s">
        <v>6756</v>
      </c>
      <c r="D3036" t="s">
        <v>1280</v>
      </c>
      <c r="E3036" t="s">
        <v>1281</v>
      </c>
      <c r="F3036"/>
      <c r="H3036" s="1">
        <v>0</v>
      </c>
      <c r="I3036"/>
      <c r="J3036" t="s">
        <v>1604</v>
      </c>
      <c r="K3036" s="170">
        <v>46022</v>
      </c>
      <c r="L3036" s="1">
        <v>0</v>
      </c>
      <c r="M3036" s="1">
        <v>46029</v>
      </c>
      <c r="N3036" s="1">
        <v>734.3</v>
      </c>
    </row>
    <row r="3037" spans="1:14" ht="14.4" hidden="1">
      <c r="A3037" t="s">
        <v>530</v>
      </c>
      <c r="B3037" s="1">
        <v>136</v>
      </c>
      <c r="C3037" s="258" t="s">
        <v>6757</v>
      </c>
      <c r="D3037" t="s">
        <v>1280</v>
      </c>
      <c r="E3037" t="s">
        <v>1281</v>
      </c>
      <c r="F3037"/>
      <c r="H3037" s="1">
        <v>261.8</v>
      </c>
      <c r="I3037"/>
      <c r="J3037" t="s">
        <v>1604</v>
      </c>
      <c r="K3037" s="170">
        <v>46053</v>
      </c>
      <c r="L3037" s="1">
        <v>249.57102001906583</v>
      </c>
      <c r="M3037" s="1">
        <v>46058</v>
      </c>
    </row>
    <row r="3038" spans="1:14" ht="14.4" hidden="1">
      <c r="A3038" t="s">
        <v>530</v>
      </c>
      <c r="B3038" s="1">
        <v>137</v>
      </c>
      <c r="C3038" s="258" t="s">
        <v>6758</v>
      </c>
      <c r="D3038" t="s">
        <v>1280</v>
      </c>
      <c r="E3038" t="s">
        <v>1281</v>
      </c>
      <c r="F3038"/>
      <c r="H3038" s="1">
        <v>157.5</v>
      </c>
      <c r="I3038"/>
      <c r="J3038"/>
      <c r="K3038" s="170">
        <v>46081</v>
      </c>
      <c r="L3038" s="1">
        <v>150.14299332697809</v>
      </c>
      <c r="M3038" s="1">
        <v>46088</v>
      </c>
    </row>
    <row r="3039" spans="1:14" ht="14.4" hidden="1">
      <c r="A3039" t="s">
        <v>530</v>
      </c>
      <c r="B3039" s="1">
        <v>138</v>
      </c>
      <c r="C3039" s="258" t="s">
        <v>6759</v>
      </c>
      <c r="D3039" t="s">
        <v>1280</v>
      </c>
      <c r="E3039" t="s">
        <v>1281</v>
      </c>
      <c r="F3039"/>
      <c r="H3039" s="1">
        <v>157.5</v>
      </c>
      <c r="I3039"/>
      <c r="J3039"/>
      <c r="K3039" s="170">
        <v>46112</v>
      </c>
      <c r="L3039" s="1">
        <v>150.14299332697809</v>
      </c>
      <c r="M3039" s="1">
        <v>46119</v>
      </c>
    </row>
    <row r="3040" spans="1:14" ht="14.4" hidden="1">
      <c r="A3040" t="s">
        <v>530</v>
      </c>
      <c r="B3040" s="1">
        <v>139</v>
      </c>
      <c r="C3040" s="258" t="s">
        <v>6760</v>
      </c>
      <c r="D3040" t="s">
        <v>1280</v>
      </c>
      <c r="E3040" t="s">
        <v>1281</v>
      </c>
      <c r="F3040"/>
      <c r="H3040" s="1">
        <v>157.5</v>
      </c>
      <c r="I3040"/>
      <c r="J3040"/>
      <c r="K3040" s="170">
        <v>46142</v>
      </c>
      <c r="L3040" s="1">
        <v>150.14299332697809</v>
      </c>
      <c r="M3040" s="1">
        <v>46149</v>
      </c>
    </row>
    <row r="3041" spans="1:14" ht="14.4" hidden="1">
      <c r="A3041" t="s">
        <v>531</v>
      </c>
      <c r="B3041" s="1">
        <v>4</v>
      </c>
      <c r="C3041" s="258" t="s">
        <v>6761</v>
      </c>
      <c r="D3041" t="s">
        <v>1780</v>
      </c>
      <c r="E3041" t="s">
        <v>1781</v>
      </c>
      <c r="F3041" t="s">
        <v>1782</v>
      </c>
      <c r="G3041" t="s">
        <v>1783</v>
      </c>
      <c r="H3041" s="1" t="s">
        <v>1784</v>
      </c>
      <c r="I3041" t="s">
        <v>1785</v>
      </c>
      <c r="J3041" t="s">
        <v>1786</v>
      </c>
      <c r="K3041" s="170" t="s">
        <v>1787</v>
      </c>
      <c r="L3041" s="1" t="s">
        <v>1788</v>
      </c>
      <c r="M3041" s="1" t="s">
        <v>1789</v>
      </c>
      <c r="N3041" s="1" t="s">
        <v>1790</v>
      </c>
    </row>
    <row r="3042" spans="1:14" ht="14.4" hidden="1">
      <c r="A3042" t="s">
        <v>531</v>
      </c>
      <c r="B3042" s="1">
        <v>6</v>
      </c>
      <c r="C3042" s="258" t="s">
        <v>6762</v>
      </c>
      <c r="D3042" t="s">
        <v>1791</v>
      </c>
      <c r="E3042" t="s">
        <v>1146</v>
      </c>
      <c r="F3042" t="s">
        <v>6763</v>
      </c>
      <c r="G3042">
        <v>1073</v>
      </c>
      <c r="H3042" s="1">
        <v>1415.25</v>
      </c>
      <c r="I3042" t="s">
        <v>6764</v>
      </c>
      <c r="J3042" t="s">
        <v>6765</v>
      </c>
      <c r="K3042" s="170">
        <v>45504</v>
      </c>
      <c r="L3042" s="1">
        <v>940631.81594160036</v>
      </c>
      <c r="M3042" s="1">
        <v>45562</v>
      </c>
      <c r="N3042" s="1">
        <v>1520595.14</v>
      </c>
    </row>
    <row r="3043" spans="1:14" ht="14.4" hidden="1">
      <c r="A3043" t="s">
        <v>531</v>
      </c>
      <c r="B3043" s="1">
        <v>9</v>
      </c>
      <c r="C3043" s="258" t="s">
        <v>6766</v>
      </c>
      <c r="D3043" t="s">
        <v>1791</v>
      </c>
      <c r="E3043" t="s">
        <v>1146</v>
      </c>
      <c r="F3043" t="s">
        <v>6767</v>
      </c>
      <c r="G3043">
        <v>15</v>
      </c>
      <c r="H3043" s="1">
        <v>-1415.25</v>
      </c>
      <c r="I3043" t="s">
        <v>6768</v>
      </c>
      <c r="J3043" t="s">
        <v>6317</v>
      </c>
      <c r="K3043" s="170">
        <v>45716</v>
      </c>
      <c r="M3043" s="1">
        <v>45716</v>
      </c>
    </row>
    <row r="3044" spans="1:14" ht="14.4" hidden="1">
      <c r="A3044" t="s">
        <v>531</v>
      </c>
      <c r="B3044" s="1">
        <v>10</v>
      </c>
      <c r="C3044" s="258" t="s">
        <v>6769</v>
      </c>
      <c r="D3044" t="s">
        <v>1791</v>
      </c>
      <c r="E3044" t="s">
        <v>1146</v>
      </c>
      <c r="F3044" t="s">
        <v>6770</v>
      </c>
      <c r="G3044">
        <v>2</v>
      </c>
      <c r="H3044" s="1">
        <v>1415.25</v>
      </c>
      <c r="I3044" t="s">
        <v>6771</v>
      </c>
      <c r="J3044" t="s">
        <v>6772</v>
      </c>
      <c r="K3044" s="170">
        <v>45900</v>
      </c>
      <c r="M3044" s="1">
        <v>45900</v>
      </c>
    </row>
    <row r="3045" spans="1:14" ht="14.4" hidden="1">
      <c r="A3045" t="s">
        <v>531</v>
      </c>
      <c r="B3045" s="1">
        <v>16</v>
      </c>
      <c r="C3045" s="258" t="s">
        <v>6773</v>
      </c>
      <c r="D3045" t="s">
        <v>1792</v>
      </c>
      <c r="E3045" t="s">
        <v>1157</v>
      </c>
      <c r="F3045" t="s">
        <v>1369</v>
      </c>
      <c r="G3045">
        <v>5</v>
      </c>
      <c r="H3045" s="1">
        <v>68870</v>
      </c>
      <c r="I3045" t="s">
        <v>6774</v>
      </c>
      <c r="J3045" t="s">
        <v>6775</v>
      </c>
      <c r="K3045" s="170">
        <v>45565</v>
      </c>
      <c r="L3045" s="1">
        <v>468128.44158978289</v>
      </c>
      <c r="M3045" s="1">
        <v>45595</v>
      </c>
      <c r="N3045" s="1">
        <v>345455.23</v>
      </c>
    </row>
    <row r="3046" spans="1:14" ht="14.4" hidden="1">
      <c r="A3046" t="s">
        <v>531</v>
      </c>
      <c r="B3046" s="1">
        <v>22</v>
      </c>
      <c r="C3046" s="258" t="s">
        <v>6776</v>
      </c>
      <c r="D3046" t="s">
        <v>4433</v>
      </c>
      <c r="E3046" t="s">
        <v>1160</v>
      </c>
      <c r="F3046" t="s">
        <v>6777</v>
      </c>
      <c r="G3046">
        <v>500</v>
      </c>
      <c r="H3046" s="1">
        <v>24.13</v>
      </c>
      <c r="I3046" t="s">
        <v>6778</v>
      </c>
      <c r="J3046" t="s">
        <v>6779</v>
      </c>
      <c r="K3046" s="170">
        <v>45688</v>
      </c>
      <c r="L3046" s="1">
        <v>0</v>
      </c>
      <c r="M3046" s="1">
        <v>45688</v>
      </c>
    </row>
    <row r="3047" spans="1:14" ht="14.4" hidden="1">
      <c r="A3047" t="s">
        <v>531</v>
      </c>
      <c r="B3047" s="1">
        <v>27</v>
      </c>
      <c r="C3047" s="258" t="s">
        <v>6780</v>
      </c>
      <c r="D3047" t="s">
        <v>1793</v>
      </c>
      <c r="E3047" t="s">
        <v>1165</v>
      </c>
      <c r="F3047" t="s">
        <v>3748</v>
      </c>
      <c r="G3047">
        <v>9000</v>
      </c>
      <c r="H3047" s="1">
        <v>13.5</v>
      </c>
      <c r="I3047" t="s">
        <v>6781</v>
      </c>
      <c r="J3047" t="s">
        <v>6782</v>
      </c>
      <c r="K3047" s="170">
        <v>45626</v>
      </c>
      <c r="L3047" s="1">
        <v>116715.44808459468</v>
      </c>
      <c r="M3047" s="1">
        <v>45645</v>
      </c>
      <c r="N3047" s="1">
        <v>550887.39999999991</v>
      </c>
    </row>
    <row r="3048" spans="1:14" ht="14.4" hidden="1">
      <c r="A3048" t="s">
        <v>531</v>
      </c>
      <c r="B3048" s="1">
        <v>29</v>
      </c>
      <c r="C3048" s="258" t="s">
        <v>6783</v>
      </c>
      <c r="D3048" t="s">
        <v>1793</v>
      </c>
      <c r="E3048" t="s">
        <v>1165</v>
      </c>
      <c r="F3048" t="s">
        <v>3748</v>
      </c>
      <c r="G3048">
        <v>3000</v>
      </c>
      <c r="H3048" s="1">
        <v>13.3</v>
      </c>
      <c r="I3048" t="s">
        <v>6784</v>
      </c>
      <c r="J3048" t="s">
        <v>6785</v>
      </c>
      <c r="K3048" s="170">
        <v>45688</v>
      </c>
      <c r="L3048" s="1">
        <v>10968.287806353896</v>
      </c>
      <c r="M3048" s="1">
        <v>45744</v>
      </c>
    </row>
    <row r="3049" spans="1:14" ht="14.4" hidden="1">
      <c r="A3049" t="s">
        <v>531</v>
      </c>
      <c r="B3049" s="1">
        <v>30</v>
      </c>
      <c r="C3049" s="258" t="s">
        <v>6786</v>
      </c>
      <c r="D3049" t="s">
        <v>1793</v>
      </c>
      <c r="E3049" t="s">
        <v>1165</v>
      </c>
      <c r="F3049" t="s">
        <v>6567</v>
      </c>
      <c r="G3049">
        <v>309687.40000000002</v>
      </c>
      <c r="H3049" s="1">
        <v>0.3</v>
      </c>
      <c r="I3049" t="s">
        <v>6787</v>
      </c>
      <c r="J3049" t="s">
        <v>6788</v>
      </c>
      <c r="K3049" s="170">
        <v>45596</v>
      </c>
      <c r="L3049" s="1">
        <v>92972.105752900607</v>
      </c>
      <c r="M3049" s="1">
        <v>45603</v>
      </c>
    </row>
    <row r="3050" spans="1:14" ht="14.4" hidden="1">
      <c r="A3050" t="s">
        <v>531</v>
      </c>
      <c r="B3050" s="1">
        <v>31</v>
      </c>
      <c r="C3050" s="258" t="s">
        <v>6789</v>
      </c>
      <c r="D3050" t="s">
        <v>1793</v>
      </c>
      <c r="E3050" t="s">
        <v>1165</v>
      </c>
      <c r="F3050" t="s">
        <v>6571</v>
      </c>
      <c r="H3050" s="1">
        <v>0.2</v>
      </c>
      <c r="I3050" t="s">
        <v>6790</v>
      </c>
      <c r="J3050" t="s">
        <v>6791</v>
      </c>
      <c r="K3050" s="170">
        <v>45626</v>
      </c>
      <c r="L3050" s="1">
        <v>60574.354885549154</v>
      </c>
      <c r="M3050" s="1">
        <v>45638</v>
      </c>
    </row>
    <row r="3051" spans="1:14" ht="14.4" hidden="1">
      <c r="A3051" t="s">
        <v>531</v>
      </c>
      <c r="B3051" s="1">
        <v>32</v>
      </c>
      <c r="C3051" s="258" t="s">
        <v>6792</v>
      </c>
      <c r="D3051" t="s">
        <v>1793</v>
      </c>
      <c r="E3051" t="s">
        <v>1165</v>
      </c>
      <c r="F3051" t="s">
        <v>6574</v>
      </c>
      <c r="H3051" s="1">
        <v>0.3</v>
      </c>
      <c r="I3051" t="s">
        <v>6787</v>
      </c>
      <c r="J3051" t="s">
        <v>6793</v>
      </c>
      <c r="K3051" s="170">
        <v>45716</v>
      </c>
      <c r="L3051" s="1">
        <v>84280.559265770251</v>
      </c>
      <c r="M3051" s="1">
        <v>45708</v>
      </c>
    </row>
    <row r="3052" spans="1:14" ht="14.4" hidden="1">
      <c r="A3052" t="s">
        <v>531</v>
      </c>
      <c r="B3052" s="1">
        <v>33</v>
      </c>
      <c r="C3052" s="258" t="s">
        <v>6794</v>
      </c>
      <c r="D3052" t="s">
        <v>1793</v>
      </c>
      <c r="E3052" t="s">
        <v>1165</v>
      </c>
      <c r="F3052" t="s">
        <v>6795</v>
      </c>
      <c r="H3052" s="1">
        <v>0.15</v>
      </c>
      <c r="I3052" t="s">
        <v>6796</v>
      </c>
      <c r="J3052" t="s">
        <v>6793</v>
      </c>
      <c r="K3052" s="170">
        <v>45716</v>
      </c>
      <c r="L3052" s="1">
        <v>42140.279632885125</v>
      </c>
      <c r="M3052" s="1">
        <v>45722</v>
      </c>
    </row>
    <row r="3053" spans="1:14" ht="14.4" hidden="1">
      <c r="A3053" t="s">
        <v>531</v>
      </c>
      <c r="B3053" s="1">
        <v>34</v>
      </c>
      <c r="C3053" s="258" t="s">
        <v>6797</v>
      </c>
      <c r="D3053" t="s">
        <v>1793</v>
      </c>
      <c r="E3053" t="s">
        <v>1165</v>
      </c>
      <c r="F3053" t="s">
        <v>2138</v>
      </c>
      <c r="H3053" s="1">
        <v>0.05</v>
      </c>
      <c r="I3053" t="s">
        <v>6798</v>
      </c>
      <c r="J3053" t="s">
        <v>6799</v>
      </c>
      <c r="K3053" s="170">
        <v>45716</v>
      </c>
      <c r="L3053" s="1">
        <v>14046.759877628376</v>
      </c>
      <c r="M3053" s="1">
        <v>45744</v>
      </c>
    </row>
    <row r="3054" spans="1:14" ht="14.4" hidden="1">
      <c r="A3054" t="s">
        <v>531</v>
      </c>
      <c r="B3054" s="1">
        <v>39</v>
      </c>
      <c r="C3054" s="258" t="s">
        <v>6800</v>
      </c>
      <c r="D3054" t="s">
        <v>6801</v>
      </c>
      <c r="E3054" t="s">
        <v>1193</v>
      </c>
      <c r="F3054" t="s">
        <v>1302</v>
      </c>
      <c r="G3054">
        <v>1</v>
      </c>
      <c r="H3054" s="1">
        <v>8000</v>
      </c>
      <c r="I3054" t="s">
        <v>6802</v>
      </c>
      <c r="J3054" t="s">
        <v>6803</v>
      </c>
      <c r="K3054" s="170">
        <v>45535</v>
      </c>
      <c r="L3054" s="1">
        <v>5797.7856596741231</v>
      </c>
      <c r="M3054" s="1">
        <v>45561</v>
      </c>
      <c r="N3054" s="1">
        <v>109045.78</v>
      </c>
    </row>
    <row r="3055" spans="1:14" ht="14.4" hidden="1">
      <c r="A3055" t="s">
        <v>531</v>
      </c>
      <c r="B3055" s="1">
        <v>41</v>
      </c>
      <c r="C3055" s="258" t="s">
        <v>6804</v>
      </c>
      <c r="D3055" t="s">
        <v>6801</v>
      </c>
      <c r="E3055" t="s">
        <v>1193</v>
      </c>
      <c r="F3055" t="s">
        <v>1306</v>
      </c>
      <c r="G3055">
        <v>1</v>
      </c>
      <c r="H3055" s="1">
        <v>11169</v>
      </c>
      <c r="I3055" t="s">
        <v>6805</v>
      </c>
      <c r="J3055" t="s">
        <v>6806</v>
      </c>
      <c r="K3055" s="170">
        <v>45626</v>
      </c>
      <c r="L3055" s="1">
        <v>14579.834650594858</v>
      </c>
      <c r="M3055" s="1">
        <v>45626</v>
      </c>
    </row>
    <row r="3056" spans="1:14" ht="14.4" hidden="1">
      <c r="A3056" t="s">
        <v>531</v>
      </c>
      <c r="B3056" s="1">
        <v>62</v>
      </c>
      <c r="C3056" s="258" t="s">
        <v>6807</v>
      </c>
      <c r="D3056" t="s">
        <v>1795</v>
      </c>
      <c r="E3056" t="s">
        <v>1211</v>
      </c>
      <c r="F3056" t="s">
        <v>6567</v>
      </c>
      <c r="G3056">
        <v>114860</v>
      </c>
      <c r="H3056" s="1">
        <v>0.3</v>
      </c>
      <c r="I3056" t="s">
        <v>6808</v>
      </c>
      <c r="J3056" t="s">
        <v>6788</v>
      </c>
      <c r="K3056" s="170">
        <v>45596</v>
      </c>
      <c r="L3056" s="1">
        <v>95207.311478736243</v>
      </c>
      <c r="M3056" s="1">
        <v>45603</v>
      </c>
    </row>
    <row r="3057" spans="1:14" ht="14.4" hidden="1">
      <c r="A3057" t="s">
        <v>531</v>
      </c>
      <c r="B3057" s="1">
        <v>63</v>
      </c>
      <c r="C3057" s="258" t="s">
        <v>6809</v>
      </c>
      <c r="D3057" t="s">
        <v>1795</v>
      </c>
      <c r="E3057" t="s">
        <v>1211</v>
      </c>
      <c r="F3057" t="s">
        <v>6571</v>
      </c>
      <c r="H3057" s="1">
        <v>0.2</v>
      </c>
      <c r="I3057" t="s">
        <v>6810</v>
      </c>
      <c r="J3057" t="s">
        <v>6791</v>
      </c>
      <c r="K3057" s="170">
        <v>45626</v>
      </c>
      <c r="L3057" s="1">
        <v>63471.540985824162</v>
      </c>
      <c r="M3057" s="1">
        <v>45638</v>
      </c>
    </row>
    <row r="3058" spans="1:14" ht="14.4" hidden="1">
      <c r="A3058" t="s">
        <v>531</v>
      </c>
      <c r="B3058" s="1">
        <v>64</v>
      </c>
      <c r="C3058" s="258" t="s">
        <v>6811</v>
      </c>
      <c r="D3058" t="s">
        <v>1795</v>
      </c>
      <c r="E3058" t="s">
        <v>1211</v>
      </c>
      <c r="F3058" t="s">
        <v>6574</v>
      </c>
      <c r="H3058" s="1">
        <v>0.3</v>
      </c>
      <c r="I3058" t="s">
        <v>6808</v>
      </c>
      <c r="J3058" t="s">
        <v>6793</v>
      </c>
      <c r="K3058" s="170">
        <v>45716</v>
      </c>
      <c r="L3058" s="1">
        <v>87211.855044905024</v>
      </c>
      <c r="M3058" s="1">
        <v>45708</v>
      </c>
    </row>
    <row r="3059" spans="1:14" ht="14.4" hidden="1">
      <c r="A3059" t="s">
        <v>531</v>
      </c>
      <c r="B3059" s="1">
        <v>65</v>
      </c>
      <c r="C3059" s="258" t="s">
        <v>6812</v>
      </c>
      <c r="D3059" t="s">
        <v>1795</v>
      </c>
      <c r="E3059" t="s">
        <v>1211</v>
      </c>
      <c r="F3059" t="s">
        <v>6795</v>
      </c>
      <c r="H3059" s="1">
        <v>0.15</v>
      </c>
      <c r="I3059" t="s">
        <v>6813</v>
      </c>
      <c r="J3059" t="s">
        <v>6793</v>
      </c>
      <c r="K3059" s="170">
        <v>45716</v>
      </c>
      <c r="L3059" s="1">
        <v>43605.927522452512</v>
      </c>
      <c r="M3059" s="1">
        <v>45722</v>
      </c>
    </row>
    <row r="3060" spans="1:14" ht="14.4" hidden="1">
      <c r="A3060" t="s">
        <v>531</v>
      </c>
      <c r="B3060" s="1">
        <v>66</v>
      </c>
      <c r="C3060" s="258" t="s">
        <v>6814</v>
      </c>
      <c r="D3060" t="s">
        <v>1795</v>
      </c>
      <c r="E3060" t="s">
        <v>1211</v>
      </c>
      <c r="F3060" t="s">
        <v>2138</v>
      </c>
      <c r="H3060" s="1">
        <v>0.05</v>
      </c>
      <c r="I3060" t="s">
        <v>6815</v>
      </c>
      <c r="J3060" t="s">
        <v>6799</v>
      </c>
      <c r="K3060" s="170">
        <v>45716</v>
      </c>
      <c r="L3060" s="1">
        <v>14535.309174150838</v>
      </c>
      <c r="M3060" s="1">
        <v>45744</v>
      </c>
    </row>
    <row r="3061" spans="1:14" ht="14.4" hidden="1">
      <c r="A3061" t="s">
        <v>531</v>
      </c>
      <c r="B3061" s="1">
        <v>82</v>
      </c>
      <c r="C3061" s="258" t="s">
        <v>6816</v>
      </c>
      <c r="D3061" t="s">
        <v>1798</v>
      </c>
      <c r="E3061" t="s">
        <v>1224</v>
      </c>
      <c r="F3061" t="s">
        <v>6817</v>
      </c>
      <c r="G3061" t="s">
        <v>6818</v>
      </c>
      <c r="H3061" s="1">
        <v>568.79999999999995</v>
      </c>
      <c r="I3061" t="s">
        <v>6819</v>
      </c>
      <c r="J3061" t="s">
        <v>6820</v>
      </c>
      <c r="K3061" s="170">
        <v>45596</v>
      </c>
      <c r="L3061" s="1">
        <v>4863.6522050446565</v>
      </c>
      <c r="M3061" s="1">
        <v>45625</v>
      </c>
    </row>
    <row r="3062" spans="1:14" ht="14.4" hidden="1">
      <c r="A3062" t="s">
        <v>531</v>
      </c>
      <c r="B3062" s="1">
        <v>83</v>
      </c>
      <c r="C3062" s="258" t="s">
        <v>6821</v>
      </c>
      <c r="D3062" t="s">
        <v>1798</v>
      </c>
      <c r="E3062" t="s">
        <v>1224</v>
      </c>
      <c r="F3062" t="s">
        <v>848</v>
      </c>
      <c r="G3062" t="s">
        <v>6822</v>
      </c>
      <c r="H3062" s="1">
        <v>2492.3076923076924</v>
      </c>
      <c r="I3062" t="s">
        <v>6823</v>
      </c>
      <c r="J3062" t="s">
        <v>6824</v>
      </c>
      <c r="K3062" s="170">
        <v>45716</v>
      </c>
      <c r="L3062" s="1">
        <v>0</v>
      </c>
      <c r="M3062" s="1">
        <v>45701</v>
      </c>
    </row>
    <row r="3063" spans="1:14" ht="14.4" hidden="1">
      <c r="A3063" t="s">
        <v>531</v>
      </c>
      <c r="B3063" s="1">
        <v>84</v>
      </c>
      <c r="C3063" s="258" t="s">
        <v>6825</v>
      </c>
      <c r="D3063" t="s">
        <v>1798</v>
      </c>
      <c r="E3063" t="s">
        <v>1224</v>
      </c>
      <c r="F3063" t="s">
        <v>2409</v>
      </c>
      <c r="G3063" t="s">
        <v>2409</v>
      </c>
      <c r="H3063" s="1">
        <v>17847.900000000001</v>
      </c>
      <c r="I3063" t="s">
        <v>6826</v>
      </c>
      <c r="J3063" t="s">
        <v>6827</v>
      </c>
      <c r="K3063" s="170">
        <v>45626</v>
      </c>
      <c r="L3063" s="1">
        <v>68437.829509952775</v>
      </c>
      <c r="M3063" s="1">
        <v>45603</v>
      </c>
    </row>
    <row r="3064" spans="1:14" ht="14.4" hidden="1">
      <c r="A3064" t="s">
        <v>531</v>
      </c>
      <c r="B3064" s="1">
        <v>88</v>
      </c>
      <c r="C3064" s="258" t="s">
        <v>6828</v>
      </c>
      <c r="D3064" t="s">
        <v>4493</v>
      </c>
      <c r="E3064" t="s">
        <v>1246</v>
      </c>
      <c r="F3064" t="s">
        <v>6567</v>
      </c>
      <c r="G3064">
        <v>513333.33</v>
      </c>
      <c r="H3064" s="1">
        <v>0.3</v>
      </c>
      <c r="I3064" t="s">
        <v>6829</v>
      </c>
      <c r="J3064" t="s">
        <v>6788</v>
      </c>
      <c r="K3064" s="170">
        <v>45596</v>
      </c>
      <c r="L3064" s="1">
        <v>175023.52941000002</v>
      </c>
      <c r="M3064" s="1">
        <v>45603</v>
      </c>
      <c r="N3064" s="1">
        <v>513333.33</v>
      </c>
    </row>
    <row r="3065" spans="1:14" ht="14.4" hidden="1">
      <c r="A3065" t="s">
        <v>531</v>
      </c>
      <c r="B3065" s="1">
        <v>89</v>
      </c>
      <c r="C3065" s="258" t="s">
        <v>6830</v>
      </c>
      <c r="D3065" t="s">
        <v>4493</v>
      </c>
      <c r="E3065" t="s">
        <v>1246</v>
      </c>
      <c r="F3065" t="s">
        <v>6571</v>
      </c>
      <c r="H3065" s="1">
        <v>0.2</v>
      </c>
      <c r="I3065" t="s">
        <v>6831</v>
      </c>
      <c r="J3065" t="s">
        <v>6791</v>
      </c>
      <c r="K3065" s="170">
        <v>45626</v>
      </c>
      <c r="L3065" s="1">
        <v>116682.35294</v>
      </c>
      <c r="M3065" s="1">
        <v>45638</v>
      </c>
    </row>
    <row r="3066" spans="1:14" ht="14.4" hidden="1">
      <c r="A3066" t="s">
        <v>531</v>
      </c>
      <c r="B3066" s="1">
        <v>90</v>
      </c>
      <c r="C3066" s="258" t="s">
        <v>6832</v>
      </c>
      <c r="D3066" t="s">
        <v>4493</v>
      </c>
      <c r="E3066" t="s">
        <v>1246</v>
      </c>
      <c r="F3066" t="s">
        <v>6574</v>
      </c>
      <c r="H3066" s="1">
        <v>0.3</v>
      </c>
      <c r="I3066" t="s">
        <v>6829</v>
      </c>
      <c r="J3066" t="s">
        <v>6793</v>
      </c>
      <c r="K3066" s="170">
        <v>45716</v>
      </c>
      <c r="L3066" s="1">
        <v>175023.52941000002</v>
      </c>
      <c r="M3066" s="1">
        <v>45708</v>
      </c>
    </row>
    <row r="3067" spans="1:14" ht="14.4" hidden="1">
      <c r="A3067" t="s">
        <v>531</v>
      </c>
      <c r="B3067" s="1">
        <v>91</v>
      </c>
      <c r="C3067" s="258" t="s">
        <v>6833</v>
      </c>
      <c r="D3067" t="s">
        <v>4493</v>
      </c>
      <c r="E3067" t="s">
        <v>1246</v>
      </c>
      <c r="F3067" t="s">
        <v>6795</v>
      </c>
      <c r="H3067" s="1">
        <v>0.15</v>
      </c>
      <c r="I3067" t="s">
        <v>6834</v>
      </c>
      <c r="J3067" t="s">
        <v>6793</v>
      </c>
      <c r="K3067" s="170">
        <v>45716</v>
      </c>
      <c r="L3067" s="1">
        <v>87511.764705000023</v>
      </c>
      <c r="M3067" s="1">
        <v>45722</v>
      </c>
    </row>
    <row r="3068" spans="1:14" ht="14.4" hidden="1">
      <c r="A3068" t="s">
        <v>531</v>
      </c>
      <c r="B3068" s="1">
        <v>92</v>
      </c>
      <c r="C3068" s="258" t="s">
        <v>6835</v>
      </c>
      <c r="D3068" t="s">
        <v>4493</v>
      </c>
      <c r="E3068" t="s">
        <v>1246</v>
      </c>
      <c r="F3068" t="s">
        <v>2138</v>
      </c>
      <c r="H3068" s="1">
        <v>0.05</v>
      </c>
      <c r="I3068" t="s">
        <v>6836</v>
      </c>
      <c r="J3068" t="s">
        <v>6799</v>
      </c>
      <c r="K3068" s="170">
        <v>45716</v>
      </c>
      <c r="L3068" s="1">
        <v>29170.588235000003</v>
      </c>
      <c r="M3068" s="1">
        <v>45744</v>
      </c>
    </row>
    <row r="3069" spans="1:14" ht="14.4" hidden="1">
      <c r="A3069" t="s">
        <v>531</v>
      </c>
      <c r="B3069" s="1">
        <v>99</v>
      </c>
      <c r="C3069" s="258" t="s">
        <v>6837</v>
      </c>
      <c r="D3069" t="s">
        <v>1799</v>
      </c>
      <c r="E3069" t="s">
        <v>1255</v>
      </c>
      <c r="F3069" t="s">
        <v>6567</v>
      </c>
      <c r="G3069">
        <v>63500</v>
      </c>
      <c r="H3069" s="1">
        <v>0.3</v>
      </c>
      <c r="I3069" t="s">
        <v>6838</v>
      </c>
      <c r="J3069" t="s">
        <v>6788</v>
      </c>
      <c r="K3069" s="170">
        <v>45596</v>
      </c>
      <c r="L3069" s="1">
        <v>19785.153465955413</v>
      </c>
      <c r="M3069" s="1">
        <v>45603</v>
      </c>
    </row>
    <row r="3070" spans="1:14" ht="14.4" hidden="1">
      <c r="A3070" t="s">
        <v>531</v>
      </c>
      <c r="B3070" s="1">
        <v>100</v>
      </c>
      <c r="C3070" s="258" t="s">
        <v>6839</v>
      </c>
      <c r="D3070" t="s">
        <v>1799</v>
      </c>
      <c r="E3070" t="s">
        <v>1255</v>
      </c>
      <c r="F3070" t="s">
        <v>6571</v>
      </c>
      <c r="H3070" s="1">
        <v>0.2</v>
      </c>
      <c r="I3070" t="s">
        <v>6840</v>
      </c>
      <c r="J3070" t="s">
        <v>6791</v>
      </c>
      <c r="K3070" s="170">
        <v>45626</v>
      </c>
      <c r="L3070" s="1">
        <v>24458.811764999999</v>
      </c>
      <c r="M3070" s="1">
        <v>45638</v>
      </c>
    </row>
    <row r="3071" spans="1:14" ht="14.4" hidden="1">
      <c r="A3071" t="s">
        <v>531</v>
      </c>
      <c r="B3071" s="1">
        <v>101</v>
      </c>
      <c r="C3071" s="258" t="s">
        <v>6841</v>
      </c>
      <c r="D3071" t="s">
        <v>1799</v>
      </c>
      <c r="E3071" t="s">
        <v>1255</v>
      </c>
      <c r="F3071" t="s">
        <v>6574</v>
      </c>
      <c r="H3071" s="1">
        <v>0.3</v>
      </c>
      <c r="I3071" t="s">
        <v>6838</v>
      </c>
      <c r="J3071" t="s">
        <v>6793</v>
      </c>
      <c r="K3071" s="170">
        <v>45716</v>
      </c>
      <c r="L3071" s="1">
        <v>24458.811764999999</v>
      </c>
      <c r="M3071" s="1">
        <v>45708</v>
      </c>
    </row>
    <row r="3072" spans="1:14" ht="14.4" hidden="1">
      <c r="A3072" t="s">
        <v>531</v>
      </c>
      <c r="B3072" s="1">
        <v>102</v>
      </c>
      <c r="C3072" s="258" t="s">
        <v>6842</v>
      </c>
      <c r="D3072" t="s">
        <v>1799</v>
      </c>
      <c r="E3072" t="s">
        <v>1255</v>
      </c>
      <c r="F3072" t="s">
        <v>6795</v>
      </c>
      <c r="H3072" s="1">
        <v>0.15</v>
      </c>
      <c r="I3072" t="s">
        <v>6843</v>
      </c>
      <c r="J3072" t="s">
        <v>6793</v>
      </c>
      <c r="K3072" s="170">
        <v>45716</v>
      </c>
      <c r="L3072" s="1">
        <v>8750.1258824999986</v>
      </c>
      <c r="M3072" s="1">
        <v>45722</v>
      </c>
    </row>
    <row r="3073" spans="1:14" ht="14.4" hidden="1">
      <c r="A3073" t="s">
        <v>531</v>
      </c>
      <c r="B3073" s="1">
        <v>103</v>
      </c>
      <c r="C3073" s="258" t="s">
        <v>6844</v>
      </c>
      <c r="D3073" t="s">
        <v>1799</v>
      </c>
      <c r="E3073" t="s">
        <v>1255</v>
      </c>
      <c r="F3073" t="s">
        <v>2138</v>
      </c>
      <c r="H3073" s="1">
        <v>0.05</v>
      </c>
      <c r="I3073" t="s">
        <v>6845</v>
      </c>
      <c r="J3073" t="s">
        <v>6799</v>
      </c>
      <c r="K3073" s="170">
        <v>45716</v>
      </c>
      <c r="L3073" s="1">
        <v>4076.4686274999999</v>
      </c>
      <c r="M3073" s="1">
        <v>45744</v>
      </c>
    </row>
    <row r="3074" spans="1:14" ht="14.4" hidden="1">
      <c r="A3074" t="s">
        <v>532</v>
      </c>
      <c r="B3074" s="1">
        <v>4</v>
      </c>
      <c r="C3074" s="258" t="s">
        <v>6846</v>
      </c>
      <c r="D3074" t="s">
        <v>1780</v>
      </c>
      <c r="E3074" t="s">
        <v>1781</v>
      </c>
      <c r="F3074" t="s">
        <v>1782</v>
      </c>
      <c r="G3074" t="s">
        <v>1783</v>
      </c>
      <c r="H3074" s="1" t="s">
        <v>1784</v>
      </c>
      <c r="I3074" t="s">
        <v>1785</v>
      </c>
      <c r="J3074" t="s">
        <v>1786</v>
      </c>
      <c r="K3074" s="170" t="s">
        <v>1787</v>
      </c>
      <c r="L3074" s="1" t="s">
        <v>1788</v>
      </c>
      <c r="M3074" s="1" t="s">
        <v>1789</v>
      </c>
      <c r="N3074" s="1" t="s">
        <v>1790</v>
      </c>
    </row>
    <row r="3075" spans="1:14" ht="14.4" hidden="1">
      <c r="A3075" t="s">
        <v>532</v>
      </c>
      <c r="B3075" s="1">
        <v>6</v>
      </c>
      <c r="C3075" s="258" t="s">
        <v>6847</v>
      </c>
      <c r="D3075" t="s">
        <v>1791</v>
      </c>
      <c r="E3075" t="s">
        <v>1146</v>
      </c>
      <c r="F3075" t="s">
        <v>6763</v>
      </c>
      <c r="G3075">
        <v>284</v>
      </c>
      <c r="H3075" s="1">
        <v>1415.25</v>
      </c>
      <c r="I3075" t="s">
        <v>6848</v>
      </c>
      <c r="J3075" t="s">
        <v>6765</v>
      </c>
      <c r="K3075" s="170">
        <v>45504</v>
      </c>
      <c r="L3075" s="1">
        <v>270795.82694027119</v>
      </c>
      <c r="M3075" s="1">
        <v>45562</v>
      </c>
      <c r="N3075" s="1">
        <v>409353</v>
      </c>
    </row>
    <row r="3076" spans="1:14" ht="14.4" hidden="1">
      <c r="A3076" t="s">
        <v>532</v>
      </c>
      <c r="B3076" s="1">
        <v>13</v>
      </c>
      <c r="C3076" s="258" t="s">
        <v>6849</v>
      </c>
      <c r="D3076" t="s">
        <v>1792</v>
      </c>
      <c r="E3076" t="s">
        <v>1157</v>
      </c>
      <c r="F3076" t="s">
        <v>1369</v>
      </c>
      <c r="G3076">
        <v>1</v>
      </c>
      <c r="H3076" s="1">
        <v>68870</v>
      </c>
      <c r="I3076" t="s">
        <v>6850</v>
      </c>
      <c r="J3076" t="s">
        <v>6851</v>
      </c>
      <c r="K3076" s="170">
        <v>45565</v>
      </c>
      <c r="L3076" s="1">
        <v>85967.555169140294</v>
      </c>
      <c r="M3076" s="1">
        <v>45595</v>
      </c>
      <c r="N3076" s="1">
        <v>107975.24</v>
      </c>
    </row>
    <row r="3077" spans="1:14" ht="14.4" hidden="1">
      <c r="A3077" t="s">
        <v>532</v>
      </c>
      <c r="B3077" s="1">
        <v>14</v>
      </c>
      <c r="C3077" s="258" t="s">
        <v>6852</v>
      </c>
      <c r="D3077" t="s">
        <v>1792</v>
      </c>
      <c r="E3077" t="s">
        <v>1157</v>
      </c>
      <c r="F3077" t="s">
        <v>1804</v>
      </c>
      <c r="G3077">
        <v>1</v>
      </c>
      <c r="H3077" s="1">
        <v>38000</v>
      </c>
      <c r="I3077" t="s">
        <v>6853</v>
      </c>
      <c r="J3077" t="s">
        <v>6854</v>
      </c>
      <c r="K3077" s="170">
        <v>45596</v>
      </c>
      <c r="L3077" s="1">
        <v>56608.914449823875</v>
      </c>
      <c r="M3077" s="1">
        <v>45625</v>
      </c>
    </row>
    <row r="3078" spans="1:14" ht="14.4" hidden="1">
      <c r="A3078" t="s">
        <v>532</v>
      </c>
      <c r="B3078" s="1">
        <v>18</v>
      </c>
      <c r="C3078" s="258" t="s">
        <v>6855</v>
      </c>
      <c r="D3078" t="s">
        <v>4433</v>
      </c>
      <c r="E3078" t="s">
        <v>1160</v>
      </c>
      <c r="F3078" t="s">
        <v>6856</v>
      </c>
      <c r="G3078">
        <v>1.1499999999999999</v>
      </c>
      <c r="H3078" s="1">
        <v>32045.599999999999</v>
      </c>
      <c r="I3078" t="s">
        <v>6857</v>
      </c>
      <c r="J3078" t="s">
        <v>6858</v>
      </c>
      <c r="K3078" s="170">
        <v>45565</v>
      </c>
      <c r="L3078" s="1">
        <v>66337.123071076887</v>
      </c>
      <c r="M3078" s="1">
        <v>45558</v>
      </c>
      <c r="N3078" s="1">
        <v>33895.599999999999</v>
      </c>
    </row>
    <row r="3079" spans="1:14" ht="14.4" hidden="1">
      <c r="A3079" t="s">
        <v>532</v>
      </c>
      <c r="B3079" s="1">
        <v>23</v>
      </c>
      <c r="C3079" s="258" t="s">
        <v>6859</v>
      </c>
      <c r="D3079" t="s">
        <v>1793</v>
      </c>
      <c r="E3079" t="s">
        <v>1165</v>
      </c>
      <c r="F3079" t="s">
        <v>3748</v>
      </c>
      <c r="G3079">
        <v>4000</v>
      </c>
      <c r="H3079" s="1">
        <v>13.5</v>
      </c>
      <c r="I3079" t="s">
        <v>6860</v>
      </c>
      <c r="J3079" t="s">
        <v>6861</v>
      </c>
      <c r="K3079" s="170">
        <v>45596</v>
      </c>
      <c r="L3079" s="1">
        <v>49360.883103780296</v>
      </c>
      <c r="M3079" s="1">
        <v>45626</v>
      </c>
      <c r="N3079" s="1">
        <v>183222.00000000003</v>
      </c>
    </row>
    <row r="3080" spans="1:14" ht="14.4" hidden="1">
      <c r="A3080" t="s">
        <v>532</v>
      </c>
      <c r="B3080" s="1">
        <v>26</v>
      </c>
      <c r="C3080" s="258" t="s">
        <v>6862</v>
      </c>
      <c r="D3080" t="s">
        <v>1793</v>
      </c>
      <c r="E3080" t="s">
        <v>1165</v>
      </c>
      <c r="F3080" t="s">
        <v>1169</v>
      </c>
      <c r="G3080">
        <v>89322</v>
      </c>
      <c r="H3080" s="1">
        <v>0.1</v>
      </c>
      <c r="I3080" t="s">
        <v>6863</v>
      </c>
      <c r="J3080" t="s">
        <v>6864</v>
      </c>
      <c r="K3080" s="170">
        <v>45565</v>
      </c>
      <c r="L3080" s="1">
        <v>8164.8385196219697</v>
      </c>
      <c r="M3080" s="1">
        <v>45560</v>
      </c>
    </row>
    <row r="3081" spans="1:14" ht="14.4" hidden="1">
      <c r="A3081" t="s">
        <v>532</v>
      </c>
      <c r="B3081" s="1">
        <v>27</v>
      </c>
      <c r="C3081" s="258" t="s">
        <v>6865</v>
      </c>
      <c r="D3081" t="s">
        <v>1793</v>
      </c>
      <c r="E3081" t="s">
        <v>1165</v>
      </c>
      <c r="F3081" t="s">
        <v>558</v>
      </c>
      <c r="H3081" s="1">
        <v>0.15</v>
      </c>
      <c r="I3081" t="s">
        <v>6866</v>
      </c>
      <c r="J3081" t="s">
        <v>6867</v>
      </c>
      <c r="K3081" s="170">
        <v>45565</v>
      </c>
      <c r="L3081" s="1">
        <v>12247.257779432954</v>
      </c>
      <c r="M3081" s="1">
        <v>45575</v>
      </c>
    </row>
    <row r="3082" spans="1:14" ht="14.4" hidden="1">
      <c r="A3082" t="s">
        <v>532</v>
      </c>
      <c r="B3082" s="1">
        <v>28</v>
      </c>
      <c r="C3082" s="258" t="s">
        <v>6868</v>
      </c>
      <c r="D3082" t="s">
        <v>1793</v>
      </c>
      <c r="E3082" t="s">
        <v>1165</v>
      </c>
      <c r="F3082" t="s">
        <v>1175</v>
      </c>
      <c r="H3082" s="1">
        <v>0.2</v>
      </c>
      <c r="I3082" t="s">
        <v>6869</v>
      </c>
      <c r="J3082" t="s">
        <v>6870</v>
      </c>
      <c r="K3082" s="170">
        <v>45596</v>
      </c>
      <c r="L3082" s="1">
        <v>16329.677039243939</v>
      </c>
      <c r="M3082" s="1">
        <v>45625</v>
      </c>
    </row>
    <row r="3083" spans="1:14" ht="14.4" hidden="1">
      <c r="A3083" t="s">
        <v>532</v>
      </c>
      <c r="B3083" s="1">
        <v>29</v>
      </c>
      <c r="C3083" s="258" t="s">
        <v>6871</v>
      </c>
      <c r="D3083" t="s">
        <v>1793</v>
      </c>
      <c r="E3083" t="s">
        <v>1165</v>
      </c>
      <c r="F3083" t="s">
        <v>1178</v>
      </c>
      <c r="H3083" s="1">
        <v>0.25</v>
      </c>
      <c r="I3083" t="s">
        <v>6872</v>
      </c>
      <c r="J3083" t="s">
        <v>6873</v>
      </c>
      <c r="K3083" s="170">
        <v>45596</v>
      </c>
      <c r="L3083" s="1">
        <v>20412.096299054923</v>
      </c>
      <c r="M3083" s="1">
        <v>45687</v>
      </c>
    </row>
    <row r="3084" spans="1:14" ht="14.4" hidden="1">
      <c r="A3084" t="s">
        <v>532</v>
      </c>
      <c r="B3084" s="1">
        <v>30</v>
      </c>
      <c r="C3084" s="258" t="s">
        <v>6874</v>
      </c>
      <c r="D3084" t="s">
        <v>1793</v>
      </c>
      <c r="E3084" t="s">
        <v>1165</v>
      </c>
      <c r="F3084" t="s">
        <v>1181</v>
      </c>
      <c r="H3084" s="1">
        <v>0.1</v>
      </c>
      <c r="I3084" t="s">
        <v>6863</v>
      </c>
      <c r="J3084" t="s">
        <v>6875</v>
      </c>
      <c r="K3084" s="170">
        <v>45626</v>
      </c>
      <c r="L3084" s="1">
        <v>8164.8385196219697</v>
      </c>
      <c r="M3084" s="1">
        <v>45625</v>
      </c>
    </row>
    <row r="3085" spans="1:14" ht="14.4" hidden="1">
      <c r="A3085" t="s">
        <v>532</v>
      </c>
      <c r="B3085" s="1">
        <v>31</v>
      </c>
      <c r="C3085" s="258" t="s">
        <v>6876</v>
      </c>
      <c r="D3085" t="s">
        <v>1793</v>
      </c>
      <c r="E3085" t="s">
        <v>1165</v>
      </c>
      <c r="F3085" t="s">
        <v>1184</v>
      </c>
      <c r="H3085" s="1">
        <v>0.1</v>
      </c>
      <c r="I3085" t="s">
        <v>6863</v>
      </c>
      <c r="J3085" t="s">
        <v>6877</v>
      </c>
      <c r="K3085" s="170">
        <v>45626</v>
      </c>
      <c r="L3085" s="1">
        <v>8164.8385196219697</v>
      </c>
      <c r="M3085" s="1">
        <v>45631</v>
      </c>
    </row>
    <row r="3086" spans="1:14" ht="14.4" hidden="1">
      <c r="A3086" t="s">
        <v>532</v>
      </c>
      <c r="B3086" s="1">
        <v>32</v>
      </c>
      <c r="C3086" s="258" t="s">
        <v>6878</v>
      </c>
      <c r="D3086" t="s">
        <v>1793</v>
      </c>
      <c r="E3086" t="s">
        <v>1165</v>
      </c>
      <c r="F3086" t="s">
        <v>1187</v>
      </c>
      <c r="H3086" s="1">
        <v>0.05</v>
      </c>
      <c r="I3086" t="s">
        <v>6879</v>
      </c>
      <c r="J3086" t="s">
        <v>6880</v>
      </c>
      <c r="K3086" s="170">
        <v>45688</v>
      </c>
      <c r="L3086" s="1">
        <v>4082.4264979894879</v>
      </c>
      <c r="M3086" s="1">
        <v>45701</v>
      </c>
    </row>
    <row r="3087" spans="1:14" ht="14.4" hidden="1">
      <c r="A3087" t="s">
        <v>532</v>
      </c>
      <c r="B3087" s="1">
        <v>33</v>
      </c>
      <c r="C3087" s="258" t="s">
        <v>6881</v>
      </c>
      <c r="D3087" t="s">
        <v>1793</v>
      </c>
      <c r="E3087" t="s">
        <v>1165</v>
      </c>
      <c r="F3087" t="s">
        <v>1190</v>
      </c>
      <c r="H3087" s="1">
        <v>0.05</v>
      </c>
      <c r="I3087" t="s">
        <v>6879</v>
      </c>
      <c r="J3087" t="s">
        <v>6882</v>
      </c>
      <c r="K3087" s="170">
        <v>45688</v>
      </c>
      <c r="L3087" s="1">
        <v>4082.4164979894881</v>
      </c>
      <c r="M3087" s="1">
        <v>45722</v>
      </c>
    </row>
    <row r="3088" spans="1:14" ht="14.4" hidden="1">
      <c r="A3088" t="s">
        <v>532</v>
      </c>
      <c r="B3088" s="1">
        <v>35</v>
      </c>
      <c r="C3088" s="258" t="s">
        <v>6883</v>
      </c>
      <c r="D3088" t="s">
        <v>6801</v>
      </c>
      <c r="E3088" t="s">
        <v>1193</v>
      </c>
      <c r="F3088" t="s">
        <v>1302</v>
      </c>
      <c r="G3088">
        <v>1</v>
      </c>
      <c r="H3088" s="1">
        <v>8000</v>
      </c>
      <c r="I3088" t="s">
        <v>6802</v>
      </c>
      <c r="J3088" t="s">
        <v>6803</v>
      </c>
      <c r="K3088" s="170">
        <v>45535</v>
      </c>
      <c r="L3088" s="1">
        <v>11164.016778879277</v>
      </c>
      <c r="M3088" s="1">
        <v>45561</v>
      </c>
      <c r="N3088" s="1">
        <v>34242.090000000004</v>
      </c>
    </row>
    <row r="3089" spans="1:14" ht="14.4" hidden="1">
      <c r="A3089" t="s">
        <v>532</v>
      </c>
      <c r="B3089" s="1">
        <v>37</v>
      </c>
      <c r="C3089" s="258" t="s">
        <v>6884</v>
      </c>
      <c r="D3089" t="s">
        <v>6801</v>
      </c>
      <c r="E3089" t="s">
        <v>1193</v>
      </c>
      <c r="F3089" t="s">
        <v>1306</v>
      </c>
      <c r="G3089">
        <v>1</v>
      </c>
      <c r="H3089" s="1">
        <v>11169</v>
      </c>
      <c r="I3089" t="s">
        <v>6805</v>
      </c>
      <c r="J3089" t="s">
        <v>6806</v>
      </c>
      <c r="K3089" s="170">
        <v>45626</v>
      </c>
      <c r="L3089" s="1">
        <v>23106.548907431301</v>
      </c>
      <c r="M3089" s="1">
        <v>45626</v>
      </c>
    </row>
    <row r="3090" spans="1:14" ht="14.4" hidden="1">
      <c r="A3090" t="s">
        <v>532</v>
      </c>
      <c r="B3090" s="1">
        <v>44</v>
      </c>
      <c r="C3090" s="258" t="s">
        <v>6885</v>
      </c>
      <c r="D3090" t="s">
        <v>1795</v>
      </c>
      <c r="E3090" t="s">
        <v>1211</v>
      </c>
      <c r="F3090" t="s">
        <v>6886</v>
      </c>
      <c r="G3090">
        <v>0.4</v>
      </c>
      <c r="H3090" s="1">
        <v>62800</v>
      </c>
      <c r="I3090" t="s">
        <v>6887</v>
      </c>
      <c r="J3090" t="s">
        <v>6888</v>
      </c>
      <c r="K3090" s="170">
        <v>45565</v>
      </c>
      <c r="L3090" s="1">
        <v>46371.286957016418</v>
      </c>
      <c r="M3090" s="1">
        <v>45568</v>
      </c>
    </row>
    <row r="3091" spans="1:14" ht="14.4" hidden="1">
      <c r="A3091" t="s">
        <v>532</v>
      </c>
      <c r="B3091" s="1">
        <v>48</v>
      </c>
      <c r="C3091" s="258" t="s">
        <v>6889</v>
      </c>
      <c r="D3091" t="s">
        <v>1795</v>
      </c>
      <c r="E3091" t="s">
        <v>1211</v>
      </c>
      <c r="F3091" t="s">
        <v>1169</v>
      </c>
      <c r="G3091">
        <v>112764</v>
      </c>
      <c r="H3091" s="1">
        <v>0.1</v>
      </c>
      <c r="I3091" t="s">
        <v>6890</v>
      </c>
      <c r="J3091" t="s">
        <v>6864</v>
      </c>
      <c r="K3091" s="170">
        <v>45565</v>
      </c>
      <c r="L3091" s="1">
        <v>20816.129786707803</v>
      </c>
      <c r="M3091" s="1">
        <v>45560</v>
      </c>
    </row>
    <row r="3092" spans="1:14" ht="14.4" hidden="1">
      <c r="A3092" t="s">
        <v>532</v>
      </c>
      <c r="B3092" s="1">
        <v>49</v>
      </c>
      <c r="C3092" s="258" t="s">
        <v>6891</v>
      </c>
      <c r="D3092" t="s">
        <v>1795</v>
      </c>
      <c r="E3092" t="s">
        <v>1211</v>
      </c>
      <c r="F3092" t="s">
        <v>558</v>
      </c>
      <c r="H3092" s="1">
        <v>0.15</v>
      </c>
      <c r="I3092" t="s">
        <v>6892</v>
      </c>
      <c r="J3092" t="s">
        <v>6893</v>
      </c>
      <c r="K3092" s="170">
        <v>45565</v>
      </c>
      <c r="L3092" s="1">
        <v>31224.194680061697</v>
      </c>
      <c r="M3092" s="1">
        <v>45575</v>
      </c>
    </row>
    <row r="3093" spans="1:14" ht="14.4" hidden="1">
      <c r="A3093" t="s">
        <v>532</v>
      </c>
      <c r="B3093" s="1">
        <v>50</v>
      </c>
      <c r="C3093" s="258" t="s">
        <v>6894</v>
      </c>
      <c r="D3093" t="s">
        <v>1795</v>
      </c>
      <c r="E3093" t="s">
        <v>1211</v>
      </c>
      <c r="F3093" t="s">
        <v>1175</v>
      </c>
      <c r="H3093" s="1">
        <v>0.2</v>
      </c>
      <c r="I3093" t="s">
        <v>6895</v>
      </c>
      <c r="J3093" t="s">
        <v>6870</v>
      </c>
      <c r="K3093" s="170">
        <v>45596</v>
      </c>
      <c r="L3093" s="1">
        <v>41632.259573415606</v>
      </c>
      <c r="M3093" s="1">
        <v>45625</v>
      </c>
    </row>
    <row r="3094" spans="1:14" ht="14.4" hidden="1">
      <c r="A3094" t="s">
        <v>532</v>
      </c>
      <c r="B3094" s="1">
        <v>51</v>
      </c>
      <c r="C3094" s="258" t="s">
        <v>6896</v>
      </c>
      <c r="D3094" t="s">
        <v>1795</v>
      </c>
      <c r="E3094" t="s">
        <v>1211</v>
      </c>
      <c r="F3094" t="s">
        <v>1178</v>
      </c>
      <c r="H3094" s="1">
        <v>0.25</v>
      </c>
      <c r="I3094" t="s">
        <v>6897</v>
      </c>
      <c r="J3094" t="s">
        <v>6873</v>
      </c>
      <c r="K3094" s="170">
        <v>45596</v>
      </c>
      <c r="L3094" s="1">
        <v>52040.324466769503</v>
      </c>
      <c r="M3094" s="1">
        <v>45687</v>
      </c>
    </row>
    <row r="3095" spans="1:14" ht="14.4" hidden="1">
      <c r="A3095" t="s">
        <v>532</v>
      </c>
      <c r="B3095" s="1">
        <v>52</v>
      </c>
      <c r="C3095" s="258" t="s">
        <v>6898</v>
      </c>
      <c r="D3095" t="s">
        <v>1795</v>
      </c>
      <c r="E3095" t="s">
        <v>1211</v>
      </c>
      <c r="F3095" t="s">
        <v>1181</v>
      </c>
      <c r="H3095" s="1">
        <v>0.1</v>
      </c>
      <c r="I3095" t="s">
        <v>6890</v>
      </c>
      <c r="J3095" t="s">
        <v>6875</v>
      </c>
      <c r="K3095" s="170">
        <v>45626</v>
      </c>
      <c r="L3095" s="1">
        <v>20816.129786707803</v>
      </c>
      <c r="M3095" s="1">
        <v>45625</v>
      </c>
    </row>
    <row r="3096" spans="1:14" ht="14.4" hidden="1">
      <c r="A3096" t="s">
        <v>532</v>
      </c>
      <c r="B3096" s="1">
        <v>53</v>
      </c>
      <c r="C3096" s="258" t="s">
        <v>6899</v>
      </c>
      <c r="D3096" t="s">
        <v>1795</v>
      </c>
      <c r="E3096" t="s">
        <v>1211</v>
      </c>
      <c r="F3096" t="s">
        <v>1184</v>
      </c>
      <c r="H3096" s="1">
        <v>0.1</v>
      </c>
      <c r="I3096" t="s">
        <v>6890</v>
      </c>
      <c r="J3096" t="s">
        <v>6877</v>
      </c>
      <c r="K3096" s="170">
        <v>45626</v>
      </c>
      <c r="L3096" s="1">
        <v>20816.129786707803</v>
      </c>
      <c r="M3096" s="1">
        <v>45631</v>
      </c>
    </row>
    <row r="3097" spans="1:14" ht="14.4" hidden="1">
      <c r="A3097" t="s">
        <v>532</v>
      </c>
      <c r="B3097" s="1">
        <v>54</v>
      </c>
      <c r="C3097" s="258" t="s">
        <v>6900</v>
      </c>
      <c r="D3097" t="s">
        <v>1795</v>
      </c>
      <c r="E3097" t="s">
        <v>1211</v>
      </c>
      <c r="F3097" t="s">
        <v>1187</v>
      </c>
      <c r="H3097" s="1">
        <v>0.05</v>
      </c>
      <c r="I3097" t="s">
        <v>6901</v>
      </c>
      <c r="J3097" t="s">
        <v>6880</v>
      </c>
      <c r="K3097" s="170">
        <v>45688</v>
      </c>
      <c r="L3097" s="1">
        <v>10408.0648933539</v>
      </c>
      <c r="M3097" s="1">
        <v>45701</v>
      </c>
    </row>
    <row r="3098" spans="1:14" ht="14.4" hidden="1">
      <c r="A3098" t="s">
        <v>532</v>
      </c>
      <c r="B3098" s="1">
        <v>55</v>
      </c>
      <c r="C3098" s="258" t="s">
        <v>6902</v>
      </c>
      <c r="D3098" t="s">
        <v>1795</v>
      </c>
      <c r="E3098" t="s">
        <v>1211</v>
      </c>
      <c r="F3098" t="s">
        <v>1190</v>
      </c>
      <c r="H3098" s="1">
        <v>0.05</v>
      </c>
      <c r="I3098" t="s">
        <v>6901</v>
      </c>
      <c r="J3098" t="s">
        <v>6882</v>
      </c>
      <c r="K3098" s="170">
        <v>45688</v>
      </c>
      <c r="L3098" s="1">
        <v>10408.0648933539</v>
      </c>
      <c r="M3098" s="1">
        <v>45722</v>
      </c>
    </row>
    <row r="3099" spans="1:14" ht="14.4" hidden="1">
      <c r="A3099" t="s">
        <v>532</v>
      </c>
      <c r="B3099" s="1">
        <v>73</v>
      </c>
      <c r="C3099" s="258" t="s">
        <v>6903</v>
      </c>
      <c r="D3099" t="s">
        <v>4493</v>
      </c>
      <c r="E3099" t="s">
        <v>1246</v>
      </c>
      <c r="F3099" t="s">
        <v>1169</v>
      </c>
      <c r="G3099">
        <v>116305</v>
      </c>
      <c r="H3099" s="1">
        <v>0.1</v>
      </c>
      <c r="I3099" t="s">
        <v>6904</v>
      </c>
      <c r="J3099" t="s">
        <v>6864</v>
      </c>
      <c r="K3099" s="170">
        <v>45565</v>
      </c>
      <c r="L3099" s="1">
        <v>15423.529409999999</v>
      </c>
      <c r="M3099" s="1">
        <v>45560</v>
      </c>
      <c r="N3099" s="1">
        <v>116305</v>
      </c>
    </row>
    <row r="3100" spans="1:14" ht="14.4" hidden="1">
      <c r="A3100" t="s">
        <v>532</v>
      </c>
      <c r="B3100" s="1">
        <v>74</v>
      </c>
      <c r="C3100" s="258" t="s">
        <v>6905</v>
      </c>
      <c r="D3100" t="s">
        <v>4493</v>
      </c>
      <c r="E3100" t="s">
        <v>1246</v>
      </c>
      <c r="F3100" t="s">
        <v>558</v>
      </c>
      <c r="H3100" s="1">
        <v>0.15</v>
      </c>
      <c r="I3100" t="s">
        <v>6906</v>
      </c>
      <c r="J3100" t="s">
        <v>6867</v>
      </c>
      <c r="K3100" s="170">
        <v>45565</v>
      </c>
      <c r="L3100" s="1">
        <v>23135.294115000001</v>
      </c>
      <c r="M3100" s="1">
        <v>45575</v>
      </c>
    </row>
    <row r="3101" spans="1:14" ht="14.4" hidden="1">
      <c r="A3101" t="s">
        <v>532</v>
      </c>
      <c r="B3101" s="1">
        <v>75</v>
      </c>
      <c r="C3101" s="258" t="s">
        <v>6907</v>
      </c>
      <c r="D3101" t="s">
        <v>4493</v>
      </c>
      <c r="E3101" t="s">
        <v>1246</v>
      </c>
      <c r="F3101" t="s">
        <v>1175</v>
      </c>
      <c r="H3101" s="1">
        <v>0.2</v>
      </c>
      <c r="I3101" t="s">
        <v>6908</v>
      </c>
      <c r="J3101" t="s">
        <v>6870</v>
      </c>
      <c r="K3101" s="170">
        <v>45596</v>
      </c>
      <c r="L3101" s="1">
        <v>30847.058819999998</v>
      </c>
      <c r="M3101" s="1">
        <v>45625</v>
      </c>
    </row>
    <row r="3102" spans="1:14" ht="14.4" hidden="1">
      <c r="A3102" t="s">
        <v>532</v>
      </c>
      <c r="B3102" s="1">
        <v>76</v>
      </c>
      <c r="C3102" s="258" t="s">
        <v>6909</v>
      </c>
      <c r="D3102" t="s">
        <v>4493</v>
      </c>
      <c r="E3102" t="s">
        <v>1246</v>
      </c>
      <c r="F3102" t="s">
        <v>1178</v>
      </c>
      <c r="H3102" s="1">
        <v>0.25</v>
      </c>
      <c r="I3102" t="s">
        <v>6910</v>
      </c>
      <c r="J3102" t="s">
        <v>6873</v>
      </c>
      <c r="K3102" s="170">
        <v>45596</v>
      </c>
      <c r="L3102" s="1">
        <v>38558.823525</v>
      </c>
      <c r="M3102" s="1">
        <v>45687</v>
      </c>
    </row>
    <row r="3103" spans="1:14" ht="14.4" hidden="1">
      <c r="A3103" t="s">
        <v>532</v>
      </c>
      <c r="B3103" s="1">
        <v>77</v>
      </c>
      <c r="C3103" s="258" t="s">
        <v>6911</v>
      </c>
      <c r="D3103" t="s">
        <v>4493</v>
      </c>
      <c r="E3103" t="s">
        <v>1246</v>
      </c>
      <c r="F3103" t="s">
        <v>1181</v>
      </c>
      <c r="H3103" s="1">
        <v>0.1</v>
      </c>
      <c r="I3103" t="s">
        <v>6904</v>
      </c>
      <c r="J3103" t="s">
        <v>6875</v>
      </c>
      <c r="K3103" s="170">
        <v>45626</v>
      </c>
      <c r="L3103" s="1">
        <v>15423.529409999999</v>
      </c>
      <c r="M3103" s="1">
        <v>45625</v>
      </c>
    </row>
    <row r="3104" spans="1:14" ht="14.4" hidden="1">
      <c r="A3104" t="s">
        <v>532</v>
      </c>
      <c r="B3104" s="1">
        <v>78</v>
      </c>
      <c r="C3104" s="258" t="s">
        <v>6912</v>
      </c>
      <c r="D3104" t="s">
        <v>4493</v>
      </c>
      <c r="E3104" t="s">
        <v>1246</v>
      </c>
      <c r="F3104" t="s">
        <v>1184</v>
      </c>
      <c r="H3104" s="1">
        <v>0.1</v>
      </c>
      <c r="I3104" t="s">
        <v>6904</v>
      </c>
      <c r="J3104" t="s">
        <v>6877</v>
      </c>
      <c r="K3104" s="170">
        <v>45626</v>
      </c>
      <c r="L3104" s="1">
        <v>15423.529409999999</v>
      </c>
      <c r="M3104" s="1">
        <v>45631</v>
      </c>
    </row>
    <row r="3105" spans="1:14" ht="14.4" hidden="1">
      <c r="A3105" t="s">
        <v>532</v>
      </c>
      <c r="B3105" s="1">
        <v>79</v>
      </c>
      <c r="C3105" s="258" t="s">
        <v>6913</v>
      </c>
      <c r="D3105" t="s">
        <v>4493</v>
      </c>
      <c r="E3105" t="s">
        <v>1246</v>
      </c>
      <c r="F3105" t="s">
        <v>1187</v>
      </c>
      <c r="H3105" s="1">
        <v>0.05</v>
      </c>
      <c r="I3105" t="s">
        <v>6914</v>
      </c>
      <c r="J3105" t="s">
        <v>6880</v>
      </c>
      <c r="K3105" s="170">
        <v>45688</v>
      </c>
      <c r="L3105" s="1">
        <v>7711.7647049999996</v>
      </c>
      <c r="M3105" s="1">
        <v>45701</v>
      </c>
    </row>
    <row r="3106" spans="1:14" ht="14.4" hidden="1">
      <c r="A3106" t="s">
        <v>532</v>
      </c>
      <c r="B3106" s="1">
        <v>80</v>
      </c>
      <c r="C3106" s="258" t="s">
        <v>6915</v>
      </c>
      <c r="D3106" t="s">
        <v>4493</v>
      </c>
      <c r="E3106" t="s">
        <v>1246</v>
      </c>
      <c r="F3106" t="s">
        <v>1190</v>
      </c>
      <c r="H3106" s="1">
        <v>0.05</v>
      </c>
      <c r="I3106" t="s">
        <v>6914</v>
      </c>
      <c r="J3106" t="s">
        <v>6882</v>
      </c>
      <c r="K3106" s="170">
        <v>45688</v>
      </c>
      <c r="L3106" s="1">
        <v>7711.7647049999996</v>
      </c>
      <c r="M3106" s="1">
        <v>45722</v>
      </c>
    </row>
    <row r="3107" spans="1:14" ht="14.4" hidden="1">
      <c r="A3107" t="s">
        <v>532</v>
      </c>
      <c r="B3107" s="1">
        <v>84</v>
      </c>
      <c r="C3107" s="258" t="s">
        <v>6916</v>
      </c>
      <c r="D3107" t="s">
        <v>1799</v>
      </c>
      <c r="E3107" t="s">
        <v>1255</v>
      </c>
      <c r="F3107" t="s">
        <v>1169</v>
      </c>
      <c r="G3107">
        <v>85453</v>
      </c>
      <c r="H3107" s="1">
        <v>0.1</v>
      </c>
      <c r="I3107" t="s">
        <v>6917</v>
      </c>
      <c r="J3107" t="s">
        <v>6864</v>
      </c>
      <c r="K3107" s="170">
        <v>45565</v>
      </c>
      <c r="L3107" s="1">
        <v>3229.6177868999252</v>
      </c>
      <c r="M3107" s="1">
        <v>45560</v>
      </c>
    </row>
    <row r="3108" spans="1:14" ht="14.4" hidden="1">
      <c r="A3108" t="s">
        <v>532</v>
      </c>
      <c r="B3108" s="1">
        <v>85</v>
      </c>
      <c r="C3108" s="258" t="s">
        <v>6918</v>
      </c>
      <c r="D3108" t="s">
        <v>1799</v>
      </c>
      <c r="E3108" t="s">
        <v>1255</v>
      </c>
      <c r="F3108" t="s">
        <v>558</v>
      </c>
      <c r="H3108" s="1">
        <v>0.15</v>
      </c>
      <c r="I3108" t="s">
        <v>6919</v>
      </c>
      <c r="J3108" t="s">
        <v>6867</v>
      </c>
      <c r="K3108" s="170">
        <v>45565</v>
      </c>
      <c r="L3108" s="1">
        <v>4844.4304597582013</v>
      </c>
      <c r="M3108" s="1">
        <v>45575</v>
      </c>
    </row>
    <row r="3109" spans="1:14" ht="14.4" hidden="1">
      <c r="A3109" t="s">
        <v>532</v>
      </c>
      <c r="B3109" s="1">
        <v>86</v>
      </c>
      <c r="C3109" s="258" t="s">
        <v>6920</v>
      </c>
      <c r="D3109" t="s">
        <v>1799</v>
      </c>
      <c r="E3109" t="s">
        <v>1255</v>
      </c>
      <c r="F3109" t="s">
        <v>1175</v>
      </c>
      <c r="H3109" s="1">
        <v>0.2</v>
      </c>
      <c r="I3109" t="s">
        <v>6921</v>
      </c>
      <c r="J3109" t="s">
        <v>6870</v>
      </c>
      <c r="K3109" s="170">
        <v>45596</v>
      </c>
      <c r="L3109" s="1">
        <v>6459.1994985734864</v>
      </c>
      <c r="M3109" s="1">
        <v>45625</v>
      </c>
    </row>
    <row r="3110" spans="1:14" ht="14.4" hidden="1">
      <c r="A3110" t="s">
        <v>532</v>
      </c>
      <c r="B3110" s="1">
        <v>87</v>
      </c>
      <c r="C3110" s="258" t="s">
        <v>6922</v>
      </c>
      <c r="D3110" t="s">
        <v>1799</v>
      </c>
      <c r="E3110" t="s">
        <v>1255</v>
      </c>
      <c r="F3110" t="s">
        <v>1178</v>
      </c>
      <c r="H3110" s="1">
        <v>0.25</v>
      </c>
      <c r="I3110" t="s">
        <v>6923</v>
      </c>
      <c r="J3110" t="s">
        <v>6873</v>
      </c>
      <c r="K3110" s="170">
        <v>45596</v>
      </c>
      <c r="L3110" s="1">
        <v>8074.1188581895694</v>
      </c>
      <c r="M3110" s="1">
        <v>45631</v>
      </c>
    </row>
    <row r="3111" spans="1:14" ht="14.4" hidden="1">
      <c r="A3111" t="s">
        <v>532</v>
      </c>
      <c r="B3111" s="1">
        <v>88</v>
      </c>
      <c r="C3111" s="258" t="s">
        <v>6924</v>
      </c>
      <c r="D3111" t="s">
        <v>1799</v>
      </c>
      <c r="E3111" t="s">
        <v>1255</v>
      </c>
      <c r="F3111" t="s">
        <v>1181</v>
      </c>
      <c r="H3111" s="1">
        <v>0.1</v>
      </c>
      <c r="I3111" t="s">
        <v>6917</v>
      </c>
      <c r="J3111" t="s">
        <v>6875</v>
      </c>
      <c r="K3111" s="170">
        <v>45626</v>
      </c>
      <c r="L3111" s="1">
        <v>5780.7078606835603</v>
      </c>
      <c r="M3111" s="1">
        <v>45625</v>
      </c>
    </row>
    <row r="3112" spans="1:14" ht="14.4" hidden="1">
      <c r="A3112" t="s">
        <v>532</v>
      </c>
      <c r="B3112" s="1">
        <v>89</v>
      </c>
      <c r="C3112" s="258" t="s">
        <v>6925</v>
      </c>
      <c r="D3112" t="s">
        <v>1799</v>
      </c>
      <c r="E3112" t="s">
        <v>1255</v>
      </c>
      <c r="F3112" t="s">
        <v>1184</v>
      </c>
      <c r="H3112" s="1">
        <v>0.1</v>
      </c>
      <c r="I3112" t="s">
        <v>6917</v>
      </c>
      <c r="J3112" t="s">
        <v>6877</v>
      </c>
      <c r="K3112" s="170">
        <v>45626</v>
      </c>
      <c r="L3112" s="1">
        <v>5780.6978606835601</v>
      </c>
      <c r="M3112" s="1">
        <v>45631</v>
      </c>
    </row>
    <row r="3113" spans="1:14" ht="14.4" hidden="1">
      <c r="A3113" t="s">
        <v>532</v>
      </c>
      <c r="B3113" s="1">
        <v>90</v>
      </c>
      <c r="C3113" s="258" t="s">
        <v>6926</v>
      </c>
      <c r="D3113" t="s">
        <v>1799</v>
      </c>
      <c r="E3113" t="s">
        <v>1255</v>
      </c>
      <c r="F3113" t="s">
        <v>1187</v>
      </c>
      <c r="H3113" s="1">
        <v>0.05</v>
      </c>
      <c r="I3113" t="s">
        <v>6927</v>
      </c>
      <c r="J3113" t="s">
        <v>6880</v>
      </c>
      <c r="K3113" s="170">
        <v>45688</v>
      </c>
      <c r="L3113" s="1">
        <v>1898.2589303417799</v>
      </c>
      <c r="M3113" s="1">
        <v>45701</v>
      </c>
    </row>
    <row r="3114" spans="1:14" ht="14.4" hidden="1">
      <c r="A3114" t="s">
        <v>532</v>
      </c>
      <c r="B3114" s="1">
        <v>91</v>
      </c>
      <c r="C3114" s="258" t="s">
        <v>6928</v>
      </c>
      <c r="D3114" t="s">
        <v>1799</v>
      </c>
      <c r="E3114" t="s">
        <v>1255</v>
      </c>
      <c r="F3114" t="s">
        <v>1190</v>
      </c>
      <c r="H3114" s="1">
        <v>0.05</v>
      </c>
      <c r="I3114" t="s">
        <v>6927</v>
      </c>
      <c r="J3114" t="s">
        <v>6882</v>
      </c>
      <c r="K3114" s="170">
        <v>45688</v>
      </c>
      <c r="L3114" s="1">
        <v>1898.2589303417799</v>
      </c>
      <c r="M3114" s="1">
        <v>45722</v>
      </c>
    </row>
    <row r="3115" spans="1:14" ht="14.4" hidden="1">
      <c r="A3115" t="s">
        <v>533</v>
      </c>
      <c r="B3115" s="1">
        <v>4</v>
      </c>
      <c r="C3115" s="258" t="s">
        <v>6929</v>
      </c>
      <c r="D3115" t="s">
        <v>1780</v>
      </c>
      <c r="E3115" t="s">
        <v>1781</v>
      </c>
      <c r="F3115" t="s">
        <v>1782</v>
      </c>
      <c r="G3115" t="s">
        <v>1783</v>
      </c>
      <c r="H3115" s="1" t="s">
        <v>1784</v>
      </c>
      <c r="I3115" t="s">
        <v>1785</v>
      </c>
      <c r="J3115" t="s">
        <v>1786</v>
      </c>
      <c r="K3115" s="170" t="s">
        <v>1787</v>
      </c>
      <c r="L3115" s="1" t="s">
        <v>1788</v>
      </c>
      <c r="M3115" s="1" t="s">
        <v>1789</v>
      </c>
      <c r="N3115" s="1" t="s">
        <v>1790</v>
      </c>
    </row>
    <row r="3116" spans="1:14" ht="14.4" hidden="1">
      <c r="A3116" t="s">
        <v>533</v>
      </c>
      <c r="B3116" s="1">
        <v>6</v>
      </c>
      <c r="C3116" s="258" t="s">
        <v>6930</v>
      </c>
      <c r="D3116" t="s">
        <v>1791</v>
      </c>
      <c r="E3116" t="s">
        <v>1146</v>
      </c>
      <c r="F3116" t="s">
        <v>6763</v>
      </c>
      <c r="G3116">
        <v>266</v>
      </c>
      <c r="H3116" s="1">
        <v>1415.25</v>
      </c>
      <c r="I3116" t="s">
        <v>6931</v>
      </c>
      <c r="J3116" t="s">
        <v>6765</v>
      </c>
      <c r="K3116" s="170">
        <v>45504</v>
      </c>
      <c r="L3116" s="1">
        <v>260538.24433160335</v>
      </c>
      <c r="M3116" s="1">
        <v>45562</v>
      </c>
      <c r="N3116" s="1">
        <v>384202.5</v>
      </c>
    </row>
    <row r="3117" spans="1:14" ht="14.4" hidden="1">
      <c r="A3117" t="s">
        <v>533</v>
      </c>
      <c r="B3117" s="1">
        <v>13</v>
      </c>
      <c r="C3117" s="258" t="s">
        <v>6932</v>
      </c>
      <c r="D3117" t="s">
        <v>1792</v>
      </c>
      <c r="E3117" t="s">
        <v>1157</v>
      </c>
      <c r="F3117" t="s">
        <v>1369</v>
      </c>
      <c r="G3117">
        <v>1</v>
      </c>
      <c r="H3117" s="1">
        <v>68870</v>
      </c>
      <c r="I3117" t="s">
        <v>6850</v>
      </c>
      <c r="J3117" t="s">
        <v>6775</v>
      </c>
      <c r="K3117" s="170">
        <v>45565</v>
      </c>
      <c r="L3117" s="1">
        <v>88116.996168141181</v>
      </c>
      <c r="M3117" s="1">
        <v>45596</v>
      </c>
      <c r="N3117" s="1">
        <v>115325.23</v>
      </c>
    </row>
    <row r="3118" spans="1:14" ht="14.4" hidden="1">
      <c r="A3118" t="s">
        <v>533</v>
      </c>
      <c r="B3118" s="1">
        <v>14</v>
      </c>
      <c r="C3118" s="258" t="s">
        <v>6933</v>
      </c>
      <c r="D3118" t="s">
        <v>1792</v>
      </c>
      <c r="E3118" t="s">
        <v>1157</v>
      </c>
      <c r="F3118" t="s">
        <v>1804</v>
      </c>
      <c r="G3118">
        <v>1</v>
      </c>
      <c r="H3118" s="1">
        <v>45350</v>
      </c>
      <c r="I3118" t="s">
        <v>6934</v>
      </c>
      <c r="J3118" t="s">
        <v>6854</v>
      </c>
      <c r="K3118" s="170">
        <v>45596</v>
      </c>
      <c r="L3118" s="1">
        <v>58023.896852406018</v>
      </c>
      <c r="M3118" s="1">
        <v>45596</v>
      </c>
    </row>
    <row r="3119" spans="1:14" ht="14.4" hidden="1">
      <c r="A3119" t="s">
        <v>533</v>
      </c>
      <c r="B3119" s="1">
        <v>18</v>
      </c>
      <c r="C3119" s="258" t="s">
        <v>6935</v>
      </c>
      <c r="D3119" t="s">
        <v>4433</v>
      </c>
      <c r="E3119" t="s">
        <v>1160</v>
      </c>
      <c r="F3119" t="s">
        <v>6856</v>
      </c>
      <c r="G3119">
        <v>1</v>
      </c>
      <c r="H3119" s="1">
        <v>27793.200000000001</v>
      </c>
      <c r="I3119" t="s">
        <v>6936</v>
      </c>
      <c r="J3119" t="s">
        <v>6937</v>
      </c>
      <c r="K3119" s="170">
        <v>45565</v>
      </c>
      <c r="L3119" s="1">
        <v>78159.936680250452</v>
      </c>
      <c r="M3119" s="1">
        <v>45558</v>
      </c>
      <c r="N3119" s="1">
        <v>22391.319999999996</v>
      </c>
    </row>
    <row r="3120" spans="1:14" ht="14.4" hidden="1">
      <c r="A3120" t="s">
        <v>533</v>
      </c>
      <c r="B3120" s="1">
        <v>24</v>
      </c>
      <c r="C3120" s="258" t="s">
        <v>6938</v>
      </c>
      <c r="D3120" t="s">
        <v>1793</v>
      </c>
      <c r="E3120" t="s">
        <v>1165</v>
      </c>
      <c r="F3120" t="s">
        <v>3748</v>
      </c>
      <c r="G3120">
        <v>3000</v>
      </c>
      <c r="H3120" s="1">
        <v>13.5</v>
      </c>
      <c r="I3120" t="s">
        <v>6939</v>
      </c>
      <c r="J3120" t="s">
        <v>6861</v>
      </c>
      <c r="K3120" s="170">
        <v>45596</v>
      </c>
      <c r="L3120" s="1">
        <v>44355.655783165217</v>
      </c>
      <c r="M3120" s="1">
        <v>45596</v>
      </c>
      <c r="N3120" s="1">
        <v>125312</v>
      </c>
    </row>
    <row r="3121" spans="1:14" ht="14.4" hidden="1">
      <c r="A3121" t="s">
        <v>533</v>
      </c>
      <c r="B3121" s="1">
        <v>26</v>
      </c>
      <c r="C3121" s="258" t="s">
        <v>6940</v>
      </c>
      <c r="D3121" t="s">
        <v>1793</v>
      </c>
      <c r="E3121" t="s">
        <v>1165</v>
      </c>
      <c r="F3121" t="s">
        <v>1169</v>
      </c>
      <c r="G3121">
        <v>84812</v>
      </c>
      <c r="H3121" s="1">
        <v>0.1</v>
      </c>
      <c r="I3121" t="s">
        <v>6941</v>
      </c>
      <c r="J3121" t="s">
        <v>6942</v>
      </c>
      <c r="K3121" s="170">
        <v>45565</v>
      </c>
      <c r="L3121" s="1">
        <v>9288.6219216834779</v>
      </c>
      <c r="M3121" s="1">
        <v>45582</v>
      </c>
    </row>
    <row r="3122" spans="1:14" ht="14.4" hidden="1">
      <c r="A3122" t="s">
        <v>533</v>
      </c>
      <c r="B3122" s="1">
        <v>27</v>
      </c>
      <c r="C3122" s="258" t="s">
        <v>6943</v>
      </c>
      <c r="D3122" t="s">
        <v>1793</v>
      </c>
      <c r="E3122" t="s">
        <v>1165</v>
      </c>
      <c r="F3122" t="s">
        <v>558</v>
      </c>
      <c r="H3122" s="1">
        <v>0.15</v>
      </c>
      <c r="I3122" t="s">
        <v>6944</v>
      </c>
      <c r="J3122" t="s">
        <v>6945</v>
      </c>
      <c r="K3122" s="170">
        <v>45596</v>
      </c>
      <c r="L3122" s="1">
        <v>13932.932882525218</v>
      </c>
      <c r="M3122" s="1">
        <v>45582</v>
      </c>
    </row>
    <row r="3123" spans="1:14" ht="14.4" hidden="1">
      <c r="A3123" t="s">
        <v>533</v>
      </c>
      <c r="B3123" s="1">
        <v>28</v>
      </c>
      <c r="C3123" s="258" t="s">
        <v>6946</v>
      </c>
      <c r="D3123" t="s">
        <v>1793</v>
      </c>
      <c r="E3123" t="s">
        <v>1165</v>
      </c>
      <c r="F3123" t="s">
        <v>1175</v>
      </c>
      <c r="H3123" s="1">
        <v>0.2</v>
      </c>
      <c r="I3123" t="s">
        <v>6947</v>
      </c>
      <c r="J3123" t="s">
        <v>6948</v>
      </c>
      <c r="K3123" s="170">
        <v>45626</v>
      </c>
      <c r="L3123" s="1">
        <v>18577.243843366956</v>
      </c>
      <c r="M3123" s="1">
        <v>45625</v>
      </c>
    </row>
    <row r="3124" spans="1:14" ht="14.4" hidden="1">
      <c r="A3124" t="s">
        <v>533</v>
      </c>
      <c r="B3124" s="1">
        <v>29</v>
      </c>
      <c r="C3124" s="258" t="s">
        <v>6949</v>
      </c>
      <c r="D3124" t="s">
        <v>1793</v>
      </c>
      <c r="E3124" t="s">
        <v>1165</v>
      </c>
      <c r="F3124" t="s">
        <v>1178</v>
      </c>
      <c r="H3124" s="1">
        <v>0.25</v>
      </c>
      <c r="I3124" t="s">
        <v>6950</v>
      </c>
      <c r="J3124" t="s">
        <v>6951</v>
      </c>
      <c r="K3124" s="170">
        <v>45626</v>
      </c>
      <c r="L3124" s="1">
        <v>23221.554804208692</v>
      </c>
      <c r="M3124" s="1">
        <v>45625</v>
      </c>
    </row>
    <row r="3125" spans="1:14" ht="14.4" hidden="1">
      <c r="A3125" t="s">
        <v>533</v>
      </c>
      <c r="B3125" s="1">
        <v>30</v>
      </c>
      <c r="C3125" s="258" t="s">
        <v>6952</v>
      </c>
      <c r="D3125" t="s">
        <v>1793</v>
      </c>
      <c r="E3125" t="s">
        <v>1165</v>
      </c>
      <c r="F3125" t="s">
        <v>1181</v>
      </c>
      <c r="H3125" s="1">
        <v>0.1</v>
      </c>
      <c r="I3125" t="s">
        <v>6941</v>
      </c>
      <c r="J3125" t="s">
        <v>6953</v>
      </c>
      <c r="K3125" s="170">
        <v>45626</v>
      </c>
      <c r="L3125" s="1">
        <v>9288.6219216834779</v>
      </c>
      <c r="M3125" s="1">
        <v>45701</v>
      </c>
    </row>
    <row r="3126" spans="1:14" ht="14.4" hidden="1">
      <c r="A3126" t="s">
        <v>533</v>
      </c>
      <c r="B3126" s="1">
        <v>31</v>
      </c>
      <c r="C3126" s="258" t="s">
        <v>6954</v>
      </c>
      <c r="D3126" t="s">
        <v>1793</v>
      </c>
      <c r="E3126" t="s">
        <v>1165</v>
      </c>
      <c r="F3126" t="s">
        <v>1184</v>
      </c>
      <c r="H3126" s="1">
        <v>0.1</v>
      </c>
      <c r="I3126" t="s">
        <v>6941</v>
      </c>
      <c r="J3126" t="s">
        <v>6955</v>
      </c>
      <c r="K3126" s="170">
        <v>45626</v>
      </c>
      <c r="L3126" s="1">
        <v>9288.6219216834779</v>
      </c>
      <c r="M3126" s="1">
        <v>45631</v>
      </c>
    </row>
    <row r="3127" spans="1:14" ht="14.4" hidden="1">
      <c r="A3127" t="s">
        <v>533</v>
      </c>
      <c r="B3127" s="1">
        <v>32</v>
      </c>
      <c r="C3127" s="258" t="s">
        <v>6956</v>
      </c>
      <c r="D3127" t="s">
        <v>1793</v>
      </c>
      <c r="E3127" t="s">
        <v>1165</v>
      </c>
      <c r="F3127" t="s">
        <v>1187</v>
      </c>
      <c r="H3127" s="1">
        <v>0.05</v>
      </c>
      <c r="I3127" t="s">
        <v>6957</v>
      </c>
      <c r="J3127" t="s">
        <v>6958</v>
      </c>
      <c r="K3127" s="170">
        <v>45626</v>
      </c>
      <c r="L3127" s="1">
        <v>4644.310960841739</v>
      </c>
      <c r="M3127" s="1">
        <v>45701</v>
      </c>
    </row>
    <row r="3128" spans="1:14" ht="14.4" hidden="1">
      <c r="A3128" t="s">
        <v>533</v>
      </c>
      <c r="B3128" s="1">
        <v>33</v>
      </c>
      <c r="C3128" s="258" t="s">
        <v>6959</v>
      </c>
      <c r="D3128" t="s">
        <v>1793</v>
      </c>
      <c r="E3128" t="s">
        <v>1165</v>
      </c>
      <c r="F3128" t="s">
        <v>1190</v>
      </c>
      <c r="H3128" s="1">
        <v>0.05</v>
      </c>
      <c r="I3128" t="s">
        <v>6957</v>
      </c>
      <c r="J3128" t="s">
        <v>6960</v>
      </c>
      <c r="K3128" s="170">
        <v>45688</v>
      </c>
      <c r="L3128" s="1">
        <v>4644.310960841739</v>
      </c>
      <c r="M3128" s="1">
        <v>45722</v>
      </c>
    </row>
    <row r="3129" spans="1:14" ht="14.4" hidden="1">
      <c r="A3129" t="s">
        <v>533</v>
      </c>
      <c r="B3129" s="1">
        <v>35</v>
      </c>
      <c r="C3129" s="258" t="s">
        <v>6961</v>
      </c>
      <c r="D3129" t="s">
        <v>6801</v>
      </c>
      <c r="E3129" t="s">
        <v>1193</v>
      </c>
      <c r="F3129" t="s">
        <v>1302</v>
      </c>
      <c r="G3129">
        <v>1</v>
      </c>
      <c r="H3129" s="1">
        <v>8000</v>
      </c>
      <c r="I3129" t="s">
        <v>6802</v>
      </c>
      <c r="J3129" t="s">
        <v>6803</v>
      </c>
      <c r="K3129" s="170">
        <v>45535</v>
      </c>
      <c r="L3129" s="1">
        <v>6085.4068218652392</v>
      </c>
      <c r="M3129" s="1">
        <v>45561</v>
      </c>
      <c r="N3129" s="1">
        <v>107002.01</v>
      </c>
    </row>
    <row r="3130" spans="1:14" ht="14.4" hidden="1">
      <c r="A3130" t="s">
        <v>533</v>
      </c>
      <c r="B3130" s="1">
        <v>37</v>
      </c>
      <c r="C3130" s="258" t="s">
        <v>6962</v>
      </c>
      <c r="D3130" t="s">
        <v>6801</v>
      </c>
      <c r="E3130" t="s">
        <v>1193</v>
      </c>
      <c r="F3130" t="s">
        <v>1306</v>
      </c>
      <c r="G3130">
        <v>1</v>
      </c>
      <c r="H3130" s="1">
        <v>11169</v>
      </c>
      <c r="I3130" t="s">
        <v>6805</v>
      </c>
      <c r="J3130" t="s">
        <v>6806</v>
      </c>
      <c r="K3130" s="170">
        <v>45626</v>
      </c>
      <c r="L3130" s="1">
        <v>3168.69</v>
      </c>
      <c r="M3130" s="1">
        <v>45626</v>
      </c>
    </row>
    <row r="3131" spans="1:14" ht="14.4" hidden="1">
      <c r="A3131" t="s">
        <v>533</v>
      </c>
      <c r="B3131" s="1">
        <v>43</v>
      </c>
      <c r="C3131" s="258" t="s">
        <v>6963</v>
      </c>
      <c r="D3131" t="s">
        <v>1795</v>
      </c>
      <c r="E3131" t="s">
        <v>1211</v>
      </c>
      <c r="F3131" t="s">
        <v>6964</v>
      </c>
      <c r="G3131">
        <v>0.4</v>
      </c>
      <c r="H3131" s="1">
        <v>62800</v>
      </c>
      <c r="I3131" t="s">
        <v>6887</v>
      </c>
      <c r="J3131" t="s">
        <v>6888</v>
      </c>
      <c r="K3131" s="170">
        <v>45565</v>
      </c>
      <c r="L3131" s="1">
        <v>51098.741294541425</v>
      </c>
      <c r="M3131" s="1">
        <v>45568</v>
      </c>
    </row>
    <row r="3132" spans="1:14" ht="14.4" hidden="1">
      <c r="A3132" t="s">
        <v>533</v>
      </c>
      <c r="B3132" s="1">
        <v>47</v>
      </c>
      <c r="C3132" s="258" t="s">
        <v>6965</v>
      </c>
      <c r="D3132" t="s">
        <v>1795</v>
      </c>
      <c r="E3132" t="s">
        <v>1211</v>
      </c>
      <c r="F3132" t="s">
        <v>1169</v>
      </c>
      <c r="G3132">
        <v>95446</v>
      </c>
      <c r="H3132" s="1">
        <v>0.1</v>
      </c>
      <c r="I3132" t="s">
        <v>6966</v>
      </c>
      <c r="J3132" t="s">
        <v>6942</v>
      </c>
      <c r="K3132" s="170">
        <v>45565</v>
      </c>
      <c r="L3132" s="1">
        <v>19415.48750636465</v>
      </c>
      <c r="M3132" s="1">
        <v>45582</v>
      </c>
    </row>
    <row r="3133" spans="1:14" ht="14.4" hidden="1">
      <c r="A3133" t="s">
        <v>533</v>
      </c>
      <c r="B3133" s="1">
        <v>48</v>
      </c>
      <c r="C3133" s="258" t="s">
        <v>6967</v>
      </c>
      <c r="D3133" t="s">
        <v>1795</v>
      </c>
      <c r="E3133" t="s">
        <v>1211</v>
      </c>
      <c r="F3133" t="s">
        <v>558</v>
      </c>
      <c r="H3133" s="1">
        <v>0.15</v>
      </c>
      <c r="I3133" t="s">
        <v>6968</v>
      </c>
      <c r="J3133" t="s">
        <v>6945</v>
      </c>
      <c r="K3133" s="170">
        <v>45596</v>
      </c>
      <c r="L3133" s="1">
        <v>29123.231259546978</v>
      </c>
      <c r="M3133" s="1">
        <v>45582</v>
      </c>
    </row>
    <row r="3134" spans="1:14" ht="14.4" hidden="1">
      <c r="A3134" t="s">
        <v>533</v>
      </c>
      <c r="B3134" s="1">
        <v>49</v>
      </c>
      <c r="C3134" s="258" t="s">
        <v>6969</v>
      </c>
      <c r="D3134" t="s">
        <v>1795</v>
      </c>
      <c r="E3134" t="s">
        <v>1211</v>
      </c>
      <c r="F3134" t="s">
        <v>1175</v>
      </c>
      <c r="H3134" s="1">
        <v>0.2</v>
      </c>
      <c r="I3134" t="s">
        <v>6970</v>
      </c>
      <c r="J3134" t="s">
        <v>6948</v>
      </c>
      <c r="K3134" s="170">
        <v>45626</v>
      </c>
      <c r="L3134" s="1">
        <v>38830.975012729301</v>
      </c>
      <c r="M3134" s="1">
        <v>45625</v>
      </c>
    </row>
    <row r="3135" spans="1:14" ht="14.4" hidden="1">
      <c r="A3135" t="s">
        <v>533</v>
      </c>
      <c r="B3135" s="1">
        <v>50</v>
      </c>
      <c r="C3135" s="258" t="s">
        <v>6971</v>
      </c>
      <c r="D3135" t="s">
        <v>1795</v>
      </c>
      <c r="E3135" t="s">
        <v>1211</v>
      </c>
      <c r="F3135" t="s">
        <v>1178</v>
      </c>
      <c r="H3135" s="1">
        <v>0.25</v>
      </c>
      <c r="I3135" t="s">
        <v>6972</v>
      </c>
      <c r="J3135" t="s">
        <v>6951</v>
      </c>
      <c r="K3135" s="170">
        <v>45626</v>
      </c>
      <c r="L3135" s="1">
        <v>48538.718765911624</v>
      </c>
      <c r="M3135" s="1">
        <v>45625</v>
      </c>
    </row>
    <row r="3136" spans="1:14" ht="14.4" hidden="1">
      <c r="A3136" t="s">
        <v>533</v>
      </c>
      <c r="B3136" s="1">
        <v>51</v>
      </c>
      <c r="C3136" s="258" t="s">
        <v>6973</v>
      </c>
      <c r="D3136" t="s">
        <v>1795</v>
      </c>
      <c r="E3136" t="s">
        <v>1211</v>
      </c>
      <c r="F3136" t="s">
        <v>1181</v>
      </c>
      <c r="H3136" s="1">
        <v>0.1</v>
      </c>
      <c r="I3136" t="s">
        <v>6966</v>
      </c>
      <c r="J3136" t="s">
        <v>6953</v>
      </c>
      <c r="K3136" s="170">
        <v>45626</v>
      </c>
      <c r="L3136" s="1">
        <v>19415.48750636465</v>
      </c>
      <c r="M3136" s="1">
        <v>45701</v>
      </c>
    </row>
    <row r="3137" spans="1:14" ht="14.4" hidden="1">
      <c r="A3137" t="s">
        <v>533</v>
      </c>
      <c r="B3137" s="1">
        <v>52</v>
      </c>
      <c r="C3137" s="258" t="s">
        <v>6974</v>
      </c>
      <c r="D3137" t="s">
        <v>1795</v>
      </c>
      <c r="E3137" t="s">
        <v>1211</v>
      </c>
      <c r="F3137" t="s">
        <v>1184</v>
      </c>
      <c r="H3137" s="1">
        <v>0.1</v>
      </c>
      <c r="I3137" t="s">
        <v>6966</v>
      </c>
      <c r="J3137" t="s">
        <v>6955</v>
      </c>
      <c r="K3137" s="170">
        <v>45626</v>
      </c>
      <c r="L3137" s="1">
        <v>19415.48750636465</v>
      </c>
      <c r="M3137" s="1">
        <v>45631</v>
      </c>
    </row>
    <row r="3138" spans="1:14" ht="14.4" hidden="1">
      <c r="A3138" t="s">
        <v>533</v>
      </c>
      <c r="B3138" s="1">
        <v>53</v>
      </c>
      <c r="C3138" s="258" t="s">
        <v>6975</v>
      </c>
      <c r="D3138" t="s">
        <v>1795</v>
      </c>
      <c r="E3138" t="s">
        <v>1211</v>
      </c>
      <c r="F3138" t="s">
        <v>1187</v>
      </c>
      <c r="H3138" s="1">
        <v>0.05</v>
      </c>
      <c r="I3138" t="s">
        <v>6976</v>
      </c>
      <c r="J3138" t="s">
        <v>6958</v>
      </c>
      <c r="K3138" s="170">
        <v>45626</v>
      </c>
      <c r="L3138" s="1">
        <v>9707.7437531823252</v>
      </c>
      <c r="M3138" s="1">
        <v>45701</v>
      </c>
    </row>
    <row r="3139" spans="1:14" ht="14.4" hidden="1">
      <c r="A3139" t="s">
        <v>533</v>
      </c>
      <c r="B3139" s="1">
        <v>54</v>
      </c>
      <c r="C3139" s="258" t="s">
        <v>6977</v>
      </c>
      <c r="D3139" t="s">
        <v>1795</v>
      </c>
      <c r="E3139" t="s">
        <v>1211</v>
      </c>
      <c r="F3139" t="s">
        <v>1190</v>
      </c>
      <c r="H3139" s="1">
        <v>0.05</v>
      </c>
      <c r="I3139" t="s">
        <v>6976</v>
      </c>
      <c r="J3139" t="s">
        <v>6960</v>
      </c>
      <c r="K3139" s="170">
        <v>45688</v>
      </c>
      <c r="L3139" s="1">
        <v>9707.7437531823252</v>
      </c>
      <c r="M3139" s="1">
        <v>45722</v>
      </c>
    </row>
    <row r="3140" spans="1:14" ht="14.4" hidden="1">
      <c r="A3140" t="s">
        <v>533</v>
      </c>
      <c r="B3140" s="1">
        <v>72</v>
      </c>
      <c r="C3140" s="258" t="s">
        <v>6978</v>
      </c>
      <c r="D3140" t="s">
        <v>4493</v>
      </c>
      <c r="E3140" t="s">
        <v>1246</v>
      </c>
      <c r="F3140" t="s">
        <v>1169</v>
      </c>
      <c r="G3140">
        <v>103690</v>
      </c>
      <c r="H3140" s="1">
        <v>0.1</v>
      </c>
      <c r="I3140" t="s">
        <v>6979</v>
      </c>
      <c r="J3140" t="s">
        <v>6942</v>
      </c>
      <c r="K3140" s="170">
        <v>45565</v>
      </c>
      <c r="L3140" s="1">
        <v>14529.411768999998</v>
      </c>
      <c r="M3140" s="1">
        <v>45582</v>
      </c>
      <c r="N3140" s="1">
        <v>103690</v>
      </c>
    </row>
    <row r="3141" spans="1:14" ht="14.4" hidden="1">
      <c r="A3141" t="s">
        <v>533</v>
      </c>
      <c r="B3141" s="1">
        <v>73</v>
      </c>
      <c r="C3141" s="258" t="s">
        <v>6980</v>
      </c>
      <c r="D3141" t="s">
        <v>4493</v>
      </c>
      <c r="E3141" t="s">
        <v>1246</v>
      </c>
      <c r="F3141" t="s">
        <v>558</v>
      </c>
      <c r="H3141" s="1">
        <v>0.15</v>
      </c>
      <c r="I3141" t="s">
        <v>6981</v>
      </c>
      <c r="J3141" t="s">
        <v>6945</v>
      </c>
      <c r="K3141" s="170">
        <v>45596</v>
      </c>
      <c r="L3141" s="1">
        <v>21794.117653500001</v>
      </c>
      <c r="M3141" s="1">
        <v>45582</v>
      </c>
    </row>
    <row r="3142" spans="1:14" ht="14.4" hidden="1">
      <c r="A3142" t="s">
        <v>533</v>
      </c>
      <c r="B3142" s="1">
        <v>74</v>
      </c>
      <c r="C3142" s="258" t="s">
        <v>6982</v>
      </c>
      <c r="D3142" t="s">
        <v>4493</v>
      </c>
      <c r="E3142" t="s">
        <v>1246</v>
      </c>
      <c r="F3142" t="s">
        <v>1175</v>
      </c>
      <c r="H3142" s="1">
        <v>0.2</v>
      </c>
      <c r="I3142" t="s">
        <v>6983</v>
      </c>
      <c r="J3142" t="s">
        <v>6948</v>
      </c>
      <c r="K3142" s="170">
        <v>45626</v>
      </c>
      <c r="L3142" s="1">
        <v>29058.823537999997</v>
      </c>
      <c r="M3142" s="1">
        <v>45625</v>
      </c>
    </row>
    <row r="3143" spans="1:14" ht="14.4" hidden="1">
      <c r="A3143" t="s">
        <v>533</v>
      </c>
      <c r="B3143" s="1">
        <v>75</v>
      </c>
      <c r="C3143" s="258" t="s">
        <v>6984</v>
      </c>
      <c r="D3143" t="s">
        <v>4493</v>
      </c>
      <c r="E3143" t="s">
        <v>1246</v>
      </c>
      <c r="F3143" t="s">
        <v>1178</v>
      </c>
      <c r="H3143" s="1">
        <v>0.25</v>
      </c>
      <c r="I3143" t="s">
        <v>6985</v>
      </c>
      <c r="J3143" t="s">
        <v>6951</v>
      </c>
      <c r="K3143" s="170">
        <v>45626</v>
      </c>
      <c r="L3143" s="1">
        <v>36323.529422500003</v>
      </c>
      <c r="M3143" s="1">
        <v>45625</v>
      </c>
    </row>
    <row r="3144" spans="1:14" ht="14.4" hidden="1">
      <c r="A3144" t="s">
        <v>533</v>
      </c>
      <c r="B3144" s="1">
        <v>76</v>
      </c>
      <c r="C3144" s="258" t="s">
        <v>6986</v>
      </c>
      <c r="D3144" t="s">
        <v>4493</v>
      </c>
      <c r="E3144" t="s">
        <v>1246</v>
      </c>
      <c r="F3144" t="s">
        <v>1181</v>
      </c>
      <c r="H3144" s="1">
        <v>0.1</v>
      </c>
      <c r="I3144" t="s">
        <v>6979</v>
      </c>
      <c r="J3144" t="s">
        <v>6953</v>
      </c>
      <c r="K3144" s="170">
        <v>45626</v>
      </c>
      <c r="L3144" s="1">
        <v>14529.411768999998</v>
      </c>
      <c r="M3144" s="1">
        <v>45701</v>
      </c>
    </row>
    <row r="3145" spans="1:14" ht="14.4" hidden="1">
      <c r="A3145" t="s">
        <v>533</v>
      </c>
      <c r="B3145" s="1">
        <v>77</v>
      </c>
      <c r="C3145" s="258" t="s">
        <v>6987</v>
      </c>
      <c r="D3145" t="s">
        <v>4493</v>
      </c>
      <c r="E3145" t="s">
        <v>1246</v>
      </c>
      <c r="F3145" t="s">
        <v>1184</v>
      </c>
      <c r="H3145" s="1">
        <v>0.1</v>
      </c>
      <c r="I3145" t="s">
        <v>6979</v>
      </c>
      <c r="J3145" t="s">
        <v>6955</v>
      </c>
      <c r="K3145" s="170">
        <v>45626</v>
      </c>
      <c r="L3145" s="1">
        <v>14529.411768999998</v>
      </c>
      <c r="M3145" s="1">
        <v>45631</v>
      </c>
    </row>
    <row r="3146" spans="1:14" ht="14.4" hidden="1">
      <c r="A3146" t="s">
        <v>533</v>
      </c>
      <c r="B3146" s="1">
        <v>78</v>
      </c>
      <c r="C3146" s="258" t="s">
        <v>6988</v>
      </c>
      <c r="D3146" t="s">
        <v>4493</v>
      </c>
      <c r="E3146" t="s">
        <v>1246</v>
      </c>
      <c r="F3146" t="s">
        <v>1187</v>
      </c>
      <c r="H3146" s="1">
        <v>0.05</v>
      </c>
      <c r="I3146" t="s">
        <v>6989</v>
      </c>
      <c r="J3146" t="s">
        <v>6958</v>
      </c>
      <c r="K3146" s="170">
        <v>45626</v>
      </c>
      <c r="L3146" s="1">
        <v>7264.7058845000001</v>
      </c>
      <c r="M3146" s="1">
        <v>45701</v>
      </c>
    </row>
    <row r="3147" spans="1:14" ht="14.4" hidden="1">
      <c r="A3147" t="s">
        <v>533</v>
      </c>
      <c r="B3147" s="1">
        <v>79</v>
      </c>
      <c r="C3147" s="258" t="s">
        <v>6990</v>
      </c>
      <c r="D3147" t="s">
        <v>4493</v>
      </c>
      <c r="E3147" t="s">
        <v>1246</v>
      </c>
      <c r="F3147" t="s">
        <v>1190</v>
      </c>
      <c r="H3147" s="1">
        <v>0.05</v>
      </c>
      <c r="I3147" t="s">
        <v>6989</v>
      </c>
      <c r="J3147" t="s">
        <v>6960</v>
      </c>
      <c r="K3147" s="170">
        <v>45688</v>
      </c>
      <c r="L3147" s="1">
        <v>7264.7058845000001</v>
      </c>
      <c r="M3147" s="1">
        <v>45722</v>
      </c>
    </row>
    <row r="3148" spans="1:14" ht="14.4" hidden="1">
      <c r="A3148" t="s">
        <v>533</v>
      </c>
      <c r="B3148" s="1">
        <v>83</v>
      </c>
      <c r="C3148" s="258" t="s">
        <v>6991</v>
      </c>
      <c r="D3148" t="s">
        <v>1799</v>
      </c>
      <c r="E3148" t="s">
        <v>1255</v>
      </c>
      <c r="F3148" t="s">
        <v>1169</v>
      </c>
      <c r="G3148">
        <v>87820</v>
      </c>
      <c r="H3148" s="1">
        <v>0.1</v>
      </c>
      <c r="I3148" t="s">
        <v>6992</v>
      </c>
      <c r="J3148" t="s">
        <v>6942</v>
      </c>
      <c r="K3148" s="170">
        <v>45565</v>
      </c>
      <c r="L3148" s="1">
        <v>3007.4293108335673</v>
      </c>
      <c r="M3148" s="1">
        <v>45582</v>
      </c>
    </row>
    <row r="3149" spans="1:14" ht="14.4" hidden="1">
      <c r="A3149" t="s">
        <v>533</v>
      </c>
      <c r="B3149" s="1">
        <v>84</v>
      </c>
      <c r="C3149" s="258" t="s">
        <v>6993</v>
      </c>
      <c r="D3149" t="s">
        <v>1799</v>
      </c>
      <c r="E3149" t="s">
        <v>1255</v>
      </c>
      <c r="F3149" t="s">
        <v>558</v>
      </c>
      <c r="H3149" s="1">
        <v>0.15</v>
      </c>
      <c r="I3149" t="s">
        <v>6994</v>
      </c>
      <c r="J3149" t="s">
        <v>6945</v>
      </c>
      <c r="K3149" s="170">
        <v>45596</v>
      </c>
      <c r="L3149" s="1">
        <v>4511.1439662503508</v>
      </c>
      <c r="M3149" s="1">
        <v>45582</v>
      </c>
    </row>
    <row r="3150" spans="1:14" ht="14.4" hidden="1">
      <c r="A3150" t="s">
        <v>533</v>
      </c>
      <c r="B3150" s="1">
        <v>85</v>
      </c>
      <c r="C3150" s="258" t="s">
        <v>6995</v>
      </c>
      <c r="D3150" t="s">
        <v>1799</v>
      </c>
      <c r="E3150" t="s">
        <v>1255</v>
      </c>
      <c r="F3150" t="s">
        <v>1175</v>
      </c>
      <c r="H3150" s="1">
        <v>0.2</v>
      </c>
      <c r="I3150" t="s">
        <v>6970</v>
      </c>
      <c r="J3150" t="s">
        <v>6948</v>
      </c>
      <c r="K3150" s="170">
        <v>45626</v>
      </c>
      <c r="L3150" s="1">
        <v>8791.1500153639045</v>
      </c>
      <c r="M3150" s="1">
        <v>45625</v>
      </c>
    </row>
    <row r="3151" spans="1:14" ht="14.4" hidden="1">
      <c r="A3151" t="s">
        <v>533</v>
      </c>
      <c r="B3151" s="1">
        <v>86</v>
      </c>
      <c r="C3151" s="258" t="s">
        <v>6996</v>
      </c>
      <c r="D3151" t="s">
        <v>1799</v>
      </c>
      <c r="E3151" t="s">
        <v>1255</v>
      </c>
      <c r="F3151" t="s">
        <v>1178</v>
      </c>
      <c r="H3151" s="1">
        <v>0.25</v>
      </c>
      <c r="I3151" t="s">
        <v>6972</v>
      </c>
      <c r="J3151" t="s">
        <v>6951</v>
      </c>
      <c r="K3151" s="170">
        <v>45626</v>
      </c>
      <c r="L3151" s="1">
        <v>9481.8375192048807</v>
      </c>
      <c r="M3151" s="1">
        <v>45625</v>
      </c>
    </row>
    <row r="3152" spans="1:14" ht="14.4" hidden="1">
      <c r="A3152" t="s">
        <v>533</v>
      </c>
      <c r="B3152" s="1">
        <v>87</v>
      </c>
      <c r="C3152" s="258" t="s">
        <v>6997</v>
      </c>
      <c r="D3152" t="s">
        <v>1799</v>
      </c>
      <c r="E3152" t="s">
        <v>1255</v>
      </c>
      <c r="F3152" t="s">
        <v>1181</v>
      </c>
      <c r="H3152" s="1">
        <v>0.1</v>
      </c>
      <c r="I3152" t="s">
        <v>6966</v>
      </c>
      <c r="J3152" t="s">
        <v>6953</v>
      </c>
      <c r="K3152" s="170">
        <v>45626</v>
      </c>
      <c r="L3152" s="1">
        <v>3792.735007681953</v>
      </c>
      <c r="M3152" s="1">
        <v>45701</v>
      </c>
    </row>
    <row r="3153" spans="1:14" ht="14.4" hidden="1">
      <c r="A3153" t="s">
        <v>533</v>
      </c>
      <c r="B3153" s="1">
        <v>88</v>
      </c>
      <c r="C3153" s="258" t="s">
        <v>6998</v>
      </c>
      <c r="D3153" t="s">
        <v>1799</v>
      </c>
      <c r="E3153" t="s">
        <v>1255</v>
      </c>
      <c r="F3153" t="s">
        <v>1184</v>
      </c>
      <c r="H3153" s="1">
        <v>0.1</v>
      </c>
      <c r="I3153" t="s">
        <v>6966</v>
      </c>
      <c r="J3153" t="s">
        <v>6955</v>
      </c>
      <c r="K3153" s="170">
        <v>45626</v>
      </c>
      <c r="L3153" s="1">
        <v>3792.735007681953</v>
      </c>
      <c r="M3153" s="1">
        <v>45631</v>
      </c>
    </row>
    <row r="3154" spans="1:14" ht="14.4" hidden="1">
      <c r="A3154" t="s">
        <v>533</v>
      </c>
      <c r="B3154" s="1">
        <v>89</v>
      </c>
      <c r="C3154" s="258" t="s">
        <v>6999</v>
      </c>
      <c r="D3154" t="s">
        <v>1799</v>
      </c>
      <c r="E3154" t="s">
        <v>1255</v>
      </c>
      <c r="F3154" t="s">
        <v>1187</v>
      </c>
      <c r="H3154" s="1">
        <v>0.05</v>
      </c>
      <c r="I3154" t="s">
        <v>6976</v>
      </c>
      <c r="J3154" t="s">
        <v>6958</v>
      </c>
      <c r="K3154" s="170">
        <v>45626</v>
      </c>
      <c r="L3154" s="1">
        <v>1896.3675038409765</v>
      </c>
      <c r="M3154" s="1">
        <v>45701</v>
      </c>
    </row>
    <row r="3155" spans="1:14" ht="14.4" hidden="1">
      <c r="A3155" t="s">
        <v>533</v>
      </c>
      <c r="B3155" s="1">
        <v>90</v>
      </c>
      <c r="C3155" s="258" t="s">
        <v>7000</v>
      </c>
      <c r="D3155" t="s">
        <v>1799</v>
      </c>
      <c r="E3155" t="s">
        <v>1255</v>
      </c>
      <c r="F3155" t="s">
        <v>1190</v>
      </c>
      <c r="H3155" s="1">
        <v>0.05</v>
      </c>
      <c r="I3155" t="s">
        <v>7001</v>
      </c>
      <c r="J3155" t="s">
        <v>6960</v>
      </c>
      <c r="K3155" s="170">
        <v>45688</v>
      </c>
      <c r="L3155" s="1">
        <v>1896.36216860792</v>
      </c>
      <c r="M3155" s="1">
        <v>45722</v>
      </c>
    </row>
    <row r="3156" spans="1:14" ht="14.4" hidden="1">
      <c r="A3156" t="s">
        <v>533</v>
      </c>
      <c r="B3156" s="1">
        <v>112</v>
      </c>
      <c r="C3156" s="258" t="s">
        <v>7002</v>
      </c>
      <c r="D3156" t="s">
        <v>7003</v>
      </c>
      <c r="E3156" t="s">
        <v>1280</v>
      </c>
      <c r="F3156"/>
      <c r="H3156" s="1" t="s">
        <v>7004</v>
      </c>
      <c r="I3156" t="s">
        <v>7005</v>
      </c>
      <c r="J3156" t="s">
        <v>1604</v>
      </c>
      <c r="K3156" s="170">
        <v>45565</v>
      </c>
      <c r="L3156" s="1">
        <v>568.24839458014196</v>
      </c>
      <c r="M3156" s="1">
        <v>45569</v>
      </c>
    </row>
    <row r="3157" spans="1:14" ht="14.4" hidden="1">
      <c r="A3157" t="s">
        <v>534</v>
      </c>
      <c r="B3157" s="1">
        <v>4</v>
      </c>
      <c r="C3157" s="258" t="s">
        <v>7006</v>
      </c>
      <c r="D3157" t="s">
        <v>1780</v>
      </c>
      <c r="E3157" t="s">
        <v>1781</v>
      </c>
      <c r="F3157" t="s">
        <v>1782</v>
      </c>
      <c r="G3157" t="s">
        <v>1783</v>
      </c>
      <c r="H3157" s="1" t="s">
        <v>1784</v>
      </c>
      <c r="I3157" t="s">
        <v>1785</v>
      </c>
      <c r="J3157" t="s">
        <v>1786</v>
      </c>
      <c r="K3157" s="170" t="s">
        <v>1787</v>
      </c>
      <c r="L3157" s="1" t="s">
        <v>1788</v>
      </c>
      <c r="M3157" s="1" t="s">
        <v>1789</v>
      </c>
      <c r="N3157" s="1" t="s">
        <v>1790</v>
      </c>
    </row>
    <row r="3158" spans="1:14" ht="14.4" hidden="1">
      <c r="A3158" t="s">
        <v>534</v>
      </c>
      <c r="B3158" s="1">
        <v>6</v>
      </c>
      <c r="C3158" s="258" t="s">
        <v>7007</v>
      </c>
      <c r="D3158" t="s">
        <v>1791</v>
      </c>
      <c r="E3158" t="s">
        <v>1146</v>
      </c>
      <c r="F3158" t="s">
        <v>6763</v>
      </c>
      <c r="G3158">
        <v>450</v>
      </c>
      <c r="H3158" s="1">
        <v>1415.25</v>
      </c>
      <c r="I3158" t="s">
        <v>7008</v>
      </c>
      <c r="J3158" t="s">
        <v>6765</v>
      </c>
      <c r="K3158" s="170">
        <v>45504</v>
      </c>
      <c r="L3158" s="1">
        <v>396426.71511303162</v>
      </c>
      <c r="M3158" s="1">
        <v>45562</v>
      </c>
      <c r="N3158" s="1">
        <v>647765.5</v>
      </c>
    </row>
    <row r="3159" spans="1:14" ht="14.4" hidden="1">
      <c r="A3159" t="s">
        <v>534</v>
      </c>
      <c r="B3159" s="1">
        <v>13</v>
      </c>
      <c r="C3159" s="258" t="s">
        <v>7009</v>
      </c>
      <c r="D3159" t="s">
        <v>1792</v>
      </c>
      <c r="E3159" t="s">
        <v>1157</v>
      </c>
      <c r="F3159" t="s">
        <v>1369</v>
      </c>
      <c r="G3159">
        <v>2</v>
      </c>
      <c r="H3159" s="1">
        <v>68870</v>
      </c>
      <c r="I3159" t="s">
        <v>7010</v>
      </c>
      <c r="J3159" t="s">
        <v>6851</v>
      </c>
      <c r="K3159" s="170">
        <v>45565</v>
      </c>
      <c r="L3159" s="1">
        <v>190902.34004698609</v>
      </c>
      <c r="M3159" s="1">
        <v>45595</v>
      </c>
      <c r="N3159" s="1">
        <v>138845.23000000001</v>
      </c>
    </row>
    <row r="3160" spans="1:14" ht="14.4" hidden="1">
      <c r="A3160" t="s">
        <v>534</v>
      </c>
      <c r="B3160" s="1">
        <v>18</v>
      </c>
      <c r="C3160" s="258" t="s">
        <v>7011</v>
      </c>
      <c r="D3160" t="s">
        <v>4433</v>
      </c>
      <c r="E3160" t="s">
        <v>1160</v>
      </c>
      <c r="F3160" t="s">
        <v>7012</v>
      </c>
      <c r="G3160">
        <v>1</v>
      </c>
      <c r="H3160" s="1">
        <v>56499.4</v>
      </c>
      <c r="I3160" t="s">
        <v>7013</v>
      </c>
      <c r="J3160" t="s">
        <v>7014</v>
      </c>
      <c r="K3160" s="170">
        <v>45565</v>
      </c>
      <c r="L3160" s="1">
        <v>117065.68326135754</v>
      </c>
      <c r="M3160" s="1">
        <v>45558</v>
      </c>
      <c r="N3160" s="1">
        <v>169924.22</v>
      </c>
    </row>
    <row r="3161" spans="1:14" ht="14.4" hidden="1">
      <c r="A3161" t="s">
        <v>534</v>
      </c>
      <c r="B3161" s="1">
        <v>26</v>
      </c>
      <c r="C3161" s="258" t="s">
        <v>7015</v>
      </c>
      <c r="D3161" t="s">
        <v>1793</v>
      </c>
      <c r="E3161" t="s">
        <v>1165</v>
      </c>
      <c r="F3161" t="s">
        <v>3748</v>
      </c>
      <c r="G3161">
        <v>8000</v>
      </c>
      <c r="H3161" s="1">
        <v>13.5</v>
      </c>
      <c r="I3161" t="s">
        <v>7016</v>
      </c>
      <c r="J3161" t="s">
        <v>6861</v>
      </c>
      <c r="K3161" s="170">
        <v>45596</v>
      </c>
      <c r="L3161" s="1">
        <v>128887.93778823529</v>
      </c>
      <c r="M3161" s="1">
        <v>45596</v>
      </c>
      <c r="N3161" s="1">
        <v>242250</v>
      </c>
    </row>
    <row r="3162" spans="1:14" ht="14.4" hidden="1">
      <c r="A3162" t="s">
        <v>534</v>
      </c>
      <c r="B3162" s="1">
        <v>28</v>
      </c>
      <c r="C3162" s="258" t="s">
        <v>7017</v>
      </c>
      <c r="D3162" t="s">
        <v>1793</v>
      </c>
      <c r="E3162" t="s">
        <v>1165</v>
      </c>
      <c r="F3162" t="s">
        <v>1169</v>
      </c>
      <c r="G3162">
        <v>134250</v>
      </c>
      <c r="H3162" s="1">
        <v>0.1</v>
      </c>
      <c r="I3162" t="s">
        <v>7018</v>
      </c>
      <c r="J3162" t="s">
        <v>7019</v>
      </c>
      <c r="K3162" s="170">
        <v>45565</v>
      </c>
      <c r="L3162" s="1">
        <v>16021.486711176472</v>
      </c>
      <c r="M3162" s="1">
        <v>45560</v>
      </c>
    </row>
    <row r="3163" spans="1:14" ht="14.4" hidden="1">
      <c r="A3163" t="s">
        <v>534</v>
      </c>
      <c r="B3163" s="1">
        <v>29</v>
      </c>
      <c r="C3163" s="258" t="s">
        <v>7020</v>
      </c>
      <c r="D3163" t="s">
        <v>1793</v>
      </c>
      <c r="E3163" t="s">
        <v>1165</v>
      </c>
      <c r="F3163" t="s">
        <v>558</v>
      </c>
      <c r="H3163" s="1">
        <v>0.15</v>
      </c>
      <c r="I3163" t="s">
        <v>7021</v>
      </c>
      <c r="J3163" t="s">
        <v>7022</v>
      </c>
      <c r="K3163" s="170">
        <v>45565</v>
      </c>
      <c r="L3163" s="1">
        <v>24032.230066764703</v>
      </c>
      <c r="M3163" s="1">
        <v>45575</v>
      </c>
    </row>
    <row r="3164" spans="1:14" ht="14.4" hidden="1">
      <c r="A3164" t="s">
        <v>534</v>
      </c>
      <c r="B3164" s="1">
        <v>30</v>
      </c>
      <c r="C3164" s="258" t="s">
        <v>7023</v>
      </c>
      <c r="D3164" t="s">
        <v>1793</v>
      </c>
      <c r="E3164" t="s">
        <v>1165</v>
      </c>
      <c r="F3164" t="s">
        <v>1175</v>
      </c>
      <c r="H3164" s="1">
        <v>0.2</v>
      </c>
      <c r="I3164" t="s">
        <v>7024</v>
      </c>
      <c r="J3164" t="s">
        <v>7025</v>
      </c>
      <c r="K3164" s="170">
        <v>45596</v>
      </c>
      <c r="L3164" s="1">
        <v>32042.973422352941</v>
      </c>
      <c r="M3164" s="1">
        <v>45596</v>
      </c>
    </row>
    <row r="3165" spans="1:14" ht="14.4" hidden="1">
      <c r="A3165" t="s">
        <v>534</v>
      </c>
      <c r="B3165" s="1">
        <v>31</v>
      </c>
      <c r="C3165" s="258" t="s">
        <v>7026</v>
      </c>
      <c r="D3165" t="s">
        <v>1793</v>
      </c>
      <c r="E3165" t="s">
        <v>1165</v>
      </c>
      <c r="F3165" t="s">
        <v>1178</v>
      </c>
      <c r="H3165" s="1">
        <v>0.25</v>
      </c>
      <c r="I3165" t="s">
        <v>7027</v>
      </c>
      <c r="J3165" t="s">
        <v>7028</v>
      </c>
      <c r="K3165" s="170">
        <v>45596</v>
      </c>
      <c r="L3165" s="1">
        <v>40053.716777941168</v>
      </c>
      <c r="M3165" s="1">
        <v>45596</v>
      </c>
    </row>
    <row r="3166" spans="1:14" ht="14.4" hidden="1">
      <c r="A3166" t="s">
        <v>534</v>
      </c>
      <c r="B3166" s="1">
        <v>32</v>
      </c>
      <c r="C3166" s="258" t="s">
        <v>7029</v>
      </c>
      <c r="D3166" t="s">
        <v>1793</v>
      </c>
      <c r="E3166" t="s">
        <v>1165</v>
      </c>
      <c r="F3166" t="s">
        <v>1181</v>
      </c>
      <c r="H3166" s="1">
        <v>0.1</v>
      </c>
      <c r="I3166" t="s">
        <v>7018</v>
      </c>
      <c r="J3166" t="s">
        <v>7030</v>
      </c>
      <c r="K3166" s="170">
        <v>45596</v>
      </c>
      <c r="L3166" s="1">
        <v>16021.486711176472</v>
      </c>
      <c r="M3166" s="1">
        <v>45610</v>
      </c>
    </row>
    <row r="3167" spans="1:14" ht="14.4" hidden="1">
      <c r="A3167" t="s">
        <v>534</v>
      </c>
      <c r="B3167" s="1">
        <v>33</v>
      </c>
      <c r="C3167" s="258" t="s">
        <v>7031</v>
      </c>
      <c r="D3167" t="s">
        <v>1793</v>
      </c>
      <c r="E3167" t="s">
        <v>1165</v>
      </c>
      <c r="F3167" t="s">
        <v>1184</v>
      </c>
      <c r="H3167" s="1">
        <v>0.1</v>
      </c>
      <c r="I3167" t="s">
        <v>7018</v>
      </c>
      <c r="J3167" t="s">
        <v>7032</v>
      </c>
      <c r="K3167" s="170">
        <v>45596</v>
      </c>
      <c r="L3167" s="1">
        <v>16021.486711176472</v>
      </c>
      <c r="M3167" s="1">
        <v>45631</v>
      </c>
    </row>
    <row r="3168" spans="1:14" ht="14.4" hidden="1">
      <c r="A3168" t="s">
        <v>534</v>
      </c>
      <c r="B3168" s="1">
        <v>34</v>
      </c>
      <c r="C3168" s="258" t="s">
        <v>7033</v>
      </c>
      <c r="D3168" t="s">
        <v>1793</v>
      </c>
      <c r="E3168" t="s">
        <v>1165</v>
      </c>
      <c r="F3168" t="s">
        <v>1187</v>
      </c>
      <c r="H3168" s="1">
        <v>0.05</v>
      </c>
      <c r="I3168" t="s">
        <v>7034</v>
      </c>
      <c r="J3168" t="s">
        <v>7035</v>
      </c>
      <c r="K3168" s="170">
        <v>45688</v>
      </c>
      <c r="L3168" s="1">
        <v>8010.7433555882353</v>
      </c>
      <c r="M3168" s="1">
        <v>45701</v>
      </c>
    </row>
    <row r="3169" spans="1:14" ht="14.4" hidden="1">
      <c r="A3169" t="s">
        <v>534</v>
      </c>
      <c r="B3169" s="1">
        <v>35</v>
      </c>
      <c r="C3169" s="258" t="s">
        <v>7036</v>
      </c>
      <c r="D3169" t="s">
        <v>1793</v>
      </c>
      <c r="E3169" t="s">
        <v>1165</v>
      </c>
      <c r="F3169" t="s">
        <v>1190</v>
      </c>
      <c r="H3169" s="1">
        <v>0.05</v>
      </c>
      <c r="I3169" t="s">
        <v>7034</v>
      </c>
      <c r="J3169" t="s">
        <v>7037</v>
      </c>
      <c r="K3169" s="170">
        <v>45688</v>
      </c>
      <c r="L3169" s="1">
        <v>8010.7433555882353</v>
      </c>
      <c r="M3169" s="1">
        <v>45722</v>
      </c>
    </row>
    <row r="3170" spans="1:14" ht="14.4" hidden="1">
      <c r="A3170" t="s">
        <v>534</v>
      </c>
      <c r="B3170" s="1">
        <v>37</v>
      </c>
      <c r="C3170" s="258" t="s">
        <v>7038</v>
      </c>
      <c r="D3170" t="s">
        <v>6801</v>
      </c>
      <c r="E3170" t="s">
        <v>1193</v>
      </c>
      <c r="F3170" t="s">
        <v>1302</v>
      </c>
      <c r="G3170">
        <v>1</v>
      </c>
      <c r="H3170" s="1">
        <v>8000</v>
      </c>
      <c r="I3170" t="s">
        <v>6802</v>
      </c>
      <c r="J3170" t="s">
        <v>6803</v>
      </c>
      <c r="K3170" s="170">
        <v>45535</v>
      </c>
      <c r="L3170" s="1">
        <v>5922.2722911775818</v>
      </c>
      <c r="M3170" s="1">
        <v>45565</v>
      </c>
      <c r="N3170" s="1">
        <v>71452.009999999995</v>
      </c>
    </row>
    <row r="3171" spans="1:14" ht="14.4" hidden="1">
      <c r="A3171" t="s">
        <v>534</v>
      </c>
      <c r="B3171" s="1">
        <v>39</v>
      </c>
      <c r="C3171" s="258" t="s">
        <v>7039</v>
      </c>
      <c r="D3171" t="s">
        <v>6801</v>
      </c>
      <c r="E3171" t="s">
        <v>1193</v>
      </c>
      <c r="F3171" t="s">
        <v>1306</v>
      </c>
      <c r="G3171">
        <v>1</v>
      </c>
      <c r="H3171" s="1">
        <v>11169</v>
      </c>
      <c r="I3171" t="s">
        <v>6805</v>
      </c>
      <c r="J3171" t="s">
        <v>6806</v>
      </c>
      <c r="K3171" s="170">
        <v>45626</v>
      </c>
      <c r="L3171" s="1">
        <v>11797.236875105962</v>
      </c>
      <c r="M3171" s="1">
        <v>45626</v>
      </c>
    </row>
    <row r="3172" spans="1:14" ht="14.4" hidden="1">
      <c r="A3172" t="s">
        <v>534</v>
      </c>
      <c r="B3172" s="1">
        <v>45</v>
      </c>
      <c r="C3172" s="258" t="s">
        <v>7040</v>
      </c>
      <c r="D3172" t="s">
        <v>1791</v>
      </c>
      <c r="E3172" t="s">
        <v>1211</v>
      </c>
      <c r="F3172" t="s">
        <v>6964</v>
      </c>
      <c r="G3172">
        <v>0.4</v>
      </c>
      <c r="H3172" s="1">
        <v>65700</v>
      </c>
      <c r="I3172" t="s">
        <v>7041</v>
      </c>
      <c r="J3172" t="s">
        <v>6888</v>
      </c>
      <c r="K3172" s="170">
        <v>45565</v>
      </c>
      <c r="L3172" s="1">
        <v>45928.237537144909</v>
      </c>
      <c r="M3172" s="1">
        <v>45562</v>
      </c>
    </row>
    <row r="3173" spans="1:14" ht="14.4" hidden="1">
      <c r="A3173" t="s">
        <v>534</v>
      </c>
      <c r="B3173" s="1">
        <v>50</v>
      </c>
      <c r="C3173" s="258" t="s">
        <v>7042</v>
      </c>
      <c r="D3173" t="s">
        <v>1795</v>
      </c>
      <c r="E3173" t="s">
        <v>1211</v>
      </c>
      <c r="F3173" t="s">
        <v>1169</v>
      </c>
      <c r="G3173">
        <v>146732</v>
      </c>
      <c r="H3173" s="1">
        <v>0.1</v>
      </c>
      <c r="I3173" t="s">
        <v>7043</v>
      </c>
      <c r="J3173" t="s">
        <v>7019</v>
      </c>
      <c r="K3173" s="170">
        <v>45565</v>
      </c>
      <c r="L3173" s="1">
        <v>25643.61548820528</v>
      </c>
      <c r="M3173" s="1">
        <v>45560</v>
      </c>
    </row>
    <row r="3174" spans="1:14" ht="14.4" hidden="1">
      <c r="A3174" t="s">
        <v>534</v>
      </c>
      <c r="B3174" s="1">
        <v>51</v>
      </c>
      <c r="C3174" s="258" t="s">
        <v>7044</v>
      </c>
      <c r="D3174" t="s">
        <v>1795</v>
      </c>
      <c r="E3174" t="s">
        <v>1211</v>
      </c>
      <c r="F3174" t="s">
        <v>558</v>
      </c>
      <c r="H3174" s="1">
        <v>0.15</v>
      </c>
      <c r="I3174" t="s">
        <v>7045</v>
      </c>
      <c r="J3174" t="s">
        <v>7022</v>
      </c>
      <c r="K3174" s="170">
        <v>45565</v>
      </c>
      <c r="L3174" s="1">
        <v>38464.54940739282</v>
      </c>
      <c r="M3174" s="1">
        <v>45575</v>
      </c>
    </row>
    <row r="3175" spans="1:14" ht="14.4" hidden="1">
      <c r="A3175" t="s">
        <v>534</v>
      </c>
      <c r="B3175" s="1">
        <v>52</v>
      </c>
      <c r="C3175" s="258" t="s">
        <v>7046</v>
      </c>
      <c r="D3175" t="s">
        <v>1795</v>
      </c>
      <c r="E3175" t="s">
        <v>1211</v>
      </c>
      <c r="F3175" t="s">
        <v>1175</v>
      </c>
      <c r="H3175" s="1">
        <v>0.2</v>
      </c>
      <c r="I3175" t="s">
        <v>7047</v>
      </c>
      <c r="J3175" t="s">
        <v>7025</v>
      </c>
      <c r="K3175" s="170">
        <v>45596</v>
      </c>
      <c r="L3175" s="1">
        <v>51287.230976410559</v>
      </c>
      <c r="M3175" s="1">
        <v>45596</v>
      </c>
    </row>
    <row r="3176" spans="1:14" ht="14.4" hidden="1">
      <c r="A3176" t="s">
        <v>534</v>
      </c>
      <c r="B3176" s="1">
        <v>53</v>
      </c>
      <c r="C3176" s="258" t="s">
        <v>7048</v>
      </c>
      <c r="D3176" t="s">
        <v>1795</v>
      </c>
      <c r="E3176" t="s">
        <v>1211</v>
      </c>
      <c r="F3176" t="s">
        <v>1178</v>
      </c>
      <c r="H3176" s="1">
        <v>0.25</v>
      </c>
      <c r="I3176" t="s">
        <v>7049</v>
      </c>
      <c r="J3176" t="s">
        <v>7028</v>
      </c>
      <c r="K3176" s="170">
        <v>45596</v>
      </c>
      <c r="L3176" s="1">
        <v>64109.038720513192</v>
      </c>
      <c r="M3176" s="1">
        <v>45596</v>
      </c>
    </row>
    <row r="3177" spans="1:14" ht="14.4" hidden="1">
      <c r="A3177" t="s">
        <v>534</v>
      </c>
      <c r="B3177" s="1">
        <v>54</v>
      </c>
      <c r="C3177" s="258" t="s">
        <v>7050</v>
      </c>
      <c r="D3177" t="s">
        <v>1795</v>
      </c>
      <c r="E3177" t="s">
        <v>1211</v>
      </c>
      <c r="F3177" t="s">
        <v>1181</v>
      </c>
      <c r="H3177" s="1">
        <v>0.1</v>
      </c>
      <c r="I3177" t="s">
        <v>7043</v>
      </c>
      <c r="J3177" t="s">
        <v>7030</v>
      </c>
      <c r="K3177" s="170">
        <v>45596</v>
      </c>
      <c r="L3177" s="1">
        <v>25643.61548820528</v>
      </c>
      <c r="M3177" s="1">
        <v>45610</v>
      </c>
    </row>
    <row r="3178" spans="1:14" ht="14.4" hidden="1">
      <c r="A3178" t="s">
        <v>534</v>
      </c>
      <c r="B3178" s="1">
        <v>55</v>
      </c>
      <c r="C3178" s="258" t="s">
        <v>7051</v>
      </c>
      <c r="D3178" t="s">
        <v>1795</v>
      </c>
      <c r="E3178" t="s">
        <v>1211</v>
      </c>
      <c r="F3178" t="s">
        <v>1184</v>
      </c>
      <c r="H3178" s="1">
        <v>0.1</v>
      </c>
      <c r="I3178" t="s">
        <v>7043</v>
      </c>
      <c r="J3178" t="s">
        <v>7032</v>
      </c>
      <c r="K3178" s="170">
        <v>45596</v>
      </c>
      <c r="L3178" s="1">
        <v>25643.61548820528</v>
      </c>
      <c r="M3178" s="1">
        <v>45631</v>
      </c>
    </row>
    <row r="3179" spans="1:14" ht="14.4" hidden="1">
      <c r="A3179" t="s">
        <v>534</v>
      </c>
      <c r="B3179" s="1">
        <v>56</v>
      </c>
      <c r="C3179" s="258" t="s">
        <v>7052</v>
      </c>
      <c r="D3179" t="s">
        <v>1795</v>
      </c>
      <c r="E3179" t="s">
        <v>1211</v>
      </c>
      <c r="F3179" t="s">
        <v>1187</v>
      </c>
      <c r="H3179" s="1">
        <v>0.05</v>
      </c>
      <c r="I3179" t="s">
        <v>7053</v>
      </c>
      <c r="J3179" t="s">
        <v>7035</v>
      </c>
      <c r="K3179" s="170">
        <v>45688</v>
      </c>
      <c r="L3179" s="1">
        <v>12821.80774410264</v>
      </c>
      <c r="M3179" s="1">
        <v>45701</v>
      </c>
    </row>
    <row r="3180" spans="1:14" ht="14.4" hidden="1">
      <c r="A3180" t="s">
        <v>534</v>
      </c>
      <c r="B3180" s="1">
        <v>57</v>
      </c>
      <c r="C3180" s="258" t="s">
        <v>7054</v>
      </c>
      <c r="D3180" t="s">
        <v>1795</v>
      </c>
      <c r="E3180" t="s">
        <v>1211</v>
      </c>
      <c r="F3180" t="s">
        <v>1190</v>
      </c>
      <c r="H3180" s="1">
        <v>0.05</v>
      </c>
      <c r="I3180" t="s">
        <v>7053</v>
      </c>
      <c r="J3180" t="s">
        <v>7037</v>
      </c>
      <c r="K3180" s="170">
        <v>45688</v>
      </c>
      <c r="L3180" s="1">
        <v>12821.80774410264</v>
      </c>
      <c r="M3180" s="1">
        <v>45722</v>
      </c>
    </row>
    <row r="3181" spans="1:14" ht="14.4" hidden="1">
      <c r="A3181" t="s">
        <v>534</v>
      </c>
      <c r="B3181" s="1">
        <v>77</v>
      </c>
      <c r="C3181" s="258" t="s">
        <v>7055</v>
      </c>
      <c r="D3181" t="s">
        <v>4493</v>
      </c>
      <c r="E3181" t="s">
        <v>1246</v>
      </c>
      <c r="F3181" t="s">
        <v>1169</v>
      </c>
      <c r="G3181">
        <v>175013.8</v>
      </c>
      <c r="H3181" s="1">
        <v>0.1</v>
      </c>
      <c r="I3181" t="s">
        <v>7056</v>
      </c>
      <c r="J3181" t="s">
        <v>7019</v>
      </c>
      <c r="K3181" s="170">
        <v>45565</v>
      </c>
      <c r="L3181" s="1">
        <v>24476.470585999999</v>
      </c>
      <c r="M3181" s="1">
        <v>45560</v>
      </c>
      <c r="N3181" s="1">
        <v>175013.8</v>
      </c>
    </row>
    <row r="3182" spans="1:14" ht="14.4" hidden="1">
      <c r="A3182" t="s">
        <v>534</v>
      </c>
      <c r="B3182" s="1">
        <v>78</v>
      </c>
      <c r="C3182" s="258" t="s">
        <v>7057</v>
      </c>
      <c r="D3182" t="s">
        <v>4493</v>
      </c>
      <c r="E3182" t="s">
        <v>1246</v>
      </c>
      <c r="F3182" t="s">
        <v>558</v>
      </c>
      <c r="H3182" s="1">
        <v>0.15</v>
      </c>
      <c r="I3182" t="s">
        <v>7058</v>
      </c>
      <c r="J3182" t="s">
        <v>7022</v>
      </c>
      <c r="K3182" s="170">
        <v>45565</v>
      </c>
      <c r="L3182" s="1">
        <v>36714.705878999994</v>
      </c>
      <c r="M3182" s="1">
        <v>45575</v>
      </c>
    </row>
    <row r="3183" spans="1:14" ht="14.4" hidden="1">
      <c r="A3183" t="s">
        <v>534</v>
      </c>
      <c r="B3183" s="1">
        <v>79</v>
      </c>
      <c r="C3183" s="258" t="s">
        <v>7059</v>
      </c>
      <c r="D3183" t="s">
        <v>4493</v>
      </c>
      <c r="E3183" t="s">
        <v>1246</v>
      </c>
      <c r="F3183" t="s">
        <v>1175</v>
      </c>
      <c r="H3183" s="1">
        <v>0.2</v>
      </c>
      <c r="I3183" t="s">
        <v>7060</v>
      </c>
      <c r="J3183" t="s">
        <v>7025</v>
      </c>
      <c r="K3183" s="170">
        <v>45596</v>
      </c>
      <c r="L3183" s="1">
        <v>48952.941171999999</v>
      </c>
      <c r="M3183" s="1">
        <v>45596</v>
      </c>
    </row>
    <row r="3184" spans="1:14" ht="14.4" hidden="1">
      <c r="A3184" t="s">
        <v>534</v>
      </c>
      <c r="B3184" s="1">
        <v>80</v>
      </c>
      <c r="C3184" s="258" t="s">
        <v>7061</v>
      </c>
      <c r="D3184" t="s">
        <v>4493</v>
      </c>
      <c r="E3184" t="s">
        <v>1246</v>
      </c>
      <c r="F3184" t="s">
        <v>1178</v>
      </c>
      <c r="H3184" s="1">
        <v>0.25</v>
      </c>
      <c r="I3184" t="s">
        <v>7062</v>
      </c>
      <c r="J3184" t="s">
        <v>7028</v>
      </c>
      <c r="K3184" s="170">
        <v>45596</v>
      </c>
      <c r="L3184" s="1">
        <v>61191.176464999997</v>
      </c>
      <c r="M3184" s="1">
        <v>45596</v>
      </c>
    </row>
    <row r="3185" spans="1:14" ht="14.4" hidden="1">
      <c r="A3185" t="s">
        <v>534</v>
      </c>
      <c r="B3185" s="1">
        <v>81</v>
      </c>
      <c r="C3185" s="258" t="s">
        <v>7063</v>
      </c>
      <c r="D3185" t="s">
        <v>4493</v>
      </c>
      <c r="E3185" t="s">
        <v>1246</v>
      </c>
      <c r="F3185" t="s">
        <v>1181</v>
      </c>
      <c r="H3185" s="1">
        <v>0.1</v>
      </c>
      <c r="I3185" t="s">
        <v>7056</v>
      </c>
      <c r="J3185" t="s">
        <v>7030</v>
      </c>
      <c r="K3185" s="170">
        <v>45596</v>
      </c>
      <c r="L3185" s="1">
        <v>24476.470585999999</v>
      </c>
      <c r="M3185" s="1">
        <v>45610</v>
      </c>
    </row>
    <row r="3186" spans="1:14" ht="14.4" hidden="1">
      <c r="A3186" t="s">
        <v>534</v>
      </c>
      <c r="B3186" s="1">
        <v>82</v>
      </c>
      <c r="C3186" s="258" t="s">
        <v>7064</v>
      </c>
      <c r="D3186" t="s">
        <v>4493</v>
      </c>
      <c r="E3186" t="s">
        <v>1246</v>
      </c>
      <c r="F3186" t="s">
        <v>1184</v>
      </c>
      <c r="H3186" s="1">
        <v>0.1</v>
      </c>
      <c r="I3186" t="s">
        <v>7056</v>
      </c>
      <c r="J3186" t="s">
        <v>7032</v>
      </c>
      <c r="K3186" s="170">
        <v>45596</v>
      </c>
      <c r="L3186" s="1">
        <v>24476.470585999999</v>
      </c>
      <c r="M3186" s="1">
        <v>45631</v>
      </c>
    </row>
    <row r="3187" spans="1:14" ht="14.4" hidden="1">
      <c r="A3187" t="s">
        <v>534</v>
      </c>
      <c r="B3187" s="1">
        <v>83</v>
      </c>
      <c r="C3187" s="258" t="s">
        <v>7065</v>
      </c>
      <c r="D3187" t="s">
        <v>4493</v>
      </c>
      <c r="E3187" t="s">
        <v>1246</v>
      </c>
      <c r="F3187" t="s">
        <v>1187</v>
      </c>
      <c r="H3187" s="1">
        <v>0.05</v>
      </c>
      <c r="I3187" t="s">
        <v>7066</v>
      </c>
      <c r="J3187" t="s">
        <v>7035</v>
      </c>
      <c r="K3187" s="170">
        <v>45688</v>
      </c>
      <c r="L3187" s="1">
        <v>12238.235293</v>
      </c>
      <c r="M3187" s="1">
        <v>45701</v>
      </c>
    </row>
    <row r="3188" spans="1:14" ht="14.4" hidden="1">
      <c r="A3188" t="s">
        <v>534</v>
      </c>
      <c r="B3188" s="1">
        <v>84</v>
      </c>
      <c r="C3188" s="258" t="s">
        <v>7067</v>
      </c>
      <c r="D3188" t="s">
        <v>4493</v>
      </c>
      <c r="E3188" t="s">
        <v>1246</v>
      </c>
      <c r="F3188" t="s">
        <v>1190</v>
      </c>
      <c r="H3188" s="1">
        <v>0.05</v>
      </c>
      <c r="I3188" t="s">
        <v>7066</v>
      </c>
      <c r="J3188" t="s">
        <v>7037</v>
      </c>
      <c r="K3188" s="170">
        <v>45688</v>
      </c>
      <c r="L3188" s="1">
        <v>12238.235293</v>
      </c>
      <c r="M3188" s="1">
        <v>45722</v>
      </c>
    </row>
    <row r="3189" spans="1:14" ht="14.4" hidden="1">
      <c r="A3189" t="s">
        <v>534</v>
      </c>
      <c r="B3189" s="1">
        <v>88</v>
      </c>
      <c r="C3189" s="258" t="s">
        <v>7068</v>
      </c>
      <c r="D3189" t="s">
        <v>1799</v>
      </c>
      <c r="E3189" t="s">
        <v>1255</v>
      </c>
      <c r="F3189" t="s">
        <v>1169</v>
      </c>
      <c r="G3189">
        <v>107767</v>
      </c>
      <c r="H3189" s="1">
        <v>0.1</v>
      </c>
      <c r="I3189" t="s">
        <v>7069</v>
      </c>
      <c r="J3189" t="s">
        <v>7019</v>
      </c>
      <c r="K3189" s="170">
        <v>45565</v>
      </c>
      <c r="L3189" s="1">
        <v>3961.1558593554782</v>
      </c>
      <c r="M3189" s="1">
        <v>45560</v>
      </c>
    </row>
    <row r="3190" spans="1:14" ht="14.4" hidden="1">
      <c r="A3190" t="s">
        <v>534</v>
      </c>
      <c r="B3190" s="1">
        <v>89</v>
      </c>
      <c r="C3190" s="258" t="s">
        <v>7070</v>
      </c>
      <c r="D3190" t="s">
        <v>1799</v>
      </c>
      <c r="E3190" t="s">
        <v>1255</v>
      </c>
      <c r="F3190" t="s">
        <v>558</v>
      </c>
      <c r="H3190" s="1">
        <v>0.15</v>
      </c>
      <c r="I3190" t="s">
        <v>7071</v>
      </c>
      <c r="J3190" t="s">
        <v>7022</v>
      </c>
      <c r="K3190" s="170">
        <v>45565</v>
      </c>
      <c r="L3190" s="1">
        <v>5941.7337890332165</v>
      </c>
      <c r="M3190" s="1">
        <v>45575</v>
      </c>
    </row>
    <row r="3191" spans="1:14" ht="14.4" hidden="1">
      <c r="A3191" t="s">
        <v>534</v>
      </c>
      <c r="B3191" s="1">
        <v>90</v>
      </c>
      <c r="C3191" s="258" t="s">
        <v>7072</v>
      </c>
      <c r="D3191" t="s">
        <v>1799</v>
      </c>
      <c r="E3191" t="s">
        <v>1255</v>
      </c>
      <c r="F3191" t="s">
        <v>1175</v>
      </c>
      <c r="H3191" s="1">
        <v>0.2</v>
      </c>
      <c r="I3191" t="s">
        <v>7073</v>
      </c>
      <c r="J3191" t="s">
        <v>7025</v>
      </c>
      <c r="K3191" s="170">
        <v>45596</v>
      </c>
      <c r="L3191" s="1">
        <v>10403.391764</v>
      </c>
      <c r="M3191" s="1">
        <v>45596</v>
      </c>
    </row>
    <row r="3192" spans="1:14" ht="14.4" hidden="1">
      <c r="A3192" t="s">
        <v>534</v>
      </c>
      <c r="B3192" s="1">
        <v>91</v>
      </c>
      <c r="C3192" s="258" t="s">
        <v>7074</v>
      </c>
      <c r="D3192" t="s">
        <v>1799</v>
      </c>
      <c r="E3192" t="s">
        <v>1255</v>
      </c>
      <c r="F3192" t="s">
        <v>1178</v>
      </c>
      <c r="H3192" s="1">
        <v>0.25</v>
      </c>
      <c r="I3192" t="s">
        <v>7075</v>
      </c>
      <c r="J3192" t="s">
        <v>7028</v>
      </c>
      <c r="K3192" s="170">
        <v>45596</v>
      </c>
      <c r="L3192" s="1">
        <v>11281.264705</v>
      </c>
      <c r="M3192" s="1">
        <v>45596</v>
      </c>
    </row>
    <row r="3193" spans="1:14" ht="14.4" hidden="1">
      <c r="A3193" t="s">
        <v>534</v>
      </c>
      <c r="B3193" s="1">
        <v>92</v>
      </c>
      <c r="C3193" s="258" t="s">
        <v>7076</v>
      </c>
      <c r="D3193" t="s">
        <v>1799</v>
      </c>
      <c r="E3193" t="s">
        <v>1255</v>
      </c>
      <c r="F3193" t="s">
        <v>1181</v>
      </c>
      <c r="H3193" s="1">
        <v>0.1</v>
      </c>
      <c r="I3193" t="s">
        <v>7069</v>
      </c>
      <c r="J3193" t="s">
        <v>7030</v>
      </c>
      <c r="K3193" s="170">
        <v>45596</v>
      </c>
      <c r="L3193" s="1">
        <v>4512.5058820000004</v>
      </c>
      <c r="M3193" s="1">
        <v>45610</v>
      </c>
    </row>
    <row r="3194" spans="1:14" ht="14.4" hidden="1">
      <c r="A3194" t="s">
        <v>534</v>
      </c>
      <c r="B3194" s="1">
        <v>93</v>
      </c>
      <c r="C3194" s="258" t="s">
        <v>7077</v>
      </c>
      <c r="D3194" t="s">
        <v>1799</v>
      </c>
      <c r="E3194" t="s">
        <v>1255</v>
      </c>
      <c r="F3194" t="s">
        <v>1184</v>
      </c>
      <c r="H3194" s="1">
        <v>0.1</v>
      </c>
      <c r="I3194" t="s">
        <v>7069</v>
      </c>
      <c r="J3194" t="s">
        <v>7032</v>
      </c>
      <c r="K3194" s="170">
        <v>45596</v>
      </c>
      <c r="L3194" s="1">
        <v>4512.5058820000004</v>
      </c>
      <c r="M3194" s="1">
        <v>45631</v>
      </c>
    </row>
    <row r="3195" spans="1:14" ht="14.4" hidden="1">
      <c r="A3195" t="s">
        <v>534</v>
      </c>
      <c r="B3195" s="1">
        <v>94</v>
      </c>
      <c r="C3195" s="258" t="s">
        <v>7078</v>
      </c>
      <c r="D3195" t="s">
        <v>1799</v>
      </c>
      <c r="E3195" t="s">
        <v>1255</v>
      </c>
      <c r="F3195" t="s">
        <v>1187</v>
      </c>
      <c r="H3195" s="1">
        <v>0.05</v>
      </c>
      <c r="I3195" t="s">
        <v>7079</v>
      </c>
      <c r="J3195" t="s">
        <v>7035</v>
      </c>
      <c r="K3195" s="170">
        <v>45688</v>
      </c>
      <c r="L3195" s="1">
        <v>2256.2529410000002</v>
      </c>
      <c r="M3195" s="1">
        <v>45701</v>
      </c>
    </row>
    <row r="3196" spans="1:14" ht="14.4" hidden="1">
      <c r="A3196" t="s">
        <v>534</v>
      </c>
      <c r="B3196" s="1">
        <v>95</v>
      </c>
      <c r="C3196" s="258" t="s">
        <v>7080</v>
      </c>
      <c r="D3196" t="s">
        <v>1799</v>
      </c>
      <c r="E3196" t="s">
        <v>1255</v>
      </c>
      <c r="F3196" t="s">
        <v>1190</v>
      </c>
      <c r="H3196" s="1">
        <v>0.05</v>
      </c>
      <c r="I3196" t="s">
        <v>7079</v>
      </c>
      <c r="J3196" t="s">
        <v>7037</v>
      </c>
      <c r="K3196" s="170">
        <v>45688</v>
      </c>
      <c r="L3196" s="1">
        <v>2256.2529410000002</v>
      </c>
      <c r="M3196" s="1">
        <v>45722</v>
      </c>
    </row>
    <row r="3197" spans="1:14" ht="14.4" hidden="1">
      <c r="A3197" t="s">
        <v>226</v>
      </c>
      <c r="B3197" s="1">
        <v>6</v>
      </c>
      <c r="C3197" s="258" t="s">
        <v>7081</v>
      </c>
      <c r="D3197" t="s">
        <v>1146</v>
      </c>
      <c r="E3197" t="s">
        <v>7082</v>
      </c>
      <c r="F3197">
        <v>1298</v>
      </c>
      <c r="G3197">
        <v>1150.5</v>
      </c>
      <c r="H3197" s="1">
        <v>1493349</v>
      </c>
      <c r="I3197"/>
      <c r="J3197" t="s">
        <v>7083</v>
      </c>
      <c r="K3197" s="170">
        <v>45961</v>
      </c>
      <c r="L3197" s="1">
        <v>1729623.9294687072</v>
      </c>
      <c r="M3197" s="1">
        <v>46003</v>
      </c>
      <c r="N3197" s="1">
        <v>2667866.7999999998</v>
      </c>
    </row>
    <row r="3198" spans="1:14" ht="14.4" hidden="1">
      <c r="A3198" t="s">
        <v>226</v>
      </c>
      <c r="B3198" s="1">
        <v>7</v>
      </c>
      <c r="C3198" s="258" t="s">
        <v>7084</v>
      </c>
      <c r="D3198" t="s">
        <v>1146</v>
      </c>
      <c r="E3198" t="s">
        <v>7085</v>
      </c>
      <c r="F3198">
        <v>1008</v>
      </c>
      <c r="G3198">
        <v>1150.5</v>
      </c>
      <c r="H3198" s="1">
        <v>1159704</v>
      </c>
      <c r="I3198"/>
      <c r="J3198" t="s">
        <v>7086</v>
      </c>
      <c r="K3198" s="170">
        <v>45961</v>
      </c>
      <c r="L3198" s="1">
        <v>1343190.2318216152</v>
      </c>
      <c r="M3198" s="1">
        <v>46009</v>
      </c>
    </row>
    <row r="3199" spans="1:14" ht="14.4" hidden="1">
      <c r="A3199" t="s">
        <v>226</v>
      </c>
      <c r="B3199" s="1">
        <v>9</v>
      </c>
      <c r="C3199" s="258" t="s">
        <v>7087</v>
      </c>
      <c r="D3199" t="s">
        <v>1146</v>
      </c>
      <c r="E3199" t="s">
        <v>7088</v>
      </c>
      <c r="F3199">
        <v>2</v>
      </c>
      <c r="H3199" s="1">
        <v>4136.3999999999996</v>
      </c>
      <c r="I3199" t="s">
        <v>7089</v>
      </c>
      <c r="J3199" t="s">
        <v>7090</v>
      </c>
      <c r="K3199" s="170">
        <v>46053</v>
      </c>
      <c r="L3199" s="1">
        <v>0</v>
      </c>
      <c r="M3199" s="1">
        <v>46113</v>
      </c>
    </row>
    <row r="3200" spans="1:14" ht="14.4" hidden="1">
      <c r="A3200" t="s">
        <v>226</v>
      </c>
      <c r="B3200" s="1">
        <v>10</v>
      </c>
      <c r="C3200" s="258" t="s">
        <v>7091</v>
      </c>
      <c r="D3200" t="s">
        <v>1146</v>
      </c>
      <c r="E3200" t="s">
        <v>7092</v>
      </c>
      <c r="F3200">
        <v>7</v>
      </c>
      <c r="H3200" s="1">
        <v>10677.4</v>
      </c>
      <c r="I3200"/>
      <c r="J3200" t="s">
        <v>7093</v>
      </c>
      <c r="K3200" s="170">
        <v>46053</v>
      </c>
      <c r="L3200" s="1">
        <v>0</v>
      </c>
      <c r="M3200" s="1">
        <v>46097</v>
      </c>
    </row>
    <row r="3201" spans="1:14" ht="14.4" hidden="1">
      <c r="A3201" t="s">
        <v>226</v>
      </c>
      <c r="B3201" s="1">
        <v>13</v>
      </c>
      <c r="C3201" s="258" t="s">
        <v>7094</v>
      </c>
      <c r="D3201" t="s">
        <v>1157</v>
      </c>
      <c r="E3201" t="s">
        <v>1369</v>
      </c>
      <c r="F3201">
        <v>11</v>
      </c>
      <c r="G3201">
        <v>68870.357999999993</v>
      </c>
      <c r="H3201" s="1">
        <v>757573.93799999997</v>
      </c>
      <c r="I3201"/>
      <c r="J3201" t="s">
        <v>7083</v>
      </c>
      <c r="K3201" s="170">
        <v>45961</v>
      </c>
      <c r="L3201" s="1">
        <v>827956.98924731184</v>
      </c>
      <c r="M3201" s="1">
        <v>46003</v>
      </c>
      <c r="N3201" s="1">
        <v>757573.93799999997</v>
      </c>
    </row>
    <row r="3202" spans="1:14" ht="14.4" hidden="1">
      <c r="A3202" t="s">
        <v>226</v>
      </c>
      <c r="B3202" s="1">
        <v>21</v>
      </c>
      <c r="C3202" s="258" t="s">
        <v>7095</v>
      </c>
      <c r="D3202" t="s">
        <v>1160</v>
      </c>
      <c r="E3202" t="s">
        <v>7096</v>
      </c>
      <c r="F3202"/>
      <c r="H3202" s="1">
        <v>40621.449999999997</v>
      </c>
      <c r="I3202" t="s">
        <v>7097</v>
      </c>
      <c r="J3202" t="s">
        <v>7098</v>
      </c>
      <c r="K3202" s="170">
        <v>45961</v>
      </c>
      <c r="L3202" s="1">
        <v>142264.21881568199</v>
      </c>
      <c r="M3202" s="1">
        <v>46003</v>
      </c>
      <c r="N3202" s="1">
        <v>365443.08</v>
      </c>
    </row>
    <row r="3203" spans="1:14" ht="14.4" hidden="1">
      <c r="A3203" t="s">
        <v>226</v>
      </c>
      <c r="B3203" s="1">
        <v>22</v>
      </c>
      <c r="C3203" s="258" t="s">
        <v>7099</v>
      </c>
      <c r="D3203" t="s">
        <v>1160</v>
      </c>
      <c r="F3203"/>
      <c r="H3203" s="1">
        <v>45778.95</v>
      </c>
      <c r="I3203"/>
      <c r="J3203" t="s">
        <v>7100</v>
      </c>
      <c r="K3203" s="170">
        <v>45961</v>
      </c>
      <c r="L3203" s="1">
        <v>160326.78695497487</v>
      </c>
      <c r="M3203" s="1">
        <v>46009</v>
      </c>
    </row>
    <row r="3204" spans="1:14" ht="14.4" hidden="1">
      <c r="A3204" t="s">
        <v>226</v>
      </c>
      <c r="B3204" s="1">
        <v>23</v>
      </c>
      <c r="C3204" s="258" t="s">
        <v>7101</v>
      </c>
      <c r="D3204" t="s">
        <v>1160</v>
      </c>
      <c r="F3204"/>
      <c r="H3204" s="1">
        <v>50931.199999999997</v>
      </c>
      <c r="I3204"/>
      <c r="J3204" t="s">
        <v>7102</v>
      </c>
      <c r="K3204" s="170">
        <v>45961</v>
      </c>
      <c r="L3204" s="1">
        <v>178370.96857313716</v>
      </c>
      <c r="M3204" s="1">
        <v>46003</v>
      </c>
    </row>
    <row r="3205" spans="1:14" ht="14.4" hidden="1">
      <c r="A3205" t="s">
        <v>226</v>
      </c>
      <c r="B3205" s="1">
        <v>24</v>
      </c>
      <c r="C3205" s="258" t="s">
        <v>7103</v>
      </c>
      <c r="D3205" t="s">
        <v>1160</v>
      </c>
      <c r="F3205"/>
      <c r="H3205" s="1">
        <v>202184.62</v>
      </c>
      <c r="I3205"/>
      <c r="J3205" t="s">
        <v>7104</v>
      </c>
      <c r="K3205" s="170">
        <v>45961</v>
      </c>
      <c r="L3205" s="1">
        <v>708089.8643658834</v>
      </c>
      <c r="M3205" s="1">
        <v>46003</v>
      </c>
    </row>
    <row r="3206" spans="1:14" ht="14.4" hidden="1">
      <c r="A3206" t="s">
        <v>226</v>
      </c>
      <c r="B3206" s="1">
        <v>25</v>
      </c>
      <c r="C3206" s="258" t="s">
        <v>7105</v>
      </c>
      <c r="D3206" t="s">
        <v>1160</v>
      </c>
      <c r="E3206" t="s">
        <v>7106</v>
      </c>
      <c r="F3206"/>
      <c r="H3206" s="1">
        <v>71394.92</v>
      </c>
      <c r="I3206" t="s">
        <v>7107</v>
      </c>
      <c r="J3206" t="s">
        <v>7108</v>
      </c>
      <c r="K3206" s="170">
        <v>45991</v>
      </c>
      <c r="L3206" s="1">
        <v>0</v>
      </c>
      <c r="M3206" s="1">
        <v>45989</v>
      </c>
    </row>
    <row r="3207" spans="1:14" ht="14.4" hidden="1">
      <c r="A3207" t="s">
        <v>226</v>
      </c>
      <c r="B3207" s="1">
        <v>26</v>
      </c>
      <c r="C3207" s="258" t="s">
        <v>7109</v>
      </c>
      <c r="D3207" t="s">
        <v>1160</v>
      </c>
      <c r="F3207"/>
      <c r="H3207" s="1">
        <v>-67046.2</v>
      </c>
      <c r="I3207"/>
      <c r="J3207" t="s">
        <v>7110</v>
      </c>
      <c r="K3207" s="170">
        <v>46053</v>
      </c>
      <c r="L3207" s="1">
        <v>0</v>
      </c>
      <c r="M3207" s="1">
        <v>46059</v>
      </c>
    </row>
    <row r="3208" spans="1:14" ht="14.4" hidden="1">
      <c r="A3208" t="s">
        <v>226</v>
      </c>
      <c r="B3208" s="1">
        <v>27</v>
      </c>
      <c r="C3208" s="258" t="s">
        <v>7111</v>
      </c>
      <c r="D3208" t="s">
        <v>1160</v>
      </c>
      <c r="E3208" t="s">
        <v>7112</v>
      </c>
      <c r="F3208"/>
      <c r="H3208" s="1">
        <v>2283.6999999999998</v>
      </c>
      <c r="I3208" t="s">
        <v>7113</v>
      </c>
      <c r="J3208"/>
      <c r="K3208" s="170">
        <v>46081</v>
      </c>
      <c r="M3208" s="1">
        <v>46081</v>
      </c>
    </row>
    <row r="3209" spans="1:14" ht="14.4" hidden="1">
      <c r="A3209" t="s">
        <v>226</v>
      </c>
      <c r="B3209" s="1">
        <v>28</v>
      </c>
      <c r="C3209" s="258" t="s">
        <v>7114</v>
      </c>
      <c r="D3209" t="s">
        <v>1160</v>
      </c>
      <c r="E3209" t="s">
        <v>7115</v>
      </c>
      <c r="F3209"/>
      <c r="H3209" s="1">
        <v>3737.49</v>
      </c>
      <c r="I3209"/>
      <c r="J3209"/>
      <c r="K3209" s="170">
        <v>46081</v>
      </c>
      <c r="L3209" s="1">
        <v>0</v>
      </c>
      <c r="M3209" s="1">
        <v>46081</v>
      </c>
    </row>
    <row r="3210" spans="1:14" ht="14.4" hidden="1">
      <c r="A3210" t="s">
        <v>226</v>
      </c>
      <c r="B3210" s="1">
        <v>29</v>
      </c>
      <c r="C3210" s="258" t="s">
        <v>7116</v>
      </c>
      <c r="D3210" t="s">
        <v>1160</v>
      </c>
      <c r="E3210" t="s">
        <v>7117</v>
      </c>
      <c r="F3210"/>
      <c r="H3210" s="1">
        <v>15556.95</v>
      </c>
      <c r="I3210" t="s">
        <v>7118</v>
      </c>
      <c r="J3210" t="s">
        <v>7119</v>
      </c>
      <c r="K3210" s="170">
        <v>46053</v>
      </c>
      <c r="L3210" s="1">
        <v>0</v>
      </c>
      <c r="M3210" s="1">
        <v>46045</v>
      </c>
    </row>
    <row r="3211" spans="1:14" ht="14.4" hidden="1">
      <c r="A3211" t="s">
        <v>226</v>
      </c>
      <c r="B3211" s="1">
        <v>31</v>
      </c>
      <c r="C3211" s="258" t="s">
        <v>7120</v>
      </c>
      <c r="D3211" t="s">
        <v>1165</v>
      </c>
      <c r="E3211" t="s">
        <v>7121</v>
      </c>
      <c r="F3211">
        <v>14000</v>
      </c>
      <c r="G3211">
        <v>13.5</v>
      </c>
      <c r="H3211" s="1">
        <v>189000</v>
      </c>
      <c r="I3211"/>
      <c r="J3211" t="s">
        <v>7083</v>
      </c>
      <c r="K3211" s="170">
        <v>45961</v>
      </c>
      <c r="L3211" s="1">
        <v>318264.99775240372</v>
      </c>
      <c r="M3211" s="1">
        <v>46003</v>
      </c>
      <c r="N3211" s="1">
        <v>713565.20000000019</v>
      </c>
    </row>
    <row r="3212" spans="1:14" ht="14.4" hidden="1">
      <c r="A3212" t="s">
        <v>226</v>
      </c>
      <c r="B3212" s="1">
        <v>32</v>
      </c>
      <c r="C3212" s="258" t="s">
        <v>7122</v>
      </c>
      <c r="D3212" t="s">
        <v>1165</v>
      </c>
      <c r="F3212">
        <v>26000</v>
      </c>
      <c r="G3212">
        <v>13.65</v>
      </c>
      <c r="H3212" s="1">
        <v>354900</v>
      </c>
      <c r="I3212"/>
      <c r="J3212" t="s">
        <v>7083</v>
      </c>
      <c r="K3212" s="170">
        <v>45961</v>
      </c>
      <c r="L3212" s="1">
        <v>597630.94022395811</v>
      </c>
      <c r="M3212" s="1">
        <v>46009</v>
      </c>
    </row>
    <row r="3213" spans="1:14" ht="14.4" hidden="1">
      <c r="A3213" t="s">
        <v>226</v>
      </c>
      <c r="B3213" s="1">
        <v>35</v>
      </c>
      <c r="C3213" s="258" t="s">
        <v>7123</v>
      </c>
      <c r="D3213" t="s">
        <v>1165</v>
      </c>
      <c r="E3213" t="s">
        <v>1169</v>
      </c>
      <c r="F3213">
        <v>169665.2</v>
      </c>
      <c r="G3213">
        <v>0.1</v>
      </c>
      <c r="H3213" s="1">
        <v>16966.52</v>
      </c>
      <c r="I3213"/>
      <c r="J3213" t="s">
        <v>7124</v>
      </c>
      <c r="K3213" s="170">
        <v>45961</v>
      </c>
      <c r="L3213" s="1">
        <v>28570.632008815413</v>
      </c>
      <c r="M3213" s="1">
        <v>45967</v>
      </c>
    </row>
    <row r="3214" spans="1:14" ht="14.4" hidden="1">
      <c r="A3214" t="s">
        <v>226</v>
      </c>
      <c r="B3214" s="1">
        <v>36</v>
      </c>
      <c r="C3214" s="258" t="s">
        <v>7125</v>
      </c>
      <c r="D3214" t="s">
        <v>1165</v>
      </c>
      <c r="E3214" t="s">
        <v>558</v>
      </c>
      <c r="F3214"/>
      <c r="G3214">
        <v>0.15</v>
      </c>
      <c r="H3214" s="1">
        <v>25449.78</v>
      </c>
      <c r="I3214"/>
      <c r="J3214" t="s">
        <v>7126</v>
      </c>
      <c r="K3214" s="170">
        <v>45961</v>
      </c>
      <c r="L3214" s="1">
        <v>42855.948013223126</v>
      </c>
      <c r="M3214" s="1">
        <v>45967</v>
      </c>
    </row>
    <row r="3215" spans="1:14" ht="14.4" hidden="1">
      <c r="A3215" t="s">
        <v>226</v>
      </c>
      <c r="B3215" s="1">
        <v>37</v>
      </c>
      <c r="C3215" s="258" t="s">
        <v>7127</v>
      </c>
      <c r="D3215" t="s">
        <v>1165</v>
      </c>
      <c r="E3215" t="s">
        <v>1175</v>
      </c>
      <c r="F3215"/>
      <c r="G3215">
        <v>0.1</v>
      </c>
      <c r="H3215" s="1">
        <v>16966.52</v>
      </c>
      <c r="I3215"/>
      <c r="J3215" t="s">
        <v>7128</v>
      </c>
      <c r="K3215" s="170">
        <v>46022</v>
      </c>
      <c r="L3215" s="1">
        <v>28570.632008815413</v>
      </c>
      <c r="M3215" s="1">
        <v>46003</v>
      </c>
    </row>
    <row r="3216" spans="1:14" ht="14.4" hidden="1">
      <c r="A3216" t="s">
        <v>226</v>
      </c>
      <c r="B3216" s="1">
        <v>38</v>
      </c>
      <c r="C3216" s="258" t="s">
        <v>7129</v>
      </c>
      <c r="D3216" t="s">
        <v>1165</v>
      </c>
      <c r="E3216" t="s">
        <v>1175</v>
      </c>
      <c r="F3216"/>
      <c r="G3216">
        <v>7.4999999999999997E-2</v>
      </c>
      <c r="H3216" s="1">
        <v>12724.89</v>
      </c>
      <c r="I3216"/>
      <c r="J3216" t="s">
        <v>7130</v>
      </c>
      <c r="K3216" s="170">
        <v>46053</v>
      </c>
      <c r="L3216" s="1">
        <v>21427.974006611563</v>
      </c>
      <c r="M3216" s="1">
        <v>46067</v>
      </c>
    </row>
    <row r="3217" spans="1:14" ht="14.4" hidden="1">
      <c r="A3217" t="s">
        <v>226</v>
      </c>
      <c r="B3217" s="1">
        <v>39</v>
      </c>
      <c r="C3217" s="258" t="s">
        <v>7131</v>
      </c>
      <c r="D3217" t="s">
        <v>1165</v>
      </c>
      <c r="E3217" t="s">
        <v>1175</v>
      </c>
      <c r="F3217"/>
      <c r="G3217">
        <v>2.5000000000000001E-2</v>
      </c>
      <c r="H3217" s="1">
        <v>4241.63</v>
      </c>
      <c r="I3217"/>
      <c r="J3217"/>
      <c r="K3217" s="170">
        <v>46081</v>
      </c>
      <c r="L3217" s="1">
        <v>7142.6580022038534</v>
      </c>
      <c r="M3217" s="1">
        <v>46074</v>
      </c>
    </row>
    <row r="3218" spans="1:14" ht="14.4" hidden="1">
      <c r="A3218" t="s">
        <v>226</v>
      </c>
      <c r="B3218" s="1">
        <v>40</v>
      </c>
      <c r="C3218" s="258" t="s">
        <v>7132</v>
      </c>
      <c r="D3218" t="s">
        <v>1165</v>
      </c>
      <c r="E3218" t="s">
        <v>1178</v>
      </c>
      <c r="F3218"/>
      <c r="G3218">
        <v>0.2</v>
      </c>
      <c r="H3218" s="1">
        <v>33933.040000000001</v>
      </c>
      <c r="I3218"/>
      <c r="J3218" t="s">
        <v>7128</v>
      </c>
      <c r="K3218" s="170">
        <v>46022</v>
      </c>
      <c r="L3218" s="1">
        <v>57141.264017630827</v>
      </c>
      <c r="M3218" s="1">
        <v>46003</v>
      </c>
    </row>
    <row r="3219" spans="1:14" ht="14.4" hidden="1">
      <c r="A3219" t="s">
        <v>226</v>
      </c>
      <c r="B3219" s="1">
        <v>41</v>
      </c>
      <c r="C3219" s="258" t="s">
        <v>7133</v>
      </c>
      <c r="D3219" t="s">
        <v>1165</v>
      </c>
      <c r="E3219" t="s">
        <v>1178</v>
      </c>
      <c r="F3219"/>
      <c r="G3219">
        <v>2.5000000000000001E-2</v>
      </c>
      <c r="H3219" s="1">
        <v>4241.63</v>
      </c>
      <c r="I3219"/>
      <c r="J3219" t="s">
        <v>7130</v>
      </c>
      <c r="K3219" s="170">
        <v>46053</v>
      </c>
      <c r="L3219" s="1">
        <v>7142.6580022038534</v>
      </c>
      <c r="M3219" s="1">
        <v>46067</v>
      </c>
    </row>
    <row r="3220" spans="1:14" ht="14.4" hidden="1">
      <c r="A3220" t="s">
        <v>226</v>
      </c>
      <c r="B3220" s="1">
        <v>42</v>
      </c>
      <c r="C3220" s="258" t="s">
        <v>7134</v>
      </c>
      <c r="D3220" t="s">
        <v>1165</v>
      </c>
      <c r="E3220" t="s">
        <v>1178</v>
      </c>
      <c r="F3220"/>
      <c r="G3220">
        <v>2.5000000000000001E-2</v>
      </c>
      <c r="H3220" s="1">
        <v>4241.63</v>
      </c>
      <c r="I3220"/>
      <c r="J3220"/>
      <c r="K3220" s="170">
        <v>46081</v>
      </c>
      <c r="L3220" s="1">
        <v>7142.6580022038534</v>
      </c>
      <c r="M3220" s="1">
        <v>46074</v>
      </c>
    </row>
    <row r="3221" spans="1:14" ht="14.4" hidden="1">
      <c r="A3221" t="s">
        <v>226</v>
      </c>
      <c r="B3221" s="1">
        <v>43</v>
      </c>
      <c r="C3221" s="258" t="s">
        <v>7135</v>
      </c>
      <c r="D3221" t="s">
        <v>1165</v>
      </c>
      <c r="E3221" t="s">
        <v>1181</v>
      </c>
      <c r="F3221"/>
      <c r="G3221">
        <v>0.1</v>
      </c>
      <c r="H3221" s="1">
        <v>16966.52</v>
      </c>
      <c r="I3221"/>
      <c r="J3221"/>
      <c r="K3221" s="170">
        <v>46081</v>
      </c>
      <c r="L3221" s="1">
        <v>28570.632008815413</v>
      </c>
      <c r="M3221" s="1">
        <v>46079</v>
      </c>
    </row>
    <row r="3222" spans="1:14" ht="14.4" hidden="1">
      <c r="A3222" t="s">
        <v>226</v>
      </c>
      <c r="B3222" s="1">
        <v>44</v>
      </c>
      <c r="C3222" s="258" t="s">
        <v>7136</v>
      </c>
      <c r="D3222" t="s">
        <v>1165</v>
      </c>
      <c r="E3222" t="s">
        <v>1184</v>
      </c>
      <c r="F3222"/>
      <c r="G3222">
        <v>0.1</v>
      </c>
      <c r="H3222" s="1">
        <v>16966.52</v>
      </c>
      <c r="I3222"/>
      <c r="J3222"/>
      <c r="K3222" s="170">
        <v>46112</v>
      </c>
      <c r="L3222" s="1">
        <v>28570.632008815413</v>
      </c>
      <c r="M3222" s="1">
        <v>46091</v>
      </c>
    </row>
    <row r="3223" spans="1:14" ht="14.4" hidden="1">
      <c r="A3223" t="s">
        <v>226</v>
      </c>
      <c r="B3223" s="1">
        <v>45</v>
      </c>
      <c r="C3223" s="258" t="s">
        <v>7137</v>
      </c>
      <c r="D3223" t="s">
        <v>1165</v>
      </c>
      <c r="E3223" t="s">
        <v>1187</v>
      </c>
      <c r="F3223"/>
      <c r="G3223">
        <v>0.05</v>
      </c>
      <c r="H3223" s="1">
        <v>8483.26</v>
      </c>
      <c r="I3223"/>
      <c r="J3223"/>
      <c r="K3223" s="170">
        <v>46112</v>
      </c>
      <c r="L3223" s="1">
        <v>14285.316004407709</v>
      </c>
      <c r="M3223" s="1">
        <v>46091</v>
      </c>
    </row>
    <row r="3224" spans="1:14" ht="14.4" hidden="1">
      <c r="A3224" t="s">
        <v>226</v>
      </c>
      <c r="B3224" s="1">
        <v>46</v>
      </c>
      <c r="C3224" s="258" t="s">
        <v>7138</v>
      </c>
      <c r="D3224" t="s">
        <v>1165</v>
      </c>
      <c r="E3224" t="s">
        <v>1190</v>
      </c>
      <c r="F3224"/>
      <c r="G3224">
        <v>0.05</v>
      </c>
      <c r="H3224" s="1">
        <v>8483.26</v>
      </c>
      <c r="I3224"/>
      <c r="J3224"/>
      <c r="K3224" s="170">
        <v>46112</v>
      </c>
      <c r="L3224" s="1">
        <v>14285.316004407709</v>
      </c>
      <c r="M3224" s="1">
        <v>46114</v>
      </c>
    </row>
    <row r="3225" spans="1:14" ht="14.4" hidden="1">
      <c r="A3225" t="s">
        <v>226</v>
      </c>
      <c r="B3225" s="1">
        <v>51</v>
      </c>
      <c r="C3225" s="258" t="s">
        <v>7139</v>
      </c>
      <c r="D3225" t="s">
        <v>1193</v>
      </c>
      <c r="E3225" t="s">
        <v>1489</v>
      </c>
      <c r="F3225"/>
      <c r="H3225" s="1">
        <v>8598.34</v>
      </c>
      <c r="I3225"/>
      <c r="J3225" t="s">
        <v>7083</v>
      </c>
      <c r="K3225" s="170">
        <v>45961</v>
      </c>
      <c r="L3225" s="1">
        <v>5015.4617253406423</v>
      </c>
      <c r="M3225" s="1">
        <v>46003</v>
      </c>
      <c r="N3225" s="1">
        <v>91265.29</v>
      </c>
    </row>
    <row r="3226" spans="1:14" ht="14.4" hidden="1">
      <c r="A3226" t="s">
        <v>226</v>
      </c>
      <c r="B3226" s="1">
        <v>52</v>
      </c>
      <c r="C3226" s="258" t="s">
        <v>7140</v>
      </c>
      <c r="D3226" t="s">
        <v>1193</v>
      </c>
      <c r="E3226" t="s">
        <v>1196</v>
      </c>
      <c r="F3226"/>
      <c r="H3226" s="1">
        <v>27301</v>
      </c>
      <c r="I3226" t="s">
        <v>7141</v>
      </c>
      <c r="J3226" t="s">
        <v>7142</v>
      </c>
      <c r="K3226" s="170">
        <v>45961</v>
      </c>
      <c r="L3226" s="1">
        <v>9478.9399762657522</v>
      </c>
      <c r="M3226" s="1">
        <v>45989</v>
      </c>
    </row>
    <row r="3227" spans="1:14" ht="14.4" hidden="1">
      <c r="A3227" t="s">
        <v>226</v>
      </c>
      <c r="B3227" s="1">
        <v>53</v>
      </c>
      <c r="C3227" s="258" t="s">
        <v>7143</v>
      </c>
      <c r="D3227" t="s">
        <v>1193</v>
      </c>
      <c r="E3227" t="s">
        <v>1200</v>
      </c>
      <c r="F3227"/>
      <c r="H3227" s="1">
        <v>11169</v>
      </c>
      <c r="I3227"/>
      <c r="J3227" t="s">
        <v>1494</v>
      </c>
      <c r="K3227" s="170">
        <v>45930</v>
      </c>
      <c r="L3227" s="1">
        <v>7261.7211113769454</v>
      </c>
      <c r="M3227" s="1">
        <v>45900</v>
      </c>
    </row>
    <row r="3228" spans="1:14" ht="14.4" hidden="1">
      <c r="A3228" t="s">
        <v>226</v>
      </c>
      <c r="B3228" s="1">
        <v>54</v>
      </c>
      <c r="C3228" s="258" t="s">
        <v>7144</v>
      </c>
      <c r="D3228" t="s">
        <v>1193</v>
      </c>
      <c r="E3228" t="s">
        <v>7145</v>
      </c>
      <c r="F3228"/>
      <c r="H3228" s="1">
        <v>335.86</v>
      </c>
      <c r="I3228"/>
      <c r="J3228" t="s">
        <v>7146</v>
      </c>
      <c r="K3228" s="170">
        <v>45991</v>
      </c>
      <c r="L3228" s="1">
        <v>0</v>
      </c>
      <c r="M3228" s="1">
        <v>46022</v>
      </c>
    </row>
    <row r="3229" spans="1:14" ht="14.4" hidden="1">
      <c r="A3229" t="s">
        <v>226</v>
      </c>
      <c r="B3229" s="1">
        <v>55</v>
      </c>
      <c r="C3229" s="258" t="s">
        <v>7147</v>
      </c>
      <c r="D3229" t="s">
        <v>1193</v>
      </c>
      <c r="E3229" t="s">
        <v>7148</v>
      </c>
      <c r="F3229"/>
      <c r="H3229" s="1">
        <v>44000</v>
      </c>
      <c r="I3229" t="s">
        <v>2778</v>
      </c>
      <c r="J3229" t="s">
        <v>7149</v>
      </c>
      <c r="K3229" s="170">
        <v>45930</v>
      </c>
      <c r="L3229" s="1">
        <v>28607.371197115732</v>
      </c>
      <c r="M3229" s="1">
        <v>45900</v>
      </c>
    </row>
    <row r="3230" spans="1:14" ht="14.4" hidden="1">
      <c r="A3230" t="s">
        <v>226</v>
      </c>
      <c r="B3230" s="1">
        <v>56</v>
      </c>
      <c r="C3230" s="258" t="s">
        <v>7150</v>
      </c>
      <c r="D3230" t="s">
        <v>1193</v>
      </c>
      <c r="E3230" t="s">
        <v>7151</v>
      </c>
      <c r="F3230"/>
      <c r="H3230" s="1">
        <v>-44000</v>
      </c>
      <c r="I3230"/>
      <c r="J3230" t="s">
        <v>7152</v>
      </c>
      <c r="K3230" s="170">
        <v>45961</v>
      </c>
      <c r="L3230" s="1">
        <v>0</v>
      </c>
      <c r="M3230" s="1">
        <v>45961</v>
      </c>
    </row>
    <row r="3231" spans="1:14" ht="14.4" hidden="1">
      <c r="A3231" t="s">
        <v>226</v>
      </c>
      <c r="B3231" s="1">
        <v>57</v>
      </c>
      <c r="C3231" s="258" t="s">
        <v>7153</v>
      </c>
      <c r="D3231" t="s">
        <v>1193</v>
      </c>
      <c r="E3231" t="s">
        <v>7154</v>
      </c>
      <c r="F3231"/>
      <c r="H3231" s="1">
        <v>40000</v>
      </c>
      <c r="I3231" t="s">
        <v>7155</v>
      </c>
      <c r="J3231" t="s">
        <v>7156</v>
      </c>
      <c r="K3231" s="170">
        <v>45991</v>
      </c>
      <c r="L3231" s="1">
        <v>0</v>
      </c>
      <c r="M3231" s="1">
        <v>46021</v>
      </c>
    </row>
    <row r="3232" spans="1:14" ht="14.4" hidden="1">
      <c r="A3232" t="s">
        <v>226</v>
      </c>
      <c r="B3232" s="1">
        <v>58</v>
      </c>
      <c r="C3232" s="258" t="s">
        <v>7157</v>
      </c>
      <c r="D3232" t="s">
        <v>1193</v>
      </c>
      <c r="E3232" t="s">
        <v>2781</v>
      </c>
      <c r="F3232"/>
      <c r="H3232" s="1">
        <v>285.58999999999997</v>
      </c>
      <c r="I3232"/>
      <c r="J3232" t="s">
        <v>7158</v>
      </c>
      <c r="K3232" s="170">
        <v>45991</v>
      </c>
      <c r="L3232" s="1">
        <v>0</v>
      </c>
      <c r="M3232" s="1">
        <v>46021</v>
      </c>
    </row>
    <row r="3233" spans="1:13" ht="14.4" hidden="1">
      <c r="A3233" t="s">
        <v>226</v>
      </c>
      <c r="B3233" s="1">
        <v>59</v>
      </c>
      <c r="C3233" s="258" t="s">
        <v>7159</v>
      </c>
      <c r="D3233" t="s">
        <v>1193</v>
      </c>
      <c r="E3233" t="s">
        <v>2768</v>
      </c>
      <c r="F3233"/>
      <c r="H3233" s="1">
        <v>3575.5</v>
      </c>
      <c r="I3233" t="s">
        <v>7160</v>
      </c>
      <c r="J3233" t="s">
        <v>7161</v>
      </c>
      <c r="K3233" s="170">
        <v>45930</v>
      </c>
      <c r="L3233" s="1">
        <v>2324.6739935292567</v>
      </c>
      <c r="M3233" s="1">
        <v>45876</v>
      </c>
    </row>
    <row r="3234" spans="1:13" ht="14.4" hidden="1">
      <c r="A3234" t="s">
        <v>226</v>
      </c>
      <c r="B3234" s="1">
        <v>64</v>
      </c>
      <c r="C3234" s="258" t="s">
        <v>7162</v>
      </c>
      <c r="D3234" t="s">
        <v>1211</v>
      </c>
      <c r="E3234" t="s">
        <v>1212</v>
      </c>
      <c r="F3234"/>
      <c r="H3234" s="1">
        <v>354929.22</v>
      </c>
      <c r="I3234" t="s">
        <v>7163</v>
      </c>
      <c r="J3234" t="s">
        <v>7164</v>
      </c>
      <c r="K3234" s="170">
        <v>45991</v>
      </c>
      <c r="L3234" s="1">
        <v>983356.53922919172</v>
      </c>
      <c r="M3234" s="1">
        <v>46021</v>
      </c>
    </row>
    <row r="3235" spans="1:13" ht="14.4" hidden="1">
      <c r="A3235" t="s">
        <v>226</v>
      </c>
      <c r="B3235" s="1">
        <v>69</v>
      </c>
      <c r="C3235" s="258" t="s">
        <v>7165</v>
      </c>
      <c r="D3235" t="s">
        <v>1211</v>
      </c>
      <c r="E3235" t="s">
        <v>1169</v>
      </c>
      <c r="F3235">
        <v>231508.8</v>
      </c>
      <c r="G3235">
        <v>0.1</v>
      </c>
      <c r="H3235" s="1">
        <v>23150.880000000001</v>
      </c>
      <c r="I3235"/>
      <c r="J3235" t="s">
        <v>7124</v>
      </c>
      <c r="K3235" s="170">
        <v>45961</v>
      </c>
      <c r="L3235" s="1">
        <v>64141.152528693783</v>
      </c>
      <c r="M3235" s="1">
        <v>45967</v>
      </c>
    </row>
    <row r="3236" spans="1:13" ht="14.4" hidden="1">
      <c r="A3236" t="s">
        <v>226</v>
      </c>
      <c r="B3236" s="1">
        <v>70</v>
      </c>
      <c r="C3236" s="258" t="s">
        <v>7166</v>
      </c>
      <c r="D3236" t="s">
        <v>1211</v>
      </c>
      <c r="E3236" t="s">
        <v>558</v>
      </c>
      <c r="F3236"/>
      <c r="G3236">
        <v>0.15</v>
      </c>
      <c r="H3236" s="1">
        <v>34726.32</v>
      </c>
      <c r="I3236"/>
      <c r="J3236" t="s">
        <v>7126</v>
      </c>
      <c r="K3236" s="170">
        <v>45961</v>
      </c>
      <c r="L3236" s="1">
        <v>96211.72879304066</v>
      </c>
      <c r="M3236" s="1">
        <v>45967</v>
      </c>
    </row>
    <row r="3237" spans="1:13" ht="14.4" hidden="1">
      <c r="A3237" t="s">
        <v>226</v>
      </c>
      <c r="B3237" s="1">
        <v>71</v>
      </c>
      <c r="C3237" s="258" t="s">
        <v>7167</v>
      </c>
      <c r="D3237" t="s">
        <v>1211</v>
      </c>
      <c r="E3237" t="s">
        <v>1175</v>
      </c>
      <c r="F3237"/>
      <c r="G3237">
        <v>0.1</v>
      </c>
      <c r="H3237" s="1">
        <v>23150.78</v>
      </c>
      <c r="I3237"/>
      <c r="J3237" t="s">
        <v>7128</v>
      </c>
      <c r="K3237" s="170">
        <v>46022</v>
      </c>
      <c r="L3237" s="1">
        <v>64141.287346352467</v>
      </c>
      <c r="M3237" s="1">
        <v>46003</v>
      </c>
    </row>
    <row r="3238" spans="1:13" ht="14.4" hidden="1">
      <c r="A3238" t="s">
        <v>226</v>
      </c>
      <c r="B3238" s="1">
        <v>72</v>
      </c>
      <c r="C3238" s="258" t="s">
        <v>7168</v>
      </c>
      <c r="D3238" t="s">
        <v>1211</v>
      </c>
      <c r="E3238" t="s">
        <v>1175</v>
      </c>
      <c r="F3238"/>
      <c r="G3238">
        <v>7.4999999999999997E-2</v>
      </c>
      <c r="H3238" s="1">
        <v>17363.16</v>
      </c>
      <c r="I3238"/>
      <c r="J3238" t="s">
        <v>7130</v>
      </c>
      <c r="K3238" s="170">
        <v>46053</v>
      </c>
      <c r="L3238" s="1">
        <v>48105.880802646541</v>
      </c>
      <c r="M3238" s="1">
        <v>46067</v>
      </c>
    </row>
    <row r="3239" spans="1:13" ht="14.4" hidden="1">
      <c r="A3239" t="s">
        <v>226</v>
      </c>
      <c r="B3239" s="1">
        <v>73</v>
      </c>
      <c r="C3239" s="258" t="s">
        <v>7169</v>
      </c>
      <c r="D3239" t="s">
        <v>1211</v>
      </c>
      <c r="E3239" t="s">
        <v>1175</v>
      </c>
      <c r="F3239"/>
      <c r="G3239">
        <v>2.5000000000000001E-2</v>
      </c>
      <c r="H3239" s="1">
        <v>5787.72</v>
      </c>
      <c r="I3239"/>
      <c r="J3239"/>
      <c r="K3239" s="170">
        <v>46081</v>
      </c>
      <c r="L3239" s="1">
        <v>16035.293600882182</v>
      </c>
      <c r="M3239" s="1">
        <v>46074</v>
      </c>
    </row>
    <row r="3240" spans="1:13" ht="14.4" hidden="1">
      <c r="A3240" t="s">
        <v>226</v>
      </c>
      <c r="B3240" s="1">
        <v>74</v>
      </c>
      <c r="C3240" s="258" t="s">
        <v>7170</v>
      </c>
      <c r="D3240" t="s">
        <v>1211</v>
      </c>
      <c r="E3240" t="s">
        <v>1178</v>
      </c>
      <c r="F3240"/>
      <c r="G3240">
        <v>0.2</v>
      </c>
      <c r="H3240" s="1">
        <v>46301.66</v>
      </c>
      <c r="I3240"/>
      <c r="J3240" t="s">
        <v>7128</v>
      </c>
      <c r="K3240" s="170">
        <v>46022</v>
      </c>
      <c r="L3240" s="1">
        <v>128282.0717498812</v>
      </c>
      <c r="M3240" s="1">
        <v>46003</v>
      </c>
    </row>
    <row r="3241" spans="1:13" ht="14.4" hidden="1">
      <c r="A3241" t="s">
        <v>226</v>
      </c>
      <c r="B3241" s="1">
        <v>75</v>
      </c>
      <c r="C3241" s="258" t="s">
        <v>7171</v>
      </c>
      <c r="D3241" t="s">
        <v>1211</v>
      </c>
      <c r="E3241" t="s">
        <v>1178</v>
      </c>
      <c r="F3241"/>
      <c r="G3241">
        <v>2.5000000000000001E-2</v>
      </c>
      <c r="H3241" s="1">
        <v>5787.72</v>
      </c>
      <c r="I3241"/>
      <c r="J3241"/>
      <c r="K3241" s="170">
        <v>46081</v>
      </c>
      <c r="L3241" s="1">
        <v>16035.293600882182</v>
      </c>
      <c r="M3241" s="1">
        <v>46074</v>
      </c>
    </row>
    <row r="3242" spans="1:13" ht="14.4" hidden="1">
      <c r="A3242" t="s">
        <v>226</v>
      </c>
      <c r="B3242" s="1">
        <v>76</v>
      </c>
      <c r="C3242" s="258" t="s">
        <v>7172</v>
      </c>
      <c r="D3242" t="s">
        <v>1211</v>
      </c>
      <c r="E3242" t="s">
        <v>1178</v>
      </c>
      <c r="F3242"/>
      <c r="G3242">
        <v>2.5000000000000001E-2</v>
      </c>
      <c r="H3242" s="1">
        <v>5787.72</v>
      </c>
      <c r="I3242"/>
      <c r="J3242" t="s">
        <v>7130</v>
      </c>
      <c r="K3242" s="170">
        <v>46053</v>
      </c>
      <c r="L3242" s="1">
        <v>16035.293600882182</v>
      </c>
      <c r="M3242" s="1">
        <v>46067</v>
      </c>
    </row>
    <row r="3243" spans="1:13" ht="14.4" hidden="1">
      <c r="A3243" t="s">
        <v>226</v>
      </c>
      <c r="B3243" s="1">
        <v>77</v>
      </c>
      <c r="C3243" s="258" t="s">
        <v>7173</v>
      </c>
      <c r="D3243" t="s">
        <v>1211</v>
      </c>
      <c r="E3243" t="s">
        <v>1181</v>
      </c>
      <c r="F3243"/>
      <c r="G3243">
        <v>0.1</v>
      </c>
      <c r="H3243" s="1">
        <v>23150.880000000001</v>
      </c>
      <c r="I3243"/>
      <c r="J3243"/>
      <c r="K3243" s="170">
        <v>46081</v>
      </c>
      <c r="L3243" s="1">
        <v>64141.174403528727</v>
      </c>
      <c r="M3243" s="1">
        <v>46079</v>
      </c>
    </row>
    <row r="3244" spans="1:13" ht="14.4" hidden="1">
      <c r="A3244" t="s">
        <v>226</v>
      </c>
      <c r="B3244" s="1">
        <v>78</v>
      </c>
      <c r="C3244" s="258" t="s">
        <v>7174</v>
      </c>
      <c r="D3244" t="s">
        <v>1211</v>
      </c>
      <c r="E3244" t="s">
        <v>1184</v>
      </c>
      <c r="F3244"/>
      <c r="G3244">
        <v>0.1</v>
      </c>
      <c r="H3244" s="1">
        <v>23150.880000000001</v>
      </c>
      <c r="I3244"/>
      <c r="J3244"/>
      <c r="K3244" s="170">
        <v>46112</v>
      </c>
      <c r="L3244" s="1">
        <v>64141.174403528727</v>
      </c>
      <c r="M3244" s="1">
        <v>46091</v>
      </c>
    </row>
    <row r="3245" spans="1:13" ht="14.4" hidden="1">
      <c r="A3245" t="s">
        <v>226</v>
      </c>
      <c r="B3245" s="1">
        <v>79</v>
      </c>
      <c r="C3245" s="258" t="s">
        <v>7175</v>
      </c>
      <c r="D3245" t="s">
        <v>1211</v>
      </c>
      <c r="E3245" t="s">
        <v>1187</v>
      </c>
      <c r="F3245"/>
      <c r="G3245">
        <v>0.05</v>
      </c>
      <c r="H3245" s="1">
        <v>11575.44</v>
      </c>
      <c r="I3245"/>
      <c r="J3245"/>
      <c r="K3245" s="170">
        <v>46112</v>
      </c>
      <c r="L3245" s="1">
        <v>32070.587201764363</v>
      </c>
      <c r="M3245" s="1">
        <v>46091</v>
      </c>
    </row>
    <row r="3246" spans="1:13" ht="14.4" hidden="1">
      <c r="A3246" t="s">
        <v>226</v>
      </c>
      <c r="B3246" s="1">
        <v>80</v>
      </c>
      <c r="C3246" s="258" t="s">
        <v>7176</v>
      </c>
      <c r="D3246" t="s">
        <v>1211</v>
      </c>
      <c r="E3246" t="s">
        <v>1190</v>
      </c>
      <c r="F3246"/>
      <c r="G3246">
        <v>0.05</v>
      </c>
      <c r="H3246" s="1">
        <v>11575.44</v>
      </c>
      <c r="I3246"/>
      <c r="J3246"/>
      <c r="K3246" s="170">
        <v>46112</v>
      </c>
      <c r="L3246" s="1">
        <v>32070.587201764363</v>
      </c>
      <c r="M3246" s="1">
        <v>46114</v>
      </c>
    </row>
    <row r="3247" spans="1:13" ht="14.4" hidden="1">
      <c r="A3247" t="s">
        <v>226</v>
      </c>
      <c r="B3247" s="1">
        <v>95</v>
      </c>
      <c r="C3247" s="258" t="s">
        <v>7177</v>
      </c>
      <c r="D3247" t="s">
        <v>1224</v>
      </c>
      <c r="E3247" t="s">
        <v>7178</v>
      </c>
      <c r="F3247">
        <v>2</v>
      </c>
      <c r="G3247">
        <v>25000</v>
      </c>
      <c r="H3247" s="1">
        <v>50000</v>
      </c>
      <c r="I3247"/>
      <c r="J3247"/>
      <c r="K3247" s="170">
        <v>46081</v>
      </c>
      <c r="L3247" s="1">
        <v>0</v>
      </c>
      <c r="M3247" s="1">
        <v>46067</v>
      </c>
    </row>
    <row r="3248" spans="1:13" ht="14.4" hidden="1">
      <c r="A3248" t="s">
        <v>226</v>
      </c>
      <c r="B3248" s="1">
        <v>97</v>
      </c>
      <c r="C3248" s="258" t="s">
        <v>7179</v>
      </c>
      <c r="D3248" t="s">
        <v>1224</v>
      </c>
      <c r="E3248" t="s">
        <v>7180</v>
      </c>
      <c r="F3248">
        <v>232956</v>
      </c>
      <c r="G3248">
        <v>0.75</v>
      </c>
      <c r="H3248" s="1">
        <v>174717</v>
      </c>
      <c r="I3248" t="s">
        <v>7181</v>
      </c>
      <c r="J3248" t="s">
        <v>7182</v>
      </c>
      <c r="K3248" s="170">
        <v>45961</v>
      </c>
      <c r="L3248" s="1">
        <v>200089.18963861017</v>
      </c>
      <c r="M3248" s="1">
        <v>45946</v>
      </c>
    </row>
    <row r="3249" spans="1:13" ht="14.4" hidden="1">
      <c r="A3249" t="s">
        <v>226</v>
      </c>
      <c r="B3249" s="1">
        <v>98</v>
      </c>
      <c r="C3249" s="258" t="s">
        <v>7183</v>
      </c>
      <c r="D3249" t="s">
        <v>1224</v>
      </c>
      <c r="F3249"/>
      <c r="G3249">
        <v>0.25</v>
      </c>
      <c r="H3249" s="1">
        <v>58239</v>
      </c>
      <c r="I3249"/>
      <c r="J3249" t="s">
        <v>7184</v>
      </c>
      <c r="K3249" s="170">
        <v>45961</v>
      </c>
      <c r="L3249" s="1">
        <v>66696.396546203396</v>
      </c>
      <c r="M3249" s="1">
        <v>46009</v>
      </c>
    </row>
    <row r="3250" spans="1:13" ht="14.4" hidden="1">
      <c r="A3250" t="s">
        <v>226</v>
      </c>
      <c r="B3250" s="1">
        <v>99</v>
      </c>
      <c r="C3250" s="258" t="s">
        <v>7185</v>
      </c>
      <c r="D3250" t="s">
        <v>1224</v>
      </c>
      <c r="E3250" t="s">
        <v>7186</v>
      </c>
      <c r="F3250"/>
      <c r="H3250" s="1">
        <v>48720</v>
      </c>
      <c r="I3250" t="s">
        <v>7187</v>
      </c>
      <c r="J3250" t="s">
        <v>7188</v>
      </c>
      <c r="K3250" s="170">
        <v>46022</v>
      </c>
      <c r="L3250" s="1">
        <v>55795.055461193893</v>
      </c>
      <c r="M3250" s="1">
        <v>46065</v>
      </c>
    </row>
    <row r="3251" spans="1:13" ht="14.4" hidden="1">
      <c r="A3251" t="s">
        <v>226</v>
      </c>
      <c r="B3251" s="1">
        <v>101</v>
      </c>
      <c r="C3251" s="258" t="s">
        <v>7189</v>
      </c>
      <c r="D3251" t="s">
        <v>1224</v>
      </c>
      <c r="E3251" t="s">
        <v>7190</v>
      </c>
      <c r="F3251"/>
      <c r="H3251" s="1">
        <v>10150</v>
      </c>
      <c r="I3251" t="s">
        <v>7191</v>
      </c>
      <c r="J3251" t="s">
        <v>7130</v>
      </c>
      <c r="K3251" s="170">
        <v>46053</v>
      </c>
      <c r="L3251" s="1">
        <v>0</v>
      </c>
      <c r="M3251" s="1">
        <v>46067</v>
      </c>
    </row>
    <row r="3252" spans="1:13" ht="14.4" hidden="1">
      <c r="A3252" t="s">
        <v>226</v>
      </c>
      <c r="B3252" s="1">
        <v>105</v>
      </c>
      <c r="C3252" s="258" t="s">
        <v>7192</v>
      </c>
      <c r="D3252" t="s">
        <v>1246</v>
      </c>
      <c r="E3252" t="s">
        <v>1169</v>
      </c>
      <c r="F3252">
        <v>1105292.2</v>
      </c>
      <c r="G3252">
        <v>0.1</v>
      </c>
      <c r="H3252" s="1">
        <v>110529.22</v>
      </c>
      <c r="I3252"/>
      <c r="J3252" t="s">
        <v>7124</v>
      </c>
      <c r="K3252" s="170">
        <v>45961</v>
      </c>
      <c r="L3252" s="1">
        <v>120469.60227272724</v>
      </c>
      <c r="M3252" s="1">
        <v>45967</v>
      </c>
    </row>
    <row r="3253" spans="1:13" ht="14.4" hidden="1">
      <c r="A3253" t="s">
        <v>226</v>
      </c>
      <c r="B3253" s="1">
        <v>106</v>
      </c>
      <c r="C3253" s="258" t="s">
        <v>7193</v>
      </c>
      <c r="D3253" t="s">
        <v>1246</v>
      </c>
      <c r="E3253" t="s">
        <v>558</v>
      </c>
      <c r="F3253"/>
      <c r="G3253">
        <v>0.15</v>
      </c>
      <c r="H3253" s="1">
        <v>165793.82999999999</v>
      </c>
      <c r="I3253"/>
      <c r="J3253" t="s">
        <v>7126</v>
      </c>
      <c r="K3253" s="170">
        <v>45961</v>
      </c>
      <c r="L3253" s="1">
        <v>180704.40340909085</v>
      </c>
      <c r="M3253" s="1">
        <v>45967</v>
      </c>
    </row>
    <row r="3254" spans="1:13" ht="14.4" hidden="1">
      <c r="A3254" t="s">
        <v>226</v>
      </c>
      <c r="B3254" s="1">
        <v>107</v>
      </c>
      <c r="C3254" s="258" t="s">
        <v>7194</v>
      </c>
      <c r="D3254" t="s">
        <v>1246</v>
      </c>
      <c r="E3254" t="s">
        <v>1175</v>
      </c>
      <c r="F3254"/>
      <c r="G3254">
        <v>0.1</v>
      </c>
      <c r="H3254" s="1">
        <v>110529.22</v>
      </c>
      <c r="I3254"/>
      <c r="J3254" t="s">
        <v>7128</v>
      </c>
      <c r="K3254" s="170">
        <v>46022</v>
      </c>
      <c r="L3254" s="1">
        <v>120469.60227272728</v>
      </c>
      <c r="M3254" s="1">
        <v>46003</v>
      </c>
    </row>
    <row r="3255" spans="1:13" ht="14.4" hidden="1">
      <c r="A3255" t="s">
        <v>226</v>
      </c>
      <c r="B3255" s="1">
        <v>108</v>
      </c>
      <c r="C3255" s="258" t="s">
        <v>7195</v>
      </c>
      <c r="D3255" t="s">
        <v>1246</v>
      </c>
      <c r="E3255" t="s">
        <v>1175</v>
      </c>
      <c r="F3255"/>
      <c r="G3255">
        <v>7.4999999999999997E-2</v>
      </c>
      <c r="H3255" s="1">
        <v>82896.92</v>
      </c>
      <c r="I3255"/>
      <c r="J3255" t="s">
        <v>7130</v>
      </c>
      <c r="K3255" s="170">
        <v>46053</v>
      </c>
      <c r="L3255" s="1">
        <v>90352.196336766719</v>
      </c>
      <c r="M3255" s="1">
        <v>46067</v>
      </c>
    </row>
    <row r="3256" spans="1:13" ht="14.4" hidden="1">
      <c r="A3256" t="s">
        <v>226</v>
      </c>
      <c r="B3256" s="1">
        <v>109</v>
      </c>
      <c r="C3256" s="258" t="s">
        <v>7196</v>
      </c>
      <c r="D3256" t="s">
        <v>1246</v>
      </c>
      <c r="E3256" t="s">
        <v>1175</v>
      </c>
      <c r="F3256"/>
      <c r="G3256">
        <v>2.5000000000000001E-2</v>
      </c>
      <c r="H3256" s="1">
        <v>27632.31</v>
      </c>
      <c r="I3256"/>
      <c r="J3256"/>
      <c r="K3256" s="170">
        <v>46081</v>
      </c>
      <c r="L3256" s="1">
        <v>30117.405745370303</v>
      </c>
      <c r="M3256" s="1">
        <v>46074</v>
      </c>
    </row>
    <row r="3257" spans="1:13" ht="14.4" hidden="1">
      <c r="A3257" t="s">
        <v>226</v>
      </c>
      <c r="B3257" s="1">
        <v>110</v>
      </c>
      <c r="C3257" s="258" t="s">
        <v>7197</v>
      </c>
      <c r="D3257" t="s">
        <v>1246</v>
      </c>
      <c r="E3257" t="s">
        <v>1178</v>
      </c>
      <c r="F3257"/>
      <c r="G3257">
        <v>0.2</v>
      </c>
      <c r="H3257" s="1">
        <v>221058.44</v>
      </c>
      <c r="I3257"/>
      <c r="J3257" t="s">
        <v>7128</v>
      </c>
      <c r="K3257" s="170">
        <v>46022</v>
      </c>
      <c r="L3257" s="1">
        <v>240939.20454545456</v>
      </c>
      <c r="M3257" s="1">
        <v>46003</v>
      </c>
    </row>
    <row r="3258" spans="1:13" ht="14.4" hidden="1">
      <c r="A3258" t="s">
        <v>226</v>
      </c>
      <c r="B3258" s="1">
        <v>111</v>
      </c>
      <c r="C3258" s="258" t="s">
        <v>7198</v>
      </c>
      <c r="D3258" t="s">
        <v>1246</v>
      </c>
      <c r="E3258" t="s">
        <v>1178</v>
      </c>
      <c r="F3258"/>
      <c r="G3258">
        <v>2.5000000000000001E-2</v>
      </c>
      <c r="H3258" s="1">
        <v>27632.305</v>
      </c>
      <c r="I3258"/>
      <c r="J3258" t="s">
        <v>7130</v>
      </c>
      <c r="K3258" s="170">
        <v>46053</v>
      </c>
      <c r="L3258" s="1">
        <v>30117.400295698208</v>
      </c>
      <c r="M3258" s="1">
        <v>46067</v>
      </c>
    </row>
    <row r="3259" spans="1:13" ht="14.4" hidden="1">
      <c r="A3259" t="s">
        <v>226</v>
      </c>
      <c r="B3259" s="1">
        <v>112</v>
      </c>
      <c r="C3259" s="258" t="s">
        <v>7199</v>
      </c>
      <c r="D3259" t="s">
        <v>1246</v>
      </c>
      <c r="E3259" t="s">
        <v>1178</v>
      </c>
      <c r="F3259"/>
      <c r="G3259">
        <v>2.5000000000000001E-2</v>
      </c>
      <c r="H3259" s="1">
        <v>27632.305</v>
      </c>
      <c r="I3259"/>
      <c r="J3259"/>
      <c r="K3259" s="170">
        <v>46081</v>
      </c>
      <c r="L3259" s="1">
        <v>30117.400295698208</v>
      </c>
      <c r="M3259" s="1">
        <v>46074</v>
      </c>
    </row>
    <row r="3260" spans="1:13" ht="14.4" hidden="1">
      <c r="A3260" t="s">
        <v>226</v>
      </c>
      <c r="B3260" s="1">
        <v>113</v>
      </c>
      <c r="C3260" s="258" t="s">
        <v>7200</v>
      </c>
      <c r="D3260" t="s">
        <v>1246</v>
      </c>
      <c r="E3260" t="s">
        <v>1181</v>
      </c>
      <c r="F3260"/>
      <c r="G3260">
        <v>0.1</v>
      </c>
      <c r="H3260" s="1">
        <v>110529.22</v>
      </c>
      <c r="I3260"/>
      <c r="J3260"/>
      <c r="K3260" s="170">
        <v>46081</v>
      </c>
      <c r="L3260" s="1">
        <v>120469.60118279285</v>
      </c>
      <c r="M3260" s="1">
        <v>46079</v>
      </c>
    </row>
    <row r="3261" spans="1:13" ht="14.4" hidden="1">
      <c r="A3261" t="s">
        <v>226</v>
      </c>
      <c r="B3261" s="1">
        <v>114</v>
      </c>
      <c r="C3261" s="258" t="s">
        <v>7201</v>
      </c>
      <c r="D3261" t="s">
        <v>1246</v>
      </c>
      <c r="E3261" t="s">
        <v>1184</v>
      </c>
      <c r="F3261"/>
      <c r="G3261">
        <v>0.1</v>
      </c>
      <c r="H3261" s="1">
        <v>110529.22</v>
      </c>
      <c r="I3261"/>
      <c r="J3261"/>
      <c r="K3261" s="170">
        <v>46112</v>
      </c>
      <c r="L3261" s="1">
        <v>120469.60118279285</v>
      </c>
      <c r="M3261" s="1">
        <v>46091</v>
      </c>
    </row>
    <row r="3262" spans="1:13" ht="14.4" hidden="1">
      <c r="A3262" t="s">
        <v>226</v>
      </c>
      <c r="B3262" s="1">
        <v>115</v>
      </c>
      <c r="C3262" s="258" t="s">
        <v>7202</v>
      </c>
      <c r="D3262" t="s">
        <v>1246</v>
      </c>
      <c r="E3262" t="s">
        <v>1187</v>
      </c>
      <c r="F3262"/>
      <c r="G3262">
        <v>0.05</v>
      </c>
      <c r="H3262" s="1">
        <v>55264.61</v>
      </c>
      <c r="I3262"/>
      <c r="J3262"/>
      <c r="K3262" s="170">
        <v>46112</v>
      </c>
      <c r="L3262" s="1">
        <v>60234.800591396415</v>
      </c>
      <c r="M3262" s="1">
        <v>46091</v>
      </c>
    </row>
    <row r="3263" spans="1:13" ht="14.4" hidden="1">
      <c r="A3263" t="s">
        <v>226</v>
      </c>
      <c r="B3263" s="1">
        <v>116</v>
      </c>
      <c r="C3263" s="258" t="s">
        <v>7203</v>
      </c>
      <c r="D3263" t="s">
        <v>1246</v>
      </c>
      <c r="E3263" t="s">
        <v>1190</v>
      </c>
      <c r="F3263"/>
      <c r="G3263">
        <v>0.05</v>
      </c>
      <c r="H3263" s="1">
        <v>55264.61</v>
      </c>
      <c r="I3263"/>
      <c r="J3263"/>
      <c r="K3263" s="170">
        <v>46112</v>
      </c>
      <c r="L3263" s="1">
        <v>60234.800591396415</v>
      </c>
      <c r="M3263" s="1">
        <v>46114</v>
      </c>
    </row>
    <row r="3264" spans="1:13" ht="14.4" hidden="1">
      <c r="A3264" t="s">
        <v>226</v>
      </c>
      <c r="B3264" s="1">
        <v>122</v>
      </c>
      <c r="C3264" s="258" t="s">
        <v>7204</v>
      </c>
      <c r="D3264" t="s">
        <v>1255</v>
      </c>
      <c r="E3264" t="s">
        <v>7205</v>
      </c>
      <c r="F3264"/>
      <c r="H3264" s="1">
        <v>18000</v>
      </c>
      <c r="I3264" t="s">
        <v>7206</v>
      </c>
      <c r="J3264" t="s">
        <v>7207</v>
      </c>
      <c r="K3264" s="170">
        <v>45961</v>
      </c>
      <c r="L3264" s="1">
        <v>12469.742943475689</v>
      </c>
      <c r="M3264" s="1">
        <v>45946</v>
      </c>
    </row>
    <row r="3265" spans="1:14" ht="14.4" hidden="1">
      <c r="A3265" t="s">
        <v>226</v>
      </c>
      <c r="B3265" s="1">
        <v>123</v>
      </c>
      <c r="C3265" s="258" t="s">
        <v>7208</v>
      </c>
      <c r="D3265" t="s">
        <v>1255</v>
      </c>
      <c r="E3265" t="s">
        <v>7209</v>
      </c>
      <c r="F3265"/>
      <c r="H3265" s="1">
        <v>18000</v>
      </c>
      <c r="I3265"/>
      <c r="J3265" t="s">
        <v>7207</v>
      </c>
      <c r="K3265" s="170">
        <v>45961</v>
      </c>
      <c r="L3265" s="1">
        <v>12469.742943475689</v>
      </c>
      <c r="M3265" s="1">
        <v>45961</v>
      </c>
    </row>
    <row r="3266" spans="1:14" ht="14.4" hidden="1">
      <c r="A3266" t="s">
        <v>226</v>
      </c>
      <c r="B3266" s="1">
        <v>124</v>
      </c>
      <c r="C3266" s="258" t="s">
        <v>7210</v>
      </c>
      <c r="D3266" t="s">
        <v>1255</v>
      </c>
      <c r="E3266" t="s">
        <v>7211</v>
      </c>
      <c r="F3266"/>
      <c r="H3266" s="1">
        <v>60000</v>
      </c>
      <c r="I3266"/>
      <c r="J3266" t="s">
        <v>7212</v>
      </c>
      <c r="K3266" s="170">
        <v>45991</v>
      </c>
      <c r="L3266" s="1">
        <v>38348.821150162417</v>
      </c>
      <c r="M3266" s="1">
        <v>45989</v>
      </c>
    </row>
    <row r="3267" spans="1:14" ht="14.4" hidden="1">
      <c r="A3267" t="s">
        <v>226</v>
      </c>
      <c r="B3267" s="1">
        <v>125</v>
      </c>
      <c r="C3267" s="258" t="s">
        <v>7213</v>
      </c>
      <c r="D3267" t="s">
        <v>1255</v>
      </c>
      <c r="E3267" t="s">
        <v>7214</v>
      </c>
      <c r="F3267"/>
      <c r="H3267" s="1">
        <v>10000</v>
      </c>
      <c r="I3267" t="s">
        <v>7215</v>
      </c>
      <c r="J3267" t="s">
        <v>7216</v>
      </c>
      <c r="K3267" s="170">
        <v>46022</v>
      </c>
      <c r="L3267" s="1">
        <v>6927.6372583925622</v>
      </c>
      <c r="M3267" s="1">
        <v>46003</v>
      </c>
    </row>
    <row r="3268" spans="1:14" ht="14.4" hidden="1">
      <c r="A3268" t="s">
        <v>226</v>
      </c>
      <c r="B3268" s="1">
        <v>129</v>
      </c>
      <c r="C3268" s="258" t="s">
        <v>7217</v>
      </c>
      <c r="D3268" t="s">
        <v>1255</v>
      </c>
      <c r="E3268" t="s">
        <v>1169</v>
      </c>
      <c r="F3268">
        <v>196544</v>
      </c>
      <c r="G3268">
        <v>0.1</v>
      </c>
      <c r="H3268" s="1">
        <v>19654.400000000001</v>
      </c>
      <c r="I3268"/>
      <c r="J3268" t="s">
        <v>7124</v>
      </c>
      <c r="K3268" s="170">
        <v>45961</v>
      </c>
      <c r="L3268" s="1">
        <v>13615.850872680478</v>
      </c>
      <c r="M3268" s="1">
        <v>45967</v>
      </c>
    </row>
    <row r="3269" spans="1:14" ht="14.4" hidden="1">
      <c r="A3269" t="s">
        <v>226</v>
      </c>
      <c r="B3269" s="1">
        <v>130</v>
      </c>
      <c r="C3269" s="258" t="s">
        <v>7218</v>
      </c>
      <c r="D3269" t="s">
        <v>1255</v>
      </c>
      <c r="E3269" t="s">
        <v>558</v>
      </c>
      <c r="F3269"/>
      <c r="G3269">
        <v>0.15</v>
      </c>
      <c r="H3269" s="1">
        <v>29481.599999999999</v>
      </c>
      <c r="I3269"/>
      <c r="J3269" t="s">
        <v>7126</v>
      </c>
      <c r="K3269" s="170">
        <v>45961</v>
      </c>
      <c r="L3269" s="1">
        <v>20423.776309020712</v>
      </c>
      <c r="M3269" s="1">
        <v>45967</v>
      </c>
    </row>
    <row r="3270" spans="1:14" ht="14.4" hidden="1">
      <c r="A3270" t="s">
        <v>226</v>
      </c>
      <c r="B3270" s="1">
        <v>131</v>
      </c>
      <c r="C3270" s="258" t="s">
        <v>7219</v>
      </c>
      <c r="D3270" t="s">
        <v>1255</v>
      </c>
      <c r="E3270" t="s">
        <v>1175</v>
      </c>
      <c r="F3270"/>
      <c r="G3270">
        <v>0.1</v>
      </c>
      <c r="H3270" s="1">
        <v>19654.400000000001</v>
      </c>
      <c r="I3270"/>
      <c r="J3270" t="s">
        <v>7128</v>
      </c>
      <c r="K3270" s="170">
        <v>46022</v>
      </c>
      <c r="L3270" s="1">
        <v>16832.875373135081</v>
      </c>
      <c r="M3270" s="1">
        <v>46003</v>
      </c>
    </row>
    <row r="3271" spans="1:14" ht="14.4" hidden="1">
      <c r="A3271" t="s">
        <v>226</v>
      </c>
      <c r="B3271" s="1">
        <v>132</v>
      </c>
      <c r="C3271" s="258" t="s">
        <v>7220</v>
      </c>
      <c r="D3271" t="s">
        <v>1255</v>
      </c>
      <c r="E3271" t="s">
        <v>1175</v>
      </c>
      <c r="F3271"/>
      <c r="G3271">
        <v>7.4999999999999997E-2</v>
      </c>
      <c r="H3271" s="1">
        <v>14740.8</v>
      </c>
      <c r="I3271"/>
      <c r="J3271" t="s">
        <v>7130</v>
      </c>
      <c r="K3271" s="170">
        <v>46053</v>
      </c>
      <c r="L3271" s="1">
        <v>16832.875373135081</v>
      </c>
      <c r="M3271" s="1">
        <v>46067</v>
      </c>
    </row>
    <row r="3272" spans="1:14" ht="14.4" hidden="1">
      <c r="A3272" t="s">
        <v>226</v>
      </c>
      <c r="B3272" s="1">
        <v>133</v>
      </c>
      <c r="C3272" s="258" t="s">
        <v>7221</v>
      </c>
      <c r="D3272" t="s">
        <v>1255</v>
      </c>
      <c r="E3272" t="s">
        <v>1175</v>
      </c>
      <c r="F3272"/>
      <c r="G3272">
        <v>2.5000000000000001E-2</v>
      </c>
      <c r="H3272" s="1">
        <v>4913.6000000000004</v>
      </c>
      <c r="I3272"/>
      <c r="J3272"/>
      <c r="K3272" s="170">
        <v>46081</v>
      </c>
      <c r="L3272" s="1">
        <v>3403.9638432837701</v>
      </c>
      <c r="M3272" s="1">
        <v>46074</v>
      </c>
    </row>
    <row r="3273" spans="1:14" ht="14.4" hidden="1">
      <c r="A3273" t="s">
        <v>226</v>
      </c>
      <c r="B3273" s="1">
        <v>134</v>
      </c>
      <c r="C3273" s="258" t="s">
        <v>7222</v>
      </c>
      <c r="D3273" t="s">
        <v>1255</v>
      </c>
      <c r="E3273" t="s">
        <v>1178</v>
      </c>
      <c r="F3273"/>
      <c r="G3273">
        <v>0.2</v>
      </c>
      <c r="H3273" s="1">
        <v>39308.699999999997</v>
      </c>
      <c r="I3273"/>
      <c r="J3273" t="s">
        <v>7128</v>
      </c>
      <c r="K3273" s="170">
        <v>46022</v>
      </c>
      <c r="L3273" s="1">
        <v>27231.641469897571</v>
      </c>
      <c r="M3273" s="1">
        <v>46003</v>
      </c>
    </row>
    <row r="3274" spans="1:14" ht="14.4" hidden="1">
      <c r="A3274" t="s">
        <v>226</v>
      </c>
      <c r="B3274" s="1">
        <v>135</v>
      </c>
      <c r="C3274" s="258" t="s">
        <v>7223</v>
      </c>
      <c r="D3274" t="s">
        <v>1255</v>
      </c>
      <c r="E3274" t="s">
        <v>1178</v>
      </c>
      <c r="F3274"/>
      <c r="G3274">
        <v>2.5000000000000001E-2</v>
      </c>
      <c r="H3274" s="1">
        <v>4913.6000000000004</v>
      </c>
      <c r="I3274"/>
      <c r="J3274" t="s">
        <v>7130</v>
      </c>
      <c r="K3274" s="170">
        <v>46053</v>
      </c>
      <c r="L3274" s="1">
        <v>16832.875373135081</v>
      </c>
      <c r="M3274" s="1">
        <v>46067</v>
      </c>
    </row>
    <row r="3275" spans="1:14" ht="14.4" hidden="1">
      <c r="A3275" t="s">
        <v>226</v>
      </c>
      <c r="B3275" s="1">
        <v>136</v>
      </c>
      <c r="C3275" s="258" t="s">
        <v>7224</v>
      </c>
      <c r="D3275" t="s">
        <v>1255</v>
      </c>
      <c r="E3275" t="s">
        <v>1178</v>
      </c>
      <c r="F3275"/>
      <c r="G3275">
        <v>2.5000000000000001E-2</v>
      </c>
      <c r="H3275" s="1">
        <v>4913.6000000000004</v>
      </c>
      <c r="I3275"/>
      <c r="J3275"/>
      <c r="K3275" s="170">
        <v>46081</v>
      </c>
      <c r="L3275" s="1">
        <v>3403.9638432837701</v>
      </c>
      <c r="M3275" s="1">
        <v>46074</v>
      </c>
    </row>
    <row r="3276" spans="1:14" ht="14.4" hidden="1">
      <c r="A3276" t="s">
        <v>226</v>
      </c>
      <c r="B3276" s="1">
        <v>137</v>
      </c>
      <c r="C3276" s="258" t="s">
        <v>7225</v>
      </c>
      <c r="D3276" t="s">
        <v>1255</v>
      </c>
      <c r="E3276" t="s">
        <v>1181</v>
      </c>
      <c r="F3276"/>
      <c r="G3276">
        <v>0.1</v>
      </c>
      <c r="H3276" s="1">
        <v>19654.400000000001</v>
      </c>
      <c r="I3276"/>
      <c r="J3276"/>
      <c r="K3276" s="170">
        <v>46081</v>
      </c>
      <c r="L3276" s="1">
        <v>13615.85537313508</v>
      </c>
      <c r="M3276" s="1">
        <v>46079</v>
      </c>
    </row>
    <row r="3277" spans="1:14" ht="14.4" hidden="1">
      <c r="A3277" t="s">
        <v>226</v>
      </c>
      <c r="B3277" s="1">
        <v>138</v>
      </c>
      <c r="C3277" s="258" t="s">
        <v>7226</v>
      </c>
      <c r="D3277" t="s">
        <v>1255</v>
      </c>
      <c r="E3277" t="s">
        <v>1184</v>
      </c>
      <c r="F3277"/>
      <c r="G3277">
        <v>0.1</v>
      </c>
      <c r="H3277" s="1">
        <v>19654.400000000001</v>
      </c>
      <c r="I3277"/>
      <c r="J3277"/>
      <c r="K3277" s="170">
        <v>46112</v>
      </c>
      <c r="L3277" s="1">
        <v>13615.85537313508</v>
      </c>
      <c r="M3277" s="1">
        <v>46091</v>
      </c>
    </row>
    <row r="3278" spans="1:14" ht="14.4" hidden="1">
      <c r="A3278" t="s">
        <v>226</v>
      </c>
      <c r="B3278" s="1">
        <v>139</v>
      </c>
      <c r="C3278" s="258" t="s">
        <v>7227</v>
      </c>
      <c r="D3278" t="s">
        <v>1255</v>
      </c>
      <c r="E3278" t="s">
        <v>1187</v>
      </c>
      <c r="F3278"/>
      <c r="G3278">
        <v>0.05</v>
      </c>
      <c r="H3278" s="1">
        <v>9827.2000000000007</v>
      </c>
      <c r="I3278"/>
      <c r="J3278"/>
      <c r="K3278" s="170">
        <v>46112</v>
      </c>
      <c r="L3278" s="1">
        <v>6807.9276865675401</v>
      </c>
      <c r="M3278" s="1">
        <v>46091</v>
      </c>
    </row>
    <row r="3279" spans="1:14" ht="14.4" hidden="1">
      <c r="A3279" t="s">
        <v>226</v>
      </c>
      <c r="B3279" s="1">
        <v>140</v>
      </c>
      <c r="C3279" s="258" t="s">
        <v>7228</v>
      </c>
      <c r="D3279" t="s">
        <v>1255</v>
      </c>
      <c r="E3279" t="s">
        <v>1190</v>
      </c>
      <c r="F3279"/>
      <c r="G3279">
        <v>0.05</v>
      </c>
      <c r="H3279" s="1">
        <v>9827.2000000000007</v>
      </c>
      <c r="I3279"/>
      <c r="J3279"/>
      <c r="K3279" s="170">
        <v>46112</v>
      </c>
      <c r="L3279" s="1">
        <v>6807.9276865675401</v>
      </c>
      <c r="M3279" s="1">
        <v>46114</v>
      </c>
    </row>
    <row r="3280" spans="1:14" ht="14.4" hidden="1">
      <c r="A3280" t="s">
        <v>226</v>
      </c>
      <c r="B3280" s="1">
        <v>145</v>
      </c>
      <c r="C3280" s="258" t="s">
        <v>7229</v>
      </c>
      <c r="D3280" t="s">
        <v>1264</v>
      </c>
      <c r="E3280" t="s">
        <v>1265</v>
      </c>
      <c r="F3280"/>
      <c r="H3280" s="1">
        <v>34004.250000000007</v>
      </c>
      <c r="I3280"/>
      <c r="J3280"/>
      <c r="K3280" s="170">
        <v>46112</v>
      </c>
      <c r="L3280" s="1">
        <v>39765.390940981837</v>
      </c>
      <c r="M3280" s="1">
        <v>46112</v>
      </c>
      <c r="N3280" s="1">
        <v>142343.85</v>
      </c>
    </row>
    <row r="3281" spans="1:14" ht="14.4" hidden="1">
      <c r="A3281" t="s">
        <v>226</v>
      </c>
      <c r="B3281" s="1">
        <v>146</v>
      </c>
      <c r="C3281" s="258" t="s">
        <v>7230</v>
      </c>
      <c r="D3281" t="s">
        <v>1264</v>
      </c>
      <c r="E3281" t="s">
        <v>1594</v>
      </c>
      <c r="F3281"/>
      <c r="H3281" s="1">
        <v>9019.6</v>
      </c>
      <c r="I3281"/>
      <c r="J3281" t="s">
        <v>7231</v>
      </c>
      <c r="K3281" s="170">
        <v>45930</v>
      </c>
      <c r="L3281" s="1">
        <v>14096.219464915206</v>
      </c>
      <c r="M3281" s="1">
        <v>45757</v>
      </c>
    </row>
    <row r="3282" spans="1:14" ht="14.4" hidden="1">
      <c r="A3282" t="s">
        <v>226</v>
      </c>
      <c r="B3282" s="1">
        <v>147</v>
      </c>
      <c r="C3282" s="258" t="s">
        <v>7232</v>
      </c>
      <c r="D3282" t="s">
        <v>1264</v>
      </c>
      <c r="E3282" t="s">
        <v>7233</v>
      </c>
      <c r="F3282"/>
      <c r="H3282" s="1">
        <v>9620</v>
      </c>
      <c r="I3282"/>
      <c r="J3282" t="s">
        <v>7234</v>
      </c>
      <c r="K3282" s="170">
        <v>45930</v>
      </c>
      <c r="L3282" s="1">
        <v>15034.550451514951</v>
      </c>
      <c r="M3282" s="1">
        <v>45723</v>
      </c>
    </row>
    <row r="3283" spans="1:14" ht="14.4" hidden="1">
      <c r="A3283" t="s">
        <v>226</v>
      </c>
      <c r="B3283" s="1">
        <v>148</v>
      </c>
      <c r="C3283" s="258" t="s">
        <v>7235</v>
      </c>
      <c r="D3283" t="s">
        <v>1264</v>
      </c>
      <c r="E3283" t="s">
        <v>2090</v>
      </c>
      <c r="F3283"/>
      <c r="H3283" s="1">
        <v>79700</v>
      </c>
      <c r="I3283" t="s">
        <v>7236</v>
      </c>
      <c r="J3283" t="s">
        <v>7237</v>
      </c>
      <c r="K3283" s="170">
        <v>45930</v>
      </c>
      <c r="L3283" s="1">
        <v>123406.013657562</v>
      </c>
      <c r="M3283" s="1">
        <v>45716</v>
      </c>
    </row>
    <row r="3284" spans="1:14" ht="14.4" hidden="1">
      <c r="A3284" t="s">
        <v>226</v>
      </c>
      <c r="B3284" s="1">
        <v>149</v>
      </c>
      <c r="C3284" s="258" t="s">
        <v>7238</v>
      </c>
      <c r="D3284" t="s">
        <v>1264</v>
      </c>
      <c r="E3284" t="s">
        <v>3853</v>
      </c>
      <c r="F3284"/>
      <c r="H3284" s="1">
        <v>10000</v>
      </c>
      <c r="I3284"/>
      <c r="J3284"/>
      <c r="K3284" s="170">
        <v>46112</v>
      </c>
      <c r="L3284" s="1">
        <v>14530.49572949906</v>
      </c>
      <c r="M3284" s="1">
        <v>46112</v>
      </c>
    </row>
    <row r="3285" spans="1:14" ht="14.4" hidden="1">
      <c r="A3285" t="s">
        <v>226</v>
      </c>
      <c r="B3285" s="1">
        <v>154</v>
      </c>
      <c r="C3285" s="258" t="s">
        <v>7239</v>
      </c>
      <c r="D3285" t="s">
        <v>1277</v>
      </c>
      <c r="E3285" t="s">
        <v>1278</v>
      </c>
      <c r="F3285"/>
      <c r="H3285" s="1">
        <v>130354.30432724</v>
      </c>
      <c r="I3285"/>
      <c r="J3285"/>
      <c r="K3285" s="170">
        <v>46112</v>
      </c>
      <c r="L3285" s="1">
        <v>487762.08457115811</v>
      </c>
      <c r="M3285" s="1">
        <v>46112</v>
      </c>
      <c r="N3285" s="1">
        <v>130354.30432724</v>
      </c>
    </row>
    <row r="3286" spans="1:14" ht="14.4" hidden="1">
      <c r="A3286" t="s">
        <v>226</v>
      </c>
      <c r="B3286" s="1">
        <v>161</v>
      </c>
      <c r="C3286" s="258" t="s">
        <v>7240</v>
      </c>
      <c r="D3286" t="s">
        <v>1280</v>
      </c>
      <c r="E3286" t="s">
        <v>1281</v>
      </c>
      <c r="F3286"/>
      <c r="H3286" s="1">
        <v>13986.749999999998</v>
      </c>
      <c r="I3286"/>
      <c r="J3286" t="s">
        <v>1604</v>
      </c>
      <c r="K3286" s="170">
        <v>45930</v>
      </c>
      <c r="L3286" s="1">
        <v>16326.887799201642</v>
      </c>
      <c r="M3286" s="1">
        <v>45905</v>
      </c>
      <c r="N3286" s="1">
        <v>38589.800000000003</v>
      </c>
    </row>
    <row r="3287" spans="1:14" ht="14.4" hidden="1">
      <c r="A3287" t="s">
        <v>226</v>
      </c>
      <c r="B3287" s="1">
        <v>162</v>
      </c>
      <c r="C3287" s="258" t="s">
        <v>7241</v>
      </c>
      <c r="D3287" t="s">
        <v>1280</v>
      </c>
      <c r="E3287" t="s">
        <v>1281</v>
      </c>
      <c r="F3287"/>
      <c r="H3287" s="1">
        <v>10587.7</v>
      </c>
      <c r="I3287"/>
      <c r="J3287" t="s">
        <v>1604</v>
      </c>
      <c r="K3287" s="170">
        <v>45961</v>
      </c>
      <c r="L3287" s="1">
        <v>3732.106678246093</v>
      </c>
      <c r="M3287" s="1">
        <v>45967</v>
      </c>
    </row>
    <row r="3288" spans="1:14" ht="14.4" hidden="1">
      <c r="A3288" t="s">
        <v>226</v>
      </c>
      <c r="B3288" s="1">
        <v>163</v>
      </c>
      <c r="C3288" s="258" t="s">
        <v>7242</v>
      </c>
      <c r="D3288" t="s">
        <v>1280</v>
      </c>
      <c r="E3288" t="s">
        <v>1281</v>
      </c>
      <c r="F3288"/>
      <c r="H3288" s="1">
        <v>5515.35</v>
      </c>
      <c r="I3288"/>
      <c r="J3288" t="s">
        <v>1604</v>
      </c>
      <c r="K3288" s="170">
        <v>45991</v>
      </c>
      <c r="L3288" s="1">
        <v>3279.4745358867531</v>
      </c>
      <c r="M3288" s="1">
        <v>45996</v>
      </c>
    </row>
    <row r="3289" spans="1:14" ht="14.4" hidden="1">
      <c r="A3289" t="s">
        <v>226</v>
      </c>
      <c r="B3289" s="1">
        <v>164</v>
      </c>
      <c r="C3289" s="258" t="s">
        <v>7243</v>
      </c>
      <c r="D3289" t="s">
        <v>1280</v>
      </c>
      <c r="E3289" t="s">
        <v>1281</v>
      </c>
      <c r="F3289"/>
      <c r="H3289" s="1">
        <v>0</v>
      </c>
      <c r="I3289"/>
      <c r="J3289" t="s">
        <v>1604</v>
      </c>
      <c r="K3289" s="170">
        <v>46022</v>
      </c>
      <c r="L3289" s="1">
        <v>0</v>
      </c>
      <c r="M3289" s="1">
        <v>46022</v>
      </c>
    </row>
    <row r="3290" spans="1:14" ht="14.4" hidden="1">
      <c r="A3290" t="s">
        <v>226</v>
      </c>
      <c r="B3290" s="1">
        <v>165</v>
      </c>
      <c r="C3290" s="258" t="s">
        <v>7244</v>
      </c>
      <c r="D3290" t="s">
        <v>1280</v>
      </c>
      <c r="E3290" t="s">
        <v>1281</v>
      </c>
      <c r="F3290"/>
      <c r="H3290" s="1">
        <v>0</v>
      </c>
      <c r="I3290"/>
      <c r="J3290" t="s">
        <v>1604</v>
      </c>
      <c r="K3290" s="170">
        <v>46053</v>
      </c>
      <c r="L3290" s="1">
        <v>0</v>
      </c>
      <c r="M3290" s="1">
        <v>46058</v>
      </c>
    </row>
    <row r="3291" spans="1:14" ht="14.4" hidden="1">
      <c r="A3291" t="s">
        <v>226</v>
      </c>
      <c r="B3291" s="1">
        <v>166</v>
      </c>
      <c r="C3291" s="258" t="s">
        <v>7245</v>
      </c>
      <c r="D3291" t="s">
        <v>1280</v>
      </c>
      <c r="F3291"/>
      <c r="H3291" s="1">
        <v>8500</v>
      </c>
      <c r="I3291"/>
      <c r="J3291"/>
      <c r="K3291" s="170">
        <v>46081</v>
      </c>
      <c r="L3291" s="1">
        <v>4661.5309866655198</v>
      </c>
      <c r="M3291" s="1">
        <v>46093</v>
      </c>
    </row>
    <row r="3292" spans="1:14" ht="14.4" hidden="1">
      <c r="A3292" t="s">
        <v>226</v>
      </c>
      <c r="B3292" s="1">
        <v>176</v>
      </c>
      <c r="C3292" s="258" t="s">
        <v>7246</v>
      </c>
      <c r="D3292" t="s">
        <v>1451</v>
      </c>
      <c r="E3292" t="s">
        <v>7247</v>
      </c>
      <c r="F3292"/>
      <c r="H3292" s="1">
        <v>56132.72</v>
      </c>
      <c r="I3292" t="s">
        <v>7248</v>
      </c>
      <c r="J3292" t="s">
        <v>7249</v>
      </c>
      <c r="K3292" s="170">
        <v>46022</v>
      </c>
      <c r="M3292" s="1">
        <v>46058</v>
      </c>
    </row>
    <row r="3293" spans="1:14" ht="14.4" hidden="1">
      <c r="A3293" t="s">
        <v>226</v>
      </c>
      <c r="B3293" s="1">
        <v>177</v>
      </c>
      <c r="C3293" s="258" t="s">
        <v>7250</v>
      </c>
      <c r="D3293" t="s">
        <v>1451</v>
      </c>
      <c r="E3293" t="s">
        <v>7251</v>
      </c>
      <c r="F3293"/>
      <c r="H3293" s="1">
        <v>54437.33</v>
      </c>
      <c r="I3293" t="s">
        <v>7252</v>
      </c>
      <c r="J3293" t="s">
        <v>7130</v>
      </c>
      <c r="K3293" s="170">
        <v>46053</v>
      </c>
      <c r="M3293" s="1">
        <v>46067</v>
      </c>
    </row>
    <row r="3294" spans="1:14" ht="14.4" hidden="1">
      <c r="A3294" t="s">
        <v>226</v>
      </c>
      <c r="B3294" s="1">
        <v>179</v>
      </c>
      <c r="C3294" s="258" t="s">
        <v>7253</v>
      </c>
      <c r="D3294" t="s">
        <v>1451</v>
      </c>
      <c r="E3294" t="s">
        <v>7254</v>
      </c>
      <c r="F3294"/>
      <c r="H3294" s="1">
        <v>95838</v>
      </c>
      <c r="I3294"/>
      <c r="J3294" t="s">
        <v>7130</v>
      </c>
      <c r="K3294" s="170">
        <v>46053</v>
      </c>
      <c r="M3294" s="1">
        <v>46067</v>
      </c>
    </row>
    <row r="3295" spans="1:14" ht="14.4" hidden="1">
      <c r="A3295" t="s">
        <v>226</v>
      </c>
      <c r="B3295" s="1">
        <v>181</v>
      </c>
      <c r="C3295" s="258" t="s">
        <v>7255</v>
      </c>
      <c r="D3295" t="s">
        <v>1451</v>
      </c>
      <c r="E3295" t="s">
        <v>7256</v>
      </c>
      <c r="F3295"/>
      <c r="H3295" s="1">
        <v>21393.95</v>
      </c>
      <c r="I3295" t="s">
        <v>7257</v>
      </c>
      <c r="J3295"/>
      <c r="K3295" s="170">
        <v>46112</v>
      </c>
      <c r="M3295" s="1">
        <v>46112</v>
      </c>
    </row>
    <row r="3296" spans="1:14" ht="14.4" hidden="1">
      <c r="A3296" t="s">
        <v>231</v>
      </c>
      <c r="B3296" s="1">
        <v>6</v>
      </c>
      <c r="C3296" s="258" t="s">
        <v>7258</v>
      </c>
      <c r="D3296" t="s">
        <v>1146</v>
      </c>
      <c r="E3296" t="s">
        <v>7259</v>
      </c>
      <c r="F3296">
        <v>360</v>
      </c>
      <c r="G3296">
        <v>1200</v>
      </c>
      <c r="H3296" s="1">
        <v>432000</v>
      </c>
      <c r="I3296"/>
      <c r="J3296" t="s">
        <v>7260</v>
      </c>
      <c r="K3296" s="170">
        <v>45991</v>
      </c>
      <c r="L3296" s="1">
        <v>594339.80787426222</v>
      </c>
      <c r="M3296" s="1">
        <v>46037</v>
      </c>
      <c r="N3296" s="1">
        <v>506043.6</v>
      </c>
    </row>
    <row r="3297" spans="1:14" ht="14.4" hidden="1">
      <c r="A3297" t="s">
        <v>231</v>
      </c>
      <c r="B3297" s="1">
        <v>7</v>
      </c>
      <c r="C3297" s="258" t="s">
        <v>7261</v>
      </c>
      <c r="D3297" t="s">
        <v>1146</v>
      </c>
      <c r="E3297" t="s">
        <v>7259</v>
      </c>
      <c r="F3297">
        <v>57</v>
      </c>
      <c r="G3297">
        <v>1200</v>
      </c>
      <c r="H3297" s="1">
        <v>68400</v>
      </c>
      <c r="I3297"/>
      <c r="J3297" t="s">
        <v>7262</v>
      </c>
      <c r="K3297" s="170">
        <v>45991</v>
      </c>
      <c r="L3297" s="1">
        <v>94103.802913424835</v>
      </c>
      <c r="M3297" s="1">
        <v>46037</v>
      </c>
    </row>
    <row r="3298" spans="1:14" ht="14.4" hidden="1">
      <c r="A3298" t="s">
        <v>231</v>
      </c>
      <c r="B3298" s="1">
        <v>8</v>
      </c>
      <c r="C3298" s="258" t="s">
        <v>7263</v>
      </c>
      <c r="D3298" t="s">
        <v>1146</v>
      </c>
      <c r="E3298" t="s">
        <v>6387</v>
      </c>
      <c r="F3298"/>
      <c r="H3298" s="1">
        <v>3143.6</v>
      </c>
      <c r="I3298"/>
      <c r="J3298" t="s">
        <v>7264</v>
      </c>
      <c r="K3298" s="170">
        <v>45991</v>
      </c>
      <c r="L3298" s="1">
        <v>4324.9227315590988</v>
      </c>
      <c r="M3298" s="1">
        <v>46045</v>
      </c>
    </row>
    <row r="3299" spans="1:14" ht="14.4" hidden="1">
      <c r="A3299" t="s">
        <v>231</v>
      </c>
      <c r="B3299" s="1">
        <v>10</v>
      </c>
      <c r="C3299" s="258" t="s">
        <v>7265</v>
      </c>
      <c r="D3299" t="s">
        <v>1146</v>
      </c>
      <c r="E3299" t="s">
        <v>7266</v>
      </c>
      <c r="F3299"/>
      <c r="H3299" s="1">
        <v>2500</v>
      </c>
      <c r="I3299"/>
      <c r="J3299" t="s">
        <v>7267</v>
      </c>
      <c r="K3299" s="170">
        <v>45991</v>
      </c>
      <c r="L3299" s="1">
        <v>3439.4664807538325</v>
      </c>
      <c r="M3299" s="1">
        <v>46045</v>
      </c>
    </row>
    <row r="3300" spans="1:14" ht="14.4" hidden="1">
      <c r="A3300" t="s">
        <v>231</v>
      </c>
      <c r="B3300" s="1">
        <v>13</v>
      </c>
      <c r="C3300" s="258" t="s">
        <v>7268</v>
      </c>
      <c r="D3300" t="s">
        <v>1157</v>
      </c>
      <c r="E3300" t="s">
        <v>7269</v>
      </c>
      <c r="F3300">
        <v>2</v>
      </c>
      <c r="G3300">
        <v>68870.350000000006</v>
      </c>
      <c r="H3300" s="1">
        <v>137740.70000000001</v>
      </c>
      <c r="I3300"/>
      <c r="J3300" t="s">
        <v>7262</v>
      </c>
      <c r="K3300" s="170">
        <v>45991</v>
      </c>
      <c r="L3300" s="1">
        <v>175000</v>
      </c>
      <c r="M3300" s="1">
        <v>46037</v>
      </c>
      <c r="N3300" s="1">
        <v>137740.70000000001</v>
      </c>
    </row>
    <row r="3301" spans="1:14" ht="14.4" hidden="1">
      <c r="A3301" t="s">
        <v>231</v>
      </c>
      <c r="B3301" s="1">
        <v>22</v>
      </c>
      <c r="C3301" s="258" t="s">
        <v>7270</v>
      </c>
      <c r="D3301" t="s">
        <v>1160</v>
      </c>
      <c r="E3301" t="s">
        <v>1161</v>
      </c>
      <c r="F3301"/>
      <c r="H3301" s="1">
        <v>76171</v>
      </c>
      <c r="I3301" t="s">
        <v>7271</v>
      </c>
      <c r="J3301" t="s">
        <v>7272</v>
      </c>
      <c r="K3301" s="170">
        <v>45991</v>
      </c>
      <c r="L3301" s="1">
        <v>124985.3033761515</v>
      </c>
      <c r="M3301" s="1">
        <v>46021</v>
      </c>
    </row>
    <row r="3302" spans="1:14" ht="14.4" hidden="1">
      <c r="A3302" t="s">
        <v>231</v>
      </c>
      <c r="B3302" s="1">
        <v>24</v>
      </c>
      <c r="C3302" s="258" t="s">
        <v>7273</v>
      </c>
      <c r="D3302" t="s">
        <v>1160</v>
      </c>
      <c r="E3302" t="s">
        <v>7274</v>
      </c>
      <c r="F3302"/>
      <c r="H3302" s="1">
        <v>1948</v>
      </c>
      <c r="I3302" t="s">
        <v>7275</v>
      </c>
      <c r="J3302" t="s">
        <v>7276</v>
      </c>
      <c r="K3302" s="170">
        <v>45991</v>
      </c>
      <c r="L3302" s="1">
        <v>3125.4735523543818</v>
      </c>
      <c r="M3302" s="1">
        <v>46021</v>
      </c>
    </row>
    <row r="3303" spans="1:14" ht="14.4" hidden="1">
      <c r="A3303" t="s">
        <v>231</v>
      </c>
      <c r="B3303" s="1">
        <v>29</v>
      </c>
      <c r="C3303" s="258" t="s">
        <v>7277</v>
      </c>
      <c r="D3303" t="s">
        <v>1165</v>
      </c>
      <c r="E3303" t="s">
        <v>836</v>
      </c>
      <c r="F3303">
        <v>6000</v>
      </c>
      <c r="G3303">
        <v>13.65</v>
      </c>
      <c r="H3303" s="1">
        <v>81900</v>
      </c>
      <c r="I3303"/>
      <c r="J3303" t="s">
        <v>7262</v>
      </c>
      <c r="K3303" s="170">
        <v>45991</v>
      </c>
      <c r="L3303" s="1">
        <v>143405.58617645298</v>
      </c>
      <c r="M3303" s="1">
        <v>46037</v>
      </c>
      <c r="N3303" s="1">
        <v>93178.369999999981</v>
      </c>
    </row>
    <row r="3304" spans="1:14" ht="14.4" hidden="1">
      <c r="A3304" t="s">
        <v>231</v>
      </c>
      <c r="B3304" s="1">
        <v>30</v>
      </c>
      <c r="C3304" s="258" t="s">
        <v>7278</v>
      </c>
      <c r="D3304" t="s">
        <v>1165</v>
      </c>
      <c r="E3304" t="s">
        <v>7279</v>
      </c>
      <c r="F3304">
        <v>-1000</v>
      </c>
      <c r="G3304">
        <v>13.65</v>
      </c>
      <c r="H3304" s="1">
        <v>-13650</v>
      </c>
      <c r="I3304"/>
      <c r="J3304" t="s">
        <v>7280</v>
      </c>
      <c r="K3304" s="170">
        <v>46022</v>
      </c>
      <c r="L3304" s="1">
        <v>0</v>
      </c>
      <c r="M3304" s="1">
        <v>46022</v>
      </c>
    </row>
    <row r="3305" spans="1:14" ht="14.4" hidden="1">
      <c r="A3305" t="s">
        <v>231</v>
      </c>
      <c r="B3305" s="1">
        <v>31</v>
      </c>
      <c r="C3305" s="258" t="s">
        <v>7281</v>
      </c>
      <c r="D3305" t="s">
        <v>1165</v>
      </c>
      <c r="E3305" t="s">
        <v>6321</v>
      </c>
      <c r="F3305">
        <v>-1300</v>
      </c>
      <c r="G3305">
        <v>13.65</v>
      </c>
      <c r="H3305" s="1">
        <v>-17745</v>
      </c>
      <c r="I3305"/>
      <c r="J3305" t="s">
        <v>7280</v>
      </c>
      <c r="K3305" s="170">
        <v>46022</v>
      </c>
      <c r="L3305" s="1">
        <v>0</v>
      </c>
      <c r="M3305" s="1">
        <v>46022</v>
      </c>
    </row>
    <row r="3306" spans="1:14" ht="14.4" hidden="1">
      <c r="A3306" t="s">
        <v>231</v>
      </c>
      <c r="B3306" s="1">
        <v>33</v>
      </c>
      <c r="C3306" s="258" t="s">
        <v>7282</v>
      </c>
      <c r="D3306" t="s">
        <v>1165</v>
      </c>
      <c r="E3306" t="s">
        <v>1169</v>
      </c>
      <c r="F3306">
        <v>42673.4</v>
      </c>
      <c r="G3306">
        <v>0.1</v>
      </c>
      <c r="H3306" s="1">
        <v>4267.34</v>
      </c>
      <c r="I3306" t="s">
        <v>7283</v>
      </c>
      <c r="J3306" t="s">
        <v>7284</v>
      </c>
      <c r="K3306" s="170">
        <v>45961</v>
      </c>
      <c r="L3306" s="1">
        <v>8718.1164575988332</v>
      </c>
      <c r="M3306" s="1">
        <v>45967</v>
      </c>
    </row>
    <row r="3307" spans="1:14" ht="14.4" hidden="1">
      <c r="A3307" t="s">
        <v>231</v>
      </c>
      <c r="B3307" s="1">
        <v>34</v>
      </c>
      <c r="C3307" s="258" t="s">
        <v>7285</v>
      </c>
      <c r="D3307" t="s">
        <v>1165</v>
      </c>
      <c r="E3307" t="s">
        <v>558</v>
      </c>
      <c r="F3307"/>
      <c r="G3307">
        <v>0.15</v>
      </c>
      <c r="H3307" s="1">
        <v>6401.01</v>
      </c>
      <c r="I3307"/>
      <c r="J3307" t="s">
        <v>7286</v>
      </c>
      <c r="K3307" s="170">
        <v>45991</v>
      </c>
      <c r="L3307" s="1">
        <v>17778.049203678111</v>
      </c>
      <c r="M3307" s="1">
        <v>45989</v>
      </c>
    </row>
    <row r="3308" spans="1:14" ht="14.4" hidden="1">
      <c r="A3308" t="s">
        <v>231</v>
      </c>
      <c r="B3308" s="1">
        <v>35</v>
      </c>
      <c r="C3308" s="258" t="s">
        <v>7287</v>
      </c>
      <c r="D3308" t="s">
        <v>1165</v>
      </c>
      <c r="E3308" t="s">
        <v>1175</v>
      </c>
      <c r="F3308"/>
      <c r="G3308">
        <v>0.2</v>
      </c>
      <c r="H3308" s="1">
        <v>8534.68</v>
      </c>
      <c r="I3308"/>
      <c r="J3308" t="s">
        <v>7288</v>
      </c>
      <c r="K3308" s="170">
        <v>45991</v>
      </c>
      <c r="L3308" s="1">
        <v>23704.065604904143</v>
      </c>
      <c r="M3308" s="1">
        <v>45989</v>
      </c>
    </row>
    <row r="3309" spans="1:14" ht="14.4" hidden="1">
      <c r="A3309" t="s">
        <v>231</v>
      </c>
      <c r="B3309" s="1">
        <v>36</v>
      </c>
      <c r="C3309" s="258" t="s">
        <v>7289</v>
      </c>
      <c r="D3309" t="s">
        <v>1165</v>
      </c>
      <c r="E3309" t="s">
        <v>7290</v>
      </c>
      <c r="F3309"/>
      <c r="G3309">
        <v>0.2</v>
      </c>
      <c r="H3309" s="1">
        <v>8534.68</v>
      </c>
      <c r="I3309"/>
      <c r="J3309" t="s">
        <v>7288</v>
      </c>
      <c r="K3309" s="170">
        <v>45991</v>
      </c>
      <c r="L3309" s="1">
        <v>23704.065604904143</v>
      </c>
      <c r="M3309" s="1">
        <v>45989</v>
      </c>
    </row>
    <row r="3310" spans="1:14" ht="14.4" hidden="1">
      <c r="A3310" t="s">
        <v>231</v>
      </c>
      <c r="B3310" s="1">
        <v>37</v>
      </c>
      <c r="C3310" s="258" t="s">
        <v>7291</v>
      </c>
      <c r="D3310" t="s">
        <v>1165</v>
      </c>
      <c r="E3310" t="s">
        <v>7290</v>
      </c>
      <c r="F3310"/>
      <c r="G3310">
        <v>0.05</v>
      </c>
      <c r="H3310" s="1">
        <v>2133.64</v>
      </c>
      <c r="I3310"/>
      <c r="J3310" t="s">
        <v>7292</v>
      </c>
      <c r="K3310" s="170">
        <v>46053</v>
      </c>
      <c r="L3310" s="1">
        <v>5925.9349877015457</v>
      </c>
      <c r="M3310" s="1">
        <v>46053</v>
      </c>
    </row>
    <row r="3311" spans="1:14" ht="14.4" hidden="1">
      <c r="A3311" t="s">
        <v>231</v>
      </c>
      <c r="B3311" s="1">
        <v>38</v>
      </c>
      <c r="C3311" s="258" t="s">
        <v>7293</v>
      </c>
      <c r="D3311" t="s">
        <v>1165</v>
      </c>
      <c r="E3311" t="s">
        <v>1181</v>
      </c>
      <c r="F3311"/>
      <c r="G3311">
        <v>0.1</v>
      </c>
      <c r="H3311" s="1">
        <v>4267.34</v>
      </c>
      <c r="I3311"/>
      <c r="J3311" t="s">
        <v>7292</v>
      </c>
      <c r="K3311" s="170">
        <v>46053</v>
      </c>
      <c r="L3311" s="1">
        <v>11852.036618369695</v>
      </c>
      <c r="M3311" s="1">
        <v>46058</v>
      </c>
    </row>
    <row r="3312" spans="1:14" ht="14.4" hidden="1">
      <c r="A3312" t="s">
        <v>231</v>
      </c>
      <c r="B3312" s="1">
        <v>39</v>
      </c>
      <c r="C3312" s="258" t="s">
        <v>7294</v>
      </c>
      <c r="D3312" t="s">
        <v>1165</v>
      </c>
      <c r="E3312" t="s">
        <v>1184</v>
      </c>
      <c r="F3312"/>
      <c r="G3312">
        <v>0.1</v>
      </c>
      <c r="H3312" s="1">
        <v>4267.34</v>
      </c>
      <c r="I3312"/>
      <c r="J3312" t="s">
        <v>7292</v>
      </c>
      <c r="K3312" s="170">
        <v>46053</v>
      </c>
      <c r="L3312" s="1">
        <v>11852.036618369695</v>
      </c>
      <c r="M3312" s="1">
        <v>46065</v>
      </c>
    </row>
    <row r="3313" spans="1:14" ht="14.4" hidden="1">
      <c r="A3313" t="s">
        <v>231</v>
      </c>
      <c r="B3313" s="1">
        <v>40</v>
      </c>
      <c r="C3313" s="258" t="s">
        <v>7295</v>
      </c>
      <c r="D3313" t="s">
        <v>1165</v>
      </c>
      <c r="E3313" t="s">
        <v>1187</v>
      </c>
      <c r="F3313"/>
      <c r="G3313">
        <v>0.05</v>
      </c>
      <c r="H3313" s="1">
        <v>2133.67</v>
      </c>
      <c r="I3313"/>
      <c r="J3313" t="s">
        <v>7296</v>
      </c>
      <c r="K3313" s="170">
        <v>46053</v>
      </c>
      <c r="L3313" s="1">
        <v>5926.0183091848476</v>
      </c>
      <c r="M3313" s="1">
        <v>46065</v>
      </c>
    </row>
    <row r="3314" spans="1:14" ht="14.4" hidden="1">
      <c r="A3314" t="s">
        <v>231</v>
      </c>
      <c r="B3314" s="1">
        <v>41</v>
      </c>
      <c r="C3314" s="258" t="s">
        <v>7297</v>
      </c>
      <c r="D3314" t="s">
        <v>1165</v>
      </c>
      <c r="E3314" t="s">
        <v>1190</v>
      </c>
      <c r="F3314"/>
      <c r="G3314">
        <v>0.05</v>
      </c>
      <c r="H3314" s="1">
        <v>2133.67</v>
      </c>
      <c r="I3314"/>
      <c r="J3314" t="s">
        <v>7296</v>
      </c>
      <c r="K3314" s="170">
        <v>46053</v>
      </c>
      <c r="L3314" s="1">
        <v>5926.0183091848476</v>
      </c>
      <c r="M3314" s="1">
        <v>46095</v>
      </c>
    </row>
    <row r="3315" spans="1:14" ht="14.4" hidden="1">
      <c r="A3315" t="s">
        <v>231</v>
      </c>
      <c r="B3315" s="1">
        <v>46</v>
      </c>
      <c r="C3315" s="258" t="s">
        <v>7298</v>
      </c>
      <c r="D3315" t="s">
        <v>1193</v>
      </c>
      <c r="E3315" t="s">
        <v>1489</v>
      </c>
      <c r="F3315"/>
      <c r="H3315" s="1">
        <v>8698.34</v>
      </c>
      <c r="I3315"/>
      <c r="J3315" t="s">
        <v>7299</v>
      </c>
      <c r="K3315" s="170">
        <v>45991</v>
      </c>
      <c r="L3315" s="1">
        <v>9080.9279110069801</v>
      </c>
      <c r="M3315" s="1">
        <v>46031</v>
      </c>
      <c r="N3315" s="1">
        <v>59038.009999999995</v>
      </c>
    </row>
    <row r="3316" spans="1:14" ht="14.4" hidden="1">
      <c r="A3316" t="s">
        <v>231</v>
      </c>
      <c r="B3316" s="1">
        <v>47</v>
      </c>
      <c r="C3316" s="258" t="s">
        <v>7300</v>
      </c>
      <c r="D3316" t="s">
        <v>1193</v>
      </c>
      <c r="E3316" t="s">
        <v>1196</v>
      </c>
      <c r="F3316"/>
      <c r="H3316" s="1">
        <v>25321</v>
      </c>
      <c r="I3316" t="s">
        <v>7301</v>
      </c>
      <c r="J3316" t="s">
        <v>7302</v>
      </c>
      <c r="K3316" s="170">
        <v>45961</v>
      </c>
      <c r="L3316" s="1">
        <v>26936.920577737092</v>
      </c>
      <c r="M3316" s="1">
        <v>46029</v>
      </c>
    </row>
    <row r="3317" spans="1:14" ht="14.4" hidden="1">
      <c r="A3317" t="s">
        <v>231</v>
      </c>
      <c r="B3317" s="1">
        <v>48</v>
      </c>
      <c r="C3317" s="258" t="s">
        <v>7303</v>
      </c>
      <c r="D3317" t="s">
        <v>1193</v>
      </c>
      <c r="E3317" t="s">
        <v>1200</v>
      </c>
      <c r="F3317">
        <v>2</v>
      </c>
      <c r="G3317">
        <v>11169</v>
      </c>
      <c r="H3317" s="1">
        <v>22338</v>
      </c>
      <c r="I3317"/>
      <c r="J3317" t="s">
        <v>7304</v>
      </c>
      <c r="K3317" s="170">
        <v>45961</v>
      </c>
      <c r="L3317" s="1">
        <v>23763.553250878369</v>
      </c>
      <c r="M3317" s="1">
        <v>45989</v>
      </c>
    </row>
    <row r="3318" spans="1:14" ht="14.4" hidden="1">
      <c r="A3318" t="s">
        <v>231</v>
      </c>
      <c r="B3318" s="1">
        <v>49</v>
      </c>
      <c r="C3318" s="258" t="s">
        <v>7305</v>
      </c>
      <c r="D3318" t="s">
        <v>1193</v>
      </c>
      <c r="E3318" t="s">
        <v>2301</v>
      </c>
      <c r="F3318"/>
      <c r="H3318" s="1">
        <v>343.33</v>
      </c>
      <c r="I3318"/>
      <c r="J3318" t="s">
        <v>4072</v>
      </c>
      <c r="K3318" s="170">
        <v>45961</v>
      </c>
      <c r="L3318" s="1">
        <v>365.24043054991802</v>
      </c>
      <c r="M3318" s="1">
        <v>45989</v>
      </c>
    </row>
    <row r="3319" spans="1:14" ht="14.4" hidden="1">
      <c r="A3319" t="s">
        <v>231</v>
      </c>
      <c r="B3319" s="1">
        <v>50</v>
      </c>
      <c r="C3319" s="258" t="s">
        <v>7306</v>
      </c>
      <c r="D3319" t="s">
        <v>1193</v>
      </c>
      <c r="E3319" t="s">
        <v>1503</v>
      </c>
      <c r="F3319"/>
      <c r="H3319" s="1">
        <v>975</v>
      </c>
      <c r="I3319"/>
      <c r="J3319" t="s">
        <v>1207</v>
      </c>
      <c r="K3319" s="170">
        <v>45961</v>
      </c>
      <c r="L3319" s="1">
        <v>1037.2219724060528</v>
      </c>
      <c r="M3319" s="1">
        <v>45939</v>
      </c>
    </row>
    <row r="3320" spans="1:14" ht="14.4" hidden="1">
      <c r="A3320" t="s">
        <v>231</v>
      </c>
      <c r="B3320" s="1">
        <v>51</v>
      </c>
      <c r="C3320" s="258" t="s">
        <v>7307</v>
      </c>
      <c r="D3320" t="s">
        <v>1193</v>
      </c>
      <c r="E3320" t="s">
        <v>3426</v>
      </c>
      <c r="F3320"/>
      <c r="H3320" s="1">
        <v>21.34</v>
      </c>
      <c r="I3320" t="s">
        <v>2048</v>
      </c>
      <c r="J3320" t="s">
        <v>3427</v>
      </c>
      <c r="K3320" s="170">
        <v>45991</v>
      </c>
      <c r="L3320" s="1">
        <v>22.63803342027202</v>
      </c>
      <c r="M3320" s="1">
        <v>45973</v>
      </c>
    </row>
    <row r="3321" spans="1:14" ht="14.4" hidden="1">
      <c r="A3321" t="s">
        <v>231</v>
      </c>
      <c r="B3321" s="1">
        <v>52</v>
      </c>
      <c r="C3321" s="258" t="s">
        <v>7308</v>
      </c>
      <c r="D3321" t="s">
        <v>1193</v>
      </c>
      <c r="E3321" t="s">
        <v>3426</v>
      </c>
      <c r="F3321"/>
      <c r="H3321" s="1">
        <v>41</v>
      </c>
      <c r="I3321"/>
      <c r="J3321" t="s">
        <v>3427</v>
      </c>
      <c r="K3321" s="170">
        <v>45991</v>
      </c>
      <c r="L3321" s="1">
        <v>43.493878642509507</v>
      </c>
      <c r="M3321" s="1">
        <v>45990</v>
      </c>
    </row>
    <row r="3322" spans="1:14" ht="14.4" hidden="1">
      <c r="A3322" t="s">
        <v>231</v>
      </c>
      <c r="B3322" s="1">
        <v>53</v>
      </c>
      <c r="C3322" s="258" t="s">
        <v>7309</v>
      </c>
      <c r="D3322" t="s">
        <v>1193</v>
      </c>
      <c r="E3322" t="s">
        <v>1209</v>
      </c>
      <c r="F3322"/>
      <c r="H3322" s="1">
        <v>1300</v>
      </c>
      <c r="I3322"/>
      <c r="J3322" t="s">
        <v>7310</v>
      </c>
      <c r="K3322" s="170">
        <v>46022</v>
      </c>
      <c r="M3322" s="1">
        <v>46022</v>
      </c>
    </row>
    <row r="3323" spans="1:14" ht="14.4" hidden="1">
      <c r="A3323" t="s">
        <v>231</v>
      </c>
      <c r="B3323" s="1">
        <v>57</v>
      </c>
      <c r="C3323" s="258" t="s">
        <v>7311</v>
      </c>
      <c r="D3323" t="s">
        <v>1211</v>
      </c>
      <c r="E3323" t="s">
        <v>1212</v>
      </c>
      <c r="F3323"/>
      <c r="H3323" s="1">
        <v>24740.639999999999</v>
      </c>
      <c r="I3323" t="s">
        <v>7312</v>
      </c>
      <c r="J3323" t="s">
        <v>7313</v>
      </c>
      <c r="K3323" s="170">
        <v>45991</v>
      </c>
      <c r="L3323" s="1">
        <v>68483.977217134932</v>
      </c>
      <c r="M3323" s="1">
        <v>46021</v>
      </c>
    </row>
    <row r="3324" spans="1:14" ht="14.4" hidden="1">
      <c r="A3324" t="s">
        <v>231</v>
      </c>
      <c r="B3324" s="1">
        <v>58</v>
      </c>
      <c r="C3324" s="258" t="s">
        <v>7314</v>
      </c>
      <c r="D3324" t="s">
        <v>1211</v>
      </c>
      <c r="F3324"/>
      <c r="H3324" s="1">
        <v>55375.08</v>
      </c>
      <c r="I3324"/>
      <c r="J3324" t="s">
        <v>7315</v>
      </c>
      <c r="K3324" s="170">
        <v>45991</v>
      </c>
      <c r="L3324" s="1">
        <v>153282.44205150008</v>
      </c>
    </row>
    <row r="3325" spans="1:14" ht="14.4" hidden="1">
      <c r="A3325" t="s">
        <v>231</v>
      </c>
      <c r="B3325" s="1">
        <v>62</v>
      </c>
      <c r="C3325" s="258" t="s">
        <v>7316</v>
      </c>
      <c r="D3325" t="s">
        <v>1211</v>
      </c>
      <c r="E3325" t="s">
        <v>1169</v>
      </c>
      <c r="F3325">
        <v>41164.9</v>
      </c>
      <c r="G3325">
        <v>0.1</v>
      </c>
      <c r="H3325" s="1">
        <v>4116.4900000000007</v>
      </c>
      <c r="I3325" t="s">
        <v>7283</v>
      </c>
      <c r="J3325" t="s">
        <v>7284</v>
      </c>
      <c r="K3325" s="170">
        <v>45961</v>
      </c>
      <c r="L3325" s="1">
        <v>11394.7580731365</v>
      </c>
      <c r="M3325" s="1">
        <v>45967</v>
      </c>
    </row>
    <row r="3326" spans="1:14" ht="14.4" hidden="1">
      <c r="A3326" t="s">
        <v>231</v>
      </c>
      <c r="B3326" s="1">
        <v>63</v>
      </c>
      <c r="C3326" s="258" t="s">
        <v>7317</v>
      </c>
      <c r="D3326" t="s">
        <v>1211</v>
      </c>
      <c r="E3326" t="s">
        <v>558</v>
      </c>
      <c r="F3326"/>
      <c r="G3326">
        <v>0.15</v>
      </c>
      <c r="H3326" s="1">
        <v>6174.7349999999997</v>
      </c>
      <c r="I3326"/>
      <c r="J3326" t="s">
        <v>7286</v>
      </c>
      <c r="K3326" s="170">
        <v>45991</v>
      </c>
      <c r="L3326" s="1">
        <v>17092.137109704749</v>
      </c>
      <c r="M3326" s="1">
        <v>45989</v>
      </c>
    </row>
    <row r="3327" spans="1:14" ht="14.4" hidden="1">
      <c r="A3327" t="s">
        <v>231</v>
      </c>
      <c r="B3327" s="1">
        <v>64</v>
      </c>
      <c r="C3327" s="258" t="s">
        <v>7318</v>
      </c>
      <c r="D3327" t="s">
        <v>1211</v>
      </c>
      <c r="E3327" t="s">
        <v>1175</v>
      </c>
      <c r="F3327"/>
      <c r="G3327">
        <v>0.2</v>
      </c>
      <c r="H3327" s="1">
        <v>8232.9800000000014</v>
      </c>
      <c r="I3327"/>
      <c r="J3327" t="s">
        <v>7288</v>
      </c>
      <c r="K3327" s="170">
        <v>45991</v>
      </c>
      <c r="L3327" s="1">
        <v>22789.516146273003</v>
      </c>
      <c r="M3327" s="1">
        <v>45989</v>
      </c>
    </row>
    <row r="3328" spans="1:14" ht="14.4" hidden="1">
      <c r="A3328" t="s">
        <v>231</v>
      </c>
      <c r="B3328" s="1">
        <v>65</v>
      </c>
      <c r="C3328" s="258" t="s">
        <v>7319</v>
      </c>
      <c r="D3328" t="s">
        <v>1211</v>
      </c>
      <c r="E3328" t="s">
        <v>7290</v>
      </c>
      <c r="F3328"/>
      <c r="G3328">
        <v>0.2</v>
      </c>
      <c r="H3328" s="1">
        <v>8232.9800000000014</v>
      </c>
      <c r="I3328"/>
      <c r="J3328" t="s">
        <v>7288</v>
      </c>
      <c r="K3328" s="170">
        <v>45991</v>
      </c>
      <c r="L3328" s="1">
        <v>22789.516146273003</v>
      </c>
      <c r="M3328" s="1">
        <v>45989</v>
      </c>
    </row>
    <row r="3329" spans="1:13" ht="14.4" hidden="1">
      <c r="A3329" t="s">
        <v>231</v>
      </c>
      <c r="B3329" s="1">
        <v>66</v>
      </c>
      <c r="C3329" s="258" t="s">
        <v>7320</v>
      </c>
      <c r="D3329" t="s">
        <v>1211</v>
      </c>
      <c r="E3329" t="s">
        <v>7290</v>
      </c>
      <c r="F3329"/>
      <c r="G3329">
        <v>0.05</v>
      </c>
      <c r="H3329" s="1">
        <v>2058.2450000000003</v>
      </c>
      <c r="I3329"/>
      <c r="J3329" t="s">
        <v>7292</v>
      </c>
      <c r="K3329" s="170">
        <v>46053</v>
      </c>
      <c r="L3329" s="1">
        <v>5697.3790365682507</v>
      </c>
      <c r="M3329" s="1">
        <v>46053</v>
      </c>
    </row>
    <row r="3330" spans="1:13" ht="14.4" hidden="1">
      <c r="A3330" t="s">
        <v>231</v>
      </c>
      <c r="B3330" s="1">
        <v>67</v>
      </c>
      <c r="C3330" s="258" t="s">
        <v>7321</v>
      </c>
      <c r="D3330" t="s">
        <v>1211</v>
      </c>
      <c r="E3330" t="s">
        <v>1181</v>
      </c>
      <c r="F3330"/>
      <c r="G3330">
        <v>0.1</v>
      </c>
      <c r="H3330" s="1">
        <v>4116.4900000000007</v>
      </c>
      <c r="I3330"/>
      <c r="J3330" t="s">
        <v>7292</v>
      </c>
      <c r="K3330" s="170">
        <v>46053</v>
      </c>
      <c r="L3330" s="1">
        <v>11394.7580731365</v>
      </c>
      <c r="M3330" s="1">
        <v>46058</v>
      </c>
    </row>
    <row r="3331" spans="1:13" ht="14.4" hidden="1">
      <c r="A3331" t="s">
        <v>231</v>
      </c>
      <c r="B3331" s="1">
        <v>68</v>
      </c>
      <c r="C3331" s="258" t="s">
        <v>7322</v>
      </c>
      <c r="D3331" t="s">
        <v>1211</v>
      </c>
      <c r="E3331" t="s">
        <v>1184</v>
      </c>
      <c r="F3331"/>
      <c r="G3331">
        <v>0.1</v>
      </c>
      <c r="H3331" s="1">
        <v>4116.4900000000007</v>
      </c>
      <c r="I3331"/>
      <c r="J3331" t="s">
        <v>7292</v>
      </c>
      <c r="K3331" s="170">
        <v>46053</v>
      </c>
      <c r="L3331" s="1">
        <v>11394.7580731365</v>
      </c>
      <c r="M3331" s="1">
        <v>46065</v>
      </c>
    </row>
    <row r="3332" spans="1:13" ht="14.4" hidden="1">
      <c r="A3332" t="s">
        <v>231</v>
      </c>
      <c r="B3332" s="1">
        <v>69</v>
      </c>
      <c r="C3332" s="258" t="s">
        <v>7323</v>
      </c>
      <c r="D3332" t="s">
        <v>1211</v>
      </c>
      <c r="E3332" t="s">
        <v>1187</v>
      </c>
      <c r="F3332"/>
      <c r="G3332">
        <v>0.05</v>
      </c>
      <c r="H3332" s="1">
        <v>2058.2450000000003</v>
      </c>
      <c r="I3332"/>
      <c r="J3332" t="s">
        <v>7296</v>
      </c>
      <c r="K3332" s="170">
        <v>46053</v>
      </c>
      <c r="L3332" s="1">
        <v>5697.3790365682507</v>
      </c>
      <c r="M3332" s="1">
        <v>46065</v>
      </c>
    </row>
    <row r="3333" spans="1:13" ht="14.4" hidden="1">
      <c r="A3333" t="s">
        <v>231</v>
      </c>
      <c r="B3333" s="1">
        <v>70</v>
      </c>
      <c r="C3333" s="258" t="s">
        <v>7324</v>
      </c>
      <c r="D3333" t="s">
        <v>1211</v>
      </c>
      <c r="E3333" t="s">
        <v>1190</v>
      </c>
      <c r="F3333"/>
      <c r="G3333">
        <v>0.05</v>
      </c>
      <c r="H3333" s="1">
        <v>2058.2450000000003</v>
      </c>
      <c r="I3333"/>
      <c r="J3333" t="s">
        <v>7296</v>
      </c>
      <c r="K3333" s="170">
        <v>46053</v>
      </c>
      <c r="L3333" s="1">
        <v>5697.3790365682507</v>
      </c>
      <c r="M3333" s="1">
        <v>46095</v>
      </c>
    </row>
    <row r="3334" spans="1:13" ht="14.4" hidden="1">
      <c r="A3334" t="s">
        <v>231</v>
      </c>
      <c r="B3334" s="1">
        <v>87</v>
      </c>
      <c r="C3334" s="258" t="s">
        <v>7325</v>
      </c>
      <c r="D3334" t="s">
        <v>1224</v>
      </c>
      <c r="E3334" t="s">
        <v>3319</v>
      </c>
      <c r="F3334">
        <v>0.7</v>
      </c>
      <c r="G3334">
        <v>18231.22</v>
      </c>
      <c r="H3334" s="1">
        <v>12761.853999999999</v>
      </c>
      <c r="I3334" t="s">
        <v>7326</v>
      </c>
      <c r="J3334" t="s">
        <v>7327</v>
      </c>
      <c r="K3334" s="170">
        <v>45991</v>
      </c>
      <c r="M3334" s="1">
        <v>45980</v>
      </c>
    </row>
    <row r="3335" spans="1:13" ht="14.4" hidden="1">
      <c r="A3335" t="s">
        <v>231</v>
      </c>
      <c r="B3335" s="1">
        <v>88</v>
      </c>
      <c r="C3335" s="258" t="s">
        <v>7328</v>
      </c>
      <c r="D3335" t="s">
        <v>1224</v>
      </c>
      <c r="F3335">
        <v>0.3</v>
      </c>
      <c r="H3335" s="1">
        <v>5469.366</v>
      </c>
      <c r="I3335"/>
      <c r="J3335" t="s">
        <v>7327</v>
      </c>
      <c r="K3335" s="170">
        <v>45991</v>
      </c>
      <c r="M3335" s="1">
        <v>46009</v>
      </c>
    </row>
    <row r="3336" spans="1:13" ht="14.4" hidden="1">
      <c r="A3336" t="s">
        <v>231</v>
      </c>
      <c r="B3336" s="1">
        <v>89</v>
      </c>
      <c r="C3336" s="258" t="s">
        <v>7329</v>
      </c>
      <c r="D3336" t="s">
        <v>1224</v>
      </c>
      <c r="E3336" t="s">
        <v>7330</v>
      </c>
      <c r="F3336"/>
      <c r="H3336" s="1">
        <v>7826.09</v>
      </c>
      <c r="I3336"/>
      <c r="J3336" t="s">
        <v>7331</v>
      </c>
      <c r="K3336" s="170">
        <v>46022</v>
      </c>
      <c r="M3336" s="1">
        <v>46010</v>
      </c>
    </row>
    <row r="3337" spans="1:13" ht="14.4" hidden="1">
      <c r="A3337" t="s">
        <v>231</v>
      </c>
      <c r="B3337" s="1">
        <v>95</v>
      </c>
      <c r="C3337" s="258" t="s">
        <v>7332</v>
      </c>
      <c r="D3337" t="s">
        <v>1246</v>
      </c>
      <c r="E3337" t="s">
        <v>1169</v>
      </c>
      <c r="F3337">
        <v>311148.25</v>
      </c>
      <c r="G3337">
        <v>0.1</v>
      </c>
      <c r="H3337" s="1">
        <v>31114.825000000001</v>
      </c>
      <c r="I3337" t="s">
        <v>7283</v>
      </c>
      <c r="J3337" t="s">
        <v>7284</v>
      </c>
      <c r="K3337" s="170">
        <v>45961</v>
      </c>
      <c r="L3337" s="1">
        <v>21883.400000000005</v>
      </c>
      <c r="M3337" s="1">
        <v>45967</v>
      </c>
    </row>
    <row r="3338" spans="1:13" ht="14.4" hidden="1">
      <c r="A3338" t="s">
        <v>231</v>
      </c>
      <c r="B3338" s="1">
        <v>96</v>
      </c>
      <c r="C3338" s="258" t="s">
        <v>7333</v>
      </c>
      <c r="D3338" t="s">
        <v>1246</v>
      </c>
      <c r="E3338" t="s">
        <v>558</v>
      </c>
      <c r="F3338"/>
      <c r="G3338">
        <v>0.15</v>
      </c>
      <c r="H3338" s="1">
        <v>46672.237500000003</v>
      </c>
      <c r="I3338"/>
      <c r="J3338" t="s">
        <v>7286</v>
      </c>
      <c r="K3338" s="170">
        <v>45991</v>
      </c>
      <c r="L3338" s="1">
        <v>32825.100000000006</v>
      </c>
      <c r="M3338" s="1">
        <v>45989</v>
      </c>
    </row>
    <row r="3339" spans="1:13" ht="14.4" hidden="1">
      <c r="A3339" t="s">
        <v>231</v>
      </c>
      <c r="B3339" s="1">
        <v>97</v>
      </c>
      <c r="C3339" s="258" t="s">
        <v>7334</v>
      </c>
      <c r="D3339" t="s">
        <v>1246</v>
      </c>
      <c r="E3339" t="s">
        <v>1175</v>
      </c>
      <c r="F3339"/>
      <c r="G3339">
        <v>0.2</v>
      </c>
      <c r="H3339" s="1">
        <v>62229.65</v>
      </c>
      <c r="I3339"/>
      <c r="J3339" t="s">
        <v>7288</v>
      </c>
      <c r="K3339" s="170">
        <v>45991</v>
      </c>
      <c r="L3339" s="1">
        <v>43766.80000000001</v>
      </c>
      <c r="M3339" s="1">
        <v>45989</v>
      </c>
    </row>
    <row r="3340" spans="1:13" ht="14.4" hidden="1">
      <c r="A3340" t="s">
        <v>231</v>
      </c>
      <c r="B3340" s="1">
        <v>98</v>
      </c>
      <c r="C3340" s="258" t="s">
        <v>7335</v>
      </c>
      <c r="D3340" t="s">
        <v>1246</v>
      </c>
      <c r="E3340" t="s">
        <v>7290</v>
      </c>
      <c r="F3340"/>
      <c r="G3340">
        <v>0.2</v>
      </c>
      <c r="H3340" s="1">
        <v>62229.65</v>
      </c>
      <c r="I3340"/>
      <c r="J3340" t="s">
        <v>7288</v>
      </c>
      <c r="K3340" s="170">
        <v>45991</v>
      </c>
      <c r="L3340" s="1">
        <v>43766.80000000001</v>
      </c>
      <c r="M3340" s="1">
        <v>45989</v>
      </c>
    </row>
    <row r="3341" spans="1:13" ht="14.4" hidden="1">
      <c r="A3341" t="s">
        <v>231</v>
      </c>
      <c r="B3341" s="1">
        <v>99</v>
      </c>
      <c r="C3341" s="258" t="s">
        <v>7336</v>
      </c>
      <c r="D3341" t="s">
        <v>1246</v>
      </c>
      <c r="E3341" t="s">
        <v>7290</v>
      </c>
      <c r="F3341"/>
      <c r="G3341">
        <v>0.05</v>
      </c>
      <c r="H3341" s="1">
        <v>15557.4125</v>
      </c>
      <c r="I3341"/>
      <c r="J3341" t="s">
        <v>7292</v>
      </c>
      <c r="K3341" s="170">
        <v>46053</v>
      </c>
      <c r="L3341" s="1">
        <v>10941.700000000004</v>
      </c>
      <c r="M3341" s="1">
        <v>46053</v>
      </c>
    </row>
    <row r="3342" spans="1:13" ht="14.4" hidden="1">
      <c r="A3342" t="s">
        <v>231</v>
      </c>
      <c r="B3342" s="1">
        <v>100</v>
      </c>
      <c r="C3342" s="258" t="s">
        <v>7337</v>
      </c>
      <c r="D3342" t="s">
        <v>1246</v>
      </c>
      <c r="E3342" t="s">
        <v>1181</v>
      </c>
      <c r="F3342"/>
      <c r="G3342">
        <v>0.1</v>
      </c>
      <c r="H3342" s="1">
        <v>31114.825000000001</v>
      </c>
      <c r="I3342"/>
      <c r="J3342" t="s">
        <v>7292</v>
      </c>
      <c r="K3342" s="170">
        <v>46053</v>
      </c>
      <c r="L3342" s="1">
        <v>21883.400000000005</v>
      </c>
      <c r="M3342" s="1">
        <v>46058</v>
      </c>
    </row>
    <row r="3343" spans="1:13" ht="14.4" hidden="1">
      <c r="A3343" t="s">
        <v>231</v>
      </c>
      <c r="B3343" s="1">
        <v>101</v>
      </c>
      <c r="C3343" s="258" t="s">
        <v>7338</v>
      </c>
      <c r="D3343" t="s">
        <v>1246</v>
      </c>
      <c r="E3343" t="s">
        <v>1184</v>
      </c>
      <c r="F3343"/>
      <c r="G3343">
        <v>0.1</v>
      </c>
      <c r="H3343" s="1">
        <v>31114.825000000001</v>
      </c>
      <c r="I3343"/>
      <c r="J3343" t="s">
        <v>7292</v>
      </c>
      <c r="K3343" s="170">
        <v>46053</v>
      </c>
      <c r="L3343" s="1">
        <v>21883.400000000005</v>
      </c>
      <c r="M3343" s="1">
        <v>46065</v>
      </c>
    </row>
    <row r="3344" spans="1:13" ht="14.4" hidden="1">
      <c r="A3344" t="s">
        <v>231</v>
      </c>
      <c r="B3344" s="1">
        <v>102</v>
      </c>
      <c r="C3344" s="258" t="s">
        <v>7339</v>
      </c>
      <c r="D3344" t="s">
        <v>1246</v>
      </c>
      <c r="E3344" t="s">
        <v>1187</v>
      </c>
      <c r="F3344"/>
      <c r="G3344">
        <v>0.05</v>
      </c>
      <c r="H3344" s="1">
        <v>15557.4125</v>
      </c>
      <c r="I3344"/>
      <c r="J3344" t="s">
        <v>7296</v>
      </c>
      <c r="K3344" s="170">
        <v>46053</v>
      </c>
      <c r="L3344" s="1">
        <v>10941.700000000004</v>
      </c>
      <c r="M3344" s="1">
        <v>46065</v>
      </c>
    </row>
    <row r="3345" spans="1:14" ht="14.4" hidden="1">
      <c r="A3345" t="s">
        <v>231</v>
      </c>
      <c r="B3345" s="1">
        <v>103</v>
      </c>
      <c r="C3345" s="258" t="s">
        <v>7340</v>
      </c>
      <c r="D3345" t="s">
        <v>1246</v>
      </c>
      <c r="E3345" t="s">
        <v>1190</v>
      </c>
      <c r="F3345"/>
      <c r="G3345">
        <v>0.05</v>
      </c>
      <c r="H3345" s="1">
        <v>15557.4125</v>
      </c>
      <c r="I3345"/>
      <c r="J3345" t="s">
        <v>7296</v>
      </c>
      <c r="K3345" s="170">
        <v>46053</v>
      </c>
      <c r="L3345" s="1">
        <v>10941.700000000004</v>
      </c>
      <c r="M3345" s="1">
        <v>46095</v>
      </c>
    </row>
    <row r="3346" spans="1:14" ht="14.4" hidden="1">
      <c r="A3346" t="s">
        <v>231</v>
      </c>
      <c r="B3346" s="1">
        <v>108</v>
      </c>
      <c r="C3346" s="258" t="s">
        <v>7341</v>
      </c>
      <c r="D3346" t="s">
        <v>1255</v>
      </c>
      <c r="E3346" t="s">
        <v>1343</v>
      </c>
      <c r="F3346"/>
      <c r="H3346" s="1">
        <v>7150</v>
      </c>
      <c r="I3346"/>
      <c r="J3346" t="s">
        <v>7342</v>
      </c>
      <c r="K3346" s="170">
        <v>46022</v>
      </c>
      <c r="L3346" s="1">
        <v>3700.52</v>
      </c>
      <c r="M3346" s="1">
        <v>45995</v>
      </c>
      <c r="N3346" s="1">
        <v>109850.75750000001</v>
      </c>
    </row>
    <row r="3347" spans="1:14" ht="14.4" hidden="1">
      <c r="A3347" t="s">
        <v>231</v>
      </c>
      <c r="B3347" s="1">
        <v>112</v>
      </c>
      <c r="C3347" s="258" t="s">
        <v>7343</v>
      </c>
      <c r="D3347" t="s">
        <v>1255</v>
      </c>
      <c r="E3347" t="s">
        <v>1169</v>
      </c>
      <c r="F3347">
        <v>102700.75</v>
      </c>
      <c r="G3347">
        <v>0.1</v>
      </c>
      <c r="H3347" s="1">
        <v>10270.075000000001</v>
      </c>
      <c r="I3347" t="s">
        <v>7283</v>
      </c>
      <c r="J3347" t="s">
        <v>7284</v>
      </c>
      <c r="K3347" s="170">
        <v>45961</v>
      </c>
      <c r="L3347" s="1">
        <v>6317.1</v>
      </c>
      <c r="M3347" s="1">
        <v>45967</v>
      </c>
    </row>
    <row r="3348" spans="1:14" ht="14.4" hidden="1">
      <c r="A3348" t="s">
        <v>231</v>
      </c>
      <c r="B3348" s="1">
        <v>113</v>
      </c>
      <c r="C3348" s="258" t="s">
        <v>7344</v>
      </c>
      <c r="D3348" t="s">
        <v>1255</v>
      </c>
      <c r="E3348" t="s">
        <v>558</v>
      </c>
      <c r="F3348"/>
      <c r="G3348">
        <v>0.15</v>
      </c>
      <c r="H3348" s="1">
        <v>15405.112499999999</v>
      </c>
      <c r="I3348"/>
      <c r="J3348" t="s">
        <v>7286</v>
      </c>
      <c r="K3348" s="170">
        <v>45991</v>
      </c>
      <c r="L3348" s="1">
        <v>8858.8959268598519</v>
      </c>
      <c r="M3348" s="1">
        <v>45989</v>
      </c>
    </row>
    <row r="3349" spans="1:14" ht="14.4" hidden="1">
      <c r="A3349" t="s">
        <v>231</v>
      </c>
      <c r="B3349" s="1">
        <v>114</v>
      </c>
      <c r="C3349" s="258" t="s">
        <v>7345</v>
      </c>
      <c r="D3349" t="s">
        <v>1255</v>
      </c>
      <c r="E3349" t="s">
        <v>1175</v>
      </c>
      <c r="F3349"/>
      <c r="G3349">
        <v>0.2</v>
      </c>
      <c r="H3349" s="1">
        <v>20540.150000000001</v>
      </c>
      <c r="I3349"/>
      <c r="J3349" t="s">
        <v>7288</v>
      </c>
      <c r="K3349" s="170">
        <v>45991</v>
      </c>
      <c r="L3349" s="1">
        <v>11811.861235813136</v>
      </c>
      <c r="M3349" s="1">
        <v>45989</v>
      </c>
    </row>
    <row r="3350" spans="1:14" ht="14.4" hidden="1">
      <c r="A3350" t="s">
        <v>231</v>
      </c>
      <c r="B3350" s="1">
        <v>115</v>
      </c>
      <c r="C3350" s="258" t="s">
        <v>7346</v>
      </c>
      <c r="D3350" t="s">
        <v>1255</v>
      </c>
      <c r="E3350" t="s">
        <v>7290</v>
      </c>
      <c r="F3350"/>
      <c r="G3350">
        <v>0.2</v>
      </c>
      <c r="H3350" s="1">
        <v>20540.150000000001</v>
      </c>
      <c r="I3350"/>
      <c r="J3350" t="s">
        <v>7288</v>
      </c>
      <c r="K3350" s="170">
        <v>45991</v>
      </c>
      <c r="L3350" s="1">
        <v>11811.861235813136</v>
      </c>
      <c r="M3350" s="1">
        <v>45989</v>
      </c>
    </row>
    <row r="3351" spans="1:14" ht="14.4" hidden="1">
      <c r="A3351" t="s">
        <v>231</v>
      </c>
      <c r="B3351" s="1">
        <v>116</v>
      </c>
      <c r="C3351" s="258" t="s">
        <v>7347</v>
      </c>
      <c r="D3351" t="s">
        <v>1255</v>
      </c>
      <c r="E3351" t="s">
        <v>7290</v>
      </c>
      <c r="F3351"/>
      <c r="G3351">
        <v>0.05</v>
      </c>
      <c r="H3351" s="1">
        <v>5135.04</v>
      </c>
      <c r="I3351"/>
      <c r="J3351" t="s">
        <v>7292</v>
      </c>
      <c r="K3351" s="170">
        <v>46053</v>
      </c>
      <c r="L3351" s="1">
        <v>2952.9665449962872</v>
      </c>
      <c r="M3351" s="1">
        <v>46053</v>
      </c>
    </row>
    <row r="3352" spans="1:14" ht="14.4" hidden="1">
      <c r="A3352" t="s">
        <v>231</v>
      </c>
      <c r="B3352" s="1">
        <v>117</v>
      </c>
      <c r="C3352" s="258" t="s">
        <v>7348</v>
      </c>
      <c r="D3352" t="s">
        <v>1255</v>
      </c>
      <c r="E3352" t="s">
        <v>1181</v>
      </c>
      <c r="F3352"/>
      <c r="G3352">
        <v>0.1</v>
      </c>
      <c r="H3352" s="1">
        <v>10270.08</v>
      </c>
      <c r="I3352"/>
      <c r="J3352" t="s">
        <v>7292</v>
      </c>
      <c r="K3352" s="170">
        <v>46053</v>
      </c>
      <c r="L3352" s="1">
        <v>5905.9330899925744</v>
      </c>
      <c r="M3352" s="1">
        <v>46058</v>
      </c>
    </row>
    <row r="3353" spans="1:14" ht="14.4" hidden="1">
      <c r="A3353" t="s">
        <v>231</v>
      </c>
      <c r="B3353" s="1">
        <v>118</v>
      </c>
      <c r="C3353" s="258" t="s">
        <v>7349</v>
      </c>
      <c r="D3353" t="s">
        <v>1255</v>
      </c>
      <c r="E3353" t="s">
        <v>1184</v>
      </c>
      <c r="F3353"/>
      <c r="G3353">
        <v>0.1</v>
      </c>
      <c r="H3353" s="1">
        <v>10270.08</v>
      </c>
      <c r="I3353"/>
      <c r="J3353" t="s">
        <v>7292</v>
      </c>
      <c r="K3353" s="170">
        <v>46053</v>
      </c>
      <c r="L3353" s="1">
        <v>5905.9330899925744</v>
      </c>
      <c r="M3353" s="1">
        <v>46065</v>
      </c>
    </row>
    <row r="3354" spans="1:14" ht="14.4" hidden="1">
      <c r="A3354" t="s">
        <v>231</v>
      </c>
      <c r="B3354" s="1">
        <v>119</v>
      </c>
      <c r="C3354" s="258" t="s">
        <v>7350</v>
      </c>
      <c r="D3354" t="s">
        <v>1255</v>
      </c>
      <c r="E3354" t="s">
        <v>1187</v>
      </c>
      <c r="F3354"/>
      <c r="G3354">
        <v>0.05</v>
      </c>
      <c r="H3354" s="1">
        <v>5135.04</v>
      </c>
      <c r="I3354"/>
      <c r="J3354" t="s">
        <v>7296</v>
      </c>
      <c r="K3354" s="170">
        <v>46053</v>
      </c>
      <c r="L3354" s="1">
        <v>2952.9665449962872</v>
      </c>
      <c r="M3354" s="1">
        <v>46065</v>
      </c>
    </row>
    <row r="3355" spans="1:14" ht="14.4" hidden="1">
      <c r="A3355" t="s">
        <v>231</v>
      </c>
      <c r="B3355" s="1">
        <v>120</v>
      </c>
      <c r="C3355" s="258" t="s">
        <v>7351</v>
      </c>
      <c r="D3355" t="s">
        <v>1255</v>
      </c>
      <c r="E3355" t="s">
        <v>1190</v>
      </c>
      <c r="F3355"/>
      <c r="G3355">
        <v>0.05</v>
      </c>
      <c r="H3355" s="1">
        <v>5135.04</v>
      </c>
      <c r="I3355"/>
      <c r="J3355" t="s">
        <v>7296</v>
      </c>
      <c r="K3355" s="170">
        <v>46053</v>
      </c>
      <c r="L3355" s="1">
        <v>2952.9665449962872</v>
      </c>
      <c r="M3355" s="1">
        <v>46095</v>
      </c>
    </row>
    <row r="3356" spans="1:14" ht="14.4" hidden="1">
      <c r="A3356" t="s">
        <v>231</v>
      </c>
      <c r="B3356" s="1">
        <v>121</v>
      </c>
      <c r="C3356" s="258" t="s">
        <v>7352</v>
      </c>
      <c r="D3356" t="s">
        <v>1255</v>
      </c>
      <c r="E3356" t="s">
        <v>6068</v>
      </c>
      <c r="F3356"/>
      <c r="H3356" s="1">
        <v>-0.01</v>
      </c>
      <c r="I3356"/>
      <c r="J3356" t="s">
        <v>7296</v>
      </c>
      <c r="K3356" s="170">
        <v>46053</v>
      </c>
      <c r="L3356" s="1">
        <v>-5.7506203359589947E-3</v>
      </c>
      <c r="M3356" s="1">
        <v>46095</v>
      </c>
    </row>
    <row r="3357" spans="1:14" ht="14.4" hidden="1">
      <c r="A3357" t="s">
        <v>231</v>
      </c>
      <c r="B3357" s="1">
        <v>125</v>
      </c>
      <c r="C3357" s="258" t="s">
        <v>7353</v>
      </c>
      <c r="D3357" t="s">
        <v>1264</v>
      </c>
      <c r="E3357" t="s">
        <v>1265</v>
      </c>
      <c r="F3357"/>
      <c r="H3357" s="1">
        <v>15375</v>
      </c>
      <c r="I3357"/>
      <c r="J3357" t="s">
        <v>7354</v>
      </c>
      <c r="K3357" s="170">
        <v>46053</v>
      </c>
      <c r="L3357" s="1">
        <v>71130.68421052632</v>
      </c>
      <c r="M3357" s="1">
        <v>46058</v>
      </c>
      <c r="N3357" s="1">
        <v>21375</v>
      </c>
    </row>
    <row r="3358" spans="1:14" ht="14.4" hidden="1">
      <c r="A3358" t="s">
        <v>231</v>
      </c>
      <c r="B3358" s="1">
        <v>126</v>
      </c>
      <c r="C3358" s="258" t="s">
        <v>7355</v>
      </c>
      <c r="D3358" t="s">
        <v>1264</v>
      </c>
      <c r="E3358" t="s">
        <v>1268</v>
      </c>
      <c r="F3358"/>
      <c r="H3358" s="1">
        <v>0</v>
      </c>
      <c r="I3358"/>
      <c r="J3358"/>
      <c r="K3358" s="170"/>
      <c r="L3358" s="1">
        <v>0</v>
      </c>
    </row>
    <row r="3359" spans="1:14" ht="14.4" hidden="1">
      <c r="A3359" t="s">
        <v>231</v>
      </c>
      <c r="B3359" s="1">
        <v>127</v>
      </c>
      <c r="C3359" s="258" t="s">
        <v>7356</v>
      </c>
      <c r="D3359" t="s">
        <v>1264</v>
      </c>
      <c r="E3359" t="s">
        <v>1363</v>
      </c>
      <c r="F3359"/>
      <c r="H3359" s="1">
        <v>0</v>
      </c>
      <c r="I3359"/>
      <c r="J3359"/>
      <c r="K3359" s="170"/>
      <c r="L3359" s="1">
        <v>0</v>
      </c>
    </row>
    <row r="3360" spans="1:14" ht="14.4" hidden="1">
      <c r="A3360" t="s">
        <v>231</v>
      </c>
      <c r="B3360" s="1">
        <v>128</v>
      </c>
      <c r="C3360" s="258" t="s">
        <v>7357</v>
      </c>
      <c r="D3360" t="s">
        <v>1264</v>
      </c>
      <c r="E3360" t="s">
        <v>808</v>
      </c>
      <c r="F3360"/>
      <c r="H3360" s="1">
        <v>6000</v>
      </c>
      <c r="I3360"/>
      <c r="J3360" t="s">
        <v>1764</v>
      </c>
      <c r="K3360" s="170">
        <v>46053</v>
      </c>
      <c r="L3360" s="1">
        <v>27758.315789473683</v>
      </c>
      <c r="M3360" s="1">
        <v>46108</v>
      </c>
    </row>
    <row r="3361" spans="1:14" ht="14.4" hidden="1">
      <c r="A3361" t="s">
        <v>231</v>
      </c>
      <c r="B3361" s="1">
        <v>134</v>
      </c>
      <c r="C3361" s="258" t="s">
        <v>7358</v>
      </c>
      <c r="D3361" t="s">
        <v>1277</v>
      </c>
      <c r="E3361" t="s">
        <v>1278</v>
      </c>
      <c r="F3361"/>
      <c r="H3361" s="1">
        <v>25967.953500000003</v>
      </c>
      <c r="I3361"/>
      <c r="J3361" t="s">
        <v>3479</v>
      </c>
      <c r="K3361" s="170">
        <v>46053</v>
      </c>
      <c r="L3361" s="1">
        <v>23822</v>
      </c>
      <c r="M3361" s="1">
        <v>46080</v>
      </c>
      <c r="N3361" s="1">
        <v>25967.953500000003</v>
      </c>
    </row>
    <row r="3362" spans="1:14" ht="14.4" hidden="1">
      <c r="A3362" t="s">
        <v>231</v>
      </c>
      <c r="B3362" s="1">
        <v>141</v>
      </c>
      <c r="C3362" s="258" t="s">
        <v>7359</v>
      </c>
      <c r="D3362" t="s">
        <v>1280</v>
      </c>
      <c r="E3362" t="s">
        <v>1281</v>
      </c>
      <c r="F3362"/>
      <c r="H3362" s="1">
        <v>0</v>
      </c>
      <c r="I3362"/>
      <c r="J3362"/>
      <c r="K3362" s="170">
        <v>45961</v>
      </c>
      <c r="L3362" s="1">
        <v>0</v>
      </c>
      <c r="M3362" s="1">
        <v>45961</v>
      </c>
      <c r="N3362" s="1">
        <v>3887.33</v>
      </c>
    </row>
    <row r="3363" spans="1:14" ht="14.4" hidden="1">
      <c r="A3363" t="s">
        <v>231</v>
      </c>
      <c r="B3363" s="1">
        <v>142</v>
      </c>
      <c r="C3363" s="258" t="s">
        <v>7360</v>
      </c>
      <c r="D3363" t="s">
        <v>1280</v>
      </c>
      <c r="E3363" t="s">
        <v>1281</v>
      </c>
      <c r="F3363"/>
      <c r="H3363" s="1">
        <v>1951.6</v>
      </c>
      <c r="I3363"/>
      <c r="J3363" t="s">
        <v>1604</v>
      </c>
      <c r="K3363" s="170">
        <v>45991</v>
      </c>
      <c r="L3363" s="1">
        <v>2291.9783527820055</v>
      </c>
      <c r="M3363" s="1">
        <v>45996</v>
      </c>
    </row>
    <row r="3364" spans="1:14" ht="14.4" hidden="1">
      <c r="A3364" t="s">
        <v>231</v>
      </c>
      <c r="B3364" s="1">
        <v>143</v>
      </c>
      <c r="C3364" s="258" t="s">
        <v>7361</v>
      </c>
      <c r="D3364" t="s">
        <v>1280</v>
      </c>
      <c r="E3364" t="s">
        <v>1281</v>
      </c>
      <c r="F3364"/>
      <c r="H3364" s="1">
        <v>1799.28</v>
      </c>
      <c r="I3364"/>
      <c r="J3364" t="s">
        <v>1604</v>
      </c>
      <c r="K3364" s="170">
        <v>46022</v>
      </c>
      <c r="L3364" s="1">
        <v>1471.5797653484374</v>
      </c>
      <c r="M3364" s="1">
        <v>46030</v>
      </c>
    </row>
    <row r="3365" spans="1:14" ht="14.4" hidden="1">
      <c r="A3365" t="s">
        <v>231</v>
      </c>
      <c r="B3365" s="1">
        <v>144</v>
      </c>
      <c r="C3365" s="258" t="s">
        <v>7362</v>
      </c>
      <c r="D3365" t="s">
        <v>1280</v>
      </c>
      <c r="E3365" t="s">
        <v>1281</v>
      </c>
      <c r="F3365"/>
      <c r="H3365" s="1">
        <v>136.44999999999999</v>
      </c>
      <c r="I3365"/>
      <c r="J3365" t="s">
        <v>1604</v>
      </c>
      <c r="K3365" s="170">
        <v>46053</v>
      </c>
      <c r="L3365" s="1">
        <v>1097.4369984796765</v>
      </c>
      <c r="M3365" s="1">
        <v>46058</v>
      </c>
    </row>
    <row r="3366" spans="1:14" ht="14.4" hidden="1">
      <c r="A3366" t="s">
        <v>231</v>
      </c>
      <c r="B3366" s="1">
        <v>156</v>
      </c>
      <c r="C3366" s="258" t="s">
        <v>7363</v>
      </c>
      <c r="D3366" t="s">
        <v>1451</v>
      </c>
      <c r="E3366" t="s">
        <v>7364</v>
      </c>
      <c r="F3366"/>
      <c r="H3366" s="1">
        <v>7500</v>
      </c>
      <c r="I3366" t="s">
        <v>7365</v>
      </c>
      <c r="J3366" t="s">
        <v>7366</v>
      </c>
      <c r="K3366" s="170">
        <v>46022</v>
      </c>
      <c r="M3366" s="1">
        <v>45995</v>
      </c>
    </row>
    <row r="3367" spans="1:14" ht="14.4" hidden="1">
      <c r="A3367" t="s">
        <v>232</v>
      </c>
      <c r="B3367" s="1">
        <v>6</v>
      </c>
      <c r="C3367" s="258" t="s">
        <v>7367</v>
      </c>
      <c r="D3367" t="s">
        <v>1146</v>
      </c>
      <c r="E3367" t="s">
        <v>7368</v>
      </c>
      <c r="F3367">
        <v>409.8360655737705</v>
      </c>
      <c r="G3367">
        <v>1128.9513999999999</v>
      </c>
      <c r="H3367" s="1">
        <v>462685</v>
      </c>
      <c r="I3367"/>
      <c r="J3367" t="s">
        <v>7369</v>
      </c>
      <c r="K3367" s="170">
        <v>45961</v>
      </c>
      <c r="L3367" s="1">
        <v>695754.35911778454</v>
      </c>
      <c r="M3367" s="1">
        <v>46009</v>
      </c>
      <c r="N3367" s="1">
        <v>460381.54</v>
      </c>
    </row>
    <row r="3368" spans="1:14" ht="14.4" hidden="1">
      <c r="A3368" t="s">
        <v>232</v>
      </c>
      <c r="B3368" s="1">
        <v>8</v>
      </c>
      <c r="C3368" s="258" t="s">
        <v>7370</v>
      </c>
      <c r="D3368" t="s">
        <v>1146</v>
      </c>
      <c r="E3368" t="s">
        <v>1150</v>
      </c>
      <c r="F3368"/>
      <c r="H3368" s="1">
        <v>9811.66</v>
      </c>
      <c r="I3368"/>
      <c r="J3368" t="s">
        <v>7369</v>
      </c>
      <c r="K3368" s="170">
        <v>45961</v>
      </c>
      <c r="L3368" s="1">
        <v>14754.109632215444</v>
      </c>
      <c r="M3368" s="1">
        <v>46009</v>
      </c>
    </row>
    <row r="3369" spans="1:14" ht="14.4" hidden="1">
      <c r="A3369" t="s">
        <v>232</v>
      </c>
      <c r="B3369" s="1">
        <v>9</v>
      </c>
      <c r="C3369" s="258" t="s">
        <v>7371</v>
      </c>
      <c r="D3369" t="s">
        <v>1146</v>
      </c>
      <c r="E3369" t="s">
        <v>7372</v>
      </c>
      <c r="F3369">
        <v>-20</v>
      </c>
      <c r="G3369">
        <v>1128.95</v>
      </c>
      <c r="H3369" s="1">
        <v>-22579</v>
      </c>
      <c r="I3369"/>
      <c r="J3369" t="s">
        <v>3381</v>
      </c>
      <c r="K3369" s="170">
        <v>45991</v>
      </c>
      <c r="L3369" s="1">
        <v>0</v>
      </c>
      <c r="M3369" s="1">
        <v>45991</v>
      </c>
    </row>
    <row r="3370" spans="1:14" ht="14.4" hidden="1">
      <c r="A3370" t="s">
        <v>232</v>
      </c>
      <c r="B3370" s="1">
        <v>10</v>
      </c>
      <c r="C3370" s="258" t="s">
        <v>7373</v>
      </c>
      <c r="D3370" t="s">
        <v>1146</v>
      </c>
      <c r="E3370" t="s">
        <v>3257</v>
      </c>
      <c r="F3370"/>
      <c r="H3370" s="1">
        <v>10463.879999999999</v>
      </c>
      <c r="I3370"/>
      <c r="J3370" t="s">
        <v>7374</v>
      </c>
      <c r="K3370" s="170">
        <v>45991</v>
      </c>
      <c r="L3370" s="1">
        <v>0</v>
      </c>
      <c r="M3370" s="1">
        <v>46009</v>
      </c>
    </row>
    <row r="3371" spans="1:14" ht="14.4" hidden="1">
      <c r="A3371" t="s">
        <v>232</v>
      </c>
      <c r="B3371" s="1">
        <v>14</v>
      </c>
      <c r="C3371" s="258" t="s">
        <v>7375</v>
      </c>
      <c r="D3371" t="s">
        <v>1157</v>
      </c>
      <c r="E3371" t="s">
        <v>1369</v>
      </c>
      <c r="F3371">
        <v>2</v>
      </c>
      <c r="G3371">
        <v>65246</v>
      </c>
      <c r="H3371" s="1">
        <v>130492</v>
      </c>
      <c r="I3371"/>
      <c r="J3371" t="s">
        <v>7369</v>
      </c>
      <c r="K3371" s="170">
        <v>45961</v>
      </c>
      <c r="L3371" s="1">
        <v>175000</v>
      </c>
      <c r="M3371" s="1">
        <v>46009</v>
      </c>
      <c r="N3371" s="1">
        <v>130492</v>
      </c>
    </row>
    <row r="3372" spans="1:14" ht="14.4" hidden="1">
      <c r="A3372" t="s">
        <v>232</v>
      </c>
      <c r="B3372" s="1">
        <v>22</v>
      </c>
      <c r="C3372" s="258" t="s">
        <v>7376</v>
      </c>
      <c r="D3372" t="s">
        <v>1160</v>
      </c>
      <c r="E3372" t="s">
        <v>1161</v>
      </c>
      <c r="F3372"/>
      <c r="H3372" s="1">
        <v>47705</v>
      </c>
      <c r="I3372" t="s">
        <v>7377</v>
      </c>
      <c r="J3372" t="s">
        <v>7378</v>
      </c>
      <c r="K3372" s="170">
        <v>45991</v>
      </c>
      <c r="L3372" s="1">
        <v>101943.16705970812</v>
      </c>
      <c r="M3372" s="1">
        <v>46021</v>
      </c>
      <c r="N3372" s="1">
        <v>58518</v>
      </c>
    </row>
    <row r="3373" spans="1:14" ht="14.4" hidden="1">
      <c r="A3373" t="s">
        <v>232</v>
      </c>
      <c r="B3373" s="1">
        <v>23</v>
      </c>
      <c r="C3373" s="258" t="s">
        <v>7379</v>
      </c>
      <c r="D3373" t="s">
        <v>1160</v>
      </c>
      <c r="E3373" t="s">
        <v>7380</v>
      </c>
      <c r="F3373"/>
      <c r="H3373" s="1">
        <v>10813</v>
      </c>
      <c r="I3373" t="s">
        <v>7381</v>
      </c>
      <c r="J3373" t="s">
        <v>7382</v>
      </c>
      <c r="K3373" s="170">
        <v>45991</v>
      </c>
      <c r="L3373" s="1">
        <v>23106.832940291875</v>
      </c>
      <c r="M3373" s="1">
        <v>46021</v>
      </c>
    </row>
    <row r="3374" spans="1:14" ht="14.4" hidden="1">
      <c r="A3374" t="s">
        <v>232</v>
      </c>
      <c r="B3374" s="1">
        <v>30</v>
      </c>
      <c r="C3374" s="258" t="s">
        <v>7383</v>
      </c>
      <c r="D3374" t="s">
        <v>1165</v>
      </c>
      <c r="E3374" t="s">
        <v>7384</v>
      </c>
      <c r="F3374">
        <v>2000</v>
      </c>
      <c r="G3374">
        <v>13.5</v>
      </c>
      <c r="H3374" s="1">
        <v>27000</v>
      </c>
      <c r="I3374"/>
      <c r="J3374" t="s">
        <v>1155</v>
      </c>
      <c r="K3374" s="170">
        <v>45961</v>
      </c>
      <c r="L3374" s="1">
        <v>75830.447381944847</v>
      </c>
      <c r="M3374" s="1">
        <v>45961</v>
      </c>
      <c r="N3374" s="1">
        <v>87564.99</v>
      </c>
    </row>
    <row r="3375" spans="1:14" ht="14.4" hidden="1">
      <c r="A3375" t="s">
        <v>232</v>
      </c>
      <c r="B3375" s="1">
        <v>31</v>
      </c>
      <c r="C3375" s="258" t="s">
        <v>7385</v>
      </c>
      <c r="D3375" t="s">
        <v>1165</v>
      </c>
      <c r="E3375" t="s">
        <v>7386</v>
      </c>
      <c r="F3375">
        <v>2000</v>
      </c>
      <c r="G3375">
        <v>13.5</v>
      </c>
      <c r="H3375" s="1">
        <v>27000</v>
      </c>
      <c r="I3375"/>
      <c r="J3375" t="s">
        <v>1155</v>
      </c>
      <c r="K3375" s="170">
        <v>45961</v>
      </c>
      <c r="L3375" s="1">
        <v>75830.447381944847</v>
      </c>
      <c r="M3375" s="1">
        <v>45961</v>
      </c>
    </row>
    <row r="3376" spans="1:14" ht="14.4" hidden="1">
      <c r="A3376" t="s">
        <v>232</v>
      </c>
      <c r="B3376" s="1">
        <v>34</v>
      </c>
      <c r="C3376" s="258" t="s">
        <v>7387</v>
      </c>
      <c r="D3376" t="s">
        <v>1165</v>
      </c>
      <c r="E3376" t="s">
        <v>1169</v>
      </c>
      <c r="F3376">
        <v>33565</v>
      </c>
      <c r="G3376">
        <v>0.1</v>
      </c>
      <c r="H3376" s="1">
        <v>3356.5</v>
      </c>
      <c r="I3376" t="s">
        <v>7388</v>
      </c>
      <c r="J3376" t="s">
        <v>7389</v>
      </c>
      <c r="K3376" s="170">
        <v>45961</v>
      </c>
      <c r="L3376" s="1">
        <v>9426.8480236110317</v>
      </c>
      <c r="M3376" s="1">
        <v>45967</v>
      </c>
    </row>
    <row r="3377" spans="1:14" ht="14.4" hidden="1">
      <c r="A3377" t="s">
        <v>232</v>
      </c>
      <c r="B3377" s="1">
        <v>35</v>
      </c>
      <c r="C3377" s="258" t="s">
        <v>7390</v>
      </c>
      <c r="D3377" t="s">
        <v>1165</v>
      </c>
      <c r="E3377" t="s">
        <v>558</v>
      </c>
      <c r="F3377"/>
      <c r="G3377">
        <v>0.15</v>
      </c>
      <c r="H3377" s="1">
        <v>5034.75</v>
      </c>
      <c r="I3377"/>
      <c r="J3377" t="s">
        <v>7391</v>
      </c>
      <c r="K3377" s="170">
        <v>45991</v>
      </c>
      <c r="L3377" s="1">
        <v>14140.272035416549</v>
      </c>
      <c r="M3377" s="1">
        <v>45989</v>
      </c>
    </row>
    <row r="3378" spans="1:14" ht="14.4" hidden="1">
      <c r="A3378" t="s">
        <v>232</v>
      </c>
      <c r="B3378" s="1">
        <v>36</v>
      </c>
      <c r="C3378" s="258" t="s">
        <v>7392</v>
      </c>
      <c r="D3378" t="s">
        <v>1165</v>
      </c>
      <c r="E3378" t="s">
        <v>7393</v>
      </c>
      <c r="F3378"/>
      <c r="G3378">
        <v>0.1</v>
      </c>
      <c r="H3378" s="1">
        <v>3356.5</v>
      </c>
      <c r="I3378"/>
      <c r="J3378" t="s">
        <v>7394</v>
      </c>
      <c r="K3378" s="170">
        <v>45991</v>
      </c>
      <c r="L3378" s="1">
        <v>9426.8480236110317</v>
      </c>
      <c r="M3378" s="1">
        <v>45989</v>
      </c>
    </row>
    <row r="3379" spans="1:14" ht="14.4" hidden="1">
      <c r="A3379" t="s">
        <v>232</v>
      </c>
      <c r="B3379" s="1">
        <v>37</v>
      </c>
      <c r="C3379" s="258" t="s">
        <v>7395</v>
      </c>
      <c r="D3379" t="s">
        <v>1165</v>
      </c>
      <c r="E3379" t="s">
        <v>7393</v>
      </c>
      <c r="F3379"/>
      <c r="G3379">
        <v>0.1</v>
      </c>
      <c r="H3379" s="1">
        <v>3356.5</v>
      </c>
      <c r="I3379"/>
      <c r="J3379" t="s">
        <v>7396</v>
      </c>
      <c r="K3379" s="170">
        <v>46053</v>
      </c>
      <c r="L3379" s="1">
        <v>9426.8691001654879</v>
      </c>
      <c r="M3379" s="1">
        <v>46051</v>
      </c>
    </row>
    <row r="3380" spans="1:14" ht="14.4" hidden="1">
      <c r="A3380" t="s">
        <v>232</v>
      </c>
      <c r="B3380" s="1">
        <v>38</v>
      </c>
      <c r="C3380" s="258" t="s">
        <v>7397</v>
      </c>
      <c r="D3380" t="s">
        <v>1165</v>
      </c>
      <c r="E3380" t="s">
        <v>7290</v>
      </c>
      <c r="F3380"/>
      <c r="G3380">
        <v>0.2</v>
      </c>
      <c r="H3380" s="1">
        <v>6713</v>
      </c>
      <c r="I3380"/>
      <c r="J3380" t="s">
        <v>7394</v>
      </c>
      <c r="K3380" s="170">
        <v>45991</v>
      </c>
      <c r="L3380" s="1">
        <v>18853.696047222063</v>
      </c>
      <c r="M3380" s="1">
        <v>45989</v>
      </c>
    </row>
    <row r="3381" spans="1:14" ht="14.4" hidden="1">
      <c r="A3381" t="s">
        <v>232</v>
      </c>
      <c r="B3381" s="1">
        <v>39</v>
      </c>
      <c r="C3381" s="258" t="s">
        <v>7398</v>
      </c>
      <c r="D3381" t="s">
        <v>1165</v>
      </c>
      <c r="E3381" t="s">
        <v>7290</v>
      </c>
      <c r="F3381"/>
      <c r="G3381">
        <v>0.05</v>
      </c>
      <c r="H3381" s="1">
        <v>1678.25</v>
      </c>
      <c r="I3381"/>
      <c r="J3381" t="s">
        <v>7396</v>
      </c>
      <c r="K3381" s="170">
        <v>46053</v>
      </c>
      <c r="L3381" s="1">
        <v>4713.4245500827437</v>
      </c>
      <c r="M3381" s="1">
        <v>46051</v>
      </c>
    </row>
    <row r="3382" spans="1:14" ht="14.4" hidden="1">
      <c r="A3382" t="s">
        <v>232</v>
      </c>
      <c r="B3382" s="1">
        <v>40</v>
      </c>
      <c r="C3382" s="258" t="s">
        <v>7399</v>
      </c>
      <c r="D3382" t="s">
        <v>1165</v>
      </c>
      <c r="E3382" t="s">
        <v>1181</v>
      </c>
      <c r="F3382"/>
      <c r="G3382">
        <v>0.1</v>
      </c>
      <c r="H3382" s="1">
        <v>3356.5</v>
      </c>
      <c r="I3382"/>
      <c r="J3382" t="s">
        <v>7396</v>
      </c>
      <c r="K3382" s="170">
        <v>46053</v>
      </c>
      <c r="L3382" s="1">
        <v>9426.8491001654875</v>
      </c>
      <c r="M3382" s="1">
        <v>46051</v>
      </c>
    </row>
    <row r="3383" spans="1:14" ht="14.4" hidden="1">
      <c r="A3383" t="s">
        <v>232</v>
      </c>
      <c r="B3383" s="1">
        <v>41</v>
      </c>
      <c r="C3383" s="258" t="s">
        <v>7400</v>
      </c>
      <c r="D3383" t="s">
        <v>1165</v>
      </c>
      <c r="E3383" t="s">
        <v>1184</v>
      </c>
      <c r="F3383"/>
      <c r="G3383">
        <v>0.1</v>
      </c>
      <c r="H3383" s="1">
        <v>3356.5</v>
      </c>
      <c r="I3383"/>
      <c r="J3383" t="s">
        <v>7401</v>
      </c>
      <c r="K3383" s="170">
        <v>46053</v>
      </c>
      <c r="L3383" s="1">
        <v>9426.8491001654875</v>
      </c>
      <c r="M3383" s="1">
        <v>46058</v>
      </c>
    </row>
    <row r="3384" spans="1:14" ht="14.4" hidden="1">
      <c r="A3384" t="s">
        <v>232</v>
      </c>
      <c r="B3384" s="1">
        <v>42</v>
      </c>
      <c r="C3384" s="258" t="s">
        <v>7402</v>
      </c>
      <c r="D3384" t="s">
        <v>1165</v>
      </c>
      <c r="E3384" t="s">
        <v>1187</v>
      </c>
      <c r="F3384"/>
      <c r="G3384">
        <v>0.05</v>
      </c>
      <c r="H3384" s="1">
        <v>1678.25</v>
      </c>
      <c r="I3384"/>
      <c r="J3384" t="s">
        <v>7401</v>
      </c>
      <c r="K3384" s="170">
        <v>46053</v>
      </c>
      <c r="L3384" s="1">
        <v>4713.4245500827437</v>
      </c>
      <c r="M3384" s="1">
        <v>46058</v>
      </c>
    </row>
    <row r="3385" spans="1:14" ht="14.4" hidden="1">
      <c r="A3385" t="s">
        <v>232</v>
      </c>
      <c r="B3385" s="1">
        <v>43</v>
      </c>
      <c r="C3385" s="258" t="s">
        <v>7403</v>
      </c>
      <c r="D3385" t="s">
        <v>1165</v>
      </c>
      <c r="E3385" t="s">
        <v>1190</v>
      </c>
      <c r="F3385"/>
      <c r="G3385">
        <v>0.05</v>
      </c>
      <c r="H3385" s="1">
        <v>1678.24</v>
      </c>
      <c r="I3385"/>
      <c r="J3385" t="s">
        <v>7401</v>
      </c>
      <c r="K3385" s="170">
        <v>46053</v>
      </c>
      <c r="L3385" s="1">
        <v>4713.3964647286539</v>
      </c>
      <c r="M3385" s="1">
        <v>46088</v>
      </c>
    </row>
    <row r="3386" spans="1:14" ht="14.4" hidden="1">
      <c r="A3386" t="s">
        <v>232</v>
      </c>
      <c r="B3386" s="1">
        <v>48</v>
      </c>
      <c r="C3386" s="258" t="s">
        <v>7404</v>
      </c>
      <c r="D3386" t="s">
        <v>1193</v>
      </c>
      <c r="E3386" t="s">
        <v>1489</v>
      </c>
      <c r="F3386"/>
      <c r="H3386" s="1">
        <v>8698.34</v>
      </c>
      <c r="I3386"/>
      <c r="J3386" t="s">
        <v>7299</v>
      </c>
      <c r="K3386" s="170">
        <v>45991</v>
      </c>
      <c r="L3386" s="1">
        <v>9080.9395091620772</v>
      </c>
      <c r="M3386" s="1">
        <v>46031</v>
      </c>
      <c r="N3386" s="1">
        <v>59282.42</v>
      </c>
    </row>
    <row r="3387" spans="1:14" ht="14.4" hidden="1">
      <c r="A3387" t="s">
        <v>232</v>
      </c>
      <c r="B3387" s="1">
        <v>49</v>
      </c>
      <c r="C3387" s="258" t="s">
        <v>7405</v>
      </c>
      <c r="D3387" t="s">
        <v>1193</v>
      </c>
      <c r="E3387" t="s">
        <v>1196</v>
      </c>
      <c r="F3387"/>
      <c r="H3387" s="1">
        <v>25321</v>
      </c>
      <c r="I3387" t="s">
        <v>7406</v>
      </c>
      <c r="J3387" t="s">
        <v>7407</v>
      </c>
      <c r="K3387" s="170">
        <v>45961</v>
      </c>
      <c r="L3387" s="1">
        <v>26936.920577737092</v>
      </c>
      <c r="M3387" s="1">
        <v>45989</v>
      </c>
    </row>
    <row r="3388" spans="1:14" ht="14.4" hidden="1">
      <c r="A3388" t="s">
        <v>232</v>
      </c>
      <c r="B3388" s="1">
        <v>50</v>
      </c>
      <c r="C3388" s="258" t="s">
        <v>7408</v>
      </c>
      <c r="D3388" t="s">
        <v>1193</v>
      </c>
      <c r="E3388" t="s">
        <v>1200</v>
      </c>
      <c r="F3388">
        <v>2</v>
      </c>
      <c r="G3388">
        <v>11169</v>
      </c>
      <c r="H3388" s="1">
        <v>22338</v>
      </c>
      <c r="I3388"/>
      <c r="J3388" t="s">
        <v>7304</v>
      </c>
      <c r="K3388" s="170">
        <v>45961</v>
      </c>
      <c r="L3388" s="1">
        <v>23763.553250878369</v>
      </c>
      <c r="M3388" s="1">
        <v>45989</v>
      </c>
    </row>
    <row r="3389" spans="1:14" ht="14.4" hidden="1">
      <c r="A3389" t="s">
        <v>232</v>
      </c>
      <c r="B3389" s="1">
        <v>51</v>
      </c>
      <c r="C3389" s="258" t="s">
        <v>7409</v>
      </c>
      <c r="D3389" t="s">
        <v>1193</v>
      </c>
      <c r="E3389" t="s">
        <v>1496</v>
      </c>
      <c r="F3389"/>
      <c r="H3389" s="1">
        <v>343.33</v>
      </c>
      <c r="I3389"/>
      <c r="J3389" t="s">
        <v>4072</v>
      </c>
      <c r="K3389" s="170">
        <v>45961</v>
      </c>
      <c r="L3389" s="1">
        <v>365.24043054991802</v>
      </c>
      <c r="M3389" s="1">
        <v>45989</v>
      </c>
    </row>
    <row r="3390" spans="1:14" ht="14.4" hidden="1">
      <c r="A3390" t="s">
        <v>232</v>
      </c>
      <c r="B3390" s="1">
        <v>52</v>
      </c>
      <c r="C3390" s="258" t="s">
        <v>7410</v>
      </c>
      <c r="D3390" t="s">
        <v>1193</v>
      </c>
      <c r="E3390" t="s">
        <v>1503</v>
      </c>
      <c r="F3390"/>
      <c r="H3390" s="1">
        <v>975</v>
      </c>
      <c r="I3390"/>
      <c r="J3390" t="s">
        <v>1207</v>
      </c>
      <c r="K3390" s="170">
        <v>45961</v>
      </c>
      <c r="L3390" s="1">
        <v>1037.2219724060528</v>
      </c>
      <c r="M3390" s="1">
        <v>45939</v>
      </c>
    </row>
    <row r="3391" spans="1:14" ht="14.4" hidden="1">
      <c r="A3391" t="s">
        <v>232</v>
      </c>
      <c r="B3391" s="1">
        <v>53</v>
      </c>
      <c r="C3391" s="258" t="s">
        <v>7411</v>
      </c>
      <c r="D3391" t="s">
        <v>1193</v>
      </c>
      <c r="E3391" t="s">
        <v>3426</v>
      </c>
      <c r="F3391"/>
      <c r="H3391" s="1">
        <v>21.33</v>
      </c>
      <c r="I3391"/>
      <c r="J3391" t="s">
        <v>3427</v>
      </c>
      <c r="K3391" s="170">
        <v>45991</v>
      </c>
      <c r="L3391" s="1">
        <v>22.627429076171669</v>
      </c>
      <c r="M3391" s="1">
        <v>45973</v>
      </c>
    </row>
    <row r="3392" spans="1:14" ht="14.4" hidden="1">
      <c r="A3392" t="s">
        <v>232</v>
      </c>
      <c r="B3392" s="1">
        <v>54</v>
      </c>
      <c r="C3392" s="258" t="s">
        <v>7412</v>
      </c>
      <c r="D3392" t="s">
        <v>1193</v>
      </c>
      <c r="E3392" t="s">
        <v>3426</v>
      </c>
      <c r="F3392"/>
      <c r="H3392" s="1">
        <v>41</v>
      </c>
      <c r="I3392"/>
      <c r="J3392" t="s">
        <v>3427</v>
      </c>
      <c r="K3392" s="170">
        <v>45991</v>
      </c>
      <c r="L3392" s="1">
        <v>43.493886175482352</v>
      </c>
      <c r="M3392" s="1">
        <v>45990</v>
      </c>
    </row>
    <row r="3393" spans="1:13" ht="14.4" hidden="1">
      <c r="A3393" t="s">
        <v>232</v>
      </c>
      <c r="B3393" s="1">
        <v>55</v>
      </c>
      <c r="C3393" s="258" t="s">
        <v>7413</v>
      </c>
      <c r="D3393" t="s">
        <v>1193</v>
      </c>
      <c r="E3393" t="s">
        <v>1209</v>
      </c>
      <c r="F3393"/>
      <c r="H3393" s="1">
        <v>1300</v>
      </c>
      <c r="I3393"/>
      <c r="J3393" t="s">
        <v>1155</v>
      </c>
      <c r="K3393" s="170">
        <v>46022</v>
      </c>
      <c r="L3393" s="1">
        <v>0</v>
      </c>
      <c r="M3393" s="1">
        <v>46022</v>
      </c>
    </row>
    <row r="3394" spans="1:13" ht="14.4" hidden="1">
      <c r="A3394" t="s">
        <v>232</v>
      </c>
      <c r="B3394" s="1">
        <v>56</v>
      </c>
      <c r="C3394" s="258" t="s">
        <v>7414</v>
      </c>
      <c r="D3394" t="s">
        <v>1193</v>
      </c>
      <c r="E3394" t="s">
        <v>7415</v>
      </c>
      <c r="F3394"/>
      <c r="H3394" s="1">
        <v>244.42</v>
      </c>
      <c r="I3394"/>
      <c r="J3394" t="s">
        <v>2696</v>
      </c>
      <c r="K3394" s="170">
        <v>46022</v>
      </c>
      <c r="L3394" s="1">
        <v>0</v>
      </c>
      <c r="M3394" s="1">
        <v>46051</v>
      </c>
    </row>
    <row r="3395" spans="1:13" ht="14.4" hidden="1">
      <c r="A3395" t="s">
        <v>232</v>
      </c>
      <c r="B3395" s="1">
        <v>59</v>
      </c>
      <c r="C3395" s="258" t="s">
        <v>7416</v>
      </c>
      <c r="D3395" t="s">
        <v>1211</v>
      </c>
      <c r="E3395" t="s">
        <v>1212</v>
      </c>
      <c r="F3395"/>
      <c r="H3395" s="1">
        <v>80010.720000000001</v>
      </c>
      <c r="I3395" t="s">
        <v>7417</v>
      </c>
      <c r="J3395" t="s">
        <v>7418</v>
      </c>
      <c r="K3395" s="170">
        <v>45991</v>
      </c>
      <c r="L3395" s="1">
        <v>174533.75772853699</v>
      </c>
      <c r="M3395" s="1">
        <v>46020</v>
      </c>
    </row>
    <row r="3396" spans="1:13" ht="14.4" hidden="1">
      <c r="A3396" t="s">
        <v>232</v>
      </c>
      <c r="B3396" s="1">
        <v>64</v>
      </c>
      <c r="C3396" s="258" t="s">
        <v>7419</v>
      </c>
      <c r="D3396" t="s">
        <v>1211</v>
      </c>
      <c r="E3396" t="s">
        <v>1169</v>
      </c>
      <c r="F3396">
        <v>64385.5</v>
      </c>
      <c r="G3396">
        <v>0.1</v>
      </c>
      <c r="H3396" s="1">
        <v>6438.55</v>
      </c>
      <c r="I3396" t="s">
        <v>7388</v>
      </c>
      <c r="J3396" t="s">
        <v>7389</v>
      </c>
      <c r="K3396" s="170">
        <v>45961</v>
      </c>
      <c r="L3396" s="1">
        <v>14044.922053233266</v>
      </c>
      <c r="M3396" s="1">
        <v>45967</v>
      </c>
    </row>
    <row r="3397" spans="1:13" ht="14.4" hidden="1">
      <c r="A3397" t="s">
        <v>232</v>
      </c>
      <c r="B3397" s="1">
        <v>65</v>
      </c>
      <c r="C3397" s="258" t="s">
        <v>7420</v>
      </c>
      <c r="D3397" t="s">
        <v>1211</v>
      </c>
      <c r="E3397" t="s">
        <v>558</v>
      </c>
      <c r="F3397"/>
      <c r="G3397">
        <v>0.15</v>
      </c>
      <c r="H3397" s="1">
        <v>9657.8249999999989</v>
      </c>
      <c r="I3397"/>
      <c r="J3397" t="s">
        <v>7391</v>
      </c>
      <c r="K3397" s="170">
        <v>45991</v>
      </c>
      <c r="L3397" s="1">
        <v>21067.383079849893</v>
      </c>
      <c r="M3397" s="1">
        <v>45989</v>
      </c>
    </row>
    <row r="3398" spans="1:13" ht="14.4" hidden="1">
      <c r="A3398" t="s">
        <v>232</v>
      </c>
      <c r="B3398" s="1">
        <v>66</v>
      </c>
      <c r="C3398" s="258" t="s">
        <v>7421</v>
      </c>
      <c r="D3398" t="s">
        <v>1211</v>
      </c>
      <c r="E3398" t="s">
        <v>7393</v>
      </c>
      <c r="F3398"/>
      <c r="G3398">
        <v>0.1</v>
      </c>
      <c r="H3398" s="1">
        <v>6438.55</v>
      </c>
      <c r="I3398"/>
      <c r="J3398" t="s">
        <v>7394</v>
      </c>
      <c r="K3398" s="170">
        <v>45991</v>
      </c>
      <c r="L3398" s="1">
        <v>14044.922053233266</v>
      </c>
      <c r="M3398" s="1">
        <v>45989</v>
      </c>
    </row>
    <row r="3399" spans="1:13" ht="14.4" hidden="1">
      <c r="A3399" t="s">
        <v>232</v>
      </c>
      <c r="B3399" s="1">
        <v>67</v>
      </c>
      <c r="C3399" s="258" t="s">
        <v>7422</v>
      </c>
      <c r="D3399" t="s">
        <v>1211</v>
      </c>
      <c r="E3399" t="s">
        <v>7393</v>
      </c>
      <c r="F3399"/>
      <c r="G3399">
        <v>0.1</v>
      </c>
      <c r="H3399" s="1">
        <v>6438.55</v>
      </c>
      <c r="I3399"/>
      <c r="J3399" t="s">
        <v>7396</v>
      </c>
      <c r="K3399" s="170">
        <v>46053</v>
      </c>
      <c r="L3399" s="1">
        <v>14044.922053233266</v>
      </c>
      <c r="M3399" s="1">
        <v>46051</v>
      </c>
    </row>
    <row r="3400" spans="1:13" ht="14.4" hidden="1">
      <c r="A3400" t="s">
        <v>232</v>
      </c>
      <c r="B3400" s="1">
        <v>68</v>
      </c>
      <c r="C3400" s="258" t="s">
        <v>7423</v>
      </c>
      <c r="D3400" t="s">
        <v>1211</v>
      </c>
      <c r="E3400" t="s">
        <v>7290</v>
      </c>
      <c r="F3400"/>
      <c r="G3400">
        <v>0.2</v>
      </c>
      <c r="H3400" s="1">
        <v>12877.1</v>
      </c>
      <c r="I3400"/>
      <c r="J3400" t="s">
        <v>7394</v>
      </c>
      <c r="K3400" s="170">
        <v>45991</v>
      </c>
      <c r="L3400" s="1">
        <v>28089.844106466531</v>
      </c>
      <c r="M3400" s="1">
        <v>45989</v>
      </c>
    </row>
    <row r="3401" spans="1:13" ht="14.4" hidden="1">
      <c r="A3401" t="s">
        <v>232</v>
      </c>
      <c r="B3401" s="1">
        <v>69</v>
      </c>
      <c r="C3401" s="258" t="s">
        <v>7424</v>
      </c>
      <c r="D3401" t="s">
        <v>1211</v>
      </c>
      <c r="E3401" t="s">
        <v>7290</v>
      </c>
      <c r="F3401"/>
      <c r="G3401">
        <v>0.05</v>
      </c>
      <c r="H3401" s="1">
        <v>3219.2750000000001</v>
      </c>
      <c r="I3401"/>
      <c r="J3401" t="s">
        <v>7396</v>
      </c>
      <c r="K3401" s="170">
        <v>46053</v>
      </c>
      <c r="L3401" s="1">
        <v>7022.4610266166328</v>
      </c>
      <c r="M3401" s="1">
        <v>46051</v>
      </c>
    </row>
    <row r="3402" spans="1:13" ht="14.4" hidden="1">
      <c r="A3402" t="s">
        <v>232</v>
      </c>
      <c r="B3402" s="1">
        <v>70</v>
      </c>
      <c r="C3402" s="258" t="s">
        <v>7425</v>
      </c>
      <c r="D3402" t="s">
        <v>1211</v>
      </c>
      <c r="E3402" t="s">
        <v>1181</v>
      </c>
      <c r="F3402"/>
      <c r="G3402">
        <v>0.1</v>
      </c>
      <c r="H3402" s="1">
        <v>6438.55</v>
      </c>
      <c r="I3402"/>
      <c r="J3402" t="s">
        <v>7396</v>
      </c>
      <c r="K3402" s="170">
        <v>46053</v>
      </c>
      <c r="L3402" s="1">
        <v>14044.922053233266</v>
      </c>
      <c r="M3402" s="1">
        <v>46051</v>
      </c>
    </row>
    <row r="3403" spans="1:13" ht="14.4" hidden="1">
      <c r="A3403" t="s">
        <v>232</v>
      </c>
      <c r="B3403" s="1">
        <v>71</v>
      </c>
      <c r="C3403" s="258" t="s">
        <v>7426</v>
      </c>
      <c r="D3403" t="s">
        <v>1211</v>
      </c>
      <c r="E3403" t="s">
        <v>1184</v>
      </c>
      <c r="F3403"/>
      <c r="G3403">
        <v>0.1</v>
      </c>
      <c r="H3403" s="1">
        <v>6438.55</v>
      </c>
      <c r="I3403"/>
      <c r="J3403" t="s">
        <v>7401</v>
      </c>
      <c r="K3403" s="170">
        <v>46053</v>
      </c>
      <c r="L3403" s="1">
        <v>14044.922053233266</v>
      </c>
      <c r="M3403" s="1">
        <v>46058</v>
      </c>
    </row>
    <row r="3404" spans="1:13" ht="14.4" hidden="1">
      <c r="A3404" t="s">
        <v>232</v>
      </c>
      <c r="B3404" s="1">
        <v>72</v>
      </c>
      <c r="C3404" s="258" t="s">
        <v>7427</v>
      </c>
      <c r="D3404" t="s">
        <v>1211</v>
      </c>
      <c r="E3404" t="s">
        <v>1187</v>
      </c>
      <c r="F3404"/>
      <c r="G3404">
        <v>0.05</v>
      </c>
      <c r="H3404" s="1">
        <v>3219.2750000000001</v>
      </c>
      <c r="I3404"/>
      <c r="J3404" t="s">
        <v>7401</v>
      </c>
      <c r="K3404" s="170">
        <v>46053</v>
      </c>
      <c r="L3404" s="1">
        <v>7022.4610266166328</v>
      </c>
      <c r="M3404" s="1">
        <v>46058</v>
      </c>
    </row>
    <row r="3405" spans="1:13" ht="14.4" hidden="1">
      <c r="A3405" t="s">
        <v>232</v>
      </c>
      <c r="B3405" s="1">
        <v>73</v>
      </c>
      <c r="C3405" s="258" t="s">
        <v>7428</v>
      </c>
      <c r="D3405" t="s">
        <v>1211</v>
      </c>
      <c r="E3405" t="s">
        <v>1190</v>
      </c>
      <c r="F3405"/>
      <c r="G3405">
        <v>0.05</v>
      </c>
      <c r="H3405" s="1">
        <v>3219.2750000000001</v>
      </c>
      <c r="I3405"/>
      <c r="J3405" t="s">
        <v>7401</v>
      </c>
      <c r="K3405" s="170">
        <v>46053</v>
      </c>
      <c r="L3405" s="1">
        <v>7022.4610266166328</v>
      </c>
      <c r="M3405" s="1">
        <v>46088</v>
      </c>
    </row>
    <row r="3406" spans="1:13" ht="14.4" hidden="1">
      <c r="A3406" t="s">
        <v>232</v>
      </c>
      <c r="B3406" s="1">
        <v>88</v>
      </c>
      <c r="C3406" s="258" t="s">
        <v>7429</v>
      </c>
      <c r="D3406" t="s">
        <v>1224</v>
      </c>
      <c r="E3406" t="s">
        <v>7430</v>
      </c>
      <c r="F3406">
        <v>15800</v>
      </c>
      <c r="G3406">
        <v>0.7</v>
      </c>
      <c r="H3406" s="1">
        <v>11060</v>
      </c>
      <c r="I3406" t="s">
        <v>7431</v>
      </c>
      <c r="J3406" t="s">
        <v>7432</v>
      </c>
      <c r="K3406" s="170">
        <v>45961</v>
      </c>
      <c r="L3406" s="1">
        <v>26737.331473733149</v>
      </c>
      <c r="M3406" s="1">
        <v>45954</v>
      </c>
    </row>
    <row r="3407" spans="1:13" ht="14.4" hidden="1">
      <c r="A3407" t="s">
        <v>232</v>
      </c>
      <c r="B3407" s="1">
        <v>89</v>
      </c>
      <c r="C3407" s="258" t="s">
        <v>7433</v>
      </c>
      <c r="D3407" t="s">
        <v>1224</v>
      </c>
      <c r="F3407"/>
      <c r="G3407">
        <v>0.3</v>
      </c>
      <c r="H3407" s="1">
        <v>4740</v>
      </c>
      <c r="I3407"/>
      <c r="J3407" t="s">
        <v>7432</v>
      </c>
      <c r="K3407" s="170">
        <v>45961</v>
      </c>
      <c r="L3407" s="1">
        <v>11458.856345885635</v>
      </c>
      <c r="M3407" s="1">
        <v>45995</v>
      </c>
    </row>
    <row r="3408" spans="1:13" ht="14.4" hidden="1">
      <c r="A3408" t="s">
        <v>232</v>
      </c>
      <c r="B3408" s="1">
        <v>90</v>
      </c>
      <c r="C3408" s="258" t="s">
        <v>7434</v>
      </c>
      <c r="D3408" t="s">
        <v>1224</v>
      </c>
      <c r="E3408" t="s">
        <v>7435</v>
      </c>
      <c r="F3408"/>
      <c r="H3408" s="1">
        <v>2430</v>
      </c>
      <c r="I3408" t="s">
        <v>7436</v>
      </c>
      <c r="J3408" t="s">
        <v>7437</v>
      </c>
      <c r="K3408" s="170">
        <v>45991</v>
      </c>
      <c r="L3408" s="1">
        <v>5874.4769874476997</v>
      </c>
      <c r="M3408" s="1">
        <v>45974</v>
      </c>
    </row>
    <row r="3409" spans="1:14" ht="14.4" hidden="1">
      <c r="A3409" t="s">
        <v>232</v>
      </c>
      <c r="B3409" s="1">
        <v>91</v>
      </c>
      <c r="C3409" s="258" t="s">
        <v>7438</v>
      </c>
      <c r="D3409" t="s">
        <v>1224</v>
      </c>
      <c r="F3409"/>
      <c r="H3409" s="1">
        <v>5670</v>
      </c>
      <c r="I3409"/>
      <c r="J3409" t="s">
        <v>7437</v>
      </c>
      <c r="K3409" s="170">
        <v>45991</v>
      </c>
      <c r="L3409" s="1">
        <v>13707.112970711298</v>
      </c>
      <c r="M3409" s="1">
        <v>45995</v>
      </c>
    </row>
    <row r="3410" spans="1:14" ht="14.4" hidden="1">
      <c r="A3410" t="s">
        <v>232</v>
      </c>
      <c r="B3410" s="1">
        <v>98</v>
      </c>
      <c r="C3410" s="258" t="s">
        <v>7439</v>
      </c>
      <c r="D3410" t="s">
        <v>1246</v>
      </c>
      <c r="E3410" t="s">
        <v>1169</v>
      </c>
      <c r="F3410">
        <v>272012.95999999996</v>
      </c>
      <c r="G3410">
        <v>0.1</v>
      </c>
      <c r="H3410" s="1">
        <v>27201.295999999998</v>
      </c>
      <c r="I3410" t="s">
        <v>7388</v>
      </c>
      <c r="J3410" t="s">
        <v>7389</v>
      </c>
      <c r="K3410" s="170">
        <v>45961</v>
      </c>
      <c r="L3410" s="1">
        <v>22094.444444444445</v>
      </c>
      <c r="M3410" s="1">
        <v>45967</v>
      </c>
    </row>
    <row r="3411" spans="1:14" ht="14.4" hidden="1">
      <c r="A3411" t="s">
        <v>232</v>
      </c>
      <c r="B3411" s="1">
        <v>99</v>
      </c>
      <c r="C3411" s="258" t="s">
        <v>7440</v>
      </c>
      <c r="D3411" t="s">
        <v>1246</v>
      </c>
      <c r="E3411" t="s">
        <v>558</v>
      </c>
      <c r="F3411"/>
      <c r="G3411">
        <v>0.15</v>
      </c>
      <c r="H3411" s="1">
        <v>40801.944000000003</v>
      </c>
      <c r="I3411"/>
      <c r="J3411" t="s">
        <v>7391</v>
      </c>
      <c r="K3411" s="170">
        <v>45991</v>
      </c>
      <c r="L3411" s="1">
        <v>33141.666666666664</v>
      </c>
      <c r="M3411" s="1">
        <v>45989</v>
      </c>
    </row>
    <row r="3412" spans="1:14" ht="14.4" hidden="1">
      <c r="A3412" t="s">
        <v>232</v>
      </c>
      <c r="B3412" s="1">
        <v>100</v>
      </c>
      <c r="C3412" s="258" t="s">
        <v>7441</v>
      </c>
      <c r="D3412" t="s">
        <v>1246</v>
      </c>
      <c r="E3412" t="s">
        <v>7393</v>
      </c>
      <c r="F3412"/>
      <c r="G3412">
        <v>0.1</v>
      </c>
      <c r="H3412" s="1">
        <v>27201.295999999998</v>
      </c>
      <c r="I3412"/>
      <c r="J3412" t="s">
        <v>7394</v>
      </c>
      <c r="K3412" s="170">
        <v>45991</v>
      </c>
      <c r="L3412" s="1">
        <v>22094.444444444445</v>
      </c>
      <c r="M3412" s="1">
        <v>45989</v>
      </c>
    </row>
    <row r="3413" spans="1:14" ht="14.4" hidden="1">
      <c r="A3413" t="s">
        <v>232</v>
      </c>
      <c r="B3413" s="1">
        <v>101</v>
      </c>
      <c r="C3413" s="258" t="s">
        <v>7442</v>
      </c>
      <c r="D3413" t="s">
        <v>1246</v>
      </c>
      <c r="E3413" t="s">
        <v>7393</v>
      </c>
      <c r="F3413"/>
      <c r="G3413">
        <v>0.1</v>
      </c>
      <c r="H3413" s="1">
        <v>27201.295999999998</v>
      </c>
      <c r="I3413"/>
      <c r="J3413" t="s">
        <v>7396</v>
      </c>
      <c r="K3413" s="170">
        <v>46053</v>
      </c>
      <c r="L3413" s="1">
        <v>22094.444119541629</v>
      </c>
      <c r="M3413" s="1">
        <v>46051</v>
      </c>
    </row>
    <row r="3414" spans="1:14" ht="14.4" hidden="1">
      <c r="A3414" t="s">
        <v>232</v>
      </c>
      <c r="B3414" s="1">
        <v>102</v>
      </c>
      <c r="C3414" s="258" t="s">
        <v>7443</v>
      </c>
      <c r="D3414" t="s">
        <v>1246</v>
      </c>
      <c r="E3414" t="s">
        <v>7290</v>
      </c>
      <c r="F3414"/>
      <c r="G3414">
        <v>0.2</v>
      </c>
      <c r="H3414" s="1">
        <v>54402.591999999997</v>
      </c>
      <c r="I3414"/>
      <c r="J3414" t="s">
        <v>7394</v>
      </c>
      <c r="K3414" s="170">
        <v>45991</v>
      </c>
      <c r="L3414" s="1">
        <v>44188.888888888891</v>
      </c>
      <c r="M3414" s="1">
        <v>45989</v>
      </c>
    </row>
    <row r="3415" spans="1:14" ht="14.4" hidden="1">
      <c r="A3415" t="s">
        <v>232</v>
      </c>
      <c r="B3415" s="1">
        <v>103</v>
      </c>
      <c r="C3415" s="258" t="s">
        <v>7444</v>
      </c>
      <c r="D3415" t="s">
        <v>1246</v>
      </c>
      <c r="E3415" t="s">
        <v>7290</v>
      </c>
      <c r="F3415"/>
      <c r="G3415">
        <v>0.05</v>
      </c>
      <c r="H3415" s="1">
        <v>13600.647999999999</v>
      </c>
      <c r="I3415"/>
      <c r="J3415" t="s">
        <v>7396</v>
      </c>
      <c r="K3415" s="170">
        <v>46053</v>
      </c>
      <c r="L3415" s="1">
        <v>11047.222059770816</v>
      </c>
      <c r="M3415" s="1">
        <v>46051</v>
      </c>
    </row>
    <row r="3416" spans="1:14" ht="14.4" hidden="1">
      <c r="A3416" t="s">
        <v>232</v>
      </c>
      <c r="B3416" s="1">
        <v>104</v>
      </c>
      <c r="C3416" s="258" t="s">
        <v>7445</v>
      </c>
      <c r="D3416" t="s">
        <v>1246</v>
      </c>
      <c r="E3416" t="s">
        <v>1181</v>
      </c>
      <c r="F3416"/>
      <c r="G3416">
        <v>0.1</v>
      </c>
      <c r="H3416" s="1">
        <v>27201.295999999998</v>
      </c>
      <c r="I3416"/>
      <c r="J3416" t="s">
        <v>7396</v>
      </c>
      <c r="K3416" s="170">
        <v>46053</v>
      </c>
      <c r="L3416" s="1">
        <v>22094.444119541629</v>
      </c>
      <c r="M3416" s="1">
        <v>46051</v>
      </c>
    </row>
    <row r="3417" spans="1:14" ht="14.4" hidden="1">
      <c r="A3417" t="s">
        <v>232</v>
      </c>
      <c r="B3417" s="1">
        <v>105</v>
      </c>
      <c r="C3417" s="258" t="s">
        <v>7446</v>
      </c>
      <c r="D3417" t="s">
        <v>1246</v>
      </c>
      <c r="E3417" t="s">
        <v>1184</v>
      </c>
      <c r="F3417"/>
      <c r="G3417">
        <v>0.1</v>
      </c>
      <c r="H3417" s="1">
        <v>27201.3</v>
      </c>
      <c r="I3417"/>
      <c r="J3417" t="s">
        <v>7401</v>
      </c>
      <c r="K3417" s="170">
        <v>46053</v>
      </c>
      <c r="L3417" s="1">
        <v>22094.447368569781</v>
      </c>
      <c r="M3417" s="1">
        <v>46058</v>
      </c>
    </row>
    <row r="3418" spans="1:14" ht="14.4" hidden="1">
      <c r="A3418" t="s">
        <v>232</v>
      </c>
      <c r="B3418" s="1">
        <v>106</v>
      </c>
      <c r="C3418" s="258" t="s">
        <v>7447</v>
      </c>
      <c r="D3418" t="s">
        <v>1246</v>
      </c>
      <c r="E3418" t="s">
        <v>1187</v>
      </c>
      <c r="F3418"/>
      <c r="G3418">
        <v>0.05</v>
      </c>
      <c r="H3418" s="1">
        <v>13600.647999999999</v>
      </c>
      <c r="I3418"/>
      <c r="J3418" t="s">
        <v>7401</v>
      </c>
      <c r="K3418" s="170">
        <v>46053</v>
      </c>
      <c r="L3418" s="1">
        <v>11047.222059770816</v>
      </c>
      <c r="M3418" s="1">
        <v>46058</v>
      </c>
    </row>
    <row r="3419" spans="1:14" ht="14.4" hidden="1">
      <c r="A3419" t="s">
        <v>232</v>
      </c>
      <c r="B3419" s="1">
        <v>107</v>
      </c>
      <c r="C3419" s="258" t="s">
        <v>7448</v>
      </c>
      <c r="D3419" t="s">
        <v>1246</v>
      </c>
      <c r="E3419" t="s">
        <v>1190</v>
      </c>
      <c r="F3419"/>
      <c r="G3419">
        <v>0.05</v>
      </c>
      <c r="H3419" s="1">
        <v>13600.647999999999</v>
      </c>
      <c r="I3419"/>
      <c r="J3419" t="s">
        <v>7401</v>
      </c>
      <c r="K3419" s="170">
        <v>46053</v>
      </c>
      <c r="L3419" s="1">
        <v>11047.222059770816</v>
      </c>
      <c r="M3419" s="1">
        <v>46088</v>
      </c>
    </row>
    <row r="3420" spans="1:14" ht="14.4" hidden="1">
      <c r="A3420" t="s">
        <v>232</v>
      </c>
      <c r="B3420" s="1">
        <v>112</v>
      </c>
      <c r="C3420" s="258" t="s">
        <v>7449</v>
      </c>
      <c r="D3420" t="s">
        <v>1255</v>
      </c>
      <c r="E3420" t="s">
        <v>1343</v>
      </c>
      <c r="F3420"/>
      <c r="H3420" s="1">
        <v>2555.1</v>
      </c>
      <c r="I3420" t="s">
        <v>7450</v>
      </c>
      <c r="J3420" t="s">
        <v>7451</v>
      </c>
      <c r="K3420" s="170">
        <v>45991</v>
      </c>
      <c r="L3420" s="1">
        <v>1876.5042211388777</v>
      </c>
      <c r="M3420" s="1">
        <v>45974</v>
      </c>
      <c r="N3420" s="1">
        <v>77414.600000000006</v>
      </c>
    </row>
    <row r="3421" spans="1:14" ht="14.4" hidden="1">
      <c r="A3421" t="s">
        <v>232</v>
      </c>
      <c r="B3421" s="1">
        <v>116</v>
      </c>
      <c r="C3421" s="258" t="s">
        <v>7452</v>
      </c>
      <c r="D3421" t="s">
        <v>1255</v>
      </c>
      <c r="E3421" t="s">
        <v>1169</v>
      </c>
      <c r="F3421">
        <v>74859.5</v>
      </c>
      <c r="G3421">
        <v>0.1</v>
      </c>
      <c r="H3421" s="1">
        <v>7485.95</v>
      </c>
      <c r="I3421" t="s">
        <v>7388</v>
      </c>
      <c r="J3421" t="s">
        <v>7389</v>
      </c>
      <c r="K3421" s="170">
        <v>45961</v>
      </c>
      <c r="L3421" s="1">
        <v>6317.1604938271603</v>
      </c>
      <c r="M3421" s="1">
        <v>45967</v>
      </c>
    </row>
    <row r="3422" spans="1:14" ht="14.4" hidden="1">
      <c r="A3422" t="s">
        <v>232</v>
      </c>
      <c r="B3422" s="1">
        <v>117</v>
      </c>
      <c r="C3422" s="258" t="s">
        <v>7453</v>
      </c>
      <c r="D3422" t="s">
        <v>1255</v>
      </c>
      <c r="E3422" t="s">
        <v>558</v>
      </c>
      <c r="F3422"/>
      <c r="G3422">
        <v>0.15</v>
      </c>
      <c r="H3422" s="1">
        <v>11228.924999999999</v>
      </c>
      <c r="I3422"/>
      <c r="J3422" t="s">
        <v>7391</v>
      </c>
      <c r="K3422" s="170">
        <v>45991</v>
      </c>
      <c r="L3422" s="1">
        <v>9162.9901075699072</v>
      </c>
      <c r="M3422" s="1">
        <v>45989</v>
      </c>
    </row>
    <row r="3423" spans="1:14" ht="14.4" hidden="1">
      <c r="A3423" t="s">
        <v>232</v>
      </c>
      <c r="B3423" s="1">
        <v>118</v>
      </c>
      <c r="C3423" s="258" t="s">
        <v>7454</v>
      </c>
      <c r="D3423" t="s">
        <v>1255</v>
      </c>
      <c r="E3423" t="s">
        <v>7393</v>
      </c>
      <c r="F3423"/>
      <c r="G3423">
        <v>0.1</v>
      </c>
      <c r="H3423" s="1">
        <v>7485.95</v>
      </c>
      <c r="I3423"/>
      <c r="J3423" t="s">
        <v>7394</v>
      </c>
      <c r="K3423" s="170">
        <v>45991</v>
      </c>
      <c r="L3423" s="1">
        <v>6108.6600717132733</v>
      </c>
      <c r="M3423" s="1">
        <v>45989</v>
      </c>
    </row>
    <row r="3424" spans="1:14" ht="14.4" hidden="1">
      <c r="A3424" t="s">
        <v>232</v>
      </c>
      <c r="B3424" s="1">
        <v>119</v>
      </c>
      <c r="C3424" s="258" t="s">
        <v>7455</v>
      </c>
      <c r="D3424" t="s">
        <v>1255</v>
      </c>
      <c r="E3424" t="s">
        <v>7393</v>
      </c>
      <c r="F3424"/>
      <c r="G3424">
        <v>0.1</v>
      </c>
      <c r="H3424" s="1">
        <v>7485.95</v>
      </c>
      <c r="I3424"/>
      <c r="J3424" t="s">
        <v>7396</v>
      </c>
      <c r="K3424" s="170">
        <v>46053</v>
      </c>
      <c r="L3424" s="1">
        <v>6108.6600717132733</v>
      </c>
      <c r="M3424" s="1">
        <v>46051</v>
      </c>
    </row>
    <row r="3425" spans="1:14" ht="14.4" hidden="1">
      <c r="A3425" t="s">
        <v>232</v>
      </c>
      <c r="B3425" s="1">
        <v>120</v>
      </c>
      <c r="C3425" s="258" t="s">
        <v>7456</v>
      </c>
      <c r="D3425" t="s">
        <v>1255</v>
      </c>
      <c r="E3425" t="s">
        <v>7290</v>
      </c>
      <c r="F3425"/>
      <c r="G3425">
        <v>0.2</v>
      </c>
      <c r="H3425" s="1">
        <v>14971.9</v>
      </c>
      <c r="I3425"/>
      <c r="J3425" t="s">
        <v>7394</v>
      </c>
      <c r="K3425" s="170">
        <v>45991</v>
      </c>
      <c r="L3425" s="1">
        <v>12217.320143426548</v>
      </c>
      <c r="M3425" s="1">
        <v>45989</v>
      </c>
    </row>
    <row r="3426" spans="1:14" ht="14.4" hidden="1">
      <c r="A3426" t="s">
        <v>232</v>
      </c>
      <c r="B3426" s="1">
        <v>121</v>
      </c>
      <c r="C3426" s="258" t="s">
        <v>7457</v>
      </c>
      <c r="D3426" t="s">
        <v>1255</v>
      </c>
      <c r="E3426" t="s">
        <v>7290</v>
      </c>
      <c r="F3426"/>
      <c r="G3426">
        <v>0.05</v>
      </c>
      <c r="H3426" s="1">
        <v>3742.9749999999999</v>
      </c>
      <c r="I3426"/>
      <c r="J3426" t="s">
        <v>7396</v>
      </c>
      <c r="K3426" s="170">
        <v>46053</v>
      </c>
      <c r="L3426" s="1">
        <v>3054.3300358566366</v>
      </c>
      <c r="M3426" s="1">
        <v>46051</v>
      </c>
    </row>
    <row r="3427" spans="1:14" ht="14.4" hidden="1">
      <c r="A3427" t="s">
        <v>232</v>
      </c>
      <c r="B3427" s="1">
        <v>122</v>
      </c>
      <c r="C3427" s="258" t="s">
        <v>7458</v>
      </c>
      <c r="D3427" t="s">
        <v>1255</v>
      </c>
      <c r="E3427" t="s">
        <v>1181</v>
      </c>
      <c r="F3427"/>
      <c r="G3427">
        <v>0.1</v>
      </c>
      <c r="H3427" s="1">
        <v>7485.95</v>
      </c>
      <c r="I3427"/>
      <c r="J3427" t="s">
        <v>7396</v>
      </c>
      <c r="K3427" s="170">
        <v>46053</v>
      </c>
      <c r="L3427" s="1">
        <v>6108.6600717132733</v>
      </c>
      <c r="M3427" s="1">
        <v>46051</v>
      </c>
    </row>
    <row r="3428" spans="1:14" ht="14.4" hidden="1">
      <c r="A3428" t="s">
        <v>232</v>
      </c>
      <c r="B3428" s="1">
        <v>123</v>
      </c>
      <c r="C3428" s="258" t="s">
        <v>7459</v>
      </c>
      <c r="D3428" t="s">
        <v>1255</v>
      </c>
      <c r="E3428" t="s">
        <v>1184</v>
      </c>
      <c r="F3428"/>
      <c r="G3428">
        <v>0.1</v>
      </c>
      <c r="H3428" s="1">
        <v>7485.95</v>
      </c>
      <c r="I3428"/>
      <c r="J3428" t="s">
        <v>7401</v>
      </c>
      <c r="K3428" s="170">
        <v>46053</v>
      </c>
      <c r="L3428" s="1">
        <v>6108.6600717132733</v>
      </c>
      <c r="M3428" s="1">
        <v>46058</v>
      </c>
    </row>
    <row r="3429" spans="1:14" ht="14.4" hidden="1">
      <c r="A3429" t="s">
        <v>232</v>
      </c>
      <c r="B3429" s="1">
        <v>124</v>
      </c>
      <c r="C3429" s="258" t="s">
        <v>7460</v>
      </c>
      <c r="D3429" t="s">
        <v>1255</v>
      </c>
      <c r="E3429" t="s">
        <v>1187</v>
      </c>
      <c r="F3429"/>
      <c r="G3429">
        <v>0.05</v>
      </c>
      <c r="H3429" s="1">
        <v>3742.9749999999999</v>
      </c>
      <c r="I3429"/>
      <c r="J3429" t="s">
        <v>7401</v>
      </c>
      <c r="K3429" s="170">
        <v>46053</v>
      </c>
      <c r="L3429" s="1">
        <v>3054.3300358566366</v>
      </c>
      <c r="M3429" s="1">
        <v>46058</v>
      </c>
    </row>
    <row r="3430" spans="1:14" ht="14.4" hidden="1">
      <c r="A3430" t="s">
        <v>232</v>
      </c>
      <c r="B3430" s="1">
        <v>125</v>
      </c>
      <c r="C3430" s="258" t="s">
        <v>7461</v>
      </c>
      <c r="D3430" t="s">
        <v>1255</v>
      </c>
      <c r="E3430" t="s">
        <v>1190</v>
      </c>
      <c r="F3430"/>
      <c r="G3430">
        <v>0.05</v>
      </c>
      <c r="H3430" s="1">
        <v>3742.9749999999999</v>
      </c>
      <c r="I3430"/>
      <c r="J3430" t="s">
        <v>7401</v>
      </c>
      <c r="K3430" s="170">
        <v>46053</v>
      </c>
      <c r="L3430" s="1">
        <v>3054.3300358566366</v>
      </c>
      <c r="M3430" s="1">
        <v>46088</v>
      </c>
    </row>
    <row r="3431" spans="1:14" ht="14.4" hidden="1">
      <c r="A3431" t="s">
        <v>232</v>
      </c>
      <c r="B3431" s="1">
        <v>130</v>
      </c>
      <c r="C3431" s="258" t="s">
        <v>7462</v>
      </c>
      <c r="D3431" t="s">
        <v>1264</v>
      </c>
      <c r="E3431" t="s">
        <v>1265</v>
      </c>
      <c r="F3431"/>
      <c r="H3431" s="1">
        <v>9565</v>
      </c>
      <c r="I3431"/>
      <c r="J3431" t="s">
        <v>3474</v>
      </c>
      <c r="K3431" s="170">
        <v>46022</v>
      </c>
      <c r="L3431" s="1">
        <v>19801.192133347609</v>
      </c>
      <c r="M3431" s="1">
        <v>46045</v>
      </c>
      <c r="N3431" s="1">
        <v>15565</v>
      </c>
    </row>
    <row r="3432" spans="1:14" ht="14.4" hidden="1">
      <c r="A3432" t="s">
        <v>232</v>
      </c>
      <c r="B3432" s="1">
        <v>133</v>
      </c>
      <c r="C3432" s="258" t="s">
        <v>7463</v>
      </c>
      <c r="D3432" t="s">
        <v>1264</v>
      </c>
      <c r="E3432" t="s">
        <v>808</v>
      </c>
      <c r="F3432"/>
      <c r="H3432" s="1">
        <v>6000</v>
      </c>
      <c r="I3432"/>
      <c r="J3432" t="s">
        <v>3047</v>
      </c>
      <c r="K3432" s="170">
        <v>46022</v>
      </c>
      <c r="L3432" s="1">
        <v>12421.030088874611</v>
      </c>
      <c r="M3432" s="1">
        <v>46052</v>
      </c>
    </row>
    <row r="3433" spans="1:14" ht="14.4" hidden="1">
      <c r="A3433" t="s">
        <v>232</v>
      </c>
      <c r="B3433" s="1">
        <v>139</v>
      </c>
      <c r="C3433" s="258" t="s">
        <v>7464</v>
      </c>
      <c r="D3433" t="s">
        <v>1277</v>
      </c>
      <c r="E3433" t="s">
        <v>1278</v>
      </c>
      <c r="F3433"/>
      <c r="H3433" s="1">
        <v>25059.23</v>
      </c>
      <c r="I3433"/>
      <c r="J3433" t="s">
        <v>3479</v>
      </c>
      <c r="K3433" s="170">
        <v>46053</v>
      </c>
      <c r="L3433" s="1">
        <v>22597.742926891198</v>
      </c>
      <c r="M3433" s="1">
        <v>46080</v>
      </c>
      <c r="N3433" s="1">
        <v>25059.23</v>
      </c>
    </row>
    <row r="3434" spans="1:14" ht="14.4" hidden="1">
      <c r="A3434" t="s">
        <v>232</v>
      </c>
      <c r="B3434" s="1">
        <v>140</v>
      </c>
      <c r="C3434" s="258" t="s">
        <v>7465</v>
      </c>
      <c r="D3434" t="s">
        <v>1277</v>
      </c>
      <c r="E3434" t="s">
        <v>1903</v>
      </c>
      <c r="F3434"/>
      <c r="H3434" s="1">
        <v>0</v>
      </c>
      <c r="I3434"/>
      <c r="J3434"/>
      <c r="K3434" s="170"/>
      <c r="L3434" s="1">
        <v>0</v>
      </c>
    </row>
    <row r="3435" spans="1:14" ht="14.4" hidden="1">
      <c r="A3435" t="s">
        <v>232</v>
      </c>
      <c r="B3435" s="1">
        <v>141</v>
      </c>
      <c r="C3435" s="258" t="s">
        <v>7466</v>
      </c>
      <c r="D3435" t="s">
        <v>1277</v>
      </c>
      <c r="E3435" t="s">
        <v>1905</v>
      </c>
      <c r="F3435"/>
      <c r="H3435" s="1">
        <v>0</v>
      </c>
      <c r="I3435"/>
      <c r="J3435"/>
      <c r="K3435" s="170"/>
      <c r="L3435" s="1">
        <v>0</v>
      </c>
    </row>
    <row r="3436" spans="1:14" ht="14.4" hidden="1">
      <c r="A3436" t="s">
        <v>232</v>
      </c>
      <c r="B3436" s="1">
        <v>142</v>
      </c>
      <c r="C3436" s="258" t="s">
        <v>7467</v>
      </c>
      <c r="D3436" t="s">
        <v>1277</v>
      </c>
      <c r="E3436" t="s">
        <v>1907</v>
      </c>
      <c r="F3436"/>
      <c r="H3436" s="1">
        <v>0</v>
      </c>
      <c r="I3436"/>
      <c r="J3436"/>
      <c r="K3436" s="170"/>
      <c r="L3436" s="1">
        <v>0</v>
      </c>
    </row>
    <row r="3437" spans="1:14" ht="14.4" hidden="1">
      <c r="A3437" t="s">
        <v>232</v>
      </c>
      <c r="B3437" s="1">
        <v>143</v>
      </c>
      <c r="C3437" s="258" t="s">
        <v>7468</v>
      </c>
      <c r="D3437" t="s">
        <v>1277</v>
      </c>
      <c r="E3437" t="s">
        <v>1909</v>
      </c>
      <c r="F3437"/>
      <c r="H3437" s="1">
        <v>0</v>
      </c>
      <c r="I3437"/>
      <c r="J3437"/>
      <c r="K3437" s="170"/>
      <c r="L3437" s="1">
        <v>0</v>
      </c>
    </row>
    <row r="3438" spans="1:14" ht="14.4" hidden="1">
      <c r="A3438" t="s">
        <v>232</v>
      </c>
      <c r="B3438" s="1">
        <v>146</v>
      </c>
      <c r="C3438" s="258" t="s">
        <v>7469</v>
      </c>
      <c r="D3438" t="s">
        <v>1280</v>
      </c>
      <c r="E3438" t="s">
        <v>1281</v>
      </c>
      <c r="F3438"/>
      <c r="H3438" s="1">
        <v>0</v>
      </c>
      <c r="I3438"/>
      <c r="J3438" t="s">
        <v>1604</v>
      </c>
      <c r="K3438" s="170">
        <v>45961</v>
      </c>
      <c r="L3438" s="1">
        <v>0</v>
      </c>
      <c r="M3438" s="1">
        <v>45961</v>
      </c>
      <c r="N3438" s="1">
        <v>2023.16</v>
      </c>
    </row>
    <row r="3439" spans="1:14" ht="14.4" hidden="1">
      <c r="A3439" t="s">
        <v>232</v>
      </c>
      <c r="B3439" s="1">
        <v>147</v>
      </c>
      <c r="C3439" s="258" t="s">
        <v>7470</v>
      </c>
      <c r="D3439" t="s">
        <v>1280</v>
      </c>
      <c r="E3439" t="s">
        <v>1281</v>
      </c>
      <c r="F3439"/>
      <c r="H3439" s="1">
        <v>863.3</v>
      </c>
      <c r="I3439"/>
      <c r="J3439" t="s">
        <v>1604</v>
      </c>
      <c r="K3439" s="170">
        <v>45991</v>
      </c>
      <c r="L3439" s="1">
        <v>2144.3484950421412</v>
      </c>
      <c r="M3439" s="1">
        <v>45996</v>
      </c>
    </row>
    <row r="3440" spans="1:14" ht="14.4" hidden="1">
      <c r="A3440" t="s">
        <v>232</v>
      </c>
      <c r="B3440" s="1">
        <v>148</v>
      </c>
      <c r="C3440" s="258" t="s">
        <v>7471</v>
      </c>
      <c r="D3440" t="s">
        <v>1280</v>
      </c>
      <c r="E3440" t="s">
        <v>1281</v>
      </c>
      <c r="F3440"/>
      <c r="H3440" s="1">
        <v>1023.4</v>
      </c>
      <c r="I3440"/>
      <c r="J3440" t="s">
        <v>1604</v>
      </c>
      <c r="K3440" s="170">
        <v>46022</v>
      </c>
      <c r="L3440" s="1">
        <v>2716.7655923629154</v>
      </c>
      <c r="M3440" s="1">
        <v>46030</v>
      </c>
    </row>
    <row r="3441" spans="1:14" ht="14.4" hidden="1">
      <c r="A3441" t="s">
        <v>232</v>
      </c>
      <c r="B3441" s="1">
        <v>149</v>
      </c>
      <c r="C3441" s="258" t="s">
        <v>7472</v>
      </c>
      <c r="D3441" t="s">
        <v>1280</v>
      </c>
      <c r="E3441" t="s">
        <v>1281</v>
      </c>
      <c r="F3441"/>
      <c r="H3441" s="1">
        <v>136.46</v>
      </c>
      <c r="I3441"/>
      <c r="J3441" t="s">
        <v>1604</v>
      </c>
      <c r="K3441" s="170">
        <v>46053</v>
      </c>
      <c r="L3441" s="1">
        <v>0</v>
      </c>
      <c r="M3441" s="1">
        <v>46058</v>
      </c>
    </row>
    <row r="3442" spans="1:14" ht="14.4" hidden="1">
      <c r="A3442" t="s">
        <v>232</v>
      </c>
      <c r="B3442" s="1">
        <v>160</v>
      </c>
      <c r="C3442" s="258" t="s">
        <v>7473</v>
      </c>
      <c r="D3442" t="s">
        <v>1451</v>
      </c>
      <c r="E3442" t="s">
        <v>6513</v>
      </c>
      <c r="F3442"/>
      <c r="H3442" s="1">
        <v>7000</v>
      </c>
      <c r="I3442" t="s">
        <v>6514</v>
      </c>
      <c r="J3442" t="s">
        <v>7474</v>
      </c>
      <c r="K3442" s="170">
        <v>45991</v>
      </c>
      <c r="M3442" s="1">
        <v>45967</v>
      </c>
    </row>
    <row r="3443" spans="1:14" ht="14.4" hidden="1">
      <c r="A3443" t="s">
        <v>232</v>
      </c>
      <c r="B3443" s="1">
        <v>161</v>
      </c>
      <c r="C3443" s="258" t="s">
        <v>7475</v>
      </c>
      <c r="D3443" t="s">
        <v>1451</v>
      </c>
      <c r="E3443" t="s">
        <v>7476</v>
      </c>
      <c r="F3443"/>
      <c r="H3443" s="1">
        <v>14800</v>
      </c>
      <c r="I3443" t="s">
        <v>7477</v>
      </c>
      <c r="J3443" t="s">
        <v>7478</v>
      </c>
      <c r="K3443" s="170">
        <v>46022</v>
      </c>
      <c r="M3443" s="1">
        <v>45995</v>
      </c>
    </row>
    <row r="3444" spans="1:14" ht="14.4" hidden="1">
      <c r="A3444" t="s">
        <v>233</v>
      </c>
      <c r="B3444" s="1">
        <v>6</v>
      </c>
      <c r="C3444" s="258" t="s">
        <v>7479</v>
      </c>
      <c r="D3444" t="s">
        <v>1146</v>
      </c>
      <c r="E3444" t="s">
        <v>7480</v>
      </c>
      <c r="F3444">
        <v>753</v>
      </c>
      <c r="G3444">
        <v>1233.8</v>
      </c>
      <c r="H3444" s="1">
        <v>929051.4</v>
      </c>
      <c r="I3444" t="s">
        <v>7481</v>
      </c>
      <c r="J3444" t="s">
        <v>7482</v>
      </c>
      <c r="K3444" s="170">
        <v>45808</v>
      </c>
      <c r="L3444" s="1">
        <v>1160011.1704545454</v>
      </c>
      <c r="M3444" s="1">
        <v>45867</v>
      </c>
      <c r="N3444" s="1">
        <v>933252.8</v>
      </c>
    </row>
    <row r="3445" spans="1:14" ht="14.4" hidden="1">
      <c r="A3445" t="s">
        <v>233</v>
      </c>
      <c r="B3445" s="1">
        <v>7</v>
      </c>
      <c r="C3445" s="258" t="s">
        <v>7483</v>
      </c>
      <c r="D3445" t="s">
        <v>1146</v>
      </c>
      <c r="E3445" t="s">
        <v>7484</v>
      </c>
      <c r="F3445">
        <v>3</v>
      </c>
      <c r="G3445">
        <v>1233.8</v>
      </c>
      <c r="H3445" s="1">
        <v>3701.4</v>
      </c>
      <c r="I3445"/>
      <c r="J3445" t="s">
        <v>7485</v>
      </c>
      <c r="K3445" s="170">
        <v>46081</v>
      </c>
      <c r="L3445" s="1">
        <v>0</v>
      </c>
      <c r="M3445" s="1">
        <v>46118</v>
      </c>
    </row>
    <row r="3446" spans="1:14" ht="14.4" hidden="1">
      <c r="A3446" t="s">
        <v>233</v>
      </c>
      <c r="B3446" s="1">
        <v>8</v>
      </c>
      <c r="C3446" s="258" t="s">
        <v>7486</v>
      </c>
      <c r="D3446" t="s">
        <v>1146</v>
      </c>
      <c r="E3446" t="s">
        <v>1461</v>
      </c>
      <c r="F3446"/>
      <c r="H3446" s="1">
        <v>500</v>
      </c>
      <c r="I3446"/>
      <c r="J3446" t="s">
        <v>7485</v>
      </c>
      <c r="K3446" s="170">
        <v>46081</v>
      </c>
      <c r="L3446" s="1">
        <v>0</v>
      </c>
      <c r="M3446" s="1">
        <v>46118</v>
      </c>
    </row>
    <row r="3447" spans="1:14" ht="14.4" hidden="1">
      <c r="A3447" t="s">
        <v>233</v>
      </c>
      <c r="B3447" s="1">
        <v>13</v>
      </c>
      <c r="C3447" s="258" t="s">
        <v>7487</v>
      </c>
      <c r="D3447" t="s">
        <v>1157</v>
      </c>
      <c r="E3447" t="s">
        <v>2937</v>
      </c>
      <c r="F3447">
        <v>4</v>
      </c>
      <c r="G3447">
        <v>68870.350000000006</v>
      </c>
      <c r="H3447" s="1">
        <v>275481.40000000002</v>
      </c>
      <c r="I3447" t="s">
        <v>7481</v>
      </c>
      <c r="J3447" t="s">
        <v>7488</v>
      </c>
      <c r="K3447" s="170">
        <v>45808</v>
      </c>
      <c r="L3447" s="1">
        <v>363636.36363636371</v>
      </c>
      <c r="M3447" s="1">
        <v>45855</v>
      </c>
      <c r="N3447" s="1">
        <v>275481.40000000002</v>
      </c>
    </row>
    <row r="3448" spans="1:14" ht="14.4" hidden="1">
      <c r="A3448" t="s">
        <v>233</v>
      </c>
      <c r="B3448" s="1">
        <v>21</v>
      </c>
      <c r="C3448" s="258" t="s">
        <v>7489</v>
      </c>
      <c r="D3448" t="s">
        <v>1160</v>
      </c>
      <c r="E3448" t="s">
        <v>1161</v>
      </c>
      <c r="F3448"/>
      <c r="G3448">
        <v>155161.68</v>
      </c>
      <c r="H3448" s="1">
        <v>134923.20000000001</v>
      </c>
      <c r="I3448" t="s">
        <v>7490</v>
      </c>
      <c r="J3448" t="s">
        <v>7491</v>
      </c>
      <c r="K3448" s="170">
        <v>45808</v>
      </c>
      <c r="L3448" s="1">
        <v>377495.68225082051</v>
      </c>
      <c r="M3448" s="1">
        <v>45835</v>
      </c>
      <c r="N3448" s="1">
        <v>154149.20000000001</v>
      </c>
    </row>
    <row r="3449" spans="1:14" ht="14.4" hidden="1">
      <c r="A3449" t="s">
        <v>233</v>
      </c>
      <c r="B3449" s="1">
        <v>22</v>
      </c>
      <c r="C3449" s="258" t="s">
        <v>7492</v>
      </c>
      <c r="D3449" t="s">
        <v>1160</v>
      </c>
      <c r="E3449" t="s">
        <v>7493</v>
      </c>
      <c r="F3449"/>
      <c r="H3449" s="1">
        <v>19226</v>
      </c>
      <c r="I3449" t="s">
        <v>7494</v>
      </c>
      <c r="J3449" t="s">
        <v>7495</v>
      </c>
      <c r="K3449" s="170">
        <v>45808</v>
      </c>
      <c r="L3449" s="1">
        <v>53791.579112815845</v>
      </c>
      <c r="M3449" s="1">
        <v>45806</v>
      </c>
    </row>
    <row r="3450" spans="1:14" ht="14.4" hidden="1">
      <c r="A3450" t="s">
        <v>233</v>
      </c>
      <c r="B3450" s="1">
        <v>28</v>
      </c>
      <c r="C3450" s="258" t="s">
        <v>7496</v>
      </c>
      <c r="D3450" t="s">
        <v>1165</v>
      </c>
      <c r="E3450" t="s">
        <v>836</v>
      </c>
      <c r="F3450">
        <v>8000</v>
      </c>
      <c r="G3450">
        <v>13.89</v>
      </c>
      <c r="H3450" s="1">
        <v>111120</v>
      </c>
      <c r="I3450" t="s">
        <v>7497</v>
      </c>
      <c r="J3450" t="s">
        <v>7498</v>
      </c>
      <c r="K3450" s="170">
        <v>45808</v>
      </c>
      <c r="L3450" s="1">
        <v>156288.25034527844</v>
      </c>
      <c r="M3450" s="1">
        <v>45782</v>
      </c>
      <c r="N3450" s="1">
        <v>383972.25249999994</v>
      </c>
    </row>
    <row r="3451" spans="1:14" ht="14.4" hidden="1">
      <c r="A3451" t="s">
        <v>233</v>
      </c>
      <c r="B3451" s="1">
        <v>29</v>
      </c>
      <c r="C3451" s="258" t="s">
        <v>7499</v>
      </c>
      <c r="D3451" t="s">
        <v>1165</v>
      </c>
      <c r="E3451" t="s">
        <v>5988</v>
      </c>
      <c r="F3451"/>
      <c r="H3451" s="1">
        <v>35100</v>
      </c>
      <c r="I3451"/>
      <c r="J3451" t="s">
        <v>7498</v>
      </c>
      <c r="K3451" s="170">
        <v>45808</v>
      </c>
      <c r="L3451" s="1">
        <v>49367.508883362803</v>
      </c>
      <c r="M3451" s="1">
        <v>45782</v>
      </c>
    </row>
    <row r="3452" spans="1:14" ht="14.4" hidden="1">
      <c r="A3452" t="s">
        <v>233</v>
      </c>
      <c r="B3452" s="1">
        <v>30</v>
      </c>
      <c r="C3452" s="258" t="s">
        <v>7500</v>
      </c>
      <c r="D3452" t="s">
        <v>1165</v>
      </c>
      <c r="E3452" t="s">
        <v>1827</v>
      </c>
      <c r="F3452">
        <v>6000</v>
      </c>
      <c r="G3452">
        <v>13.89</v>
      </c>
      <c r="H3452" s="1">
        <v>90300</v>
      </c>
      <c r="I3452" t="s">
        <v>7501</v>
      </c>
      <c r="J3452" t="s">
        <v>7502</v>
      </c>
      <c r="K3452" s="170">
        <v>45838</v>
      </c>
      <c r="L3452" s="1">
        <v>36579.242151728322</v>
      </c>
      <c r="M3452" s="1">
        <v>45867</v>
      </c>
    </row>
    <row r="3453" spans="1:14" ht="14.4" hidden="1">
      <c r="A3453" t="s">
        <v>233</v>
      </c>
      <c r="B3453" s="1">
        <v>32</v>
      </c>
      <c r="C3453" s="258" t="s">
        <v>7503</v>
      </c>
      <c r="D3453" t="s">
        <v>1165</v>
      </c>
      <c r="E3453" t="s">
        <v>1169</v>
      </c>
      <c r="F3453">
        <v>147452.25</v>
      </c>
      <c r="G3453">
        <v>0.1</v>
      </c>
      <c r="H3453" s="1">
        <v>14745.225</v>
      </c>
      <c r="I3453" t="s">
        <v>7504</v>
      </c>
      <c r="J3453" t="s">
        <v>7505</v>
      </c>
      <c r="K3453" s="170">
        <v>45808</v>
      </c>
      <c r="L3453" s="1">
        <v>20738.889634606356</v>
      </c>
      <c r="M3453" s="1">
        <v>45792</v>
      </c>
    </row>
    <row r="3454" spans="1:14" ht="14.4" hidden="1">
      <c r="A3454" t="s">
        <v>233</v>
      </c>
      <c r="B3454" s="1">
        <v>33</v>
      </c>
      <c r="C3454" s="258" t="s">
        <v>7506</v>
      </c>
      <c r="D3454" t="s">
        <v>1165</v>
      </c>
      <c r="E3454" t="s">
        <v>558</v>
      </c>
      <c r="F3454"/>
      <c r="G3454">
        <v>0.15</v>
      </c>
      <c r="H3454" s="1">
        <v>22117.84</v>
      </c>
      <c r="I3454"/>
      <c r="J3454" t="s">
        <v>7507</v>
      </c>
      <c r="K3454" s="170">
        <v>45808</v>
      </c>
      <c r="L3454" s="1">
        <v>31108.337968113872</v>
      </c>
      <c r="M3454" s="1">
        <v>45806</v>
      </c>
    </row>
    <row r="3455" spans="1:14" ht="14.4" hidden="1">
      <c r="A3455" t="s">
        <v>233</v>
      </c>
      <c r="B3455" s="1">
        <v>34</v>
      </c>
      <c r="C3455" s="258" t="s">
        <v>7508</v>
      </c>
      <c r="D3455" t="s">
        <v>1165</v>
      </c>
      <c r="E3455" t="s">
        <v>1175</v>
      </c>
      <c r="F3455"/>
      <c r="G3455">
        <v>0.2</v>
      </c>
      <c r="H3455" s="1">
        <v>29490.45</v>
      </c>
      <c r="I3455"/>
      <c r="J3455" t="s">
        <v>7509</v>
      </c>
      <c r="K3455" s="170">
        <v>45838</v>
      </c>
      <c r="L3455" s="1">
        <v>31723.315389013693</v>
      </c>
      <c r="M3455" s="1">
        <v>45890</v>
      </c>
    </row>
    <row r="3456" spans="1:14" ht="14.4" hidden="1">
      <c r="A3456" t="s">
        <v>233</v>
      </c>
      <c r="B3456" s="1">
        <v>35</v>
      </c>
      <c r="C3456" s="258" t="s">
        <v>7510</v>
      </c>
      <c r="D3456" t="s">
        <v>1165</v>
      </c>
      <c r="E3456" t="s">
        <v>1178</v>
      </c>
      <c r="F3456"/>
      <c r="G3456">
        <v>0.25</v>
      </c>
      <c r="H3456" s="1">
        <v>36863.0625</v>
      </c>
      <c r="I3456"/>
      <c r="J3456" t="s">
        <v>7511</v>
      </c>
      <c r="K3456" s="170">
        <v>45838</v>
      </c>
      <c r="L3456" s="1">
        <v>39654.144236267115</v>
      </c>
      <c r="M3456" s="1">
        <v>45834</v>
      </c>
    </row>
    <row r="3457" spans="1:14" ht="14.4" hidden="1">
      <c r="A3457" t="s">
        <v>233</v>
      </c>
      <c r="B3457" s="1">
        <v>36</v>
      </c>
      <c r="C3457" s="258" t="s">
        <v>7512</v>
      </c>
      <c r="D3457" t="s">
        <v>1165</v>
      </c>
      <c r="E3457" t="s">
        <v>1181</v>
      </c>
      <c r="F3457"/>
      <c r="G3457">
        <v>0.1</v>
      </c>
      <c r="H3457" s="1">
        <v>14745.225</v>
      </c>
      <c r="I3457"/>
      <c r="J3457" t="s">
        <v>7513</v>
      </c>
      <c r="K3457" s="170">
        <v>45838</v>
      </c>
      <c r="L3457" s="1">
        <v>15861.657694506846</v>
      </c>
      <c r="M3457" s="1">
        <v>46066</v>
      </c>
    </row>
    <row r="3458" spans="1:14" ht="14.4" hidden="1">
      <c r="A3458" t="s">
        <v>233</v>
      </c>
      <c r="B3458" s="1">
        <v>37</v>
      </c>
      <c r="C3458" s="258" t="s">
        <v>7514</v>
      </c>
      <c r="D3458" t="s">
        <v>1165</v>
      </c>
      <c r="E3458" t="s">
        <v>1184</v>
      </c>
      <c r="F3458"/>
      <c r="G3458">
        <v>0.1</v>
      </c>
      <c r="H3458" s="1">
        <v>14745.225</v>
      </c>
      <c r="I3458"/>
      <c r="J3458" t="s">
        <v>7515</v>
      </c>
      <c r="K3458" s="170">
        <v>45838</v>
      </c>
      <c r="L3458" s="1">
        <v>15861.657694506846</v>
      </c>
      <c r="M3458" s="1">
        <v>46073</v>
      </c>
    </row>
    <row r="3459" spans="1:14" ht="14.4" hidden="1">
      <c r="A3459" t="s">
        <v>233</v>
      </c>
      <c r="B3459" s="1">
        <v>38</v>
      </c>
      <c r="C3459" s="258" t="s">
        <v>7516</v>
      </c>
      <c r="D3459" t="s">
        <v>1165</v>
      </c>
      <c r="E3459" t="s">
        <v>1187</v>
      </c>
      <c r="F3459"/>
      <c r="G3459">
        <v>0.05</v>
      </c>
      <c r="H3459" s="1">
        <v>7372.6125000000002</v>
      </c>
      <c r="I3459"/>
      <c r="J3459" t="s">
        <v>7517</v>
      </c>
      <c r="K3459" s="170">
        <v>45838</v>
      </c>
      <c r="L3459" s="1">
        <v>7930.8288472534241</v>
      </c>
      <c r="M3459" s="1">
        <v>46081</v>
      </c>
    </row>
    <row r="3460" spans="1:14" ht="14.4" hidden="1">
      <c r="A3460" t="s">
        <v>233</v>
      </c>
      <c r="B3460" s="1">
        <v>39</v>
      </c>
      <c r="C3460" s="258" t="s">
        <v>7518</v>
      </c>
      <c r="D3460" t="s">
        <v>1165</v>
      </c>
      <c r="E3460" t="s">
        <v>1190</v>
      </c>
      <c r="F3460"/>
      <c r="G3460">
        <v>0.05</v>
      </c>
      <c r="H3460" s="1">
        <v>7372.6125000000002</v>
      </c>
      <c r="I3460"/>
      <c r="J3460" t="s">
        <v>7519</v>
      </c>
      <c r="K3460" s="170">
        <v>45838</v>
      </c>
      <c r="L3460" s="1">
        <v>7930.8288472534241</v>
      </c>
      <c r="M3460" s="1">
        <v>46111</v>
      </c>
    </row>
    <row r="3461" spans="1:14" ht="14.4" hidden="1">
      <c r="A3461" t="s">
        <v>233</v>
      </c>
      <c r="B3461" s="1">
        <v>44</v>
      </c>
      <c r="C3461" s="258" t="s">
        <v>7520</v>
      </c>
      <c r="D3461" t="s">
        <v>1193</v>
      </c>
      <c r="E3461" t="s">
        <v>2963</v>
      </c>
      <c r="F3461"/>
      <c r="H3461" s="1">
        <v>8598.36</v>
      </c>
      <c r="I3461" t="s">
        <v>7481</v>
      </c>
      <c r="J3461" t="s">
        <v>7488</v>
      </c>
      <c r="K3461" s="170">
        <v>45808</v>
      </c>
      <c r="L3461" s="1">
        <v>12277.104398498735</v>
      </c>
      <c r="M3461" s="1">
        <v>45855</v>
      </c>
      <c r="N3461" s="1">
        <v>35927.14</v>
      </c>
    </row>
    <row r="3462" spans="1:14" ht="14.4" hidden="1">
      <c r="A3462" t="s">
        <v>233</v>
      </c>
      <c r="B3462" s="1">
        <v>45</v>
      </c>
      <c r="C3462" s="258" t="s">
        <v>7521</v>
      </c>
      <c r="D3462" t="s">
        <v>1193</v>
      </c>
      <c r="E3462" t="s">
        <v>1196</v>
      </c>
      <c r="F3462"/>
      <c r="H3462" s="1">
        <v>13695</v>
      </c>
      <c r="I3462" t="s">
        <v>7522</v>
      </c>
      <c r="J3462" t="s">
        <v>7523</v>
      </c>
      <c r="K3462" s="170">
        <v>45777</v>
      </c>
      <c r="L3462" s="1">
        <v>19114.237373104399</v>
      </c>
      <c r="M3462" s="1">
        <v>45806</v>
      </c>
    </row>
    <row r="3463" spans="1:14" ht="14.4" hidden="1">
      <c r="A3463" t="s">
        <v>233</v>
      </c>
      <c r="B3463" s="1">
        <v>46</v>
      </c>
      <c r="C3463" s="258" t="s">
        <v>7524</v>
      </c>
      <c r="D3463" t="s">
        <v>1193</v>
      </c>
      <c r="F3463"/>
      <c r="H3463" s="1">
        <v>214.28</v>
      </c>
      <c r="I3463"/>
      <c r="J3463" t="s">
        <v>3286</v>
      </c>
      <c r="K3463" s="170">
        <v>45838</v>
      </c>
      <c r="L3463" s="1">
        <v>332.10269450894225</v>
      </c>
      <c r="M3463" s="1">
        <v>45867</v>
      </c>
    </row>
    <row r="3464" spans="1:14" ht="14.4" hidden="1">
      <c r="A3464" t="s">
        <v>233</v>
      </c>
      <c r="B3464" s="1">
        <v>47</v>
      </c>
      <c r="C3464" s="258" t="s">
        <v>7525</v>
      </c>
      <c r="D3464" t="s">
        <v>1193</v>
      </c>
      <c r="E3464" t="s">
        <v>1200</v>
      </c>
      <c r="F3464"/>
      <c r="H3464" s="1">
        <v>11169</v>
      </c>
      <c r="I3464"/>
      <c r="J3464" t="s">
        <v>2969</v>
      </c>
      <c r="K3464" s="170">
        <v>45838</v>
      </c>
      <c r="L3464" s="1">
        <v>20789.4382516818</v>
      </c>
      <c r="M3464" s="1">
        <v>45838</v>
      </c>
    </row>
    <row r="3465" spans="1:14" ht="14.4" hidden="1">
      <c r="A3465" t="s">
        <v>233</v>
      </c>
      <c r="B3465" s="1">
        <v>48</v>
      </c>
      <c r="C3465" s="258" t="s">
        <v>7526</v>
      </c>
      <c r="D3465" t="s">
        <v>1193</v>
      </c>
      <c r="E3465" t="s">
        <v>2768</v>
      </c>
      <c r="F3465"/>
      <c r="H3465" s="1">
        <v>2250.5</v>
      </c>
      <c r="I3465" t="s">
        <v>2971</v>
      </c>
      <c r="J3465" t="s">
        <v>2769</v>
      </c>
      <c r="K3465" s="170">
        <v>45808</v>
      </c>
      <c r="L3465" s="1">
        <v>3168.9352485615168</v>
      </c>
      <c r="M3465" s="1">
        <v>45799</v>
      </c>
    </row>
    <row r="3466" spans="1:14" ht="14.4" hidden="1">
      <c r="A3466" t="s">
        <v>233</v>
      </c>
      <c r="B3466" s="1">
        <v>54</v>
      </c>
      <c r="C3466" s="258" t="s">
        <v>7527</v>
      </c>
      <c r="D3466" t="s">
        <v>1211</v>
      </c>
      <c r="E3466" t="s">
        <v>1212</v>
      </c>
      <c r="F3466"/>
      <c r="H3466" s="1">
        <v>182024.08</v>
      </c>
      <c r="I3466" t="s">
        <v>7528</v>
      </c>
      <c r="J3466" t="s">
        <v>7529</v>
      </c>
      <c r="K3466" s="170">
        <v>45838</v>
      </c>
      <c r="L3466" s="1">
        <v>462275.0004504578</v>
      </c>
      <c r="M3466" s="1">
        <v>45867</v>
      </c>
    </row>
    <row r="3467" spans="1:14" ht="14.4" hidden="1">
      <c r="A3467" t="s">
        <v>233</v>
      </c>
      <c r="B3467" s="1">
        <v>59</v>
      </c>
      <c r="C3467" s="258" t="s">
        <v>7530</v>
      </c>
      <c r="D3467" t="s">
        <v>1211</v>
      </c>
      <c r="E3467" t="s">
        <v>1169</v>
      </c>
      <c r="F3467">
        <v>98446.399999999994</v>
      </c>
      <c r="G3467">
        <v>0.1</v>
      </c>
      <c r="H3467" s="1">
        <v>9844.64</v>
      </c>
      <c r="I3467" t="s">
        <v>7504</v>
      </c>
      <c r="J3467" t="s">
        <v>7505</v>
      </c>
      <c r="K3467" s="170">
        <v>45808</v>
      </c>
      <c r="L3467" s="1">
        <v>25470.948029112835</v>
      </c>
      <c r="M3467" s="1">
        <v>45792</v>
      </c>
    </row>
    <row r="3468" spans="1:14" ht="14.4" hidden="1">
      <c r="A3468" t="s">
        <v>233</v>
      </c>
      <c r="B3468" s="1">
        <v>60</v>
      </c>
      <c r="C3468" s="258" t="s">
        <v>7531</v>
      </c>
      <c r="D3468" t="s">
        <v>1211</v>
      </c>
      <c r="E3468" t="s">
        <v>558</v>
      </c>
      <c r="F3468"/>
      <c r="G3468">
        <v>0.15</v>
      </c>
      <c r="H3468" s="1">
        <v>14766.96</v>
      </c>
      <c r="I3468"/>
      <c r="J3468" t="s">
        <v>7507</v>
      </c>
      <c r="K3468" s="170">
        <v>45808</v>
      </c>
      <c r="L3468" s="1">
        <v>38206.422043669249</v>
      </c>
      <c r="M3468" s="1">
        <v>45806</v>
      </c>
    </row>
    <row r="3469" spans="1:14" ht="14.4" hidden="1">
      <c r="A3469" t="s">
        <v>233</v>
      </c>
      <c r="B3469" s="1">
        <v>61</v>
      </c>
      <c r="C3469" s="258" t="s">
        <v>7532</v>
      </c>
      <c r="D3469" t="s">
        <v>1211</v>
      </c>
      <c r="E3469" t="s">
        <v>1175</v>
      </c>
      <c r="F3469"/>
      <c r="G3469">
        <v>0.2</v>
      </c>
      <c r="H3469" s="1">
        <v>19689.28</v>
      </c>
      <c r="I3469"/>
      <c r="J3469" t="s">
        <v>7509</v>
      </c>
      <c r="K3469" s="170">
        <v>45838</v>
      </c>
      <c r="L3469" s="1">
        <v>50115.369886193017</v>
      </c>
      <c r="M3469" s="1">
        <v>45890</v>
      </c>
    </row>
    <row r="3470" spans="1:14" ht="14.4" hidden="1">
      <c r="A3470" t="s">
        <v>233</v>
      </c>
      <c r="B3470" s="1">
        <v>62</v>
      </c>
      <c r="C3470" s="258" t="s">
        <v>7533</v>
      </c>
      <c r="D3470" t="s">
        <v>1211</v>
      </c>
      <c r="E3470" t="s">
        <v>1178</v>
      </c>
      <c r="F3470"/>
      <c r="G3470">
        <v>0.25</v>
      </c>
      <c r="H3470" s="1">
        <v>24611.599999999999</v>
      </c>
      <c r="I3470"/>
      <c r="J3470" t="s">
        <v>7511</v>
      </c>
      <c r="K3470" s="170">
        <v>45838</v>
      </c>
      <c r="L3470" s="1">
        <v>62644.212357741279</v>
      </c>
      <c r="M3470" s="1">
        <v>45834</v>
      </c>
    </row>
    <row r="3471" spans="1:14" ht="14.4" hidden="1">
      <c r="A3471" t="s">
        <v>233</v>
      </c>
      <c r="B3471" s="1">
        <v>63</v>
      </c>
      <c r="C3471" s="258" t="s">
        <v>7534</v>
      </c>
      <c r="D3471" t="s">
        <v>1211</v>
      </c>
      <c r="E3471" t="s">
        <v>1181</v>
      </c>
      <c r="F3471"/>
      <c r="G3471">
        <v>0.1</v>
      </c>
      <c r="H3471" s="1">
        <v>9844.64</v>
      </c>
      <c r="I3471"/>
      <c r="J3471" t="s">
        <v>7513</v>
      </c>
      <c r="K3471" s="170">
        <v>45838</v>
      </c>
      <c r="L3471" s="1">
        <v>25057.684943096509</v>
      </c>
      <c r="M3471" s="1">
        <v>46066</v>
      </c>
    </row>
    <row r="3472" spans="1:14" ht="14.4" hidden="1">
      <c r="A3472" t="s">
        <v>233</v>
      </c>
      <c r="B3472" s="1">
        <v>64</v>
      </c>
      <c r="C3472" s="258" t="s">
        <v>7535</v>
      </c>
      <c r="D3472" t="s">
        <v>1211</v>
      </c>
      <c r="E3472" t="s">
        <v>1184</v>
      </c>
      <c r="F3472"/>
      <c r="G3472">
        <v>0.1</v>
      </c>
      <c r="H3472" s="1">
        <v>9844.64</v>
      </c>
      <c r="I3472"/>
      <c r="J3472" t="s">
        <v>7515</v>
      </c>
      <c r="K3472" s="170">
        <v>45838</v>
      </c>
      <c r="L3472" s="1">
        <v>25057.684943096509</v>
      </c>
      <c r="M3472" s="1">
        <v>46073</v>
      </c>
    </row>
    <row r="3473" spans="1:13" ht="14.4" hidden="1">
      <c r="A3473" t="s">
        <v>233</v>
      </c>
      <c r="B3473" s="1">
        <v>65</v>
      </c>
      <c r="C3473" s="258" t="s">
        <v>7536</v>
      </c>
      <c r="D3473" t="s">
        <v>1211</v>
      </c>
      <c r="E3473" t="s">
        <v>1187</v>
      </c>
      <c r="F3473"/>
      <c r="G3473">
        <v>0.05</v>
      </c>
      <c r="H3473" s="1">
        <v>4922.32</v>
      </c>
      <c r="I3473"/>
      <c r="J3473" t="s">
        <v>7517</v>
      </c>
      <c r="K3473" s="170">
        <v>45838</v>
      </c>
      <c r="L3473" s="1">
        <v>12528.842471548254</v>
      </c>
      <c r="M3473" s="1">
        <v>46081</v>
      </c>
    </row>
    <row r="3474" spans="1:13" ht="14.4" hidden="1">
      <c r="A3474" t="s">
        <v>233</v>
      </c>
      <c r="B3474" s="1">
        <v>66</v>
      </c>
      <c r="C3474" s="258" t="s">
        <v>7537</v>
      </c>
      <c r="D3474" t="s">
        <v>1211</v>
      </c>
      <c r="E3474" t="s">
        <v>1190</v>
      </c>
      <c r="F3474"/>
      <c r="G3474">
        <v>0.05</v>
      </c>
      <c r="H3474" s="1">
        <v>4922.32</v>
      </c>
      <c r="I3474"/>
      <c r="J3474" t="s">
        <v>7519</v>
      </c>
      <c r="K3474" s="170">
        <v>45838</v>
      </c>
      <c r="L3474" s="1">
        <v>12528.842471548254</v>
      </c>
      <c r="M3474" s="1">
        <v>46111</v>
      </c>
    </row>
    <row r="3475" spans="1:13" ht="14.4" hidden="1">
      <c r="A3475" t="s">
        <v>233</v>
      </c>
      <c r="B3475" s="1">
        <v>82</v>
      </c>
      <c r="C3475" s="258" t="s">
        <v>7538</v>
      </c>
      <c r="D3475" t="s">
        <v>1224</v>
      </c>
      <c r="E3475" t="s">
        <v>6037</v>
      </c>
      <c r="F3475"/>
      <c r="H3475" s="1">
        <v>97734</v>
      </c>
      <c r="I3475"/>
      <c r="J3475" t="s">
        <v>7539</v>
      </c>
      <c r="K3475" s="170">
        <v>45838</v>
      </c>
      <c r="M3475" s="1">
        <v>45869</v>
      </c>
    </row>
    <row r="3476" spans="1:13" ht="14.4" hidden="1">
      <c r="A3476" t="s">
        <v>233</v>
      </c>
      <c r="B3476" s="1">
        <v>83</v>
      </c>
      <c r="C3476" s="258" t="s">
        <v>7540</v>
      </c>
      <c r="D3476" t="s">
        <v>1224</v>
      </c>
      <c r="E3476" t="s">
        <v>7541</v>
      </c>
      <c r="F3476"/>
      <c r="H3476" s="1">
        <v>12300</v>
      </c>
      <c r="I3476"/>
      <c r="J3476" t="s">
        <v>7542</v>
      </c>
      <c r="K3476" s="170">
        <v>45991</v>
      </c>
      <c r="M3476" s="1">
        <v>45995</v>
      </c>
    </row>
    <row r="3477" spans="1:13" ht="14.4" hidden="1">
      <c r="A3477" t="s">
        <v>233</v>
      </c>
      <c r="B3477" s="1">
        <v>84</v>
      </c>
      <c r="C3477" s="258" t="s">
        <v>7543</v>
      </c>
      <c r="D3477" t="s">
        <v>1224</v>
      </c>
      <c r="E3477" t="s">
        <v>2811</v>
      </c>
      <c r="F3477"/>
      <c r="H3477" s="1">
        <v>24295</v>
      </c>
      <c r="I3477" t="s">
        <v>7544</v>
      </c>
      <c r="J3477" t="s">
        <v>7545</v>
      </c>
      <c r="K3477" s="170">
        <v>45930</v>
      </c>
      <c r="M3477" s="1">
        <v>45930</v>
      </c>
    </row>
    <row r="3478" spans="1:13" ht="14.4" hidden="1">
      <c r="A3478" t="s">
        <v>233</v>
      </c>
      <c r="B3478" s="1">
        <v>85</v>
      </c>
      <c r="C3478" s="258" t="s">
        <v>7546</v>
      </c>
      <c r="D3478" t="s">
        <v>1224</v>
      </c>
      <c r="E3478" t="s">
        <v>7547</v>
      </c>
      <c r="F3478"/>
      <c r="H3478" s="1">
        <v>14690</v>
      </c>
      <c r="I3478"/>
      <c r="J3478" t="s">
        <v>7548</v>
      </c>
      <c r="K3478" s="170">
        <v>46053</v>
      </c>
      <c r="M3478" s="1">
        <v>46065</v>
      </c>
    </row>
    <row r="3479" spans="1:13" ht="14.4" hidden="1">
      <c r="A3479" t="s">
        <v>233</v>
      </c>
      <c r="B3479" s="1">
        <v>86</v>
      </c>
      <c r="C3479" s="258" t="s">
        <v>7549</v>
      </c>
      <c r="D3479" t="s">
        <v>1224</v>
      </c>
      <c r="E3479" t="s">
        <v>7550</v>
      </c>
      <c r="F3479">
        <v>448320</v>
      </c>
      <c r="G3479">
        <v>0.5</v>
      </c>
      <c r="H3479" s="1">
        <v>224160</v>
      </c>
      <c r="I3479" t="s">
        <v>7551</v>
      </c>
      <c r="J3479" t="s">
        <v>7552</v>
      </c>
      <c r="K3479" s="170">
        <v>45961</v>
      </c>
      <c r="M3479" s="1">
        <v>45954</v>
      </c>
    </row>
    <row r="3480" spans="1:13" ht="14.4" hidden="1">
      <c r="A3480" t="s">
        <v>233</v>
      </c>
      <c r="B3480" s="1">
        <v>87</v>
      </c>
      <c r="C3480" s="258" t="s">
        <v>7553</v>
      </c>
      <c r="D3480" t="s">
        <v>1224</v>
      </c>
      <c r="E3480" t="s">
        <v>7554</v>
      </c>
      <c r="F3480"/>
      <c r="G3480">
        <v>0.25</v>
      </c>
      <c r="H3480" s="1">
        <v>112080</v>
      </c>
      <c r="I3480"/>
      <c r="J3480" t="s">
        <v>7555</v>
      </c>
      <c r="K3480" s="170">
        <v>46022</v>
      </c>
      <c r="M3480" s="1">
        <v>46003</v>
      </c>
    </row>
    <row r="3481" spans="1:13" ht="14.4" hidden="1">
      <c r="A3481" t="s">
        <v>233</v>
      </c>
      <c r="B3481" s="1">
        <v>88</v>
      </c>
      <c r="C3481" s="258" t="s">
        <v>7556</v>
      </c>
      <c r="D3481" t="s">
        <v>1224</v>
      </c>
      <c r="E3481" t="s">
        <v>7557</v>
      </c>
      <c r="F3481"/>
      <c r="G3481">
        <v>0.25</v>
      </c>
      <c r="H3481" s="1">
        <v>112080</v>
      </c>
      <c r="I3481"/>
      <c r="J3481" t="s">
        <v>7558</v>
      </c>
      <c r="K3481" s="170">
        <v>46081</v>
      </c>
      <c r="M3481" s="1">
        <v>46065</v>
      </c>
    </row>
    <row r="3482" spans="1:13" ht="14.4" hidden="1">
      <c r="A3482" t="s">
        <v>233</v>
      </c>
      <c r="B3482" s="1">
        <v>90</v>
      </c>
      <c r="C3482" s="258" t="s">
        <v>7559</v>
      </c>
      <c r="D3482" t="s">
        <v>1224</v>
      </c>
      <c r="E3482" t="s">
        <v>7560</v>
      </c>
      <c r="F3482"/>
      <c r="H3482" s="1">
        <v>31876</v>
      </c>
      <c r="I3482" t="s">
        <v>7561</v>
      </c>
      <c r="J3482" t="s">
        <v>7562</v>
      </c>
      <c r="K3482" s="170">
        <v>46053</v>
      </c>
      <c r="M3482" s="1">
        <v>46081</v>
      </c>
    </row>
    <row r="3483" spans="1:13" ht="14.4" hidden="1">
      <c r="A3483" t="s">
        <v>233</v>
      </c>
      <c r="B3483" s="1">
        <v>95</v>
      </c>
      <c r="C3483" s="258" t="s">
        <v>7563</v>
      </c>
      <c r="D3483" t="s">
        <v>1246</v>
      </c>
      <c r="E3483" t="s">
        <v>1169</v>
      </c>
      <c r="F3483">
        <v>560350</v>
      </c>
      <c r="G3483">
        <v>0.1</v>
      </c>
      <c r="H3483" s="1">
        <v>56035</v>
      </c>
      <c r="I3483" t="s">
        <v>7504</v>
      </c>
      <c r="J3483" t="s">
        <v>7505</v>
      </c>
      <c r="K3483" s="170">
        <v>45808</v>
      </c>
      <c r="L3483" s="1">
        <v>43303.23529411765</v>
      </c>
      <c r="M3483" s="1">
        <v>45792</v>
      </c>
    </row>
    <row r="3484" spans="1:13" ht="14.4" hidden="1">
      <c r="A3484" t="s">
        <v>233</v>
      </c>
      <c r="B3484" s="1">
        <v>96</v>
      </c>
      <c r="C3484" s="258" t="s">
        <v>7564</v>
      </c>
      <c r="D3484" t="s">
        <v>1246</v>
      </c>
      <c r="E3484" t="s">
        <v>558</v>
      </c>
      <c r="F3484"/>
      <c r="G3484">
        <v>0.15</v>
      </c>
      <c r="H3484" s="1">
        <v>84052.5</v>
      </c>
      <c r="I3484"/>
      <c r="J3484" t="s">
        <v>7507</v>
      </c>
      <c r="K3484" s="170">
        <v>45808</v>
      </c>
      <c r="L3484" s="1">
        <v>64954.852941176483</v>
      </c>
      <c r="M3484" s="1">
        <v>45806</v>
      </c>
    </row>
    <row r="3485" spans="1:13" ht="14.4" hidden="1">
      <c r="A3485" t="s">
        <v>233</v>
      </c>
      <c r="B3485" s="1">
        <v>97</v>
      </c>
      <c r="C3485" s="258" t="s">
        <v>7565</v>
      </c>
      <c r="D3485" t="s">
        <v>1246</v>
      </c>
      <c r="E3485" t="s">
        <v>1175</v>
      </c>
      <c r="F3485"/>
      <c r="G3485">
        <v>0.2</v>
      </c>
      <c r="H3485" s="1">
        <v>112070</v>
      </c>
      <c r="I3485"/>
      <c r="J3485" t="s">
        <v>7509</v>
      </c>
      <c r="K3485" s="170">
        <v>45838</v>
      </c>
      <c r="L3485" s="1">
        <v>86606.470588235301</v>
      </c>
      <c r="M3485" s="1">
        <v>45890</v>
      </c>
    </row>
    <row r="3486" spans="1:13" ht="14.4" hidden="1">
      <c r="A3486" t="s">
        <v>233</v>
      </c>
      <c r="B3486" s="1">
        <v>98</v>
      </c>
      <c r="C3486" s="258" t="s">
        <v>7566</v>
      </c>
      <c r="D3486" t="s">
        <v>1246</v>
      </c>
      <c r="E3486" t="s">
        <v>1178</v>
      </c>
      <c r="F3486"/>
      <c r="G3486">
        <v>0.25</v>
      </c>
      <c r="H3486" s="1">
        <v>140087.5</v>
      </c>
      <c r="I3486"/>
      <c r="J3486" t="s">
        <v>7511</v>
      </c>
      <c r="K3486" s="170">
        <v>45838</v>
      </c>
      <c r="L3486" s="1">
        <v>108258.08823529413</v>
      </c>
      <c r="M3486" s="1">
        <v>45834</v>
      </c>
    </row>
    <row r="3487" spans="1:13" ht="14.4" hidden="1">
      <c r="A3487" t="s">
        <v>233</v>
      </c>
      <c r="B3487" s="1">
        <v>99</v>
      </c>
      <c r="C3487" s="258" t="s">
        <v>7567</v>
      </c>
      <c r="D3487" t="s">
        <v>1246</v>
      </c>
      <c r="E3487" t="s">
        <v>1181</v>
      </c>
      <c r="F3487"/>
      <c r="G3487">
        <v>0.1</v>
      </c>
      <c r="H3487" s="1">
        <v>56035</v>
      </c>
      <c r="I3487"/>
      <c r="J3487" t="s">
        <v>7513</v>
      </c>
      <c r="K3487" s="170">
        <v>45838</v>
      </c>
      <c r="L3487" s="1">
        <v>43303.23529411765</v>
      </c>
      <c r="M3487" s="1">
        <v>46066</v>
      </c>
    </row>
    <row r="3488" spans="1:13" ht="14.4" hidden="1">
      <c r="A3488" t="s">
        <v>233</v>
      </c>
      <c r="B3488" s="1">
        <v>100</v>
      </c>
      <c r="C3488" s="258" t="s">
        <v>7568</v>
      </c>
      <c r="D3488" t="s">
        <v>1246</v>
      </c>
      <c r="E3488" t="s">
        <v>1184</v>
      </c>
      <c r="F3488"/>
      <c r="G3488">
        <v>0.1</v>
      </c>
      <c r="H3488" s="1">
        <v>56035</v>
      </c>
      <c r="I3488"/>
      <c r="J3488" t="s">
        <v>7515</v>
      </c>
      <c r="K3488" s="170">
        <v>45838</v>
      </c>
      <c r="L3488" s="1">
        <v>43303.23529411765</v>
      </c>
      <c r="M3488" s="1">
        <v>46073</v>
      </c>
    </row>
    <row r="3489" spans="1:14" ht="14.4" hidden="1">
      <c r="A3489" t="s">
        <v>233</v>
      </c>
      <c r="B3489" s="1">
        <v>101</v>
      </c>
      <c r="C3489" s="258" t="s">
        <v>7569</v>
      </c>
      <c r="D3489" t="s">
        <v>1246</v>
      </c>
      <c r="E3489" t="s">
        <v>1187</v>
      </c>
      <c r="F3489"/>
      <c r="G3489">
        <v>0.05</v>
      </c>
      <c r="H3489" s="1">
        <v>28017.5</v>
      </c>
      <c r="I3489"/>
      <c r="J3489" t="s">
        <v>7517</v>
      </c>
      <c r="K3489" s="170">
        <v>45838</v>
      </c>
      <c r="L3489" s="1">
        <v>21651.617647058825</v>
      </c>
      <c r="M3489" s="1">
        <v>46081</v>
      </c>
    </row>
    <row r="3490" spans="1:14" ht="14.4" hidden="1">
      <c r="A3490" t="s">
        <v>233</v>
      </c>
      <c r="B3490" s="1">
        <v>102</v>
      </c>
      <c r="C3490" s="258" t="s">
        <v>7570</v>
      </c>
      <c r="D3490" t="s">
        <v>1246</v>
      </c>
      <c r="E3490" t="s">
        <v>1190</v>
      </c>
      <c r="F3490"/>
      <c r="G3490">
        <v>0.05</v>
      </c>
      <c r="H3490" s="1">
        <v>28017.5</v>
      </c>
      <c r="I3490"/>
      <c r="J3490" t="s">
        <v>7519</v>
      </c>
      <c r="K3490" s="170">
        <v>45838</v>
      </c>
      <c r="L3490" s="1">
        <v>21651.617647058825</v>
      </c>
      <c r="M3490" s="1">
        <v>46111</v>
      </c>
    </row>
    <row r="3491" spans="1:14" ht="14.4" hidden="1">
      <c r="A3491" t="s">
        <v>233</v>
      </c>
      <c r="B3491" s="1">
        <v>108</v>
      </c>
      <c r="C3491" s="258" t="s">
        <v>7571</v>
      </c>
      <c r="D3491" t="s">
        <v>1255</v>
      </c>
      <c r="E3491" t="s">
        <v>7572</v>
      </c>
      <c r="F3491"/>
      <c r="H3491" s="1">
        <v>2825</v>
      </c>
      <c r="I3491" t="s">
        <v>7573</v>
      </c>
      <c r="J3491" t="s">
        <v>7574</v>
      </c>
      <c r="K3491" s="170">
        <v>45808</v>
      </c>
      <c r="L3491" s="1">
        <v>4422.2947097561009</v>
      </c>
      <c r="M3491" s="1">
        <v>45806</v>
      </c>
    </row>
    <row r="3492" spans="1:14" ht="14.4" hidden="1">
      <c r="A3492" t="s">
        <v>233</v>
      </c>
      <c r="B3492" s="1">
        <v>109</v>
      </c>
      <c r="C3492" s="258" t="s">
        <v>7575</v>
      </c>
      <c r="D3492" t="s">
        <v>1255</v>
      </c>
      <c r="E3492" t="s">
        <v>3015</v>
      </c>
      <c r="F3492"/>
      <c r="H3492" s="1">
        <v>1905</v>
      </c>
      <c r="I3492" t="s">
        <v>7576</v>
      </c>
      <c r="J3492" t="s">
        <v>7577</v>
      </c>
      <c r="K3492" s="170">
        <v>45838</v>
      </c>
      <c r="L3492" s="1">
        <v>2982.1137777293352</v>
      </c>
      <c r="M3492" s="1">
        <v>45820</v>
      </c>
    </row>
    <row r="3493" spans="1:14" ht="14.4" hidden="1">
      <c r="A3493" t="s">
        <v>233</v>
      </c>
      <c r="B3493" s="1">
        <v>110</v>
      </c>
      <c r="C3493" s="258" t="s">
        <v>7578</v>
      </c>
      <c r="D3493" t="s">
        <v>1255</v>
      </c>
      <c r="E3493" t="s">
        <v>3030</v>
      </c>
      <c r="F3493"/>
      <c r="H3493" s="1">
        <v>29000</v>
      </c>
      <c r="I3493" t="s">
        <v>7579</v>
      </c>
      <c r="J3493" t="s">
        <v>7580</v>
      </c>
      <c r="K3493" s="170">
        <v>45991</v>
      </c>
      <c r="M3493" s="1">
        <v>45989</v>
      </c>
    </row>
    <row r="3494" spans="1:14" ht="14.4" hidden="1">
      <c r="A3494" t="s">
        <v>233</v>
      </c>
      <c r="B3494" s="1">
        <v>111</v>
      </c>
      <c r="C3494" s="258" t="s">
        <v>7581</v>
      </c>
      <c r="D3494" t="s">
        <v>1255</v>
      </c>
      <c r="E3494" t="s">
        <v>7582</v>
      </c>
      <c r="F3494"/>
      <c r="H3494" s="1">
        <v>19333.349999999999</v>
      </c>
      <c r="I3494"/>
      <c r="J3494" t="s">
        <v>7583</v>
      </c>
      <c r="K3494" s="170">
        <v>46022</v>
      </c>
      <c r="M3494" s="1">
        <v>46031</v>
      </c>
    </row>
    <row r="3495" spans="1:14" ht="14.4" hidden="1">
      <c r="A3495" t="s">
        <v>233</v>
      </c>
      <c r="B3495" s="1">
        <v>116</v>
      </c>
      <c r="C3495" s="258" t="s">
        <v>7584</v>
      </c>
      <c r="D3495" t="s">
        <v>1255</v>
      </c>
      <c r="E3495" t="s">
        <v>1169</v>
      </c>
      <c r="F3495">
        <v>33152.400000000001</v>
      </c>
      <c r="G3495">
        <v>0.1</v>
      </c>
      <c r="H3495" s="1">
        <v>3315.24</v>
      </c>
      <c r="I3495" t="s">
        <v>7504</v>
      </c>
      <c r="J3495" t="s">
        <v>7505</v>
      </c>
      <c r="K3495" s="170">
        <v>45808</v>
      </c>
      <c r="L3495" s="1">
        <v>5189.723296839582</v>
      </c>
      <c r="M3495" s="1">
        <v>45792</v>
      </c>
    </row>
    <row r="3496" spans="1:14" ht="14.4" hidden="1">
      <c r="A3496" t="s">
        <v>233</v>
      </c>
      <c r="B3496" s="1">
        <v>117</v>
      </c>
      <c r="C3496" s="258" t="s">
        <v>7585</v>
      </c>
      <c r="D3496" t="s">
        <v>1255</v>
      </c>
      <c r="E3496" t="s">
        <v>558</v>
      </c>
      <c r="F3496"/>
      <c r="G3496">
        <v>0.15</v>
      </c>
      <c r="H3496" s="1">
        <v>4972.8599999999997</v>
      </c>
      <c r="I3496"/>
      <c r="J3496" t="s">
        <v>7507</v>
      </c>
      <c r="K3496" s="170">
        <v>45808</v>
      </c>
      <c r="L3496" s="1">
        <v>7784.584945259372</v>
      </c>
      <c r="M3496" s="1">
        <v>45806</v>
      </c>
    </row>
    <row r="3497" spans="1:14" ht="14.4" hidden="1">
      <c r="A3497" t="s">
        <v>233</v>
      </c>
      <c r="B3497" s="1">
        <v>118</v>
      </c>
      <c r="C3497" s="258" t="s">
        <v>7586</v>
      </c>
      <c r="D3497" t="s">
        <v>1255</v>
      </c>
      <c r="E3497" t="s">
        <v>1175</v>
      </c>
      <c r="F3497"/>
      <c r="G3497">
        <v>0.2</v>
      </c>
      <c r="H3497" s="1">
        <v>6630.4800000000005</v>
      </c>
      <c r="I3497"/>
      <c r="J3497" t="s">
        <v>7509</v>
      </c>
      <c r="K3497" s="170">
        <v>45838</v>
      </c>
      <c r="L3497" s="1">
        <v>10379.446593679164</v>
      </c>
      <c r="M3497" s="1">
        <v>45890</v>
      </c>
    </row>
    <row r="3498" spans="1:14" ht="14.4" hidden="1">
      <c r="A3498" t="s">
        <v>233</v>
      </c>
      <c r="B3498" s="1">
        <v>119</v>
      </c>
      <c r="C3498" s="258" t="s">
        <v>7587</v>
      </c>
      <c r="D3498" t="s">
        <v>1255</v>
      </c>
      <c r="E3498" t="s">
        <v>1178</v>
      </c>
      <c r="F3498"/>
      <c r="G3498">
        <v>0.25</v>
      </c>
      <c r="H3498" s="1">
        <v>8288.1</v>
      </c>
      <c r="I3498"/>
      <c r="J3498" t="s">
        <v>7511</v>
      </c>
      <c r="K3498" s="170">
        <v>45838</v>
      </c>
      <c r="L3498" s="1">
        <v>12974.308242098954</v>
      </c>
      <c r="M3498" s="1">
        <v>45834</v>
      </c>
    </row>
    <row r="3499" spans="1:14" ht="14.4" hidden="1">
      <c r="A3499" t="s">
        <v>233</v>
      </c>
      <c r="B3499" s="1">
        <v>120</v>
      </c>
      <c r="C3499" s="258" t="s">
        <v>7588</v>
      </c>
      <c r="D3499" t="s">
        <v>1255</v>
      </c>
      <c r="E3499" t="s">
        <v>1181</v>
      </c>
      <c r="F3499"/>
      <c r="G3499">
        <v>0.1</v>
      </c>
      <c r="H3499" s="1">
        <v>3315.24</v>
      </c>
      <c r="I3499"/>
      <c r="J3499" t="s">
        <v>7513</v>
      </c>
      <c r="K3499" s="170">
        <v>45838</v>
      </c>
      <c r="L3499" s="1">
        <v>5189.723296839582</v>
      </c>
      <c r="M3499" s="1">
        <v>46066</v>
      </c>
    </row>
    <row r="3500" spans="1:14" ht="14.4" hidden="1">
      <c r="A3500" t="s">
        <v>233</v>
      </c>
      <c r="B3500" s="1">
        <v>121</v>
      </c>
      <c r="C3500" s="258" t="s">
        <v>7589</v>
      </c>
      <c r="D3500" t="s">
        <v>1255</v>
      </c>
      <c r="E3500" t="s">
        <v>1184</v>
      </c>
      <c r="F3500"/>
      <c r="G3500">
        <v>0.1</v>
      </c>
      <c r="H3500" s="1">
        <v>3315.24</v>
      </c>
      <c r="I3500"/>
      <c r="J3500" t="s">
        <v>7515</v>
      </c>
      <c r="K3500" s="170">
        <v>45838</v>
      </c>
      <c r="L3500" s="1">
        <v>5189.723296839582</v>
      </c>
      <c r="M3500" s="1">
        <v>46073</v>
      </c>
    </row>
    <row r="3501" spans="1:14" ht="14.4" hidden="1">
      <c r="A3501" t="s">
        <v>233</v>
      </c>
      <c r="B3501" s="1">
        <v>122</v>
      </c>
      <c r="C3501" s="258" t="s">
        <v>7590</v>
      </c>
      <c r="D3501" t="s">
        <v>1255</v>
      </c>
      <c r="E3501" t="s">
        <v>1187</v>
      </c>
      <c r="F3501"/>
      <c r="G3501">
        <v>0.05</v>
      </c>
      <c r="H3501" s="1">
        <v>1657.62</v>
      </c>
      <c r="I3501"/>
      <c r="J3501" t="s">
        <v>7517</v>
      </c>
      <c r="K3501" s="170">
        <v>45838</v>
      </c>
      <c r="L3501" s="1">
        <v>2594.861648419791</v>
      </c>
      <c r="M3501" s="1">
        <v>46081</v>
      </c>
    </row>
    <row r="3502" spans="1:14" ht="14.4" hidden="1">
      <c r="A3502" t="s">
        <v>233</v>
      </c>
      <c r="B3502" s="1">
        <v>123</v>
      </c>
      <c r="C3502" s="258" t="s">
        <v>7591</v>
      </c>
      <c r="D3502" t="s">
        <v>1255</v>
      </c>
      <c r="E3502" t="s">
        <v>1190</v>
      </c>
      <c r="F3502"/>
      <c r="G3502">
        <v>0.05</v>
      </c>
      <c r="H3502" s="1">
        <v>1657.62</v>
      </c>
      <c r="I3502"/>
      <c r="J3502" t="s">
        <v>7519</v>
      </c>
      <c r="K3502" s="170">
        <v>45838</v>
      </c>
      <c r="L3502" s="1">
        <v>2594.861648419791</v>
      </c>
      <c r="M3502" s="1">
        <v>46111</v>
      </c>
    </row>
    <row r="3503" spans="1:14" ht="14.4" hidden="1">
      <c r="A3503" t="s">
        <v>233</v>
      </c>
      <c r="B3503" s="1">
        <v>128</v>
      </c>
      <c r="C3503" s="258" t="s">
        <v>7592</v>
      </c>
      <c r="D3503" t="s">
        <v>1264</v>
      </c>
      <c r="E3503" t="s">
        <v>1265</v>
      </c>
      <c r="F3503"/>
      <c r="H3503" s="1">
        <v>12824.57</v>
      </c>
      <c r="I3503"/>
      <c r="J3503" t="s">
        <v>3345</v>
      </c>
      <c r="K3503" s="170">
        <v>45869</v>
      </c>
      <c r="L3503" s="1">
        <v>35947.271874197439</v>
      </c>
      <c r="M3503" s="1">
        <v>45869</v>
      </c>
      <c r="N3503" s="1">
        <v>36674.97</v>
      </c>
    </row>
    <row r="3504" spans="1:14" ht="14.4" hidden="1">
      <c r="A3504" t="s">
        <v>233</v>
      </c>
      <c r="B3504" s="1">
        <v>129</v>
      </c>
      <c r="C3504" s="258" t="s">
        <v>7593</v>
      </c>
      <c r="D3504" t="s">
        <v>1264</v>
      </c>
      <c r="E3504" t="s">
        <v>1268</v>
      </c>
      <c r="F3504"/>
      <c r="H3504" s="1">
        <v>9019.6</v>
      </c>
      <c r="I3504" t="s">
        <v>2845</v>
      </c>
      <c r="J3504" t="s">
        <v>3045</v>
      </c>
      <c r="K3504" s="170">
        <v>45777</v>
      </c>
      <c r="L3504" s="1">
        <v>45725.470512089683</v>
      </c>
      <c r="M3504" s="1">
        <v>45757</v>
      </c>
    </row>
    <row r="3505" spans="1:14" ht="14.4" hidden="1">
      <c r="A3505" t="s">
        <v>233</v>
      </c>
      <c r="B3505" s="1">
        <v>130</v>
      </c>
      <c r="C3505" s="258" t="s">
        <v>7594</v>
      </c>
      <c r="D3505" t="s">
        <v>1264</v>
      </c>
      <c r="E3505" t="s">
        <v>7595</v>
      </c>
      <c r="F3505"/>
      <c r="H3505" s="1">
        <v>8830.7999999999993</v>
      </c>
      <c r="I3505"/>
      <c r="J3505" t="s">
        <v>7596</v>
      </c>
      <c r="K3505" s="170">
        <v>45838</v>
      </c>
      <c r="L3505" s="1">
        <v>33638.622666479321</v>
      </c>
      <c r="M3505" s="1">
        <v>45862</v>
      </c>
    </row>
    <row r="3506" spans="1:14" ht="14.4" hidden="1">
      <c r="A3506" t="s">
        <v>233</v>
      </c>
      <c r="B3506" s="1">
        <v>131</v>
      </c>
      <c r="C3506" s="258" t="s">
        <v>7597</v>
      </c>
      <c r="D3506" t="s">
        <v>1264</v>
      </c>
      <c r="E3506" t="s">
        <v>808</v>
      </c>
      <c r="F3506"/>
      <c r="H3506" s="1">
        <v>6000</v>
      </c>
      <c r="I3506"/>
      <c r="J3506" t="s">
        <v>3691</v>
      </c>
      <c r="K3506" s="170">
        <v>45869</v>
      </c>
      <c r="L3506" s="1">
        <v>19997.162837411677</v>
      </c>
      <c r="M3506" s="1">
        <v>45869</v>
      </c>
    </row>
    <row r="3507" spans="1:14" ht="14.4" hidden="1">
      <c r="A3507" t="s">
        <v>233</v>
      </c>
      <c r="B3507" s="1">
        <v>137</v>
      </c>
      <c r="C3507" s="258" t="s">
        <v>7598</v>
      </c>
      <c r="D3507" t="s">
        <v>1277</v>
      </c>
      <c r="E3507" t="s">
        <v>1278</v>
      </c>
      <c r="F3507"/>
      <c r="H3507" s="1">
        <v>58283.125</v>
      </c>
      <c r="I3507"/>
      <c r="J3507" t="s">
        <v>3693</v>
      </c>
      <c r="K3507" s="170">
        <v>45869</v>
      </c>
      <c r="L3507" s="1">
        <v>180591.96932671044</v>
      </c>
      <c r="M3507" s="1">
        <v>45869</v>
      </c>
      <c r="N3507" s="1">
        <v>58283.125</v>
      </c>
    </row>
    <row r="3508" spans="1:14">
      <c r="A3508" t="s">
        <v>233</v>
      </c>
      <c r="B3508" s="1">
        <v>138</v>
      </c>
      <c r="C3508" s="258" t="s">
        <v>7599</v>
      </c>
      <c r="D3508" t="s">
        <v>1277</v>
      </c>
      <c r="E3508" t="s">
        <v>1903</v>
      </c>
      <c r="F3508"/>
      <c r="H3508" s="1">
        <v>0</v>
      </c>
      <c r="I3508"/>
      <c r="J3508"/>
      <c r="K3508" s="170">
        <v>45869</v>
      </c>
      <c r="L3508" s="1">
        <v>0</v>
      </c>
      <c r="M3508" s="1">
        <v>45869</v>
      </c>
    </row>
    <row r="3509" spans="1:14">
      <c r="A3509" t="s">
        <v>233</v>
      </c>
      <c r="B3509" s="1">
        <v>139</v>
      </c>
      <c r="C3509" s="258" t="s">
        <v>7600</v>
      </c>
      <c r="D3509" t="s">
        <v>1277</v>
      </c>
      <c r="E3509" t="s">
        <v>1905</v>
      </c>
      <c r="F3509"/>
      <c r="H3509" s="1">
        <v>0</v>
      </c>
      <c r="I3509"/>
      <c r="J3509"/>
      <c r="K3509" s="170">
        <v>45869</v>
      </c>
      <c r="L3509" s="1">
        <v>0</v>
      </c>
      <c r="M3509" s="1">
        <v>45869</v>
      </c>
    </row>
    <row r="3510" spans="1:14">
      <c r="A3510" t="s">
        <v>233</v>
      </c>
      <c r="B3510" s="1">
        <v>140</v>
      </c>
      <c r="C3510" s="258" t="s">
        <v>7601</v>
      </c>
      <c r="D3510" t="s">
        <v>1277</v>
      </c>
      <c r="E3510" t="s">
        <v>1907</v>
      </c>
      <c r="F3510"/>
      <c r="H3510" s="1">
        <v>0</v>
      </c>
      <c r="I3510"/>
      <c r="J3510"/>
      <c r="K3510" s="170">
        <v>45869</v>
      </c>
      <c r="L3510" s="1">
        <v>0</v>
      </c>
      <c r="M3510" s="1">
        <v>45869</v>
      </c>
    </row>
    <row r="3511" spans="1:14">
      <c r="A3511" t="s">
        <v>233</v>
      </c>
      <c r="B3511" s="1">
        <v>141</v>
      </c>
      <c r="C3511" s="258" t="s">
        <v>7602</v>
      </c>
      <c r="D3511" t="s">
        <v>1277</v>
      </c>
      <c r="E3511" t="s">
        <v>1909</v>
      </c>
      <c r="F3511"/>
      <c r="H3511" s="1">
        <v>0</v>
      </c>
      <c r="I3511"/>
      <c r="J3511"/>
      <c r="K3511" s="170">
        <v>45869</v>
      </c>
      <c r="L3511" s="1">
        <v>0</v>
      </c>
      <c r="M3511" s="1">
        <v>45869</v>
      </c>
    </row>
    <row r="3512" spans="1:14" ht="14.4" hidden="1">
      <c r="A3512" t="s">
        <v>233</v>
      </c>
      <c r="B3512" s="1">
        <v>144</v>
      </c>
      <c r="C3512" s="258" t="s">
        <v>7603</v>
      </c>
      <c r="D3512" t="s">
        <v>1280</v>
      </c>
      <c r="E3512" t="s">
        <v>1281</v>
      </c>
      <c r="F3512"/>
      <c r="H3512" s="1">
        <v>10950</v>
      </c>
      <c r="I3512"/>
      <c r="J3512" t="s">
        <v>2854</v>
      </c>
      <c r="K3512" s="170">
        <v>45777</v>
      </c>
      <c r="L3512" s="1">
        <v>5699.53</v>
      </c>
      <c r="M3512" s="1">
        <v>45777</v>
      </c>
      <c r="N3512" s="1">
        <v>39135.629999999997</v>
      </c>
    </row>
    <row r="3513" spans="1:14" ht="14.4" hidden="1">
      <c r="A3513" t="s">
        <v>233</v>
      </c>
      <c r="B3513" s="1">
        <v>145</v>
      </c>
      <c r="C3513" s="258" t="s">
        <v>7604</v>
      </c>
      <c r="D3513" t="s">
        <v>1280</v>
      </c>
      <c r="E3513" t="s">
        <v>1281</v>
      </c>
      <c r="F3513"/>
      <c r="H3513" s="1">
        <v>7624.05</v>
      </c>
      <c r="I3513"/>
      <c r="J3513" t="s">
        <v>1604</v>
      </c>
      <c r="K3513" s="170">
        <v>45808</v>
      </c>
      <c r="L3513" s="1">
        <v>2681.3708204656295</v>
      </c>
      <c r="M3513" s="1">
        <v>45814</v>
      </c>
    </row>
    <row r="3514" spans="1:14" ht="14.4" hidden="1">
      <c r="A3514" t="s">
        <v>233</v>
      </c>
      <c r="B3514" s="1">
        <v>146</v>
      </c>
      <c r="C3514" s="258" t="s">
        <v>7605</v>
      </c>
      <c r="D3514" t="s">
        <v>1280</v>
      </c>
      <c r="E3514" t="s">
        <v>1281</v>
      </c>
      <c r="F3514"/>
      <c r="H3514" s="1">
        <v>10878.61</v>
      </c>
      <c r="I3514"/>
      <c r="J3514" t="s">
        <v>1604</v>
      </c>
      <c r="K3514" s="170">
        <v>45838</v>
      </c>
      <c r="L3514" s="1">
        <v>598.82221983413319</v>
      </c>
      <c r="M3514" s="1">
        <v>45842</v>
      </c>
    </row>
    <row r="3515" spans="1:14" ht="14.4" hidden="1">
      <c r="A3515" t="s">
        <v>233</v>
      </c>
      <c r="B3515" s="1">
        <v>147</v>
      </c>
      <c r="C3515" s="258" t="s">
        <v>7606</v>
      </c>
      <c r="D3515" t="s">
        <v>1280</v>
      </c>
      <c r="E3515" t="s">
        <v>1281</v>
      </c>
      <c r="F3515"/>
      <c r="H3515" s="1">
        <v>0</v>
      </c>
      <c r="I3515"/>
      <c r="J3515" t="s">
        <v>1604</v>
      </c>
      <c r="K3515" s="170">
        <v>45869</v>
      </c>
      <c r="L3515" s="1">
        <v>0</v>
      </c>
      <c r="M3515" s="1">
        <v>45876</v>
      </c>
    </row>
    <row r="3516" spans="1:14" ht="14.4" hidden="1">
      <c r="A3516" t="s">
        <v>233</v>
      </c>
      <c r="B3516" s="1">
        <v>148</v>
      </c>
      <c r="C3516" s="258" t="s">
        <v>7607</v>
      </c>
      <c r="D3516" t="s">
        <v>1280</v>
      </c>
      <c r="E3516" t="s">
        <v>1281</v>
      </c>
      <c r="F3516"/>
      <c r="H3516" s="1">
        <v>805</v>
      </c>
      <c r="I3516"/>
      <c r="J3516" t="s">
        <v>1604</v>
      </c>
      <c r="K3516" s="170">
        <v>45900</v>
      </c>
      <c r="L3516" s="1">
        <v>490.86342114399355</v>
      </c>
      <c r="M3516" s="1">
        <v>45905</v>
      </c>
    </row>
    <row r="3517" spans="1:14" ht="14.4" hidden="1">
      <c r="A3517" t="s">
        <v>233</v>
      </c>
      <c r="B3517" s="1">
        <v>149</v>
      </c>
      <c r="C3517" s="258" t="s">
        <v>7608</v>
      </c>
      <c r="D3517" t="s">
        <v>1280</v>
      </c>
      <c r="E3517" t="s">
        <v>1281</v>
      </c>
      <c r="F3517"/>
      <c r="H3517" s="1">
        <v>0</v>
      </c>
      <c r="I3517"/>
      <c r="J3517" t="s">
        <v>1604</v>
      </c>
      <c r="K3517" s="170">
        <v>45930</v>
      </c>
      <c r="L3517" s="1">
        <v>0</v>
      </c>
      <c r="M3517" s="1">
        <v>45930</v>
      </c>
    </row>
    <row r="3518" spans="1:14" ht="14.4" hidden="1">
      <c r="A3518" t="s">
        <v>233</v>
      </c>
      <c r="B3518" s="1">
        <v>150</v>
      </c>
      <c r="C3518" s="258" t="s">
        <v>7609</v>
      </c>
      <c r="D3518" t="s">
        <v>1280</v>
      </c>
      <c r="E3518" t="s">
        <v>1281</v>
      </c>
      <c r="F3518"/>
      <c r="H3518" s="1">
        <v>1247.83</v>
      </c>
      <c r="I3518"/>
      <c r="J3518" t="s">
        <v>1604</v>
      </c>
      <c r="K3518" s="170">
        <v>45961</v>
      </c>
      <c r="L3518" s="1">
        <v>0</v>
      </c>
      <c r="M3518" s="1">
        <v>45968</v>
      </c>
    </row>
    <row r="3519" spans="1:14" ht="14.4" hidden="1">
      <c r="A3519" t="s">
        <v>233</v>
      </c>
      <c r="B3519" s="1">
        <v>151</v>
      </c>
      <c r="C3519" s="258" t="s">
        <v>7610</v>
      </c>
      <c r="D3519" t="s">
        <v>1280</v>
      </c>
      <c r="E3519" t="s">
        <v>1281</v>
      </c>
      <c r="F3519"/>
      <c r="H3519" s="1">
        <v>4630.1400000000003</v>
      </c>
      <c r="I3519"/>
      <c r="J3519" t="s">
        <v>1604</v>
      </c>
      <c r="K3519" s="170">
        <v>45991</v>
      </c>
      <c r="L3519" s="1">
        <v>0</v>
      </c>
      <c r="M3519" s="1">
        <v>45996</v>
      </c>
    </row>
    <row r="3520" spans="1:14" ht="14.4" hidden="1">
      <c r="A3520" t="s">
        <v>233</v>
      </c>
      <c r="B3520" s="1">
        <v>152</v>
      </c>
      <c r="C3520" s="258" t="s">
        <v>7611</v>
      </c>
      <c r="D3520" t="s">
        <v>1280</v>
      </c>
      <c r="E3520" t="s">
        <v>1281</v>
      </c>
      <c r="F3520"/>
      <c r="H3520" s="1">
        <v>0</v>
      </c>
      <c r="I3520"/>
      <c r="J3520" t="s">
        <v>1604</v>
      </c>
      <c r="K3520" s="170">
        <v>46053</v>
      </c>
      <c r="L3520" s="1">
        <v>0</v>
      </c>
      <c r="M3520" s="1">
        <v>46058</v>
      </c>
    </row>
    <row r="3521" spans="1:14">
      <c r="A3521" t="s">
        <v>233</v>
      </c>
      <c r="B3521" s="1">
        <v>153</v>
      </c>
      <c r="C3521" s="258" t="s">
        <v>7612</v>
      </c>
      <c r="D3521" t="s">
        <v>1280</v>
      </c>
      <c r="E3521" t="s">
        <v>1281</v>
      </c>
      <c r="F3521"/>
      <c r="H3521" s="1">
        <v>1500</v>
      </c>
      <c r="I3521"/>
      <c r="J3521"/>
      <c r="K3521" s="170">
        <v>46081</v>
      </c>
      <c r="L3521" s="1">
        <v>0</v>
      </c>
      <c r="M3521" s="1">
        <v>46086</v>
      </c>
    </row>
    <row r="3522" spans="1:14">
      <c r="A3522" t="s">
        <v>233</v>
      </c>
      <c r="B3522" s="1">
        <v>154</v>
      </c>
      <c r="C3522" s="258" t="s">
        <v>7613</v>
      </c>
      <c r="D3522" t="s">
        <v>1280</v>
      </c>
      <c r="F3522"/>
      <c r="H3522" s="1">
        <v>1500</v>
      </c>
      <c r="I3522"/>
      <c r="J3522"/>
      <c r="K3522" s="170">
        <v>46112</v>
      </c>
      <c r="L3522" s="1">
        <v>0</v>
      </c>
      <c r="M3522" s="1">
        <v>46121</v>
      </c>
    </row>
    <row r="3523" spans="1:14" ht="14.4" hidden="1">
      <c r="A3523" t="s">
        <v>233</v>
      </c>
      <c r="B3523" s="1">
        <v>157</v>
      </c>
      <c r="C3523" s="258" t="s">
        <v>7614</v>
      </c>
      <c r="D3523" t="s">
        <v>1451</v>
      </c>
      <c r="E3523" t="s">
        <v>2865</v>
      </c>
      <c r="F3523"/>
      <c r="H3523" s="1">
        <v>349500</v>
      </c>
      <c r="I3523"/>
      <c r="J3523" t="s">
        <v>7615</v>
      </c>
      <c r="K3523" s="170">
        <v>45838</v>
      </c>
      <c r="L3523" s="1">
        <v>291623.87676508346</v>
      </c>
      <c r="M3523" s="1">
        <v>45849</v>
      </c>
      <c r="N3523" s="1">
        <v>699000</v>
      </c>
    </row>
    <row r="3524" spans="1:14" ht="14.4" hidden="1">
      <c r="A3524" t="s">
        <v>233</v>
      </c>
      <c r="B3524" s="1">
        <v>158</v>
      </c>
      <c r="C3524" s="258" t="s">
        <v>7616</v>
      </c>
      <c r="D3524" t="s">
        <v>1451</v>
      </c>
      <c r="E3524" t="s">
        <v>2868</v>
      </c>
      <c r="F3524"/>
      <c r="H3524" s="1">
        <v>349500</v>
      </c>
      <c r="I3524"/>
      <c r="J3524" t="s">
        <v>7615</v>
      </c>
      <c r="K3524" s="170">
        <v>45838</v>
      </c>
      <c r="L3524" s="1">
        <v>291623.87676508346</v>
      </c>
      <c r="M3524" s="1">
        <v>46071</v>
      </c>
    </row>
    <row r="3525" spans="1:14">
      <c r="A3525" t="s">
        <v>233</v>
      </c>
      <c r="B3525" s="1">
        <v>160</v>
      </c>
      <c r="C3525" s="258" t="s">
        <v>7617</v>
      </c>
      <c r="D3525" t="s">
        <v>1451</v>
      </c>
      <c r="E3525" t="s">
        <v>3226</v>
      </c>
      <c r="F3525"/>
      <c r="H3525" s="1">
        <v>0</v>
      </c>
      <c r="I3525"/>
      <c r="J3525"/>
      <c r="K3525" s="170">
        <v>45900</v>
      </c>
      <c r="L3525" s="1">
        <v>51383.399209486168</v>
      </c>
    </row>
    <row r="3526" spans="1:14">
      <c r="A3526" t="s">
        <v>233</v>
      </c>
      <c r="B3526" s="1">
        <v>163</v>
      </c>
      <c r="C3526" s="258" t="s">
        <v>7618</v>
      </c>
      <c r="D3526" t="s">
        <v>1451</v>
      </c>
      <c r="F3526"/>
      <c r="H3526" s="1">
        <v>0</v>
      </c>
      <c r="I3526"/>
      <c r="J3526"/>
      <c r="K3526" s="170"/>
    </row>
    <row r="3527" spans="1:14" ht="14.4" hidden="1">
      <c r="A3527" t="s">
        <v>237</v>
      </c>
      <c r="B3527" s="1">
        <v>21</v>
      </c>
      <c r="C3527" s="258" t="s">
        <v>7619</v>
      </c>
      <c r="D3527" t="s">
        <v>1160</v>
      </c>
      <c r="E3527" t="s">
        <v>1161</v>
      </c>
      <c r="F3527"/>
      <c r="H3527" s="1">
        <v>307922.87</v>
      </c>
      <c r="I3527" t="s">
        <v>7620</v>
      </c>
      <c r="J3527" t="s">
        <v>7621</v>
      </c>
      <c r="K3527" s="170">
        <v>45961</v>
      </c>
      <c r="L3527" s="1">
        <v>419817.36296222889</v>
      </c>
      <c r="M3527" s="1">
        <v>45989</v>
      </c>
      <c r="N3527" s="1">
        <v>392315.21</v>
      </c>
    </row>
    <row r="3528" spans="1:14" ht="14.4" hidden="1">
      <c r="A3528" t="s">
        <v>237</v>
      </c>
      <c r="B3528" s="1">
        <v>22</v>
      </c>
      <c r="C3528" s="258" t="s">
        <v>7622</v>
      </c>
      <c r="D3528" t="s">
        <v>1160</v>
      </c>
      <c r="F3528"/>
      <c r="H3528" s="1">
        <v>15800</v>
      </c>
      <c r="I3528"/>
      <c r="J3528" t="s">
        <v>7623</v>
      </c>
      <c r="K3528" s="170">
        <v>46022</v>
      </c>
      <c r="L3528" s="1">
        <v>0</v>
      </c>
      <c r="M3528" s="1">
        <v>46021</v>
      </c>
    </row>
    <row r="3529" spans="1:14" ht="14.4" hidden="1">
      <c r="A3529" t="s">
        <v>237</v>
      </c>
      <c r="B3529" s="1">
        <v>23</v>
      </c>
      <c r="C3529" s="258" t="s">
        <v>7624</v>
      </c>
      <c r="D3529" t="s">
        <v>1160</v>
      </c>
      <c r="E3529" t="s">
        <v>7625</v>
      </c>
      <c r="F3529"/>
      <c r="H3529" s="1">
        <v>1578</v>
      </c>
      <c r="I3529" t="s">
        <v>7626</v>
      </c>
      <c r="J3529" t="s">
        <v>7627</v>
      </c>
      <c r="K3529" s="170">
        <v>46022</v>
      </c>
      <c r="L3529" s="1">
        <v>0</v>
      </c>
      <c r="M3529" s="1">
        <v>46021</v>
      </c>
    </row>
    <row r="3530" spans="1:14" ht="14.4" hidden="1">
      <c r="A3530" t="s">
        <v>237</v>
      </c>
      <c r="B3530" s="1">
        <v>24</v>
      </c>
      <c r="C3530" s="258" t="s">
        <v>7628</v>
      </c>
      <c r="D3530" t="s">
        <v>1160</v>
      </c>
      <c r="E3530" t="s">
        <v>7629</v>
      </c>
      <c r="F3530"/>
      <c r="H3530" s="1">
        <v>22002.2</v>
      </c>
      <c r="I3530" t="s">
        <v>7630</v>
      </c>
      <c r="J3530" t="s">
        <v>7631</v>
      </c>
      <c r="K3530" s="170">
        <v>45961</v>
      </c>
      <c r="L3530" s="1">
        <v>29997.465220324662</v>
      </c>
      <c r="M3530" s="1">
        <v>45989</v>
      </c>
    </row>
    <row r="3531" spans="1:14" ht="14.4" hidden="1">
      <c r="A3531" t="s">
        <v>237</v>
      </c>
      <c r="B3531" s="1">
        <v>25</v>
      </c>
      <c r="C3531" s="258" t="s">
        <v>7632</v>
      </c>
      <c r="D3531" t="s">
        <v>1160</v>
      </c>
      <c r="F3531"/>
      <c r="H3531" s="1">
        <v>19475</v>
      </c>
      <c r="I3531"/>
      <c r="J3531" t="s">
        <v>7633</v>
      </c>
      <c r="K3531" s="170">
        <v>45961</v>
      </c>
      <c r="L3531" s="1">
        <v>26551.919133805841</v>
      </c>
      <c r="M3531" s="1">
        <v>45989</v>
      </c>
    </row>
    <row r="3532" spans="1:14" ht="14.4" hidden="1">
      <c r="A3532" t="s">
        <v>237</v>
      </c>
      <c r="B3532" s="1">
        <v>26</v>
      </c>
      <c r="C3532" s="258" t="s">
        <v>7634</v>
      </c>
      <c r="D3532" t="s">
        <v>1160</v>
      </c>
      <c r="E3532" t="s">
        <v>7635</v>
      </c>
      <c r="F3532"/>
      <c r="H3532" s="1">
        <v>65115</v>
      </c>
      <c r="I3532" t="s">
        <v>7636</v>
      </c>
      <c r="J3532" t="s">
        <v>7637</v>
      </c>
      <c r="K3532" s="170">
        <v>45991</v>
      </c>
      <c r="L3532" s="1">
        <v>88776.801766252494</v>
      </c>
      <c r="M3532" s="1">
        <v>46021</v>
      </c>
    </row>
    <row r="3533" spans="1:14" ht="14.4" hidden="1">
      <c r="A3533" t="s">
        <v>237</v>
      </c>
      <c r="B3533" s="1">
        <v>27</v>
      </c>
      <c r="C3533" s="258" t="s">
        <v>7638</v>
      </c>
      <c r="D3533" t="s">
        <v>1160</v>
      </c>
      <c r="E3533" t="s">
        <v>7639</v>
      </c>
      <c r="F3533"/>
      <c r="H3533" s="1">
        <v>-50525</v>
      </c>
      <c r="I3533"/>
      <c r="J3533" t="s">
        <v>7640</v>
      </c>
      <c r="K3533" s="170">
        <v>45991</v>
      </c>
      <c r="L3533" s="1">
        <v>0</v>
      </c>
      <c r="M3533" s="1">
        <v>46021</v>
      </c>
    </row>
    <row r="3534" spans="1:14" ht="14.4" hidden="1">
      <c r="A3534" t="s">
        <v>237</v>
      </c>
      <c r="B3534" s="1">
        <v>28</v>
      </c>
      <c r="C3534" s="258" t="s">
        <v>7641</v>
      </c>
      <c r="D3534" t="s">
        <v>1160</v>
      </c>
      <c r="F3534"/>
      <c r="H3534" s="1">
        <v>5195.3999999999996</v>
      </c>
      <c r="I3534" t="s">
        <v>7642</v>
      </c>
      <c r="J3534" t="s">
        <v>7643</v>
      </c>
      <c r="K3534" s="170">
        <v>45991</v>
      </c>
      <c r="L3534" s="1">
        <v>0</v>
      </c>
      <c r="M3534" s="1">
        <v>46021</v>
      </c>
    </row>
    <row r="3535" spans="1:14" ht="14.4" hidden="1">
      <c r="A3535" t="s">
        <v>237</v>
      </c>
      <c r="B3535" s="1">
        <v>29</v>
      </c>
      <c r="C3535" s="258" t="s">
        <v>7644</v>
      </c>
      <c r="D3535" t="s">
        <v>1160</v>
      </c>
      <c r="E3535" t="s">
        <v>7645</v>
      </c>
      <c r="F3535"/>
      <c r="H3535" s="1">
        <v>5751.74</v>
      </c>
      <c r="I3535" t="s">
        <v>7646</v>
      </c>
      <c r="J3535" t="s">
        <v>7647</v>
      </c>
      <c r="K3535" s="170">
        <v>45991</v>
      </c>
      <c r="L3535" s="1">
        <v>0</v>
      </c>
      <c r="M3535" s="1">
        <v>46021</v>
      </c>
    </row>
    <row r="3536" spans="1:14" ht="14.4" hidden="1">
      <c r="A3536" t="s">
        <v>237</v>
      </c>
      <c r="B3536" s="1">
        <v>32</v>
      </c>
      <c r="C3536" s="258" t="s">
        <v>7648</v>
      </c>
      <c r="D3536" t="s">
        <v>1165</v>
      </c>
      <c r="E3536" t="s">
        <v>7649</v>
      </c>
      <c r="F3536">
        <v>8000</v>
      </c>
      <c r="H3536" s="1">
        <v>117500</v>
      </c>
      <c r="I3536" t="s">
        <v>7650</v>
      </c>
      <c r="J3536" t="s">
        <v>7651</v>
      </c>
      <c r="K3536" s="170">
        <v>46022</v>
      </c>
      <c r="L3536" s="1">
        <v>34768.209351765458</v>
      </c>
      <c r="M3536" s="1">
        <v>46052</v>
      </c>
    </row>
    <row r="3537" spans="1:13" ht="14.4" hidden="1">
      <c r="A3537" t="s">
        <v>237</v>
      </c>
      <c r="B3537" s="1">
        <v>33</v>
      </c>
      <c r="C3537" s="258" t="s">
        <v>7652</v>
      </c>
      <c r="D3537" t="s">
        <v>1165</v>
      </c>
      <c r="E3537" t="s">
        <v>7653</v>
      </c>
      <c r="F3537">
        <v>-4000</v>
      </c>
      <c r="G3537">
        <v>14</v>
      </c>
      <c r="H3537" s="1">
        <v>-56000</v>
      </c>
      <c r="I3537"/>
      <c r="J3537" t="s">
        <v>7654</v>
      </c>
      <c r="K3537" s="170">
        <v>46053</v>
      </c>
      <c r="L3537" s="1">
        <v>-2704.84</v>
      </c>
      <c r="M3537" s="1">
        <v>46053</v>
      </c>
    </row>
    <row r="3538" spans="1:13" ht="14.4" hidden="1">
      <c r="A3538" t="s">
        <v>237</v>
      </c>
      <c r="B3538" s="1">
        <v>35</v>
      </c>
      <c r="C3538" s="258" t="s">
        <v>7655</v>
      </c>
      <c r="D3538" t="s">
        <v>1165</v>
      </c>
      <c r="E3538" t="s">
        <v>1169</v>
      </c>
      <c r="F3538">
        <v>42399.77766808922</v>
      </c>
      <c r="G3538">
        <v>0.1</v>
      </c>
      <c r="H3538" s="1">
        <v>4239.9777668089218</v>
      </c>
      <c r="I3538" t="s">
        <v>7656</v>
      </c>
      <c r="J3538" t="s">
        <v>7657</v>
      </c>
      <c r="K3538" s="170">
        <v>45961</v>
      </c>
      <c r="L3538" s="1">
        <v>6308.5714285714284</v>
      </c>
      <c r="M3538" s="1">
        <v>45954</v>
      </c>
    </row>
    <row r="3539" spans="1:13" ht="14.4" hidden="1">
      <c r="A3539" t="s">
        <v>237</v>
      </c>
      <c r="B3539" s="1">
        <v>36</v>
      </c>
      <c r="C3539" s="258" t="s">
        <v>7658</v>
      </c>
      <c r="D3539" t="s">
        <v>1165</v>
      </c>
      <c r="E3539" t="s">
        <v>558</v>
      </c>
      <c r="F3539"/>
      <c r="G3539">
        <v>0.15</v>
      </c>
      <c r="H3539" s="1">
        <v>6359.9666502133832</v>
      </c>
      <c r="I3539"/>
      <c r="J3539" t="s">
        <v>7659</v>
      </c>
      <c r="K3539" s="170">
        <v>45961</v>
      </c>
      <c r="L3539" s="1">
        <v>9462.8571428571431</v>
      </c>
      <c r="M3539" s="1">
        <v>45954</v>
      </c>
    </row>
    <row r="3540" spans="1:13" ht="14.4" hidden="1">
      <c r="A3540" t="s">
        <v>237</v>
      </c>
      <c r="B3540" s="1">
        <v>37</v>
      </c>
      <c r="C3540" s="258" t="s">
        <v>7660</v>
      </c>
      <c r="D3540" t="s">
        <v>1165</v>
      </c>
      <c r="E3540" t="s">
        <v>1175</v>
      </c>
      <c r="F3540"/>
      <c r="G3540">
        <v>0.2</v>
      </c>
      <c r="H3540" s="1">
        <v>8479.9555336178437</v>
      </c>
      <c r="I3540"/>
      <c r="J3540" t="s">
        <v>7661</v>
      </c>
      <c r="K3540" s="170">
        <v>46022</v>
      </c>
      <c r="L3540" s="1">
        <v>3345.6209867897692</v>
      </c>
      <c r="M3540" s="1">
        <v>46003</v>
      </c>
    </row>
    <row r="3541" spans="1:13" ht="14.4" hidden="1">
      <c r="A3541" t="s">
        <v>237</v>
      </c>
      <c r="B3541" s="1">
        <v>38</v>
      </c>
      <c r="C3541" s="258" t="s">
        <v>7662</v>
      </c>
      <c r="D3541" t="s">
        <v>1165</v>
      </c>
      <c r="E3541" t="s">
        <v>1178</v>
      </c>
      <c r="F3541"/>
      <c r="G3541">
        <v>0.1</v>
      </c>
      <c r="H3541" s="1">
        <v>4239.9777668089218</v>
      </c>
      <c r="I3541"/>
      <c r="J3541" t="s">
        <v>7663</v>
      </c>
      <c r="K3541" s="170">
        <v>46022</v>
      </c>
      <c r="L3541" s="1">
        <v>1672.8104933948846</v>
      </c>
      <c r="M3541" s="1">
        <v>46009</v>
      </c>
    </row>
    <row r="3542" spans="1:13" ht="14.4" hidden="1">
      <c r="A3542" t="s">
        <v>237</v>
      </c>
      <c r="B3542" s="1">
        <v>39</v>
      </c>
      <c r="C3542" s="258" t="s">
        <v>7664</v>
      </c>
      <c r="D3542" t="s">
        <v>1165</v>
      </c>
      <c r="E3542" t="s">
        <v>1178</v>
      </c>
      <c r="F3542"/>
      <c r="G3542">
        <v>0.15</v>
      </c>
      <c r="H3542" s="1">
        <v>6359.9666502133832</v>
      </c>
      <c r="I3542"/>
      <c r="J3542" t="s">
        <v>7665</v>
      </c>
      <c r="K3542" s="170">
        <v>46022</v>
      </c>
      <c r="L3542" s="1">
        <v>2509.2157400923265</v>
      </c>
      <c r="M3542" s="1">
        <v>46009</v>
      </c>
    </row>
    <row r="3543" spans="1:13" ht="14.4" hidden="1">
      <c r="A3543" t="s">
        <v>237</v>
      </c>
      <c r="B3543" s="1">
        <v>40</v>
      </c>
      <c r="C3543" s="258" t="s">
        <v>7666</v>
      </c>
      <c r="D3543" t="s">
        <v>1165</v>
      </c>
      <c r="E3543" t="s">
        <v>1181</v>
      </c>
      <c r="F3543"/>
      <c r="G3543">
        <v>0.1</v>
      </c>
      <c r="H3543" s="1">
        <v>4239.9777668089218</v>
      </c>
      <c r="I3543"/>
      <c r="J3543" t="s">
        <v>7667</v>
      </c>
      <c r="K3543" s="170">
        <v>46053</v>
      </c>
      <c r="L3543" s="1">
        <v>2574.4234682500237</v>
      </c>
      <c r="M3543" s="1">
        <v>46051</v>
      </c>
    </row>
    <row r="3544" spans="1:13" ht="14.4" hidden="1">
      <c r="A3544" t="s">
        <v>237</v>
      </c>
      <c r="B3544" s="1">
        <v>41</v>
      </c>
      <c r="C3544" s="258" t="s">
        <v>7668</v>
      </c>
      <c r="D3544" t="s">
        <v>1165</v>
      </c>
      <c r="E3544" t="s">
        <v>1184</v>
      </c>
      <c r="F3544"/>
      <c r="G3544">
        <v>0.1</v>
      </c>
      <c r="H3544" s="1">
        <v>4239.9777668089218</v>
      </c>
      <c r="I3544"/>
      <c r="J3544" t="s">
        <v>7669</v>
      </c>
      <c r="K3544" s="170">
        <v>46053</v>
      </c>
      <c r="L3544" s="1">
        <v>2574.4234682500237</v>
      </c>
      <c r="M3544" s="1">
        <v>46051</v>
      </c>
    </row>
    <row r="3545" spans="1:13" ht="14.4" hidden="1">
      <c r="A3545" t="s">
        <v>237</v>
      </c>
      <c r="B3545" s="1">
        <v>42</v>
      </c>
      <c r="C3545" s="258" t="s">
        <v>7670</v>
      </c>
      <c r="D3545" t="s">
        <v>1165</v>
      </c>
      <c r="E3545" t="s">
        <v>1187</v>
      </c>
      <c r="F3545"/>
      <c r="G3545">
        <v>0.05</v>
      </c>
      <c r="H3545" s="1">
        <v>2119.9888834044609</v>
      </c>
      <c r="I3545"/>
      <c r="J3545" t="s">
        <v>7671</v>
      </c>
      <c r="K3545" s="170">
        <v>46053</v>
      </c>
      <c r="L3545" s="1">
        <v>1287.2117341250118</v>
      </c>
      <c r="M3545" s="1">
        <v>46051</v>
      </c>
    </row>
    <row r="3546" spans="1:13" ht="14.4" hidden="1">
      <c r="A3546" t="s">
        <v>237</v>
      </c>
      <c r="B3546" s="1">
        <v>43</v>
      </c>
      <c r="C3546" s="258" t="s">
        <v>7672</v>
      </c>
      <c r="D3546" t="s">
        <v>1165</v>
      </c>
      <c r="E3546" t="s">
        <v>1190</v>
      </c>
      <c r="F3546"/>
      <c r="G3546">
        <v>0.05</v>
      </c>
      <c r="H3546" s="1">
        <v>2119.9888834044609</v>
      </c>
      <c r="I3546"/>
      <c r="J3546" t="s">
        <v>7673</v>
      </c>
      <c r="K3546" s="170">
        <v>46053</v>
      </c>
      <c r="L3546" s="1">
        <v>1287.2117341250118</v>
      </c>
      <c r="M3546" s="1">
        <v>46074</v>
      </c>
    </row>
    <row r="3547" spans="1:13" ht="14.4" hidden="1">
      <c r="A3547" t="s">
        <v>237</v>
      </c>
      <c r="B3547" s="1">
        <v>49</v>
      </c>
      <c r="C3547" s="258" t="s">
        <v>7674</v>
      </c>
      <c r="D3547" t="s">
        <v>1193</v>
      </c>
      <c r="E3547" t="s">
        <v>1196</v>
      </c>
      <c r="F3547"/>
      <c r="H3547" s="1">
        <v>18378</v>
      </c>
      <c r="I3547" t="s">
        <v>7675</v>
      </c>
      <c r="J3547" t="s">
        <v>7676</v>
      </c>
      <c r="K3547" s="170">
        <v>45991</v>
      </c>
      <c r="L3547" s="1">
        <v>16958.361035993639</v>
      </c>
      <c r="M3547" s="1">
        <v>46029</v>
      </c>
    </row>
    <row r="3548" spans="1:13" ht="14.4" hidden="1">
      <c r="A3548" t="s">
        <v>237</v>
      </c>
      <c r="B3548" s="1">
        <v>50</v>
      </c>
      <c r="C3548" s="258" t="s">
        <v>7677</v>
      </c>
      <c r="D3548" t="s">
        <v>1193</v>
      </c>
      <c r="E3548" t="s">
        <v>1200</v>
      </c>
      <c r="F3548"/>
      <c r="H3548" s="1">
        <v>11169</v>
      </c>
      <c r="I3548"/>
      <c r="J3548" t="s">
        <v>3913</v>
      </c>
      <c r="K3548" s="170">
        <v>46053</v>
      </c>
      <c r="L3548" s="1">
        <v>13841.301053331765</v>
      </c>
      <c r="M3548" s="1">
        <v>46051</v>
      </c>
    </row>
    <row r="3549" spans="1:13" ht="14.4" hidden="1">
      <c r="A3549" t="s">
        <v>237</v>
      </c>
      <c r="B3549" s="1">
        <v>51</v>
      </c>
      <c r="C3549" s="258" t="s">
        <v>7678</v>
      </c>
      <c r="D3549" t="s">
        <v>1193</v>
      </c>
      <c r="E3549" t="s">
        <v>2301</v>
      </c>
      <c r="F3549"/>
      <c r="H3549" s="1">
        <v>307.94</v>
      </c>
      <c r="I3549"/>
      <c r="J3549" t="s">
        <v>4099</v>
      </c>
      <c r="K3549" s="170">
        <v>45991</v>
      </c>
      <c r="L3549" s="1">
        <v>284.15266609118947</v>
      </c>
      <c r="M3549" s="1">
        <v>46021</v>
      </c>
    </row>
    <row r="3550" spans="1:13" ht="14.4" hidden="1">
      <c r="A3550" t="s">
        <v>237</v>
      </c>
      <c r="B3550" s="1">
        <v>52</v>
      </c>
      <c r="C3550" s="258" t="s">
        <v>7679</v>
      </c>
      <c r="D3550" t="s">
        <v>1193</v>
      </c>
      <c r="E3550" t="s">
        <v>1209</v>
      </c>
      <c r="F3550"/>
      <c r="H3550" s="1">
        <v>1664.1</v>
      </c>
      <c r="I3550" t="s">
        <v>7680</v>
      </c>
      <c r="J3550" t="s">
        <v>7681</v>
      </c>
      <c r="K3550" s="170">
        <v>45991</v>
      </c>
      <c r="L3550" s="1">
        <v>1535.5538469908047</v>
      </c>
      <c r="M3550" s="1">
        <v>45972</v>
      </c>
    </row>
    <row r="3551" spans="1:13" ht="14.4" hidden="1">
      <c r="A3551" t="s">
        <v>237</v>
      </c>
      <c r="B3551" s="1">
        <v>53</v>
      </c>
      <c r="C3551" s="258" t="s">
        <v>7682</v>
      </c>
      <c r="D3551" t="s">
        <v>1193</v>
      </c>
      <c r="E3551" t="s">
        <v>1152</v>
      </c>
      <c r="F3551"/>
      <c r="H3551" s="1">
        <v>257.68</v>
      </c>
      <c r="I3551"/>
      <c r="J3551" t="s">
        <v>6288</v>
      </c>
      <c r="K3551" s="170">
        <v>45991</v>
      </c>
      <c r="L3551" s="1">
        <v>237.77508280307109</v>
      </c>
      <c r="M3551" s="1">
        <v>46021</v>
      </c>
    </row>
    <row r="3552" spans="1:13" ht="14.4" hidden="1">
      <c r="A3552" t="s">
        <v>237</v>
      </c>
      <c r="B3552" s="1">
        <v>63</v>
      </c>
      <c r="C3552" s="258" t="s">
        <v>7683</v>
      </c>
      <c r="D3552" t="s">
        <v>1211</v>
      </c>
      <c r="E3552" t="s">
        <v>1169</v>
      </c>
      <c r="F3552">
        <v>17282.518071232022</v>
      </c>
      <c r="G3552">
        <v>0.1</v>
      </c>
      <c r="H3552" s="1">
        <v>1728.2518071232023</v>
      </c>
      <c r="I3552" t="s">
        <v>7656</v>
      </c>
      <c r="J3552" t="s">
        <v>7657</v>
      </c>
      <c r="K3552" s="170">
        <v>45961</v>
      </c>
      <c r="L3552" s="1">
        <v>2571.4285714285711</v>
      </c>
      <c r="M3552" s="1">
        <v>45954</v>
      </c>
    </row>
    <row r="3553" spans="1:14" ht="14.4" hidden="1">
      <c r="A3553" t="s">
        <v>237</v>
      </c>
      <c r="B3553" s="1">
        <v>64</v>
      </c>
      <c r="C3553" s="258" t="s">
        <v>7684</v>
      </c>
      <c r="D3553" t="s">
        <v>1211</v>
      </c>
      <c r="E3553" t="s">
        <v>558</v>
      </c>
      <c r="F3553"/>
      <c r="G3553">
        <v>0.15</v>
      </c>
      <c r="H3553" s="1">
        <v>2592.3777106848033</v>
      </c>
      <c r="I3553"/>
      <c r="J3553" t="s">
        <v>7659</v>
      </c>
      <c r="K3553" s="170">
        <v>45961</v>
      </c>
      <c r="L3553" s="1">
        <v>3857.142857142856</v>
      </c>
      <c r="M3553" s="1">
        <v>45954</v>
      </c>
    </row>
    <row r="3554" spans="1:14" ht="14.4" hidden="1">
      <c r="A3554" t="s">
        <v>237</v>
      </c>
      <c r="B3554" s="1">
        <v>65</v>
      </c>
      <c r="C3554" s="258" t="s">
        <v>7685</v>
      </c>
      <c r="D3554" t="s">
        <v>1211</v>
      </c>
      <c r="E3554" t="s">
        <v>1175</v>
      </c>
      <c r="F3554"/>
      <c r="G3554">
        <v>0.2</v>
      </c>
      <c r="H3554" s="1">
        <v>3456.5036142464046</v>
      </c>
      <c r="I3554"/>
      <c r="J3554" t="s">
        <v>7661</v>
      </c>
      <c r="K3554" s="170">
        <v>46022</v>
      </c>
      <c r="L3554" s="1">
        <v>5142.8571428571422</v>
      </c>
      <c r="M3554" s="1">
        <v>46003</v>
      </c>
    </row>
    <row r="3555" spans="1:14" ht="14.4" hidden="1">
      <c r="A3555" t="s">
        <v>237</v>
      </c>
      <c r="B3555" s="1">
        <v>66</v>
      </c>
      <c r="C3555" s="258" t="s">
        <v>7686</v>
      </c>
      <c r="D3555" t="s">
        <v>1211</v>
      </c>
      <c r="E3555" t="s">
        <v>1178</v>
      </c>
      <c r="F3555"/>
      <c r="G3555">
        <v>0.1</v>
      </c>
      <c r="H3555" s="1">
        <v>1728.2518071232023</v>
      </c>
      <c r="I3555"/>
      <c r="J3555" t="s">
        <v>7663</v>
      </c>
      <c r="K3555" s="170">
        <v>46022</v>
      </c>
      <c r="L3555" s="1">
        <v>2571.4285714285711</v>
      </c>
      <c r="M3555" s="1">
        <v>46009</v>
      </c>
    </row>
    <row r="3556" spans="1:14" ht="14.4" hidden="1">
      <c r="A3556" t="s">
        <v>237</v>
      </c>
      <c r="B3556" s="1">
        <v>67</v>
      </c>
      <c r="C3556" s="258" t="s">
        <v>7687</v>
      </c>
      <c r="D3556" t="s">
        <v>1211</v>
      </c>
      <c r="E3556" t="s">
        <v>1178</v>
      </c>
      <c r="F3556"/>
      <c r="G3556">
        <v>0.15</v>
      </c>
      <c r="H3556" s="1">
        <v>2592.3777106848033</v>
      </c>
      <c r="I3556"/>
      <c r="J3556" t="s">
        <v>7665</v>
      </c>
      <c r="K3556" s="170">
        <v>46022</v>
      </c>
      <c r="L3556" s="1">
        <v>3857.142857142856</v>
      </c>
      <c r="M3556" s="1">
        <v>46009</v>
      </c>
    </row>
    <row r="3557" spans="1:14" ht="14.4" hidden="1">
      <c r="A3557" t="s">
        <v>237</v>
      </c>
      <c r="B3557" s="1">
        <v>68</v>
      </c>
      <c r="C3557" s="258" t="s">
        <v>7688</v>
      </c>
      <c r="D3557" t="s">
        <v>1211</v>
      </c>
      <c r="E3557" t="s">
        <v>1181</v>
      </c>
      <c r="F3557"/>
      <c r="G3557">
        <v>0.1</v>
      </c>
      <c r="H3557" s="1">
        <v>1728.2518071232023</v>
      </c>
      <c r="I3557"/>
      <c r="J3557" t="s">
        <v>7667</v>
      </c>
      <c r="K3557" s="170">
        <v>46053</v>
      </c>
      <c r="L3557" s="1">
        <v>2571.4285714285711</v>
      </c>
      <c r="M3557" s="1">
        <v>46051</v>
      </c>
    </row>
    <row r="3558" spans="1:14" ht="14.4" hidden="1">
      <c r="A3558" t="s">
        <v>237</v>
      </c>
      <c r="B3558" s="1">
        <v>69</v>
      </c>
      <c r="C3558" s="258" t="s">
        <v>7689</v>
      </c>
      <c r="D3558" t="s">
        <v>1211</v>
      </c>
      <c r="E3558" t="s">
        <v>1184</v>
      </c>
      <c r="F3558"/>
      <c r="G3558">
        <v>0.1</v>
      </c>
      <c r="H3558" s="1">
        <v>1728.2518071232023</v>
      </c>
      <c r="I3558"/>
      <c r="J3558" t="s">
        <v>7669</v>
      </c>
      <c r="K3558" s="170">
        <v>46053</v>
      </c>
      <c r="L3558" s="1">
        <v>2571.4285714285711</v>
      </c>
      <c r="M3558" s="1">
        <v>46051</v>
      </c>
    </row>
    <row r="3559" spans="1:14" ht="14.4" hidden="1">
      <c r="A3559" t="s">
        <v>237</v>
      </c>
      <c r="B3559" s="1">
        <v>70</v>
      </c>
      <c r="C3559" s="258" t="s">
        <v>7690</v>
      </c>
      <c r="D3559" t="s">
        <v>1211</v>
      </c>
      <c r="E3559" t="s">
        <v>1187</v>
      </c>
      <c r="F3559"/>
      <c r="G3559">
        <v>0.05</v>
      </c>
      <c r="H3559" s="1">
        <v>864.12590356160115</v>
      </c>
      <c r="I3559"/>
      <c r="J3559" t="s">
        <v>7671</v>
      </c>
      <c r="K3559" s="170">
        <v>46053</v>
      </c>
      <c r="L3559" s="1">
        <v>1285.7142857142856</v>
      </c>
      <c r="M3559" s="1">
        <v>46051</v>
      </c>
    </row>
    <row r="3560" spans="1:14" ht="14.4" hidden="1">
      <c r="A3560" t="s">
        <v>237</v>
      </c>
      <c r="B3560" s="1">
        <v>71</v>
      </c>
      <c r="C3560" s="258" t="s">
        <v>7691</v>
      </c>
      <c r="D3560" t="s">
        <v>1211</v>
      </c>
      <c r="E3560" t="s">
        <v>1190</v>
      </c>
      <c r="F3560"/>
      <c r="G3560">
        <v>0.05</v>
      </c>
      <c r="H3560" s="1">
        <v>864.12590356160115</v>
      </c>
      <c r="I3560"/>
      <c r="J3560" t="s">
        <v>7673</v>
      </c>
      <c r="K3560" s="170">
        <v>46053</v>
      </c>
      <c r="L3560" s="1">
        <v>1285.7142857142856</v>
      </c>
      <c r="M3560" s="1">
        <v>46074</v>
      </c>
    </row>
    <row r="3561" spans="1:14" ht="14.4" hidden="1">
      <c r="A3561" t="s">
        <v>237</v>
      </c>
      <c r="B3561" s="1">
        <v>85</v>
      </c>
      <c r="C3561" s="258" t="s">
        <v>7692</v>
      </c>
      <c r="D3561" t="s">
        <v>1224</v>
      </c>
      <c r="E3561" t="s">
        <v>7693</v>
      </c>
      <c r="F3561"/>
      <c r="H3561" s="1">
        <v>166769.48000000001</v>
      </c>
      <c r="I3561"/>
      <c r="J3561"/>
      <c r="K3561" s="170">
        <v>46081</v>
      </c>
      <c r="L3561" s="1">
        <v>351114.9990055298</v>
      </c>
      <c r="M3561" s="1">
        <v>46081</v>
      </c>
      <c r="N3561" s="1">
        <v>312807.06000000006</v>
      </c>
    </row>
    <row r="3562" spans="1:14" ht="14.4" hidden="1">
      <c r="A3562" t="s">
        <v>237</v>
      </c>
      <c r="B3562" s="1">
        <v>87</v>
      </c>
      <c r="C3562" s="258" t="s">
        <v>7694</v>
      </c>
      <c r="D3562" t="s">
        <v>1224</v>
      </c>
      <c r="E3562" t="s">
        <v>7695</v>
      </c>
      <c r="F3562"/>
      <c r="H3562" s="1">
        <v>90120</v>
      </c>
      <c r="I3562"/>
      <c r="J3562" t="s">
        <v>7696</v>
      </c>
      <c r="K3562" s="170">
        <v>46053</v>
      </c>
      <c r="L3562" s="1">
        <v>125017.29874861483</v>
      </c>
      <c r="M3562" s="1">
        <v>46081</v>
      </c>
    </row>
    <row r="3563" spans="1:14" ht="14.4" hidden="1">
      <c r="A3563" t="s">
        <v>237</v>
      </c>
      <c r="B3563" s="1">
        <v>89</v>
      </c>
      <c r="C3563" s="258" t="s">
        <v>7697</v>
      </c>
      <c r="D3563" t="s">
        <v>1224</v>
      </c>
      <c r="E3563" t="s">
        <v>7698</v>
      </c>
      <c r="F3563"/>
      <c r="H3563" s="1">
        <v>34320.9</v>
      </c>
      <c r="I3563" t="s">
        <v>7699</v>
      </c>
      <c r="J3563" t="s">
        <v>7700</v>
      </c>
      <c r="K3563" s="170">
        <v>46022</v>
      </c>
      <c r="L3563" s="1">
        <v>53378.258435017051</v>
      </c>
      <c r="M3563" s="1">
        <v>46031</v>
      </c>
    </row>
    <row r="3564" spans="1:14" ht="14.4" hidden="1">
      <c r="A3564" t="s">
        <v>237</v>
      </c>
      <c r="B3564" s="1">
        <v>91</v>
      </c>
      <c r="C3564" s="258" t="s">
        <v>7701</v>
      </c>
      <c r="D3564" t="s">
        <v>1224</v>
      </c>
      <c r="E3564" t="s">
        <v>7702</v>
      </c>
      <c r="F3564"/>
      <c r="H3564" s="1">
        <v>1217.4000000000001</v>
      </c>
      <c r="I3564" t="s">
        <v>7703</v>
      </c>
      <c r="J3564" t="s">
        <v>7704</v>
      </c>
      <c r="K3564" s="170">
        <v>45991</v>
      </c>
      <c r="L3564" s="1">
        <v>1893.3854245893831</v>
      </c>
      <c r="M3564" s="1">
        <v>45995</v>
      </c>
    </row>
    <row r="3565" spans="1:14" ht="14.4" hidden="1">
      <c r="A3565" t="s">
        <v>237</v>
      </c>
      <c r="B3565" s="1">
        <v>92</v>
      </c>
      <c r="C3565" s="258" t="s">
        <v>7705</v>
      </c>
      <c r="D3565" t="s">
        <v>1224</v>
      </c>
      <c r="E3565" t="s">
        <v>7706</v>
      </c>
      <c r="F3565"/>
      <c r="H3565" s="1">
        <v>1129.28</v>
      </c>
      <c r="I3565" t="s">
        <v>7707</v>
      </c>
      <c r="J3565"/>
      <c r="K3565" s="170">
        <v>46081</v>
      </c>
      <c r="L3565" s="1">
        <v>1638.3198609635567</v>
      </c>
      <c r="M3565" s="1">
        <v>46081</v>
      </c>
    </row>
    <row r="3566" spans="1:14" ht="14.4" hidden="1">
      <c r="A3566" t="s">
        <v>237</v>
      </c>
      <c r="B3566" s="1">
        <v>93</v>
      </c>
      <c r="C3566" s="258" t="s">
        <v>7708</v>
      </c>
      <c r="D3566" t="s">
        <v>1224</v>
      </c>
      <c r="E3566" t="s">
        <v>7709</v>
      </c>
      <c r="F3566"/>
      <c r="H3566" s="1">
        <v>19250</v>
      </c>
      <c r="I3566" t="s">
        <v>7710</v>
      </c>
      <c r="J3566" t="s">
        <v>7711</v>
      </c>
      <c r="K3566" s="170">
        <v>45991</v>
      </c>
      <c r="L3566" s="1">
        <v>29938.943176725497</v>
      </c>
      <c r="M3566" s="1">
        <v>45989</v>
      </c>
    </row>
    <row r="3567" spans="1:14" ht="14.4" hidden="1">
      <c r="A3567" t="s">
        <v>237</v>
      </c>
      <c r="B3567" s="1">
        <v>96</v>
      </c>
      <c r="C3567" s="258" t="s">
        <v>7712</v>
      </c>
      <c r="D3567" t="s">
        <v>1246</v>
      </c>
      <c r="E3567" t="s">
        <v>1169</v>
      </c>
      <c r="F3567">
        <v>463747.56824472582</v>
      </c>
      <c r="G3567">
        <v>0.1</v>
      </c>
      <c r="H3567" s="1">
        <v>46374.756824472592</v>
      </c>
      <c r="I3567" t="s">
        <v>7656</v>
      </c>
      <c r="J3567" t="s">
        <v>7657</v>
      </c>
      <c r="K3567" s="170">
        <v>45961</v>
      </c>
      <c r="L3567" s="1">
        <v>55120.778811996941</v>
      </c>
      <c r="M3567" s="1">
        <v>45954</v>
      </c>
    </row>
    <row r="3568" spans="1:14" ht="14.4" hidden="1">
      <c r="A3568" t="s">
        <v>237</v>
      </c>
      <c r="B3568" s="1">
        <v>97</v>
      </c>
      <c r="C3568" s="258" t="s">
        <v>7713</v>
      </c>
      <c r="D3568" t="s">
        <v>1246</v>
      </c>
      <c r="E3568" t="s">
        <v>558</v>
      </c>
      <c r="F3568"/>
      <c r="G3568">
        <v>0.15</v>
      </c>
      <c r="H3568" s="1">
        <v>69562.135236708884</v>
      </c>
      <c r="I3568"/>
      <c r="J3568" t="s">
        <v>7659</v>
      </c>
      <c r="K3568" s="170">
        <v>45961</v>
      </c>
      <c r="L3568" s="1">
        <v>82681.168217995408</v>
      </c>
      <c r="M3568" s="1">
        <v>45954</v>
      </c>
    </row>
    <row r="3569" spans="1:14" ht="14.4" hidden="1">
      <c r="A3569" t="s">
        <v>237</v>
      </c>
      <c r="B3569" s="1">
        <v>98</v>
      </c>
      <c r="C3569" s="258" t="s">
        <v>7714</v>
      </c>
      <c r="D3569" t="s">
        <v>1246</v>
      </c>
      <c r="E3569" t="s">
        <v>1175</v>
      </c>
      <c r="F3569"/>
      <c r="G3569">
        <v>0.2</v>
      </c>
      <c r="H3569" s="1">
        <v>92749.513648945183</v>
      </c>
      <c r="I3569"/>
      <c r="J3569" t="s">
        <v>7661</v>
      </c>
      <c r="K3569" s="170">
        <v>46022</v>
      </c>
      <c r="L3569" s="1">
        <v>110241.5576239939</v>
      </c>
      <c r="M3569" s="1">
        <v>46003</v>
      </c>
    </row>
    <row r="3570" spans="1:14" ht="14.4" hidden="1">
      <c r="A3570" t="s">
        <v>237</v>
      </c>
      <c r="B3570" s="1">
        <v>99</v>
      </c>
      <c r="C3570" s="258" t="s">
        <v>7715</v>
      </c>
      <c r="D3570" t="s">
        <v>1246</v>
      </c>
      <c r="E3570" t="s">
        <v>1178</v>
      </c>
      <c r="F3570"/>
      <c r="G3570">
        <v>0.1</v>
      </c>
      <c r="H3570" s="1">
        <v>46374.756824472592</v>
      </c>
      <c r="I3570"/>
      <c r="J3570" t="s">
        <v>7663</v>
      </c>
      <c r="K3570" s="170">
        <v>46022</v>
      </c>
      <c r="L3570" s="1">
        <v>55120.778811996941</v>
      </c>
      <c r="M3570" s="1">
        <v>46003</v>
      </c>
    </row>
    <row r="3571" spans="1:14" ht="14.4" hidden="1">
      <c r="A3571" t="s">
        <v>237</v>
      </c>
      <c r="B3571" s="1">
        <v>100</v>
      </c>
      <c r="C3571" s="258" t="s">
        <v>7716</v>
      </c>
      <c r="D3571" t="s">
        <v>1246</v>
      </c>
      <c r="E3571" t="s">
        <v>1178</v>
      </c>
      <c r="F3571"/>
      <c r="G3571">
        <v>0.15</v>
      </c>
      <c r="H3571" s="1">
        <v>69562.135236708884</v>
      </c>
      <c r="I3571"/>
      <c r="J3571" t="s">
        <v>7665</v>
      </c>
      <c r="K3571" s="170">
        <v>46022</v>
      </c>
      <c r="L3571" s="1">
        <v>82681.168217995408</v>
      </c>
      <c r="M3571" s="1">
        <v>46009</v>
      </c>
    </row>
    <row r="3572" spans="1:14" ht="14.4" hidden="1">
      <c r="A3572" t="s">
        <v>237</v>
      </c>
      <c r="B3572" s="1">
        <v>101</v>
      </c>
      <c r="C3572" s="258" t="s">
        <v>7717</v>
      </c>
      <c r="D3572" t="s">
        <v>1246</v>
      </c>
      <c r="E3572" t="s">
        <v>1181</v>
      </c>
      <c r="F3572"/>
      <c r="G3572">
        <v>0.1</v>
      </c>
      <c r="H3572" s="1">
        <v>46374.756824472592</v>
      </c>
      <c r="I3572"/>
      <c r="J3572" t="s">
        <v>7667</v>
      </c>
      <c r="K3572" s="170">
        <v>46053</v>
      </c>
      <c r="L3572" s="1">
        <v>55120.778811996941</v>
      </c>
      <c r="M3572" s="1">
        <v>46051</v>
      </c>
    </row>
    <row r="3573" spans="1:14" ht="14.4" hidden="1">
      <c r="A3573" t="s">
        <v>237</v>
      </c>
      <c r="B3573" s="1">
        <v>102</v>
      </c>
      <c r="C3573" s="258" t="s">
        <v>7718</v>
      </c>
      <c r="D3573" t="s">
        <v>1246</v>
      </c>
      <c r="E3573" t="s">
        <v>1184</v>
      </c>
      <c r="F3573"/>
      <c r="G3573">
        <v>0.1</v>
      </c>
      <c r="H3573" s="1">
        <v>46374.756824472592</v>
      </c>
      <c r="I3573"/>
      <c r="J3573" t="s">
        <v>7669</v>
      </c>
      <c r="K3573" s="170">
        <v>46053</v>
      </c>
      <c r="L3573" s="1">
        <v>55120.778811996941</v>
      </c>
      <c r="M3573" s="1">
        <v>46051</v>
      </c>
    </row>
    <row r="3574" spans="1:14" ht="14.4" hidden="1">
      <c r="A3574" t="s">
        <v>237</v>
      </c>
      <c r="B3574" s="1">
        <v>103</v>
      </c>
      <c r="C3574" s="258" t="s">
        <v>7719</v>
      </c>
      <c r="D3574" t="s">
        <v>1246</v>
      </c>
      <c r="E3574" t="s">
        <v>1187</v>
      </c>
      <c r="F3574"/>
      <c r="G3574">
        <v>0.05</v>
      </c>
      <c r="H3574" s="1">
        <v>23187.378412236296</v>
      </c>
      <c r="I3574"/>
      <c r="J3574" t="s">
        <v>7671</v>
      </c>
      <c r="K3574" s="170">
        <v>46053</v>
      </c>
      <c r="L3574" s="1">
        <v>27560.38940599847</v>
      </c>
      <c r="M3574" s="1">
        <v>46051</v>
      </c>
    </row>
    <row r="3575" spans="1:14" ht="14.4" hidden="1">
      <c r="A3575" t="s">
        <v>237</v>
      </c>
      <c r="B3575" s="1">
        <v>104</v>
      </c>
      <c r="C3575" s="258" t="s">
        <v>7720</v>
      </c>
      <c r="D3575" t="s">
        <v>1246</v>
      </c>
      <c r="E3575" t="s">
        <v>1190</v>
      </c>
      <c r="F3575"/>
      <c r="G3575">
        <v>0.05</v>
      </c>
      <c r="H3575" s="1">
        <v>23187.378412236296</v>
      </c>
      <c r="I3575"/>
      <c r="J3575" t="s">
        <v>7673</v>
      </c>
      <c r="K3575" s="170">
        <v>46053</v>
      </c>
      <c r="L3575" s="1">
        <v>27560.38940599847</v>
      </c>
      <c r="M3575" s="1">
        <v>46074</v>
      </c>
    </row>
    <row r="3576" spans="1:14" ht="14.4" hidden="1">
      <c r="A3576" t="s">
        <v>237</v>
      </c>
      <c r="B3576" s="1">
        <v>109</v>
      </c>
      <c r="C3576" s="258" t="s">
        <v>7721</v>
      </c>
      <c r="D3576" t="s">
        <v>1255</v>
      </c>
      <c r="E3576" t="s">
        <v>1343</v>
      </c>
      <c r="F3576"/>
      <c r="H3576" s="1">
        <v>0</v>
      </c>
      <c r="I3576"/>
      <c r="J3576"/>
      <c r="K3576" s="170"/>
      <c r="L3576" s="1">
        <v>0</v>
      </c>
      <c r="N3576" s="1">
        <v>28570.122414357571</v>
      </c>
    </row>
    <row r="3577" spans="1:14" ht="14.4" hidden="1">
      <c r="A3577" t="s">
        <v>237</v>
      </c>
      <c r="B3577" s="1">
        <v>113</v>
      </c>
      <c r="C3577" s="258" t="s">
        <v>7722</v>
      </c>
      <c r="D3577" t="s">
        <v>1255</v>
      </c>
      <c r="E3577" t="s">
        <v>1169</v>
      </c>
      <c r="F3577">
        <v>28570.136015952856</v>
      </c>
      <c r="G3577">
        <v>0.1</v>
      </c>
      <c r="H3577" s="1">
        <v>2857.0136015952858</v>
      </c>
      <c r="I3577" t="s">
        <v>7656</v>
      </c>
      <c r="J3577" t="s">
        <v>7657</v>
      </c>
      <c r="K3577" s="170">
        <v>45961</v>
      </c>
      <c r="L3577" s="1">
        <v>7306.2469135802476</v>
      </c>
      <c r="M3577" s="1">
        <v>45954</v>
      </c>
    </row>
    <row r="3578" spans="1:14" ht="14.4" hidden="1">
      <c r="A3578" t="s">
        <v>237</v>
      </c>
      <c r="B3578" s="1">
        <v>114</v>
      </c>
      <c r="C3578" s="258" t="s">
        <v>7723</v>
      </c>
      <c r="D3578" t="s">
        <v>1255</v>
      </c>
      <c r="E3578" t="s">
        <v>558</v>
      </c>
      <c r="F3578"/>
      <c r="G3578">
        <v>0.15</v>
      </c>
      <c r="H3578" s="1">
        <v>4285.5204023929282</v>
      </c>
      <c r="I3578"/>
      <c r="J3578" t="s">
        <v>7659</v>
      </c>
      <c r="K3578" s="170">
        <v>45961</v>
      </c>
      <c r="L3578" s="1">
        <v>10959.37037037037</v>
      </c>
      <c r="M3578" s="1">
        <v>45954</v>
      </c>
    </row>
    <row r="3579" spans="1:14" ht="14.4" hidden="1">
      <c r="A3579" t="s">
        <v>237</v>
      </c>
      <c r="B3579" s="1">
        <v>115</v>
      </c>
      <c r="C3579" s="258" t="s">
        <v>7724</v>
      </c>
      <c r="D3579" t="s">
        <v>1255</v>
      </c>
      <c r="E3579" t="s">
        <v>1175</v>
      </c>
      <c r="F3579"/>
      <c r="G3579">
        <v>0.2</v>
      </c>
      <c r="H3579" s="1">
        <v>5714.0272031905715</v>
      </c>
      <c r="I3579"/>
      <c r="J3579" t="s">
        <v>7661</v>
      </c>
      <c r="K3579" s="170">
        <v>46022</v>
      </c>
      <c r="L3579" s="1">
        <v>14612.493827160491</v>
      </c>
      <c r="M3579" s="1">
        <v>46003</v>
      </c>
    </row>
    <row r="3580" spans="1:14" ht="14.4" hidden="1">
      <c r="A3580" t="s">
        <v>237</v>
      </c>
      <c r="B3580" s="1">
        <v>116</v>
      </c>
      <c r="C3580" s="258" t="s">
        <v>7725</v>
      </c>
      <c r="D3580" t="s">
        <v>1255</v>
      </c>
      <c r="E3580" t="s">
        <v>1178</v>
      </c>
      <c r="F3580"/>
      <c r="G3580">
        <v>0.1</v>
      </c>
      <c r="H3580" s="1">
        <v>2857.0136015952858</v>
      </c>
      <c r="I3580"/>
      <c r="J3580" t="s">
        <v>7663</v>
      </c>
      <c r="K3580" s="170">
        <v>46022</v>
      </c>
      <c r="L3580" s="1">
        <v>7306.2469135802467</v>
      </c>
      <c r="M3580" s="1">
        <v>46003</v>
      </c>
    </row>
    <row r="3581" spans="1:14" ht="14.4" hidden="1">
      <c r="A3581" t="s">
        <v>237</v>
      </c>
      <c r="B3581" s="1">
        <v>117</v>
      </c>
      <c r="C3581" s="258" t="s">
        <v>7726</v>
      </c>
      <c r="D3581" t="s">
        <v>1255</v>
      </c>
      <c r="E3581" t="s">
        <v>1178</v>
      </c>
      <c r="F3581"/>
      <c r="G3581">
        <v>0.15</v>
      </c>
      <c r="H3581" s="1">
        <v>4285.5204023929282</v>
      </c>
      <c r="I3581"/>
      <c r="J3581" t="s">
        <v>7665</v>
      </c>
      <c r="K3581" s="170">
        <v>46022</v>
      </c>
      <c r="L3581" s="1">
        <v>10959.370370370369</v>
      </c>
      <c r="M3581" s="1">
        <v>46009</v>
      </c>
    </row>
    <row r="3582" spans="1:14" ht="14.4" hidden="1">
      <c r="A3582" t="s">
        <v>237</v>
      </c>
      <c r="B3582" s="1">
        <v>118</v>
      </c>
      <c r="C3582" s="258" t="s">
        <v>7727</v>
      </c>
      <c r="D3582" t="s">
        <v>1255</v>
      </c>
      <c r="E3582" t="s">
        <v>1181</v>
      </c>
      <c r="F3582"/>
      <c r="G3582">
        <v>0.1</v>
      </c>
      <c r="H3582" s="1">
        <v>2857.0136015952858</v>
      </c>
      <c r="I3582"/>
      <c r="J3582" t="s">
        <v>7667</v>
      </c>
      <c r="K3582" s="170">
        <v>46053</v>
      </c>
      <c r="L3582" s="1">
        <v>7306.2703919207379</v>
      </c>
      <c r="M3582" s="1">
        <v>46051</v>
      </c>
    </row>
    <row r="3583" spans="1:14" ht="14.4" hidden="1">
      <c r="A3583" t="s">
        <v>237</v>
      </c>
      <c r="B3583" s="1">
        <v>119</v>
      </c>
      <c r="C3583" s="258" t="s">
        <v>7728</v>
      </c>
      <c r="D3583" t="s">
        <v>1255</v>
      </c>
      <c r="E3583" t="s">
        <v>1184</v>
      </c>
      <c r="F3583"/>
      <c r="G3583">
        <v>0.1</v>
      </c>
      <c r="H3583" s="1">
        <v>2857.0136015952858</v>
      </c>
      <c r="I3583"/>
      <c r="J3583" t="s">
        <v>7669</v>
      </c>
      <c r="K3583" s="170">
        <v>46053</v>
      </c>
      <c r="L3583" s="1">
        <v>7306.2503919207375</v>
      </c>
      <c r="M3583" s="1">
        <v>46051</v>
      </c>
    </row>
    <row r="3584" spans="1:14" ht="14.4" hidden="1">
      <c r="A3584" t="s">
        <v>237</v>
      </c>
      <c r="B3584" s="1">
        <v>120</v>
      </c>
      <c r="C3584" s="258" t="s">
        <v>7729</v>
      </c>
      <c r="D3584" t="s">
        <v>1255</v>
      </c>
      <c r="E3584" t="s">
        <v>1187</v>
      </c>
      <c r="F3584"/>
      <c r="G3584">
        <v>0.05</v>
      </c>
      <c r="H3584" s="1">
        <v>1428.5</v>
      </c>
      <c r="I3584"/>
      <c r="J3584" t="s">
        <v>7671</v>
      </c>
      <c r="K3584" s="170">
        <v>46053</v>
      </c>
      <c r="L3584" s="1">
        <v>3653.107804257922</v>
      </c>
      <c r="M3584" s="1">
        <v>46051</v>
      </c>
    </row>
    <row r="3585" spans="1:14" ht="14.4" hidden="1">
      <c r="A3585" t="s">
        <v>237</v>
      </c>
      <c r="B3585" s="1">
        <v>121</v>
      </c>
      <c r="C3585" s="258" t="s">
        <v>7730</v>
      </c>
      <c r="D3585" t="s">
        <v>1255</v>
      </c>
      <c r="E3585" t="s">
        <v>1190</v>
      </c>
      <c r="F3585"/>
      <c r="G3585">
        <v>0.05</v>
      </c>
      <c r="H3585" s="1">
        <v>1428.5</v>
      </c>
      <c r="I3585"/>
      <c r="J3585" t="s">
        <v>7673</v>
      </c>
      <c r="K3585" s="170">
        <v>46053</v>
      </c>
      <c r="L3585" s="1">
        <v>3653.107804257922</v>
      </c>
      <c r="M3585" s="1">
        <v>46074</v>
      </c>
    </row>
    <row r="3586" spans="1:14" ht="14.4" hidden="1">
      <c r="A3586" t="s">
        <v>237</v>
      </c>
      <c r="B3586" s="1">
        <v>126</v>
      </c>
      <c r="C3586" s="258" t="s">
        <v>7731</v>
      </c>
      <c r="D3586" t="s">
        <v>1264</v>
      </c>
      <c r="E3586" t="s">
        <v>7732</v>
      </c>
      <c r="F3586"/>
      <c r="H3586" s="1">
        <v>20725</v>
      </c>
      <c r="I3586"/>
      <c r="J3586" t="s">
        <v>7733</v>
      </c>
      <c r="K3586" s="170">
        <v>46022</v>
      </c>
      <c r="L3586" s="1">
        <v>78841.596507639537</v>
      </c>
      <c r="M3586" s="1">
        <v>46053</v>
      </c>
      <c r="N3586" s="1">
        <v>26725</v>
      </c>
    </row>
    <row r="3587" spans="1:14" ht="14.4" hidden="1">
      <c r="A3587" t="s">
        <v>237</v>
      </c>
      <c r="B3587" s="1">
        <v>127</v>
      </c>
      <c r="C3587" s="258" t="s">
        <v>7734</v>
      </c>
      <c r="D3587" t="s">
        <v>1264</v>
      </c>
      <c r="E3587" t="s">
        <v>1268</v>
      </c>
      <c r="F3587"/>
      <c r="H3587" s="1">
        <v>0</v>
      </c>
      <c r="I3587"/>
      <c r="J3587"/>
      <c r="K3587" s="170"/>
      <c r="L3587" s="1">
        <v>0</v>
      </c>
    </row>
    <row r="3588" spans="1:14" ht="14.4" hidden="1">
      <c r="A3588" t="s">
        <v>237</v>
      </c>
      <c r="B3588" s="1">
        <v>128</v>
      </c>
      <c r="C3588" s="258" t="s">
        <v>7735</v>
      </c>
      <c r="D3588" t="s">
        <v>1264</v>
      </c>
      <c r="E3588" t="s">
        <v>1271</v>
      </c>
      <c r="F3588"/>
      <c r="H3588" s="1">
        <v>0</v>
      </c>
      <c r="I3588"/>
      <c r="J3588"/>
      <c r="K3588" s="170"/>
      <c r="L3588" s="1">
        <v>0</v>
      </c>
    </row>
    <row r="3589" spans="1:14" ht="14.4" hidden="1">
      <c r="A3589" t="s">
        <v>237</v>
      </c>
      <c r="B3589" s="1">
        <v>129</v>
      </c>
      <c r="C3589" s="258" t="s">
        <v>7736</v>
      </c>
      <c r="D3589" t="s">
        <v>1264</v>
      </c>
      <c r="E3589" t="s">
        <v>808</v>
      </c>
      <c r="F3589"/>
      <c r="H3589" s="1">
        <v>6000</v>
      </c>
      <c r="I3589"/>
      <c r="J3589" t="s">
        <v>1764</v>
      </c>
      <c r="K3589" s="170">
        <v>46053</v>
      </c>
      <c r="L3589" s="1">
        <v>22825.070159027127</v>
      </c>
      <c r="M3589" s="1">
        <v>46083</v>
      </c>
    </row>
    <row r="3590" spans="1:14" ht="14.4" hidden="1">
      <c r="A3590" t="s">
        <v>237</v>
      </c>
      <c r="B3590" s="1">
        <v>132</v>
      </c>
      <c r="C3590" s="258" t="s">
        <v>7737</v>
      </c>
      <c r="D3590" t="s">
        <v>1274</v>
      </c>
      <c r="E3590" t="s">
        <v>1275</v>
      </c>
      <c r="F3590"/>
      <c r="H3590" s="1">
        <v>0</v>
      </c>
      <c r="I3590"/>
      <c r="J3590"/>
      <c r="K3590" s="170"/>
      <c r="N3590" s="1">
        <v>0</v>
      </c>
    </row>
    <row r="3591" spans="1:14" ht="14.4" hidden="1">
      <c r="A3591" t="s">
        <v>237</v>
      </c>
      <c r="B3591" s="1">
        <v>135</v>
      </c>
      <c r="C3591" s="258" t="s">
        <v>7738</v>
      </c>
      <c r="D3591" t="s">
        <v>1277</v>
      </c>
      <c r="E3591" t="s">
        <v>1278</v>
      </c>
      <c r="F3591"/>
      <c r="H3591" s="1">
        <v>0</v>
      </c>
      <c r="I3591"/>
      <c r="J3591" t="s">
        <v>7739</v>
      </c>
      <c r="K3591" s="170">
        <v>46053</v>
      </c>
      <c r="L3591" s="1">
        <v>15923.525883838383</v>
      </c>
      <c r="M3591" s="1">
        <v>46083</v>
      </c>
      <c r="N3591" s="1">
        <v>0</v>
      </c>
    </row>
    <row r="3592" spans="1:14" ht="14.4" hidden="1">
      <c r="A3592" t="s">
        <v>237</v>
      </c>
      <c r="B3592" s="1">
        <v>142</v>
      </c>
      <c r="C3592" s="258" t="s">
        <v>7740</v>
      </c>
      <c r="D3592" t="s">
        <v>1280</v>
      </c>
      <c r="E3592" t="s">
        <v>1281</v>
      </c>
      <c r="F3592"/>
      <c r="H3592" s="1">
        <v>23.8</v>
      </c>
      <c r="I3592"/>
      <c r="J3592" t="s">
        <v>1604</v>
      </c>
      <c r="K3592" s="170">
        <v>45961</v>
      </c>
      <c r="L3592" s="1">
        <v>52.57799293069003</v>
      </c>
      <c r="M3592" s="1">
        <v>45967</v>
      </c>
      <c r="N3592" s="1">
        <v>702.2</v>
      </c>
    </row>
    <row r="3593" spans="1:14" ht="14.4" hidden="1">
      <c r="A3593" t="s">
        <v>237</v>
      </c>
      <c r="B3593" s="1">
        <v>143</v>
      </c>
      <c r="C3593" s="258" t="s">
        <v>7741</v>
      </c>
      <c r="D3593" t="s">
        <v>1280</v>
      </c>
      <c r="E3593" t="s">
        <v>1281</v>
      </c>
      <c r="F3593"/>
      <c r="H3593" s="1">
        <v>142.80000000000001</v>
      </c>
      <c r="I3593"/>
      <c r="J3593" t="s">
        <v>1604</v>
      </c>
      <c r="K3593" s="170">
        <v>45991</v>
      </c>
      <c r="L3593" s="1">
        <v>1573.153162411812</v>
      </c>
      <c r="M3593" s="1">
        <v>45996</v>
      </c>
    </row>
    <row r="3594" spans="1:14" ht="14.4" hidden="1">
      <c r="A3594" t="s">
        <v>237</v>
      </c>
      <c r="B3594" s="1">
        <v>144</v>
      </c>
      <c r="C3594" s="258" t="s">
        <v>7742</v>
      </c>
      <c r="D3594" t="s">
        <v>1280</v>
      </c>
      <c r="E3594" t="s">
        <v>1281</v>
      </c>
      <c r="F3594"/>
      <c r="H3594" s="1">
        <v>85.68</v>
      </c>
      <c r="I3594"/>
      <c r="J3594" t="s">
        <v>1604</v>
      </c>
      <c r="K3594" s="170">
        <v>46022</v>
      </c>
      <c r="L3594" s="1">
        <v>1018.7164353698092</v>
      </c>
      <c r="M3594" s="1">
        <v>46030</v>
      </c>
    </row>
    <row r="3595" spans="1:14" ht="14.4" hidden="1">
      <c r="A3595" t="s">
        <v>237</v>
      </c>
      <c r="B3595" s="1">
        <v>145</v>
      </c>
      <c r="C3595" s="258" t="s">
        <v>7743</v>
      </c>
      <c r="D3595" t="s">
        <v>1280</v>
      </c>
      <c r="E3595" t="s">
        <v>1281</v>
      </c>
      <c r="F3595"/>
      <c r="H3595" s="1">
        <v>199.92</v>
      </c>
      <c r="I3595"/>
      <c r="J3595" t="s">
        <v>1604</v>
      </c>
      <c r="K3595" s="170">
        <v>46053</v>
      </c>
      <c r="L3595" s="1">
        <v>2546.5299534795404</v>
      </c>
      <c r="M3595" s="1">
        <v>46058</v>
      </c>
    </row>
    <row r="3596" spans="1:14" ht="14.4" hidden="1">
      <c r="A3596" t="s">
        <v>237</v>
      </c>
      <c r="B3596" s="1">
        <v>146</v>
      </c>
      <c r="C3596" s="258" t="s">
        <v>7744</v>
      </c>
      <c r="D3596" t="s">
        <v>1280</v>
      </c>
      <c r="E3596" t="s">
        <v>1281</v>
      </c>
      <c r="F3596"/>
      <c r="H3596" s="1">
        <v>250</v>
      </c>
      <c r="I3596"/>
      <c r="J3596"/>
      <c r="K3596" s="170">
        <v>46081</v>
      </c>
      <c r="L3596" s="1">
        <v>3753.4662163359599</v>
      </c>
      <c r="M3596" s="1">
        <v>46087</v>
      </c>
    </row>
    <row r="3597" spans="1:14" ht="14.4" hidden="1">
      <c r="A3597" t="s">
        <v>237</v>
      </c>
      <c r="B3597" s="1">
        <v>156</v>
      </c>
      <c r="C3597" s="258" t="s">
        <v>7745</v>
      </c>
      <c r="D3597" t="s">
        <v>1451</v>
      </c>
      <c r="E3597" t="s">
        <v>7746</v>
      </c>
      <c r="F3597"/>
      <c r="H3597" s="1">
        <v>0</v>
      </c>
      <c r="I3597" t="s">
        <v>7747</v>
      </c>
      <c r="J3597"/>
      <c r="K3597" s="170">
        <v>46081</v>
      </c>
      <c r="M3597" s="1">
        <v>46111</v>
      </c>
    </row>
    <row r="3598" spans="1:14" ht="14.4" hidden="1">
      <c r="A3598" t="s">
        <v>535</v>
      </c>
      <c r="B3598" s="1">
        <v>6</v>
      </c>
      <c r="C3598" s="258" t="s">
        <v>7748</v>
      </c>
      <c r="D3598" t="s">
        <v>1146</v>
      </c>
      <c r="E3598" t="s">
        <v>7749</v>
      </c>
      <c r="F3598">
        <v>221</v>
      </c>
      <c r="G3598">
        <v>1180</v>
      </c>
      <c r="H3598" s="1">
        <v>260780</v>
      </c>
      <c r="I3598"/>
      <c r="J3598"/>
      <c r="K3598" s="170">
        <v>46081</v>
      </c>
      <c r="L3598" s="1">
        <v>452188.45121951227</v>
      </c>
      <c r="M3598" s="1">
        <v>46136</v>
      </c>
      <c r="N3598" s="1">
        <v>260780</v>
      </c>
    </row>
    <row r="3599" spans="1:14" ht="14.4" hidden="1">
      <c r="A3599" t="s">
        <v>535</v>
      </c>
      <c r="B3599" s="1">
        <v>14</v>
      </c>
      <c r="C3599" s="258" t="s">
        <v>7750</v>
      </c>
      <c r="D3599" t="s">
        <v>1157</v>
      </c>
      <c r="E3599" t="s">
        <v>7751</v>
      </c>
      <c r="F3599">
        <v>1</v>
      </c>
      <c r="G3599">
        <v>69000</v>
      </c>
      <c r="H3599" s="1">
        <v>69000</v>
      </c>
      <c r="I3599"/>
      <c r="J3599"/>
      <c r="K3599" s="170">
        <v>46081</v>
      </c>
      <c r="L3599" s="1">
        <v>115853.65853658535</v>
      </c>
      <c r="M3599" s="1">
        <v>46136</v>
      </c>
    </row>
    <row r="3600" spans="1:14" ht="14.4" hidden="1">
      <c r="A3600" t="s">
        <v>535</v>
      </c>
      <c r="B3600" s="1">
        <v>21</v>
      </c>
      <c r="C3600" s="258" t="s">
        <v>7752</v>
      </c>
      <c r="D3600" t="s">
        <v>1160</v>
      </c>
      <c r="E3600" t="s">
        <v>1161</v>
      </c>
      <c r="F3600"/>
      <c r="H3600" s="1">
        <v>29315.1</v>
      </c>
      <c r="I3600"/>
      <c r="J3600"/>
      <c r="K3600" s="170">
        <v>46081</v>
      </c>
      <c r="L3600" s="1">
        <v>71319.512195121963</v>
      </c>
      <c r="M3600" s="1">
        <v>46111</v>
      </c>
      <c r="N3600" s="1">
        <v>29315.1</v>
      </c>
    </row>
    <row r="3601" spans="1:14" ht="14.4" hidden="1">
      <c r="A3601" t="s">
        <v>535</v>
      </c>
      <c r="B3601" s="1">
        <v>31</v>
      </c>
      <c r="C3601" s="258" t="s">
        <v>7753</v>
      </c>
      <c r="D3601" t="s">
        <v>1165</v>
      </c>
      <c r="E3601" t="s">
        <v>1953</v>
      </c>
      <c r="F3601">
        <v>2000</v>
      </c>
      <c r="G3601">
        <v>14</v>
      </c>
      <c r="H3601" s="1">
        <v>28000</v>
      </c>
      <c r="I3601"/>
      <c r="J3601"/>
      <c r="K3601" s="170">
        <v>46081</v>
      </c>
      <c r="L3601" s="1">
        <v>24553.020785564771</v>
      </c>
      <c r="M3601" s="1">
        <v>46136</v>
      </c>
      <c r="N3601" s="1">
        <v>96536.45</v>
      </c>
    </row>
    <row r="3602" spans="1:14" ht="14.4" hidden="1">
      <c r="A3602" t="s">
        <v>535</v>
      </c>
      <c r="B3602" s="1">
        <v>35</v>
      </c>
      <c r="C3602" s="258" t="s">
        <v>7754</v>
      </c>
      <c r="D3602" t="s">
        <v>1165</v>
      </c>
      <c r="E3602" t="s">
        <v>1169</v>
      </c>
      <c r="F3602">
        <v>68536.45</v>
      </c>
      <c r="G3602">
        <v>0.1</v>
      </c>
      <c r="H3602" s="1">
        <v>6853.6450000000004</v>
      </c>
      <c r="I3602"/>
      <c r="J3602"/>
      <c r="K3602" s="170">
        <v>46081</v>
      </c>
      <c r="L3602" s="1">
        <v>6009.9174336386459</v>
      </c>
      <c r="M3602" s="1">
        <v>46076</v>
      </c>
    </row>
    <row r="3603" spans="1:14" ht="14.4" hidden="1">
      <c r="A3603" t="s">
        <v>535</v>
      </c>
      <c r="B3603" s="1">
        <v>36</v>
      </c>
      <c r="C3603" s="258" t="s">
        <v>7755</v>
      </c>
      <c r="D3603" t="s">
        <v>1165</v>
      </c>
      <c r="E3603" t="s">
        <v>558</v>
      </c>
      <c r="F3603"/>
      <c r="G3603">
        <v>0.15</v>
      </c>
      <c r="H3603" s="1">
        <v>10280.467500000001</v>
      </c>
      <c r="I3603"/>
      <c r="J3603"/>
      <c r="K3603" s="170">
        <v>46081</v>
      </c>
      <c r="L3603" s="1">
        <v>9014.8761504579688</v>
      </c>
      <c r="M3603" s="1">
        <v>46076</v>
      </c>
    </row>
    <row r="3604" spans="1:14" ht="14.4" hidden="1">
      <c r="A3604" t="s">
        <v>535</v>
      </c>
      <c r="B3604" s="1">
        <v>37</v>
      </c>
      <c r="C3604" s="258" t="s">
        <v>7756</v>
      </c>
      <c r="D3604" t="s">
        <v>1165</v>
      </c>
      <c r="E3604" t="s">
        <v>1175</v>
      </c>
      <c r="F3604"/>
      <c r="G3604">
        <v>0.2</v>
      </c>
      <c r="H3604" s="1">
        <v>13707.29</v>
      </c>
      <c r="I3604"/>
      <c r="J3604"/>
      <c r="K3604" s="170">
        <v>46112</v>
      </c>
      <c r="L3604" s="1">
        <v>12019.834867277292</v>
      </c>
      <c r="M3604" s="1">
        <v>46091</v>
      </c>
    </row>
    <row r="3605" spans="1:14" ht="14.4" hidden="1">
      <c r="A3605" t="s">
        <v>535</v>
      </c>
      <c r="B3605" s="1">
        <v>38</v>
      </c>
      <c r="C3605" s="258" t="s">
        <v>7757</v>
      </c>
      <c r="D3605" t="s">
        <v>1165</v>
      </c>
      <c r="E3605" t="s">
        <v>1178</v>
      </c>
      <c r="F3605"/>
      <c r="G3605">
        <v>0.25</v>
      </c>
      <c r="H3605" s="1">
        <v>17134.112499999999</v>
      </c>
      <c r="I3605"/>
      <c r="J3605"/>
      <c r="K3605" s="170">
        <v>46112</v>
      </c>
      <c r="L3605" s="1">
        <v>15024.793584096613</v>
      </c>
      <c r="M3605" s="1">
        <v>46107</v>
      </c>
    </row>
    <row r="3606" spans="1:14" ht="14.4" hidden="1">
      <c r="A3606" t="s">
        <v>535</v>
      </c>
      <c r="B3606" s="1">
        <v>39</v>
      </c>
      <c r="C3606" s="258" t="s">
        <v>7758</v>
      </c>
      <c r="D3606" t="s">
        <v>1165</v>
      </c>
      <c r="E3606" t="s">
        <v>1181</v>
      </c>
      <c r="F3606"/>
      <c r="G3606">
        <v>0.1</v>
      </c>
      <c r="H3606" s="1">
        <v>6853.6450000000004</v>
      </c>
      <c r="I3606"/>
      <c r="J3606"/>
      <c r="K3606" s="170">
        <v>46142</v>
      </c>
      <c r="L3606" s="1">
        <v>6009.9174336386459</v>
      </c>
      <c r="M3606" s="1">
        <v>46118</v>
      </c>
    </row>
    <row r="3607" spans="1:14" ht="14.4" hidden="1">
      <c r="A3607" t="s">
        <v>535</v>
      </c>
      <c r="B3607" s="1">
        <v>40</v>
      </c>
      <c r="C3607" s="258" t="s">
        <v>7759</v>
      </c>
      <c r="D3607" t="s">
        <v>1165</v>
      </c>
      <c r="E3607" t="s">
        <v>1184</v>
      </c>
      <c r="F3607"/>
      <c r="G3607">
        <v>0.1</v>
      </c>
      <c r="H3607" s="1">
        <v>6853.6450000000004</v>
      </c>
      <c r="I3607"/>
      <c r="J3607"/>
      <c r="K3607" s="170">
        <v>46142</v>
      </c>
      <c r="L3607" s="1">
        <v>6009.9174336386459</v>
      </c>
      <c r="M3607" s="1">
        <v>46119</v>
      </c>
    </row>
    <row r="3608" spans="1:14" ht="14.4" hidden="1">
      <c r="A3608" t="s">
        <v>535</v>
      </c>
      <c r="B3608" s="1">
        <v>41</v>
      </c>
      <c r="C3608" s="258" t="s">
        <v>7760</v>
      </c>
      <c r="D3608" t="s">
        <v>1165</v>
      </c>
      <c r="E3608" t="s">
        <v>1187</v>
      </c>
      <c r="F3608"/>
      <c r="G3608">
        <v>0.05</v>
      </c>
      <c r="H3608" s="1">
        <v>3426.8225000000002</v>
      </c>
      <c r="I3608"/>
      <c r="J3608"/>
      <c r="K3608" s="170">
        <v>46142</v>
      </c>
      <c r="L3608" s="1">
        <v>3004.9587168193229</v>
      </c>
      <c r="M3608" s="1">
        <v>46119</v>
      </c>
    </row>
    <row r="3609" spans="1:14" ht="14.4" hidden="1">
      <c r="A3609" t="s">
        <v>535</v>
      </c>
      <c r="B3609" s="1">
        <v>42</v>
      </c>
      <c r="C3609" s="258" t="s">
        <v>7761</v>
      </c>
      <c r="D3609" t="s">
        <v>1165</v>
      </c>
      <c r="E3609" t="s">
        <v>1190</v>
      </c>
      <c r="F3609"/>
      <c r="G3609">
        <v>0.05</v>
      </c>
      <c r="H3609" s="1">
        <v>3426.8225000000002</v>
      </c>
      <c r="I3609"/>
      <c r="J3609"/>
      <c r="K3609" s="170">
        <v>46142</v>
      </c>
      <c r="L3609" s="1">
        <v>3004.9587168193229</v>
      </c>
      <c r="M3609" s="1">
        <v>46142</v>
      </c>
    </row>
    <row r="3610" spans="1:14" ht="14.4" hidden="1">
      <c r="A3610" t="s">
        <v>535</v>
      </c>
      <c r="B3610" s="1">
        <v>47</v>
      </c>
      <c r="C3610" s="258" t="s">
        <v>7762</v>
      </c>
      <c r="D3610" t="s">
        <v>1193</v>
      </c>
      <c r="E3610" t="s">
        <v>7763</v>
      </c>
      <c r="F3610"/>
      <c r="H3610" s="1">
        <v>8598.34</v>
      </c>
      <c r="I3610"/>
      <c r="J3610"/>
      <c r="K3610" s="170">
        <v>46081</v>
      </c>
      <c r="L3610" s="1">
        <v>10887.636484549719</v>
      </c>
      <c r="M3610" s="1">
        <v>46136</v>
      </c>
      <c r="N3610" s="1">
        <v>47191.439999999995</v>
      </c>
    </row>
    <row r="3611" spans="1:14" ht="14.4" hidden="1">
      <c r="A3611" t="s">
        <v>535</v>
      </c>
      <c r="B3611" s="1">
        <v>48</v>
      </c>
      <c r="C3611" s="258" t="s">
        <v>7764</v>
      </c>
      <c r="D3611" t="s">
        <v>1193</v>
      </c>
      <c r="E3611" t="s">
        <v>1982</v>
      </c>
      <c r="F3611"/>
      <c r="H3611" s="1">
        <v>14934</v>
      </c>
      <c r="I3611"/>
      <c r="J3611"/>
      <c r="K3611" s="170">
        <v>46081</v>
      </c>
      <c r="L3611" s="1">
        <v>18910.157456004941</v>
      </c>
      <c r="M3611" s="1">
        <v>46111</v>
      </c>
    </row>
    <row r="3612" spans="1:14" ht="14.4" hidden="1">
      <c r="A3612" t="s">
        <v>535</v>
      </c>
      <c r="B3612" s="1">
        <v>49</v>
      </c>
      <c r="C3612" s="258" t="s">
        <v>7765</v>
      </c>
      <c r="D3612" t="s">
        <v>1193</v>
      </c>
      <c r="E3612" t="s">
        <v>1306</v>
      </c>
      <c r="F3612"/>
      <c r="H3612" s="1">
        <v>15000</v>
      </c>
      <c r="I3612"/>
      <c r="J3612"/>
      <c r="K3612" s="170">
        <v>46081</v>
      </c>
      <c r="L3612" s="1">
        <v>18993.729867421596</v>
      </c>
      <c r="M3612" s="1">
        <v>46111</v>
      </c>
    </row>
    <row r="3613" spans="1:14" ht="14.4" hidden="1">
      <c r="A3613" t="s">
        <v>535</v>
      </c>
      <c r="B3613" s="1">
        <v>50</v>
      </c>
      <c r="C3613" s="258" t="s">
        <v>7766</v>
      </c>
      <c r="D3613" t="s">
        <v>1193</v>
      </c>
      <c r="E3613" t="s">
        <v>7767</v>
      </c>
      <c r="F3613"/>
      <c r="H3613" s="1">
        <v>3600</v>
      </c>
      <c r="I3613" t="s">
        <v>7768</v>
      </c>
      <c r="J3613" t="s">
        <v>7769</v>
      </c>
      <c r="K3613" s="170">
        <v>46053</v>
      </c>
      <c r="L3613" s="1">
        <v>4558.4951681811826</v>
      </c>
      <c r="M3613" s="1">
        <v>45911</v>
      </c>
    </row>
    <row r="3614" spans="1:14" ht="14.4" hidden="1">
      <c r="A3614" t="s">
        <v>535</v>
      </c>
      <c r="B3614" s="1">
        <v>51</v>
      </c>
      <c r="C3614" s="258" t="s">
        <v>7770</v>
      </c>
      <c r="D3614" t="s">
        <v>1193</v>
      </c>
      <c r="E3614" t="s">
        <v>7771</v>
      </c>
      <c r="F3614"/>
      <c r="H3614" s="1">
        <v>2870</v>
      </c>
      <c r="I3614"/>
      <c r="J3614" t="s">
        <v>7772</v>
      </c>
      <c r="K3614" s="170">
        <v>46053</v>
      </c>
      <c r="L3614" s="1">
        <v>3634.1336479666656</v>
      </c>
      <c r="M3614" s="1">
        <v>46029</v>
      </c>
    </row>
    <row r="3615" spans="1:14" ht="14.4" hidden="1">
      <c r="A3615" t="s">
        <v>535</v>
      </c>
      <c r="B3615" s="1">
        <v>52</v>
      </c>
      <c r="C3615" s="258" t="s">
        <v>7773</v>
      </c>
      <c r="D3615" t="s">
        <v>1193</v>
      </c>
      <c r="E3615" t="s">
        <v>1206</v>
      </c>
      <c r="F3615"/>
      <c r="H3615" s="1">
        <v>975</v>
      </c>
      <c r="I3615"/>
      <c r="J3615" t="s">
        <v>7774</v>
      </c>
      <c r="K3615" s="170">
        <v>46053</v>
      </c>
      <c r="L3615" s="1">
        <v>1234.5924413824036</v>
      </c>
      <c r="M3615" s="1">
        <v>45899</v>
      </c>
    </row>
    <row r="3616" spans="1:14" ht="14.4" hidden="1">
      <c r="A3616" t="s">
        <v>535</v>
      </c>
      <c r="B3616" s="1">
        <v>53</v>
      </c>
      <c r="C3616" s="258" t="s">
        <v>7775</v>
      </c>
      <c r="D3616" t="s">
        <v>1193</v>
      </c>
      <c r="E3616" t="s">
        <v>1209</v>
      </c>
      <c r="F3616"/>
      <c r="H3616" s="1">
        <v>1214.0999999999999</v>
      </c>
      <c r="I3616"/>
      <c r="J3616" t="s">
        <v>7776</v>
      </c>
      <c r="K3616" s="170">
        <v>46053</v>
      </c>
      <c r="L3616" s="1">
        <v>1537.3524954691038</v>
      </c>
      <c r="M3616" s="1">
        <v>45910</v>
      </c>
    </row>
    <row r="3617" spans="1:13" ht="14.4" hidden="1">
      <c r="A3617" t="s">
        <v>535</v>
      </c>
      <c r="B3617" s="1">
        <v>57</v>
      </c>
      <c r="C3617" s="258" t="s">
        <v>7777</v>
      </c>
      <c r="D3617" t="s">
        <v>1211</v>
      </c>
      <c r="E3617" t="s">
        <v>1304</v>
      </c>
      <c r="F3617"/>
      <c r="H3617" s="1">
        <v>24740.639999999999</v>
      </c>
      <c r="I3617"/>
      <c r="J3617"/>
      <c r="K3617" s="170">
        <v>46081</v>
      </c>
      <c r="L3617" s="1">
        <v>102702.44735535582</v>
      </c>
      <c r="M3617" s="1">
        <v>46111</v>
      </c>
    </row>
    <row r="3618" spans="1:13" ht="14.4" hidden="1">
      <c r="A3618" t="s">
        <v>535</v>
      </c>
      <c r="B3618" s="1">
        <v>62</v>
      </c>
      <c r="C3618" s="258" t="s">
        <v>7778</v>
      </c>
      <c r="D3618" t="s">
        <v>1211</v>
      </c>
      <c r="E3618" t="s">
        <v>1169</v>
      </c>
      <c r="F3618">
        <v>33557.29</v>
      </c>
      <c r="G3618">
        <v>0.1</v>
      </c>
      <c r="H3618" s="1">
        <v>3355.7290000000003</v>
      </c>
      <c r="I3618"/>
      <c r="J3618"/>
      <c r="K3618" s="170">
        <v>46081</v>
      </c>
      <c r="L3618" s="1">
        <v>13930.180503064628</v>
      </c>
      <c r="M3618" s="1">
        <v>46076</v>
      </c>
    </row>
    <row r="3619" spans="1:13" ht="14.4" hidden="1">
      <c r="A3619" t="s">
        <v>535</v>
      </c>
      <c r="B3619" s="1">
        <v>63</v>
      </c>
      <c r="C3619" s="258" t="s">
        <v>7779</v>
      </c>
      <c r="D3619" t="s">
        <v>1211</v>
      </c>
      <c r="E3619" t="s">
        <v>558</v>
      </c>
      <c r="F3619"/>
      <c r="G3619">
        <v>0.15</v>
      </c>
      <c r="H3619" s="1">
        <v>5033.5934999999999</v>
      </c>
      <c r="I3619"/>
      <c r="J3619"/>
      <c r="K3619" s="170">
        <v>46081</v>
      </c>
      <c r="L3619" s="1">
        <v>20895.270754596942</v>
      </c>
      <c r="M3619" s="1">
        <v>46076</v>
      </c>
    </row>
    <row r="3620" spans="1:13" ht="14.4" hidden="1">
      <c r="A3620" t="s">
        <v>535</v>
      </c>
      <c r="B3620" s="1">
        <v>64</v>
      </c>
      <c r="C3620" s="258" t="s">
        <v>7780</v>
      </c>
      <c r="D3620" t="s">
        <v>1211</v>
      </c>
      <c r="E3620" t="s">
        <v>1175</v>
      </c>
      <c r="F3620"/>
      <c r="G3620">
        <v>0.2</v>
      </c>
      <c r="H3620" s="1">
        <v>6711.4580000000005</v>
      </c>
      <c r="I3620"/>
      <c r="J3620"/>
      <c r="K3620" s="170">
        <v>46112</v>
      </c>
      <c r="L3620" s="1">
        <v>27860.361006129257</v>
      </c>
      <c r="M3620" s="1">
        <v>46091</v>
      </c>
    </row>
    <row r="3621" spans="1:13" ht="14.4" hidden="1">
      <c r="A3621" t="s">
        <v>535</v>
      </c>
      <c r="B3621" s="1">
        <v>65</v>
      </c>
      <c r="C3621" s="258" t="s">
        <v>7781</v>
      </c>
      <c r="D3621" t="s">
        <v>1211</v>
      </c>
      <c r="E3621" t="s">
        <v>1178</v>
      </c>
      <c r="F3621"/>
      <c r="G3621">
        <v>0.25</v>
      </c>
      <c r="H3621" s="1">
        <v>8389.3225000000002</v>
      </c>
      <c r="I3621"/>
      <c r="J3621"/>
      <c r="K3621" s="170">
        <v>46112</v>
      </c>
      <c r="L3621" s="1">
        <v>34825.451257661567</v>
      </c>
      <c r="M3621" s="1">
        <v>46107</v>
      </c>
    </row>
    <row r="3622" spans="1:13" ht="14.4" hidden="1">
      <c r="A3622" t="s">
        <v>535</v>
      </c>
      <c r="B3622" s="1">
        <v>66</v>
      </c>
      <c r="C3622" s="258" t="s">
        <v>7782</v>
      </c>
      <c r="D3622" t="s">
        <v>1211</v>
      </c>
      <c r="E3622" t="s">
        <v>1181</v>
      </c>
      <c r="F3622"/>
      <c r="G3622">
        <v>0.1</v>
      </c>
      <c r="H3622" s="1">
        <v>3355.7290000000003</v>
      </c>
      <c r="I3622"/>
      <c r="J3622"/>
      <c r="K3622" s="170">
        <v>46142</v>
      </c>
      <c r="L3622" s="1">
        <v>13930.180503064628</v>
      </c>
      <c r="M3622" s="1">
        <v>46118</v>
      </c>
    </row>
    <row r="3623" spans="1:13" ht="14.4" hidden="1">
      <c r="A3623" t="s">
        <v>535</v>
      </c>
      <c r="B3623" s="1">
        <v>67</v>
      </c>
      <c r="C3623" s="258" t="s">
        <v>7783</v>
      </c>
      <c r="D3623" t="s">
        <v>1211</v>
      </c>
      <c r="E3623" t="s">
        <v>1184</v>
      </c>
      <c r="F3623"/>
      <c r="G3623">
        <v>0.1</v>
      </c>
      <c r="H3623" s="1">
        <v>3355.7290000000003</v>
      </c>
      <c r="I3623"/>
      <c r="J3623"/>
      <c r="K3623" s="170">
        <v>46142</v>
      </c>
      <c r="L3623" s="1">
        <v>13930.180503064628</v>
      </c>
      <c r="M3623" s="1">
        <v>46119</v>
      </c>
    </row>
    <row r="3624" spans="1:13" ht="14.4" hidden="1">
      <c r="A3624" t="s">
        <v>535</v>
      </c>
      <c r="B3624" s="1">
        <v>68</v>
      </c>
      <c r="C3624" s="258" t="s">
        <v>7784</v>
      </c>
      <c r="D3624" t="s">
        <v>1211</v>
      </c>
      <c r="E3624" t="s">
        <v>1187</v>
      </c>
      <c r="F3624"/>
      <c r="G3624">
        <v>0.05</v>
      </c>
      <c r="H3624" s="1">
        <v>1677.8644999999999</v>
      </c>
      <c r="I3624"/>
      <c r="J3624"/>
      <c r="K3624" s="170">
        <v>46142</v>
      </c>
      <c r="L3624" s="1">
        <v>6965.0902515323141</v>
      </c>
      <c r="M3624" s="1">
        <v>46119</v>
      </c>
    </row>
    <row r="3625" spans="1:13" ht="14.4" hidden="1">
      <c r="A3625" t="s">
        <v>535</v>
      </c>
      <c r="B3625" s="1">
        <v>69</v>
      </c>
      <c r="C3625" s="258" t="s">
        <v>7785</v>
      </c>
      <c r="D3625" t="s">
        <v>1211</v>
      </c>
      <c r="E3625" t="s">
        <v>1190</v>
      </c>
      <c r="F3625"/>
      <c r="G3625">
        <v>0.05</v>
      </c>
      <c r="H3625" s="1">
        <v>1677.8644999999999</v>
      </c>
      <c r="I3625"/>
      <c r="J3625"/>
      <c r="K3625" s="170">
        <v>46142</v>
      </c>
      <c r="L3625" s="1">
        <v>6965.0902515323141</v>
      </c>
      <c r="M3625" s="1">
        <v>46142</v>
      </c>
    </row>
    <row r="3626" spans="1:13" ht="14.4" hidden="1">
      <c r="A3626" t="s">
        <v>535</v>
      </c>
      <c r="B3626" s="1">
        <v>94</v>
      </c>
      <c r="C3626" s="258" t="s">
        <v>7786</v>
      </c>
      <c r="D3626" t="s">
        <v>1246</v>
      </c>
      <c r="E3626" t="s">
        <v>1169</v>
      </c>
      <c r="F3626">
        <v>119228.19</v>
      </c>
      <c r="G3626">
        <v>0.1</v>
      </c>
      <c r="H3626" s="1">
        <v>11922.819</v>
      </c>
      <c r="I3626"/>
      <c r="J3626"/>
      <c r="K3626" s="170">
        <v>46081</v>
      </c>
      <c r="L3626" s="1">
        <v>12741.176470588236</v>
      </c>
      <c r="M3626" s="1">
        <v>46076</v>
      </c>
    </row>
    <row r="3627" spans="1:13" ht="14.4" hidden="1">
      <c r="A3627" t="s">
        <v>535</v>
      </c>
      <c r="B3627" s="1">
        <v>95</v>
      </c>
      <c r="C3627" s="258" t="s">
        <v>7787</v>
      </c>
      <c r="D3627" t="s">
        <v>1246</v>
      </c>
      <c r="E3627" t="s">
        <v>558</v>
      </c>
      <c r="F3627"/>
      <c r="G3627">
        <v>0.15</v>
      </c>
      <c r="H3627" s="1">
        <v>17884.228500000001</v>
      </c>
      <c r="I3627"/>
      <c r="J3627"/>
      <c r="K3627" s="170">
        <v>46081</v>
      </c>
      <c r="L3627" s="1">
        <v>19111.764705882353</v>
      </c>
      <c r="M3627" s="1">
        <v>46076</v>
      </c>
    </row>
    <row r="3628" spans="1:13" ht="14.4" hidden="1">
      <c r="A3628" t="s">
        <v>535</v>
      </c>
      <c r="B3628" s="1">
        <v>96</v>
      </c>
      <c r="C3628" s="258" t="s">
        <v>7788</v>
      </c>
      <c r="D3628" t="s">
        <v>1246</v>
      </c>
      <c r="E3628" t="s">
        <v>1175</v>
      </c>
      <c r="F3628"/>
      <c r="G3628">
        <v>0.2</v>
      </c>
      <c r="H3628" s="1">
        <v>23845.638000000003</v>
      </c>
      <c r="I3628"/>
      <c r="J3628"/>
      <c r="K3628" s="170">
        <v>46112</v>
      </c>
      <c r="L3628" s="1">
        <v>25482.352941176472</v>
      </c>
      <c r="M3628" s="1">
        <v>46091</v>
      </c>
    </row>
    <row r="3629" spans="1:13" ht="14.4" hidden="1">
      <c r="A3629" t="s">
        <v>535</v>
      </c>
      <c r="B3629" s="1">
        <v>97</v>
      </c>
      <c r="C3629" s="258" t="s">
        <v>7789</v>
      </c>
      <c r="D3629" t="s">
        <v>1246</v>
      </c>
      <c r="E3629" t="s">
        <v>1178</v>
      </c>
      <c r="F3629"/>
      <c r="G3629">
        <v>0.25</v>
      </c>
      <c r="H3629" s="1">
        <v>29807.047500000001</v>
      </c>
      <c r="I3629"/>
      <c r="J3629"/>
      <c r="K3629" s="170">
        <v>46112</v>
      </c>
      <c r="L3629" s="1">
        <v>31852.941176470587</v>
      </c>
      <c r="M3629" s="1">
        <v>46107</v>
      </c>
    </row>
    <row r="3630" spans="1:13" ht="14.4" hidden="1">
      <c r="A3630" t="s">
        <v>535</v>
      </c>
      <c r="B3630" s="1">
        <v>98</v>
      </c>
      <c r="C3630" s="258" t="s">
        <v>7790</v>
      </c>
      <c r="D3630" t="s">
        <v>1246</v>
      </c>
      <c r="E3630" t="s">
        <v>1181</v>
      </c>
      <c r="F3630"/>
      <c r="G3630">
        <v>0.1</v>
      </c>
      <c r="H3630" s="1">
        <v>11922.819</v>
      </c>
      <c r="I3630"/>
      <c r="J3630"/>
      <c r="K3630" s="170">
        <v>46142</v>
      </c>
      <c r="L3630" s="1">
        <v>12741.176470588236</v>
      </c>
      <c r="M3630" s="1">
        <v>46118</v>
      </c>
    </row>
    <row r="3631" spans="1:13" ht="14.4" hidden="1">
      <c r="A3631" t="s">
        <v>535</v>
      </c>
      <c r="B3631" s="1">
        <v>99</v>
      </c>
      <c r="C3631" s="258" t="s">
        <v>7791</v>
      </c>
      <c r="D3631" t="s">
        <v>1246</v>
      </c>
      <c r="E3631" t="s">
        <v>1184</v>
      </c>
      <c r="F3631"/>
      <c r="G3631">
        <v>0.1</v>
      </c>
      <c r="H3631" s="1">
        <v>11922.819</v>
      </c>
      <c r="I3631"/>
      <c r="J3631"/>
      <c r="K3631" s="170">
        <v>46142</v>
      </c>
      <c r="L3631" s="1">
        <v>12741.176470588236</v>
      </c>
      <c r="M3631" s="1">
        <v>46119</v>
      </c>
    </row>
    <row r="3632" spans="1:13" ht="14.4" hidden="1">
      <c r="A3632" t="s">
        <v>535</v>
      </c>
      <c r="B3632" s="1">
        <v>100</v>
      </c>
      <c r="C3632" s="258" t="s">
        <v>7792</v>
      </c>
      <c r="D3632" t="s">
        <v>1246</v>
      </c>
      <c r="E3632" t="s">
        <v>1187</v>
      </c>
      <c r="F3632"/>
      <c r="G3632">
        <v>0.05</v>
      </c>
      <c r="H3632" s="1">
        <v>5961.4095000000007</v>
      </c>
      <c r="I3632"/>
      <c r="J3632"/>
      <c r="K3632" s="170">
        <v>46142</v>
      </c>
      <c r="L3632" s="1">
        <v>6370.588235294118</v>
      </c>
      <c r="M3632" s="1">
        <v>46119</v>
      </c>
    </row>
    <row r="3633" spans="1:14" ht="14.4" hidden="1">
      <c r="A3633" t="s">
        <v>535</v>
      </c>
      <c r="B3633" s="1">
        <v>101</v>
      </c>
      <c r="C3633" s="258" t="s">
        <v>7793</v>
      </c>
      <c r="D3633" t="s">
        <v>1246</v>
      </c>
      <c r="E3633" t="s">
        <v>1190</v>
      </c>
      <c r="F3633"/>
      <c r="G3633">
        <v>0.05</v>
      </c>
      <c r="H3633" s="1">
        <v>5961.4095000000007</v>
      </c>
      <c r="I3633"/>
      <c r="J3633"/>
      <c r="K3633" s="170">
        <v>46142</v>
      </c>
      <c r="L3633" s="1">
        <v>6370.588235294118</v>
      </c>
      <c r="M3633" s="1">
        <v>46142</v>
      </c>
    </row>
    <row r="3634" spans="1:14" ht="14.4" hidden="1">
      <c r="A3634" t="s">
        <v>535</v>
      </c>
      <c r="B3634" s="1">
        <v>110</v>
      </c>
      <c r="C3634" s="258" t="s">
        <v>7794</v>
      </c>
      <c r="D3634" t="s">
        <v>1255</v>
      </c>
      <c r="E3634" t="s">
        <v>1169</v>
      </c>
      <c r="F3634">
        <v>49844.43</v>
      </c>
      <c r="G3634">
        <v>0.1</v>
      </c>
      <c r="H3634" s="1">
        <v>4984.4430000000002</v>
      </c>
      <c r="I3634"/>
      <c r="J3634"/>
      <c r="K3634" s="170">
        <v>46081</v>
      </c>
      <c r="L3634" s="1">
        <v>6946.105882352942</v>
      </c>
      <c r="M3634" s="1">
        <v>46076</v>
      </c>
    </row>
    <row r="3635" spans="1:14" ht="14.4" hidden="1">
      <c r="A3635" t="s">
        <v>535</v>
      </c>
      <c r="B3635" s="1">
        <v>111</v>
      </c>
      <c r="C3635" s="258" t="s">
        <v>7795</v>
      </c>
      <c r="D3635" t="s">
        <v>1255</v>
      </c>
      <c r="E3635" t="s">
        <v>558</v>
      </c>
      <c r="F3635"/>
      <c r="G3635">
        <v>0.15</v>
      </c>
      <c r="H3635" s="1">
        <v>7476.6644999999999</v>
      </c>
      <c r="I3635"/>
      <c r="J3635"/>
      <c r="K3635" s="170">
        <v>46081</v>
      </c>
      <c r="L3635" s="1">
        <v>10419.158823529411</v>
      </c>
      <c r="M3635" s="1">
        <v>46076</v>
      </c>
    </row>
    <row r="3636" spans="1:14" ht="14.4" hidden="1">
      <c r="A3636" t="s">
        <v>535</v>
      </c>
      <c r="B3636" s="1">
        <v>112</v>
      </c>
      <c r="C3636" s="258" t="s">
        <v>7796</v>
      </c>
      <c r="D3636" t="s">
        <v>1255</v>
      </c>
      <c r="E3636" t="s">
        <v>1175</v>
      </c>
      <c r="F3636"/>
      <c r="G3636">
        <v>0.2</v>
      </c>
      <c r="H3636" s="1">
        <v>9968.8860000000004</v>
      </c>
      <c r="I3636"/>
      <c r="J3636"/>
      <c r="K3636" s="170">
        <v>46112</v>
      </c>
      <c r="L3636" s="1">
        <v>13892.211764705884</v>
      </c>
      <c r="M3636" s="1">
        <v>46091</v>
      </c>
    </row>
    <row r="3637" spans="1:14" ht="14.4" hidden="1">
      <c r="A3637" t="s">
        <v>535</v>
      </c>
      <c r="B3637" s="1">
        <v>113</v>
      </c>
      <c r="C3637" s="258" t="s">
        <v>7797</v>
      </c>
      <c r="D3637" t="s">
        <v>1255</v>
      </c>
      <c r="E3637" t="s">
        <v>1178</v>
      </c>
      <c r="F3637"/>
      <c r="G3637">
        <v>0.25</v>
      </c>
      <c r="H3637" s="1">
        <v>12461.1075</v>
      </c>
      <c r="I3637"/>
      <c r="J3637"/>
      <c r="K3637" s="170">
        <v>46112</v>
      </c>
      <c r="L3637" s="1">
        <v>17365.264705882353</v>
      </c>
      <c r="M3637" s="1">
        <v>46107</v>
      </c>
    </row>
    <row r="3638" spans="1:14" ht="14.4" hidden="1">
      <c r="A3638" t="s">
        <v>535</v>
      </c>
      <c r="B3638" s="1">
        <v>114</v>
      </c>
      <c r="C3638" s="258" t="s">
        <v>7798</v>
      </c>
      <c r="D3638" t="s">
        <v>1255</v>
      </c>
      <c r="E3638" t="s">
        <v>1181</v>
      </c>
      <c r="F3638"/>
      <c r="G3638">
        <v>0.1</v>
      </c>
      <c r="H3638" s="1">
        <v>4984.4430000000002</v>
      </c>
      <c r="I3638"/>
      <c r="J3638"/>
      <c r="K3638" s="170">
        <v>46142</v>
      </c>
      <c r="L3638" s="1">
        <v>6946.105882352942</v>
      </c>
      <c r="M3638" s="1">
        <v>46118</v>
      </c>
    </row>
    <row r="3639" spans="1:14" ht="14.4" hidden="1">
      <c r="A3639" t="s">
        <v>535</v>
      </c>
      <c r="B3639" s="1">
        <v>115</v>
      </c>
      <c r="C3639" s="258" t="s">
        <v>7799</v>
      </c>
      <c r="D3639" t="s">
        <v>1255</v>
      </c>
      <c r="E3639" t="s">
        <v>1184</v>
      </c>
      <c r="F3639"/>
      <c r="G3639">
        <v>0.1</v>
      </c>
      <c r="H3639" s="1">
        <v>4984.4430000000002</v>
      </c>
      <c r="I3639"/>
      <c r="J3639"/>
      <c r="K3639" s="170">
        <v>46142</v>
      </c>
      <c r="L3639" s="1">
        <v>6946.105882352942</v>
      </c>
      <c r="M3639" s="1">
        <v>46119</v>
      </c>
    </row>
    <row r="3640" spans="1:14" ht="14.4" hidden="1">
      <c r="A3640" t="s">
        <v>535</v>
      </c>
      <c r="B3640" s="1">
        <v>116</v>
      </c>
      <c r="C3640" s="258" t="s">
        <v>7800</v>
      </c>
      <c r="D3640" t="s">
        <v>1255</v>
      </c>
      <c r="E3640" t="s">
        <v>1187</v>
      </c>
      <c r="F3640"/>
      <c r="G3640">
        <v>0.05</v>
      </c>
      <c r="H3640" s="1">
        <v>2492.2215000000001</v>
      </c>
      <c r="I3640"/>
      <c r="J3640"/>
      <c r="K3640" s="170">
        <v>46142</v>
      </c>
      <c r="L3640" s="1">
        <v>3473.052941176471</v>
      </c>
      <c r="M3640" s="1">
        <v>46119</v>
      </c>
    </row>
    <row r="3641" spans="1:14" ht="14.4" hidden="1">
      <c r="A3641" t="s">
        <v>535</v>
      </c>
      <c r="B3641" s="1">
        <v>117</v>
      </c>
      <c r="C3641" s="258" t="s">
        <v>7801</v>
      </c>
      <c r="D3641" t="s">
        <v>1255</v>
      </c>
      <c r="E3641" t="s">
        <v>1190</v>
      </c>
      <c r="F3641"/>
      <c r="G3641">
        <v>0.05</v>
      </c>
      <c r="H3641" s="1">
        <v>2492.2215000000001</v>
      </c>
      <c r="I3641"/>
      <c r="J3641"/>
      <c r="K3641" s="170">
        <v>46142</v>
      </c>
      <c r="L3641" s="1">
        <v>3473.052941176471</v>
      </c>
      <c r="M3641" s="1">
        <v>46142</v>
      </c>
    </row>
    <row r="3642" spans="1:14" ht="14.4" hidden="1">
      <c r="A3642" t="s">
        <v>535</v>
      </c>
      <c r="B3642" s="1">
        <v>122</v>
      </c>
      <c r="C3642" s="258" t="s">
        <v>7802</v>
      </c>
      <c r="D3642" t="s">
        <v>1264</v>
      </c>
      <c r="E3642" t="s">
        <v>1265</v>
      </c>
      <c r="F3642"/>
      <c r="H3642" s="1">
        <v>12577.5</v>
      </c>
      <c r="I3642"/>
      <c r="J3642"/>
      <c r="K3642" s="170">
        <v>46142</v>
      </c>
      <c r="L3642" s="1">
        <v>14980.446418835589</v>
      </c>
      <c r="M3642" s="1">
        <v>46125</v>
      </c>
      <c r="N3642" s="1">
        <v>87910.48</v>
      </c>
    </row>
    <row r="3643" spans="1:14" ht="14.4" hidden="1">
      <c r="A3643" t="s">
        <v>535</v>
      </c>
      <c r="B3643" s="1">
        <v>123</v>
      </c>
      <c r="C3643" s="258" t="s">
        <v>7803</v>
      </c>
      <c r="D3643" t="s">
        <v>1264</v>
      </c>
      <c r="E3643" t="s">
        <v>1268</v>
      </c>
      <c r="F3643"/>
      <c r="H3643" s="1">
        <v>7690.9</v>
      </c>
      <c r="I3643"/>
      <c r="J3643" t="s">
        <v>7804</v>
      </c>
      <c r="K3643" s="170">
        <v>46053</v>
      </c>
      <c r="L3643" s="1">
        <v>9160.2556440169046</v>
      </c>
      <c r="M3643" s="1">
        <v>45526</v>
      </c>
    </row>
    <row r="3644" spans="1:14" ht="14.4" hidden="1">
      <c r="A3644" t="s">
        <v>535</v>
      </c>
      <c r="B3644" s="1">
        <v>124</v>
      </c>
      <c r="C3644" s="258" t="s">
        <v>7805</v>
      </c>
      <c r="D3644" t="s">
        <v>1264</v>
      </c>
      <c r="E3644" t="s">
        <v>1363</v>
      </c>
      <c r="F3644"/>
      <c r="H3644" s="1">
        <v>50000</v>
      </c>
      <c r="I3644"/>
      <c r="J3644"/>
      <c r="K3644" s="170">
        <v>46081</v>
      </c>
      <c r="L3644" s="1">
        <v>59552.559804554119</v>
      </c>
      <c r="M3644" s="1">
        <v>46111</v>
      </c>
    </row>
    <row r="3645" spans="1:14" ht="14.4" hidden="1">
      <c r="A3645" t="s">
        <v>535</v>
      </c>
      <c r="B3645" s="1">
        <v>125</v>
      </c>
      <c r="C3645" s="258" t="s">
        <v>7806</v>
      </c>
      <c r="D3645" t="s">
        <v>1264</v>
      </c>
      <c r="E3645" t="s">
        <v>808</v>
      </c>
      <c r="F3645"/>
      <c r="H3645" s="1">
        <v>6000</v>
      </c>
      <c r="I3645"/>
      <c r="J3645"/>
      <c r="K3645" s="170">
        <v>46112</v>
      </c>
      <c r="L3645" s="1">
        <v>7146.3071765464947</v>
      </c>
      <c r="M3645" s="1">
        <v>46119</v>
      </c>
    </row>
    <row r="3646" spans="1:14" ht="14.4" hidden="1">
      <c r="A3646" t="s">
        <v>535</v>
      </c>
      <c r="B3646" s="1">
        <v>126</v>
      </c>
      <c r="C3646" s="258" t="s">
        <v>7807</v>
      </c>
      <c r="D3646" t="s">
        <v>1264</v>
      </c>
      <c r="E3646" t="s">
        <v>7808</v>
      </c>
      <c r="F3646"/>
      <c r="H3646" s="1">
        <v>9900</v>
      </c>
      <c r="I3646"/>
      <c r="J3646" t="s">
        <v>7809</v>
      </c>
      <c r="K3646" s="170">
        <v>46053</v>
      </c>
      <c r="L3646" s="1">
        <v>11791.406841301716</v>
      </c>
      <c r="M3646" s="1">
        <v>46015</v>
      </c>
    </row>
    <row r="3647" spans="1:14" ht="14.4" hidden="1">
      <c r="A3647" t="s">
        <v>535</v>
      </c>
      <c r="B3647" s="1">
        <v>127</v>
      </c>
      <c r="C3647" s="258" t="s">
        <v>7810</v>
      </c>
      <c r="D3647" t="s">
        <v>1264</v>
      </c>
      <c r="E3647" t="s">
        <v>7808</v>
      </c>
      <c r="F3647"/>
      <c r="H3647" s="1">
        <v>1742.08</v>
      </c>
      <c r="I3647"/>
      <c r="J3647" t="s">
        <v>7811</v>
      </c>
      <c r="K3647" s="170">
        <v>46053</v>
      </c>
      <c r="L3647" s="1">
        <v>2074.9064676863527</v>
      </c>
      <c r="M3647" s="1">
        <v>45989</v>
      </c>
    </row>
    <row r="3648" spans="1:14" ht="14.4" hidden="1">
      <c r="A3648" t="s">
        <v>535</v>
      </c>
      <c r="B3648" s="1">
        <v>129</v>
      </c>
      <c r="C3648" s="258" t="s">
        <v>7812</v>
      </c>
      <c r="D3648" t="s">
        <v>1274</v>
      </c>
      <c r="E3648" t="s">
        <v>1275</v>
      </c>
      <c r="F3648"/>
      <c r="H3648" s="1">
        <v>0</v>
      </c>
      <c r="I3648"/>
      <c r="J3648"/>
      <c r="K3648" s="170" t="s">
        <v>51</v>
      </c>
      <c r="N3648" s="1">
        <v>0</v>
      </c>
    </row>
    <row r="3649" spans="1:14" ht="14.4" hidden="1">
      <c r="A3649" t="s">
        <v>535</v>
      </c>
      <c r="B3649" s="1">
        <v>132</v>
      </c>
      <c r="C3649" s="258" t="s">
        <v>7813</v>
      </c>
      <c r="D3649" t="s">
        <v>1277</v>
      </c>
      <c r="E3649" t="s">
        <v>1278</v>
      </c>
      <c r="F3649"/>
      <c r="H3649" s="1">
        <v>18015.380965414468</v>
      </c>
      <c r="I3649"/>
      <c r="J3649"/>
      <c r="K3649" s="170">
        <v>46112</v>
      </c>
      <c r="L3649" s="1">
        <v>20237.658727846177</v>
      </c>
      <c r="M3649" s="1">
        <v>46111</v>
      </c>
      <c r="N3649" s="1">
        <v>95172.660965414485</v>
      </c>
    </row>
    <row r="3650" spans="1:14" ht="14.4" hidden="1">
      <c r="A3650" t="s">
        <v>535</v>
      </c>
      <c r="B3650" s="1">
        <v>133</v>
      </c>
      <c r="C3650" s="258" t="s">
        <v>7814</v>
      </c>
      <c r="D3650" t="s">
        <v>1277</v>
      </c>
      <c r="E3650" t="s">
        <v>1903</v>
      </c>
      <c r="F3650"/>
      <c r="H3650" s="1">
        <v>9600</v>
      </c>
      <c r="I3650"/>
      <c r="J3650"/>
      <c r="K3650" s="170">
        <v>46112</v>
      </c>
      <c r="L3650" s="1">
        <v>10784.202907521118</v>
      </c>
      <c r="M3650" s="1">
        <v>46111</v>
      </c>
    </row>
    <row r="3651" spans="1:14" ht="14.4" hidden="1">
      <c r="A3651" t="s">
        <v>535</v>
      </c>
      <c r="B3651" s="1">
        <v>134</v>
      </c>
      <c r="C3651" s="258" t="s">
        <v>7815</v>
      </c>
      <c r="D3651" t="s">
        <v>1277</v>
      </c>
      <c r="E3651" t="s">
        <v>1905</v>
      </c>
      <c r="F3651"/>
      <c r="H3651" s="1">
        <v>32640</v>
      </c>
      <c r="I3651"/>
      <c r="J3651"/>
      <c r="K3651" s="170">
        <v>46112</v>
      </c>
      <c r="L3651" s="1">
        <v>36666.289885571801</v>
      </c>
      <c r="M3651" s="1">
        <v>46111</v>
      </c>
    </row>
    <row r="3652" spans="1:14" ht="14.4" hidden="1">
      <c r="A3652" t="s">
        <v>535</v>
      </c>
      <c r="B3652" s="1">
        <v>135</v>
      </c>
      <c r="C3652" s="258" t="s">
        <v>7816</v>
      </c>
      <c r="D3652" t="s">
        <v>1277</v>
      </c>
      <c r="E3652" t="s">
        <v>1907</v>
      </c>
      <c r="F3652"/>
      <c r="H3652" s="1">
        <v>12480</v>
      </c>
      <c r="I3652"/>
      <c r="J3652"/>
      <c r="K3652" s="170">
        <v>46112</v>
      </c>
      <c r="L3652" s="1">
        <v>14019.463779777452</v>
      </c>
      <c r="M3652" s="1">
        <v>46111</v>
      </c>
    </row>
    <row r="3653" spans="1:14" ht="14.4" hidden="1">
      <c r="A3653" t="s">
        <v>535</v>
      </c>
      <c r="B3653" s="1">
        <v>136</v>
      </c>
      <c r="C3653" s="258" t="s">
        <v>7817</v>
      </c>
      <c r="D3653" t="s">
        <v>1277</v>
      </c>
      <c r="E3653" t="s">
        <v>1909</v>
      </c>
      <c r="F3653"/>
      <c r="H3653" s="1">
        <v>22437.279999999999</v>
      </c>
      <c r="I3653"/>
      <c r="J3653"/>
      <c r="K3653" s="170">
        <v>46112</v>
      </c>
      <c r="L3653" s="1">
        <v>25205.018772173476</v>
      </c>
      <c r="M3653" s="1">
        <v>46111</v>
      </c>
    </row>
    <row r="3654" spans="1:14" ht="14.4" hidden="1">
      <c r="A3654" t="s">
        <v>535</v>
      </c>
      <c r="B3654" s="1">
        <v>139</v>
      </c>
      <c r="C3654" s="258" t="s">
        <v>7818</v>
      </c>
      <c r="D3654" t="s">
        <v>1280</v>
      </c>
      <c r="E3654" t="s">
        <v>1281</v>
      </c>
      <c r="F3654"/>
      <c r="H3654" s="1">
        <v>525</v>
      </c>
      <c r="I3654"/>
      <c r="J3654"/>
      <c r="K3654" s="170">
        <v>46081</v>
      </c>
      <c r="L3654" s="1">
        <v>617.64705882352939</v>
      </c>
      <c r="M3654" s="1">
        <v>46088</v>
      </c>
      <c r="N3654" s="1">
        <v>2100</v>
      </c>
    </row>
    <row r="3655" spans="1:14" ht="14.4" hidden="1">
      <c r="A3655" t="s">
        <v>535</v>
      </c>
      <c r="B3655" s="1">
        <v>140</v>
      </c>
      <c r="C3655" s="258" t="s">
        <v>7819</v>
      </c>
      <c r="D3655" t="s">
        <v>1280</v>
      </c>
      <c r="E3655" t="s">
        <v>1281</v>
      </c>
      <c r="F3655"/>
      <c r="H3655" s="1">
        <v>525</v>
      </c>
      <c r="I3655"/>
      <c r="J3655"/>
      <c r="K3655" s="170">
        <v>46112</v>
      </c>
      <c r="L3655" s="1">
        <v>617.64705882352939</v>
      </c>
      <c r="M3655" s="1">
        <v>46119</v>
      </c>
    </row>
    <row r="3656" spans="1:14" ht="14.4" hidden="1">
      <c r="A3656" t="s">
        <v>535</v>
      </c>
      <c r="B3656" s="1">
        <v>141</v>
      </c>
      <c r="C3656" s="258" t="s">
        <v>7820</v>
      </c>
      <c r="D3656" t="s">
        <v>1280</v>
      </c>
      <c r="E3656" t="s">
        <v>1281</v>
      </c>
      <c r="F3656"/>
      <c r="H3656" s="1">
        <v>525</v>
      </c>
      <c r="I3656"/>
      <c r="J3656"/>
      <c r="K3656" s="170">
        <v>46142</v>
      </c>
      <c r="L3656" s="1">
        <v>617.64705882352939</v>
      </c>
      <c r="M3656" s="1">
        <v>46149</v>
      </c>
    </row>
    <row r="3657" spans="1:14" ht="14.4" hidden="1">
      <c r="A3657" t="s">
        <v>535</v>
      </c>
      <c r="B3657" s="1">
        <v>142</v>
      </c>
      <c r="C3657" s="258" t="s">
        <v>7821</v>
      </c>
      <c r="D3657" t="s">
        <v>1280</v>
      </c>
      <c r="E3657" t="s">
        <v>1281</v>
      </c>
      <c r="F3657"/>
      <c r="H3657" s="1">
        <v>525</v>
      </c>
      <c r="I3657"/>
      <c r="J3657"/>
      <c r="K3657" s="170">
        <v>46173</v>
      </c>
      <c r="L3657" s="1">
        <v>617.64705882352939</v>
      </c>
      <c r="M3657" s="1">
        <v>46180</v>
      </c>
    </row>
    <row r="3658" spans="1:14" ht="14.4" hidden="1">
      <c r="A3658" t="s">
        <v>238</v>
      </c>
      <c r="B3658" s="1">
        <v>6</v>
      </c>
      <c r="C3658" s="258" t="s">
        <v>7822</v>
      </c>
      <c r="D3658" t="s">
        <v>1146</v>
      </c>
      <c r="E3658" t="s">
        <v>7823</v>
      </c>
      <c r="F3658">
        <v>258</v>
      </c>
      <c r="G3658">
        <v>1189.5</v>
      </c>
      <c r="H3658" s="1">
        <v>306891</v>
      </c>
      <c r="I3658"/>
      <c r="J3658" t="s">
        <v>7824</v>
      </c>
      <c r="K3658" s="170">
        <v>46022</v>
      </c>
      <c r="L3658" s="1">
        <v>485847.98499999999</v>
      </c>
      <c r="M3658" s="1">
        <v>46057</v>
      </c>
      <c r="N3658" s="1">
        <v>306891</v>
      </c>
    </row>
    <row r="3659" spans="1:14" ht="14.4" hidden="1">
      <c r="A3659" t="s">
        <v>238</v>
      </c>
      <c r="B3659" s="1">
        <v>13</v>
      </c>
      <c r="C3659" s="258" t="s">
        <v>7825</v>
      </c>
      <c r="D3659" t="s">
        <v>1157</v>
      </c>
      <c r="E3659" t="s">
        <v>1369</v>
      </c>
      <c r="F3659">
        <v>1</v>
      </c>
      <c r="G3659">
        <v>68870.350000000006</v>
      </c>
      <c r="H3659" s="1">
        <v>68870.350000000006</v>
      </c>
      <c r="I3659"/>
      <c r="J3659" t="s">
        <v>7824</v>
      </c>
      <c r="K3659" s="170">
        <v>46022</v>
      </c>
      <c r="L3659" s="1">
        <v>91846.376169656171</v>
      </c>
      <c r="M3659" s="1">
        <v>46057</v>
      </c>
      <c r="N3659" s="1">
        <v>112476.43</v>
      </c>
    </row>
    <row r="3660" spans="1:14" ht="14.4" hidden="1">
      <c r="A3660" t="s">
        <v>238</v>
      </c>
      <c r="B3660" s="1">
        <v>14</v>
      </c>
      <c r="C3660" s="258" t="s">
        <v>7826</v>
      </c>
      <c r="D3660" t="s">
        <v>1157</v>
      </c>
      <c r="E3660" t="s">
        <v>1804</v>
      </c>
      <c r="F3660">
        <v>1</v>
      </c>
      <c r="G3660">
        <v>43606.080000000002</v>
      </c>
      <c r="H3660" s="1">
        <v>43606.080000000002</v>
      </c>
      <c r="I3660"/>
      <c r="J3660" t="s">
        <v>7824</v>
      </c>
      <c r="K3660" s="170">
        <v>46022</v>
      </c>
      <c r="L3660" s="1">
        <v>58153.623830343837</v>
      </c>
      <c r="M3660" s="1">
        <v>46057</v>
      </c>
    </row>
    <row r="3661" spans="1:14" ht="14.4" hidden="1">
      <c r="A3661" t="s">
        <v>238</v>
      </c>
      <c r="B3661" s="1">
        <v>21</v>
      </c>
      <c r="C3661" s="258" t="s">
        <v>7827</v>
      </c>
      <c r="D3661" t="s">
        <v>1160</v>
      </c>
      <c r="E3661" t="s">
        <v>7828</v>
      </c>
      <c r="F3661">
        <v>600</v>
      </c>
      <c r="G3661">
        <v>26.47</v>
      </c>
      <c r="H3661" s="1">
        <v>15882</v>
      </c>
      <c r="I3661"/>
      <c r="J3661" t="s">
        <v>7829</v>
      </c>
      <c r="K3661" s="170">
        <v>46053</v>
      </c>
      <c r="L3661" s="1">
        <v>61736.990487599389</v>
      </c>
      <c r="M3661" s="1">
        <v>46053</v>
      </c>
      <c r="N3661" s="1">
        <v>27727.27</v>
      </c>
    </row>
    <row r="3662" spans="1:14" ht="14.4" hidden="1">
      <c r="A3662" t="s">
        <v>238</v>
      </c>
      <c r="B3662" s="1">
        <v>22</v>
      </c>
      <c r="C3662" s="258" t="s">
        <v>7830</v>
      </c>
      <c r="D3662" t="s">
        <v>1160</v>
      </c>
      <c r="E3662" t="s">
        <v>7831</v>
      </c>
      <c r="F3662">
        <v>201</v>
      </c>
      <c r="G3662">
        <v>12.31</v>
      </c>
      <c r="H3662" s="1">
        <v>2474.31</v>
      </c>
      <c r="I3662"/>
      <c r="J3662" t="s">
        <v>7829</v>
      </c>
      <c r="K3662" s="170">
        <v>46053</v>
      </c>
      <c r="L3662" s="1">
        <v>7899.8540295348221</v>
      </c>
      <c r="M3662" s="1">
        <v>46053</v>
      </c>
    </row>
    <row r="3663" spans="1:14" ht="14.4" hidden="1">
      <c r="A3663" t="s">
        <v>238</v>
      </c>
      <c r="B3663" s="1">
        <v>23</v>
      </c>
      <c r="C3663" s="258" t="s">
        <v>7832</v>
      </c>
      <c r="D3663" t="s">
        <v>1160</v>
      </c>
      <c r="E3663" t="s">
        <v>7831</v>
      </c>
      <c r="F3663">
        <v>184</v>
      </c>
      <c r="G3663">
        <v>14.19</v>
      </c>
      <c r="H3663" s="1">
        <v>2610.96</v>
      </c>
      <c r="I3663"/>
      <c r="J3663" t="s">
        <v>4289</v>
      </c>
      <c r="K3663" s="170">
        <v>46053</v>
      </c>
      <c r="L3663" s="1">
        <v>8336.1433599485263</v>
      </c>
      <c r="M3663" s="1">
        <v>46053</v>
      </c>
    </row>
    <row r="3664" spans="1:14" ht="14.4" hidden="1">
      <c r="A3664" t="s">
        <v>238</v>
      </c>
      <c r="B3664" s="1">
        <v>24</v>
      </c>
      <c r="C3664" s="258" t="s">
        <v>7833</v>
      </c>
      <c r="D3664" t="s">
        <v>1160</v>
      </c>
      <c r="E3664" t="s">
        <v>7834</v>
      </c>
      <c r="F3664">
        <v>100</v>
      </c>
      <c r="G3664">
        <v>12.68</v>
      </c>
      <c r="H3664" s="1">
        <v>1268</v>
      </c>
      <c r="I3664"/>
      <c r="J3664" t="s">
        <v>7829</v>
      </c>
      <c r="K3664" s="170">
        <v>46053</v>
      </c>
      <c r="L3664" s="1">
        <v>4048.4073982040063</v>
      </c>
      <c r="M3664" s="1">
        <v>46053</v>
      </c>
    </row>
    <row r="3665" spans="1:14" ht="14.4" hidden="1">
      <c r="A3665" t="s">
        <v>238</v>
      </c>
      <c r="B3665" s="1">
        <v>26</v>
      </c>
      <c r="C3665" s="258" t="s">
        <v>7835</v>
      </c>
      <c r="D3665" t="s">
        <v>1160</v>
      </c>
      <c r="E3665" t="s">
        <v>7836</v>
      </c>
      <c r="F3665"/>
      <c r="H3665" s="1">
        <v>5492</v>
      </c>
      <c r="I3665" t="s">
        <v>7837</v>
      </c>
      <c r="J3665" t="s">
        <v>7838</v>
      </c>
      <c r="K3665" s="170">
        <v>46022</v>
      </c>
      <c r="L3665" s="1">
        <v>6504.8589146664526</v>
      </c>
      <c r="M3665" s="1">
        <v>46021</v>
      </c>
    </row>
    <row r="3666" spans="1:14" ht="14.4" hidden="1">
      <c r="A3666" t="s">
        <v>238</v>
      </c>
      <c r="B3666" s="1">
        <v>31</v>
      </c>
      <c r="C3666" s="258" t="s">
        <v>7839</v>
      </c>
      <c r="D3666" t="s">
        <v>1165</v>
      </c>
      <c r="E3666" t="s">
        <v>7840</v>
      </c>
      <c r="F3666">
        <v>2000</v>
      </c>
      <c r="G3666">
        <v>14</v>
      </c>
      <c r="H3666" s="1">
        <v>28000</v>
      </c>
      <c r="I3666"/>
      <c r="J3666" t="s">
        <v>7841</v>
      </c>
      <c r="K3666" s="170">
        <v>46053</v>
      </c>
      <c r="L3666" s="1">
        <v>55267.937277763966</v>
      </c>
      <c r="M3666" s="1">
        <v>46053</v>
      </c>
      <c r="N3666" s="1">
        <v>96009.97</v>
      </c>
    </row>
    <row r="3667" spans="1:14" ht="14.4" hidden="1">
      <c r="A3667" t="s">
        <v>238</v>
      </c>
      <c r="B3667" s="1">
        <v>32</v>
      </c>
      <c r="C3667" s="258" t="s">
        <v>7842</v>
      </c>
      <c r="D3667" t="s">
        <v>1165</v>
      </c>
      <c r="F3667">
        <v>2000</v>
      </c>
      <c r="G3667">
        <v>14</v>
      </c>
      <c r="H3667" s="1">
        <v>28000</v>
      </c>
      <c r="I3667"/>
      <c r="J3667" t="s">
        <v>7841</v>
      </c>
      <c r="K3667" s="170">
        <v>46053</v>
      </c>
      <c r="L3667" s="1">
        <v>55267.937277763966</v>
      </c>
      <c r="M3667" s="1">
        <v>46053</v>
      </c>
    </row>
    <row r="3668" spans="1:14" ht="14.4" hidden="1">
      <c r="A3668" t="s">
        <v>238</v>
      </c>
      <c r="B3668" s="1">
        <v>33</v>
      </c>
      <c r="C3668" s="258" t="s">
        <v>7843</v>
      </c>
      <c r="D3668" t="s">
        <v>1165</v>
      </c>
      <c r="E3668" t="s">
        <v>7844</v>
      </c>
      <c r="F3668"/>
      <c r="H3668" s="1">
        <v>664.97</v>
      </c>
      <c r="I3668"/>
      <c r="J3668" t="s">
        <v>7845</v>
      </c>
      <c r="K3668" s="170">
        <v>46053</v>
      </c>
      <c r="L3668" s="1">
        <v>969.91429469981074</v>
      </c>
      <c r="M3668" s="1">
        <v>46079</v>
      </c>
    </row>
    <row r="3669" spans="1:14" ht="14.4" hidden="1">
      <c r="A3669" t="s">
        <v>238</v>
      </c>
      <c r="B3669" s="1">
        <v>35</v>
      </c>
      <c r="C3669" s="258" t="s">
        <v>7846</v>
      </c>
      <c r="D3669" t="s">
        <v>1165</v>
      </c>
      <c r="E3669" t="s">
        <v>1169</v>
      </c>
      <c r="F3669">
        <v>39345</v>
      </c>
      <c r="G3669">
        <v>0.1</v>
      </c>
      <c r="H3669" s="1">
        <v>3934.5</v>
      </c>
      <c r="I3669" t="s">
        <v>7847</v>
      </c>
      <c r="J3669" t="s">
        <v>7848</v>
      </c>
      <c r="K3669" s="170">
        <v>46022</v>
      </c>
      <c r="L3669" s="1">
        <v>7903.1862989559604</v>
      </c>
      <c r="M3669" s="1">
        <v>46003</v>
      </c>
    </row>
    <row r="3670" spans="1:14" ht="14.4" hidden="1">
      <c r="A3670" t="s">
        <v>238</v>
      </c>
      <c r="B3670" s="1">
        <v>36</v>
      </c>
      <c r="C3670" s="258" t="s">
        <v>7849</v>
      </c>
      <c r="D3670" t="s">
        <v>1165</v>
      </c>
      <c r="E3670" t="s">
        <v>558</v>
      </c>
      <c r="F3670"/>
      <c r="G3670">
        <v>0.15</v>
      </c>
      <c r="H3670" s="1">
        <v>5901.75</v>
      </c>
      <c r="I3670"/>
      <c r="J3670" t="s">
        <v>7850</v>
      </c>
      <c r="K3670" s="170">
        <v>46022</v>
      </c>
      <c r="L3670" s="1">
        <v>11854.779448433939</v>
      </c>
      <c r="M3670" s="1">
        <v>46003</v>
      </c>
    </row>
    <row r="3671" spans="1:14" ht="14.4" hidden="1">
      <c r="A3671" t="s">
        <v>238</v>
      </c>
      <c r="B3671" s="1">
        <v>37</v>
      </c>
      <c r="C3671" s="258" t="s">
        <v>7851</v>
      </c>
      <c r="D3671" t="s">
        <v>1165</v>
      </c>
      <c r="E3671" t="s">
        <v>1175</v>
      </c>
      <c r="F3671"/>
      <c r="G3671">
        <v>0.2</v>
      </c>
      <c r="H3671" s="1">
        <v>7869</v>
      </c>
      <c r="I3671"/>
      <c r="J3671"/>
      <c r="K3671" s="170">
        <v>46081</v>
      </c>
      <c r="L3671" s="1">
        <v>15532.26422995445</v>
      </c>
      <c r="M3671" s="1">
        <v>46081</v>
      </c>
    </row>
    <row r="3672" spans="1:14" ht="14.4" hidden="1">
      <c r="A3672" t="s">
        <v>238</v>
      </c>
      <c r="B3672" s="1">
        <v>38</v>
      </c>
      <c r="C3672" s="258" t="s">
        <v>7852</v>
      </c>
      <c r="D3672" t="s">
        <v>1165</v>
      </c>
      <c r="E3672" t="s">
        <v>1178</v>
      </c>
      <c r="F3672"/>
      <c r="G3672">
        <v>0.25</v>
      </c>
      <c r="H3672" s="1">
        <v>9836.25</v>
      </c>
      <c r="I3672"/>
      <c r="J3672"/>
      <c r="K3672" s="170">
        <v>46081</v>
      </c>
      <c r="L3672" s="1">
        <v>19415.330287443063</v>
      </c>
      <c r="M3672" s="1">
        <v>46081</v>
      </c>
    </row>
    <row r="3673" spans="1:14" ht="14.4" hidden="1">
      <c r="A3673" t="s">
        <v>238</v>
      </c>
      <c r="B3673" s="1">
        <v>39</v>
      </c>
      <c r="C3673" s="258" t="s">
        <v>7853</v>
      </c>
      <c r="D3673" t="s">
        <v>1165</v>
      </c>
      <c r="E3673" t="s">
        <v>1181</v>
      </c>
      <c r="F3673"/>
      <c r="G3673">
        <v>0.1</v>
      </c>
      <c r="H3673" s="1">
        <v>3934.5</v>
      </c>
      <c r="I3673"/>
      <c r="J3673"/>
      <c r="K3673" s="170">
        <v>46081</v>
      </c>
      <c r="L3673" s="1">
        <v>7766.1321149772257</v>
      </c>
      <c r="M3673" s="1">
        <v>46081</v>
      </c>
    </row>
    <row r="3674" spans="1:14" ht="14.4" hidden="1">
      <c r="A3674" t="s">
        <v>238</v>
      </c>
      <c r="B3674" s="1">
        <v>40</v>
      </c>
      <c r="C3674" s="258" t="s">
        <v>7854</v>
      </c>
      <c r="D3674" t="s">
        <v>1165</v>
      </c>
      <c r="E3674" t="s">
        <v>1184</v>
      </c>
      <c r="F3674"/>
      <c r="G3674">
        <v>0.1</v>
      </c>
      <c r="H3674" s="1">
        <v>3934.5</v>
      </c>
      <c r="I3674"/>
      <c r="J3674"/>
      <c r="K3674" s="170">
        <v>46081</v>
      </c>
      <c r="L3674" s="1">
        <v>7766.1321149772257</v>
      </c>
      <c r="M3674" s="1">
        <v>46081</v>
      </c>
    </row>
    <row r="3675" spans="1:14" ht="14.4" hidden="1">
      <c r="A3675" t="s">
        <v>238</v>
      </c>
      <c r="B3675" s="1">
        <v>41</v>
      </c>
      <c r="C3675" s="258" t="s">
        <v>7855</v>
      </c>
      <c r="D3675" t="s">
        <v>1165</v>
      </c>
      <c r="E3675" t="s">
        <v>1187</v>
      </c>
      <c r="F3675"/>
      <c r="G3675">
        <v>0.05</v>
      </c>
      <c r="H3675" s="1">
        <v>1967.25</v>
      </c>
      <c r="I3675"/>
      <c r="J3675"/>
      <c r="K3675" s="170">
        <v>46081</v>
      </c>
      <c r="L3675" s="1">
        <v>3883.0660574886128</v>
      </c>
      <c r="M3675" s="1">
        <v>46081</v>
      </c>
    </row>
    <row r="3676" spans="1:14" ht="14.4" hidden="1">
      <c r="A3676" t="s">
        <v>238</v>
      </c>
      <c r="B3676" s="1">
        <v>42</v>
      </c>
      <c r="C3676" s="258" t="s">
        <v>7856</v>
      </c>
      <c r="D3676" t="s">
        <v>1165</v>
      </c>
      <c r="E3676" t="s">
        <v>1190</v>
      </c>
      <c r="F3676"/>
      <c r="G3676">
        <v>0.05</v>
      </c>
      <c r="H3676" s="1">
        <v>1967.25</v>
      </c>
      <c r="I3676"/>
      <c r="J3676"/>
      <c r="K3676" s="170">
        <v>46112</v>
      </c>
      <c r="L3676" s="1">
        <v>3883.0660574886128</v>
      </c>
      <c r="M3676" s="1">
        <v>46111</v>
      </c>
    </row>
    <row r="3677" spans="1:14" ht="14.4" hidden="1">
      <c r="A3677" t="s">
        <v>238</v>
      </c>
      <c r="B3677" s="1">
        <v>47</v>
      </c>
      <c r="C3677" s="258" t="s">
        <v>7857</v>
      </c>
      <c r="D3677" t="s">
        <v>1193</v>
      </c>
      <c r="E3677" t="s">
        <v>7858</v>
      </c>
      <c r="F3677"/>
      <c r="H3677" s="1">
        <v>11169</v>
      </c>
      <c r="I3677"/>
      <c r="J3677"/>
      <c r="K3677" s="170">
        <v>46081</v>
      </c>
      <c r="M3677" s="1">
        <v>46107</v>
      </c>
      <c r="N3677" s="1">
        <v>11530.85</v>
      </c>
    </row>
    <row r="3678" spans="1:14" ht="14.4" hidden="1">
      <c r="A3678" t="s">
        <v>238</v>
      </c>
      <c r="B3678" s="1">
        <v>48</v>
      </c>
      <c r="C3678" s="258" t="s">
        <v>7859</v>
      </c>
      <c r="D3678" t="s">
        <v>1193</v>
      </c>
      <c r="E3678" t="s">
        <v>7860</v>
      </c>
      <c r="F3678"/>
      <c r="H3678" s="1">
        <v>361.85</v>
      </c>
      <c r="I3678"/>
      <c r="J3678" t="s">
        <v>7861</v>
      </c>
      <c r="K3678" s="170">
        <v>46053</v>
      </c>
      <c r="M3678" s="1">
        <v>46079</v>
      </c>
    </row>
    <row r="3679" spans="1:14" ht="14.4" hidden="1">
      <c r="A3679" t="s">
        <v>238</v>
      </c>
      <c r="B3679" s="1">
        <v>56</v>
      </c>
      <c r="C3679" s="258" t="s">
        <v>7862</v>
      </c>
      <c r="D3679" t="s">
        <v>1211</v>
      </c>
      <c r="E3679" t="s">
        <v>1212</v>
      </c>
      <c r="F3679"/>
      <c r="H3679" s="1">
        <v>81076</v>
      </c>
      <c r="I3679" t="s">
        <v>7863</v>
      </c>
      <c r="J3679" t="s">
        <v>7864</v>
      </c>
      <c r="K3679" s="170">
        <v>46053</v>
      </c>
      <c r="L3679" s="1">
        <v>98500.818468872589</v>
      </c>
      <c r="M3679" s="1">
        <v>46081</v>
      </c>
    </row>
    <row r="3680" spans="1:14" ht="14.4" hidden="1">
      <c r="A3680" t="s">
        <v>238</v>
      </c>
      <c r="B3680" s="1">
        <v>61</v>
      </c>
      <c r="C3680" s="258" t="s">
        <v>7865</v>
      </c>
      <c r="D3680" t="s">
        <v>1211</v>
      </c>
      <c r="E3680" t="s">
        <v>1169</v>
      </c>
      <c r="F3680">
        <v>62952</v>
      </c>
      <c r="G3680">
        <v>0.1</v>
      </c>
      <c r="H3680" s="1">
        <v>6295.2000000000007</v>
      </c>
      <c r="I3680" t="s">
        <v>7847</v>
      </c>
      <c r="J3680" t="s">
        <v>7848</v>
      </c>
      <c r="K3680" s="170">
        <v>46022</v>
      </c>
      <c r="L3680" s="1">
        <v>7648.1616313736076</v>
      </c>
      <c r="M3680" s="1">
        <v>46003</v>
      </c>
    </row>
    <row r="3681" spans="1:14" ht="14.4" hidden="1">
      <c r="A3681" t="s">
        <v>238</v>
      </c>
      <c r="B3681" s="1">
        <v>62</v>
      </c>
      <c r="C3681" s="258" t="s">
        <v>7866</v>
      </c>
      <c r="D3681" t="s">
        <v>1211</v>
      </c>
      <c r="E3681" t="s">
        <v>558</v>
      </c>
      <c r="F3681"/>
      <c r="G3681">
        <v>0.15</v>
      </c>
      <c r="H3681" s="1">
        <v>9442.7999999999993</v>
      </c>
      <c r="I3681"/>
      <c r="J3681" t="s">
        <v>7850</v>
      </c>
      <c r="K3681" s="170">
        <v>46022</v>
      </c>
      <c r="L3681" s="1">
        <v>11472.242447060413</v>
      </c>
      <c r="M3681" s="1">
        <v>46003</v>
      </c>
    </row>
    <row r="3682" spans="1:14" ht="14.4" hidden="1">
      <c r="A3682" t="s">
        <v>238</v>
      </c>
      <c r="B3682" s="1">
        <v>63</v>
      </c>
      <c r="C3682" s="258" t="s">
        <v>7867</v>
      </c>
      <c r="D3682" t="s">
        <v>1211</v>
      </c>
      <c r="E3682" t="s">
        <v>1175</v>
      </c>
      <c r="F3682"/>
      <c r="G3682">
        <v>0.2</v>
      </c>
      <c r="H3682" s="1">
        <v>12590.4</v>
      </c>
      <c r="I3682"/>
      <c r="J3682"/>
      <c r="K3682" s="170">
        <v>46081</v>
      </c>
      <c r="L3682" s="1">
        <v>15296.323262747215</v>
      </c>
      <c r="M3682" s="1">
        <v>46081</v>
      </c>
    </row>
    <row r="3683" spans="1:14" ht="14.4" hidden="1">
      <c r="A3683" t="s">
        <v>238</v>
      </c>
      <c r="B3683" s="1">
        <v>64</v>
      </c>
      <c r="C3683" s="258" t="s">
        <v>7868</v>
      </c>
      <c r="D3683" t="s">
        <v>1211</v>
      </c>
      <c r="E3683" t="s">
        <v>1178</v>
      </c>
      <c r="F3683"/>
      <c r="G3683">
        <v>0.25</v>
      </c>
      <c r="H3683" s="1">
        <v>15738</v>
      </c>
      <c r="I3683"/>
      <c r="J3683"/>
      <c r="K3683" s="170">
        <v>46081</v>
      </c>
      <c r="L3683" s="1">
        <v>19120.404078434021</v>
      </c>
      <c r="M3683" s="1">
        <v>46081</v>
      </c>
    </row>
    <row r="3684" spans="1:14" ht="14.4" hidden="1">
      <c r="A3684" t="s">
        <v>238</v>
      </c>
      <c r="B3684" s="1">
        <v>65</v>
      </c>
      <c r="C3684" s="258" t="s">
        <v>7869</v>
      </c>
      <c r="D3684" t="s">
        <v>1211</v>
      </c>
      <c r="E3684" t="s">
        <v>1181</v>
      </c>
      <c r="F3684"/>
      <c r="G3684">
        <v>0.1</v>
      </c>
      <c r="H3684" s="1">
        <v>6295.2000000000007</v>
      </c>
      <c r="I3684"/>
      <c r="J3684"/>
      <c r="K3684" s="170">
        <v>46081</v>
      </c>
      <c r="L3684" s="1">
        <v>7648.1616313736076</v>
      </c>
      <c r="M3684" s="1">
        <v>46081</v>
      </c>
    </row>
    <row r="3685" spans="1:14" ht="14.4" hidden="1">
      <c r="A3685" t="s">
        <v>238</v>
      </c>
      <c r="B3685" s="1">
        <v>66</v>
      </c>
      <c r="C3685" s="258" t="s">
        <v>7870</v>
      </c>
      <c r="D3685" t="s">
        <v>1211</v>
      </c>
      <c r="E3685" t="s">
        <v>1184</v>
      </c>
      <c r="F3685"/>
      <c r="G3685">
        <v>0.1</v>
      </c>
      <c r="H3685" s="1">
        <v>6295.2000000000007</v>
      </c>
      <c r="I3685"/>
      <c r="J3685"/>
      <c r="K3685" s="170">
        <v>46081</v>
      </c>
      <c r="L3685" s="1">
        <v>7648.1616313736076</v>
      </c>
      <c r="M3685" s="1">
        <v>46081</v>
      </c>
    </row>
    <row r="3686" spans="1:14" ht="14.4" hidden="1">
      <c r="A3686" t="s">
        <v>238</v>
      </c>
      <c r="B3686" s="1">
        <v>67</v>
      </c>
      <c r="C3686" s="258" t="s">
        <v>7871</v>
      </c>
      <c r="D3686" t="s">
        <v>1211</v>
      </c>
      <c r="E3686" t="s">
        <v>1187</v>
      </c>
      <c r="F3686"/>
      <c r="G3686">
        <v>0.05</v>
      </c>
      <c r="H3686" s="1">
        <v>3147.6000000000004</v>
      </c>
      <c r="I3686"/>
      <c r="J3686"/>
      <c r="K3686" s="170">
        <v>46081</v>
      </c>
      <c r="L3686" s="1">
        <v>3824.0808156868038</v>
      </c>
      <c r="M3686" s="1">
        <v>46081</v>
      </c>
    </row>
    <row r="3687" spans="1:14" ht="14.4" hidden="1">
      <c r="A3687" t="s">
        <v>238</v>
      </c>
      <c r="B3687" s="1">
        <v>68</v>
      </c>
      <c r="C3687" s="258" t="s">
        <v>7872</v>
      </c>
      <c r="D3687" t="s">
        <v>1211</v>
      </c>
      <c r="E3687" t="s">
        <v>1190</v>
      </c>
      <c r="F3687"/>
      <c r="G3687">
        <v>0.05</v>
      </c>
      <c r="H3687" s="1">
        <v>3147.6000000000004</v>
      </c>
      <c r="I3687"/>
      <c r="J3687"/>
      <c r="K3687" s="170">
        <v>46112</v>
      </c>
      <c r="L3687" s="1">
        <v>3824.0808156868038</v>
      </c>
      <c r="M3687" s="1">
        <v>46111</v>
      </c>
    </row>
    <row r="3688" spans="1:14" ht="14.4" hidden="1">
      <c r="A3688" t="s">
        <v>238</v>
      </c>
      <c r="B3688" s="1">
        <v>82</v>
      </c>
      <c r="C3688" s="258" t="s">
        <v>7873</v>
      </c>
      <c r="D3688" t="s">
        <v>1224</v>
      </c>
      <c r="E3688" t="s">
        <v>7874</v>
      </c>
      <c r="F3688"/>
      <c r="H3688" s="1">
        <v>34428</v>
      </c>
      <c r="I3688"/>
      <c r="J3688"/>
      <c r="K3688" s="170">
        <v>46081</v>
      </c>
      <c r="L3688" s="1">
        <v>40538.715661595706</v>
      </c>
      <c r="M3688" s="1">
        <v>46081</v>
      </c>
      <c r="N3688" s="1">
        <v>36548</v>
      </c>
    </row>
    <row r="3689" spans="1:14" ht="14.4" hidden="1">
      <c r="A3689" t="s">
        <v>238</v>
      </c>
      <c r="B3689" s="1">
        <v>84</v>
      </c>
      <c r="C3689" s="258" t="s">
        <v>7875</v>
      </c>
      <c r="D3689" t="s">
        <v>1224</v>
      </c>
      <c r="E3689" t="s">
        <v>7876</v>
      </c>
      <c r="F3689"/>
      <c r="H3689" s="1">
        <v>2120</v>
      </c>
      <c r="I3689" t="s">
        <v>7877</v>
      </c>
      <c r="J3689" t="s">
        <v>7878</v>
      </c>
      <c r="K3689" s="170">
        <v>46081</v>
      </c>
      <c r="L3689" s="1">
        <v>2496.2843384042903</v>
      </c>
      <c r="M3689" s="1">
        <v>46111</v>
      </c>
    </row>
    <row r="3690" spans="1:14" ht="14.4" hidden="1">
      <c r="A3690" t="s">
        <v>238</v>
      </c>
      <c r="B3690" s="1">
        <v>93</v>
      </c>
      <c r="C3690" s="258" t="s">
        <v>7879</v>
      </c>
      <c r="D3690" t="s">
        <v>1246</v>
      </c>
      <c r="E3690" t="s">
        <v>1169</v>
      </c>
      <c r="F3690">
        <v>135346.79999999999</v>
      </c>
      <c r="G3690">
        <v>0.1</v>
      </c>
      <c r="H3690" s="1">
        <v>13534.68</v>
      </c>
      <c r="I3690" t="s">
        <v>7847</v>
      </c>
      <c r="J3690" t="s">
        <v>7848</v>
      </c>
      <c r="K3690" s="170">
        <v>46022</v>
      </c>
      <c r="L3690" s="1">
        <v>13903.333333333336</v>
      </c>
      <c r="M3690" s="1">
        <v>46003</v>
      </c>
    </row>
    <row r="3691" spans="1:14" ht="14.4" hidden="1">
      <c r="A3691" t="s">
        <v>238</v>
      </c>
      <c r="B3691" s="1">
        <v>94</v>
      </c>
      <c r="C3691" s="258" t="s">
        <v>7880</v>
      </c>
      <c r="D3691" t="s">
        <v>1246</v>
      </c>
      <c r="E3691" t="s">
        <v>558</v>
      </c>
      <c r="F3691"/>
      <c r="G3691">
        <v>0.15</v>
      </c>
      <c r="H3691" s="1">
        <v>20302.019999999997</v>
      </c>
      <c r="I3691"/>
      <c r="J3691" t="s">
        <v>7850</v>
      </c>
      <c r="K3691" s="170">
        <v>46022</v>
      </c>
      <c r="L3691" s="1">
        <v>20855</v>
      </c>
      <c r="M3691" s="1">
        <v>46003</v>
      </c>
    </row>
    <row r="3692" spans="1:14" ht="14.4" hidden="1">
      <c r="A3692" t="s">
        <v>238</v>
      </c>
      <c r="B3692" s="1">
        <v>95</v>
      </c>
      <c r="C3692" s="258" t="s">
        <v>7881</v>
      </c>
      <c r="D3692" t="s">
        <v>1246</v>
      </c>
      <c r="E3692" t="s">
        <v>1175</v>
      </c>
      <c r="F3692"/>
      <c r="G3692">
        <v>0.2</v>
      </c>
      <c r="H3692" s="1">
        <v>27069.360000000001</v>
      </c>
      <c r="I3692"/>
      <c r="J3692"/>
      <c r="K3692" s="170">
        <v>46081</v>
      </c>
      <c r="L3692" s="1">
        <v>27806.666666666672</v>
      </c>
      <c r="M3692" s="1">
        <v>46081</v>
      </c>
    </row>
    <row r="3693" spans="1:14" ht="14.4" hidden="1">
      <c r="A3693" t="s">
        <v>238</v>
      </c>
      <c r="B3693" s="1">
        <v>96</v>
      </c>
      <c r="C3693" s="258" t="s">
        <v>7882</v>
      </c>
      <c r="D3693" t="s">
        <v>1246</v>
      </c>
      <c r="E3693" t="s">
        <v>1178</v>
      </c>
      <c r="F3693"/>
      <c r="G3693">
        <v>0.25</v>
      </c>
      <c r="H3693" s="1">
        <v>33836.699999999997</v>
      </c>
      <c r="I3693"/>
      <c r="J3693"/>
      <c r="K3693" s="170">
        <v>46081</v>
      </c>
      <c r="L3693" s="1">
        <v>34758.333333333336</v>
      </c>
      <c r="M3693" s="1">
        <v>46081</v>
      </c>
    </row>
    <row r="3694" spans="1:14" ht="14.4" hidden="1">
      <c r="A3694" t="s">
        <v>238</v>
      </c>
      <c r="B3694" s="1">
        <v>97</v>
      </c>
      <c r="C3694" s="258" t="s">
        <v>7883</v>
      </c>
      <c r="D3694" t="s">
        <v>1246</v>
      </c>
      <c r="E3694" t="s">
        <v>1181</v>
      </c>
      <c r="F3694"/>
      <c r="G3694">
        <v>0.1</v>
      </c>
      <c r="H3694" s="1">
        <v>13534.68</v>
      </c>
      <c r="I3694"/>
      <c r="J3694"/>
      <c r="K3694" s="170">
        <v>46081</v>
      </c>
      <c r="L3694" s="1">
        <v>13903.333333333336</v>
      </c>
      <c r="M3694" s="1">
        <v>46081</v>
      </c>
    </row>
    <row r="3695" spans="1:14" ht="14.4" hidden="1">
      <c r="A3695" t="s">
        <v>238</v>
      </c>
      <c r="B3695" s="1">
        <v>98</v>
      </c>
      <c r="C3695" s="258" t="s">
        <v>7884</v>
      </c>
      <c r="D3695" t="s">
        <v>1246</v>
      </c>
      <c r="E3695" t="s">
        <v>1184</v>
      </c>
      <c r="F3695"/>
      <c r="G3695">
        <v>0.1</v>
      </c>
      <c r="H3695" s="1">
        <v>13534.68</v>
      </c>
      <c r="I3695"/>
      <c r="J3695"/>
      <c r="K3695" s="170">
        <v>46081</v>
      </c>
      <c r="L3695" s="1">
        <v>13903.333333333336</v>
      </c>
      <c r="M3695" s="1">
        <v>46081</v>
      </c>
    </row>
    <row r="3696" spans="1:14" ht="14.4" hidden="1">
      <c r="A3696" t="s">
        <v>238</v>
      </c>
      <c r="B3696" s="1">
        <v>99</v>
      </c>
      <c r="C3696" s="258" t="s">
        <v>7885</v>
      </c>
      <c r="D3696" t="s">
        <v>1246</v>
      </c>
      <c r="E3696" t="s">
        <v>1187</v>
      </c>
      <c r="F3696"/>
      <c r="G3696">
        <v>0.05</v>
      </c>
      <c r="H3696" s="1">
        <v>6767.34</v>
      </c>
      <c r="I3696"/>
      <c r="J3696"/>
      <c r="K3696" s="170">
        <v>46081</v>
      </c>
      <c r="L3696" s="1">
        <v>6951.6666666666679</v>
      </c>
      <c r="M3696" s="1">
        <v>46081</v>
      </c>
    </row>
    <row r="3697" spans="1:14" ht="14.4" hidden="1">
      <c r="A3697" t="s">
        <v>238</v>
      </c>
      <c r="B3697" s="1">
        <v>100</v>
      </c>
      <c r="C3697" s="258" t="s">
        <v>7886</v>
      </c>
      <c r="D3697" t="s">
        <v>1246</v>
      </c>
      <c r="E3697" t="s">
        <v>1190</v>
      </c>
      <c r="F3697"/>
      <c r="G3697">
        <v>0.05</v>
      </c>
      <c r="H3697" s="1">
        <v>6767.34</v>
      </c>
      <c r="I3697"/>
      <c r="J3697"/>
      <c r="K3697" s="170">
        <v>46112</v>
      </c>
      <c r="L3697" s="1">
        <v>6951.6666666666679</v>
      </c>
      <c r="M3697" s="1">
        <v>46111</v>
      </c>
    </row>
    <row r="3698" spans="1:14" ht="14.4" hidden="1">
      <c r="A3698" t="s">
        <v>238</v>
      </c>
      <c r="B3698" s="1">
        <v>109</v>
      </c>
      <c r="C3698" s="258" t="s">
        <v>7887</v>
      </c>
      <c r="D3698" t="s">
        <v>1255</v>
      </c>
      <c r="E3698" t="s">
        <v>1169</v>
      </c>
      <c r="F3698">
        <v>22311.8</v>
      </c>
      <c r="G3698">
        <v>0.1</v>
      </c>
      <c r="H3698" s="1">
        <v>2231.1799999999998</v>
      </c>
      <c r="I3698" t="s">
        <v>7847</v>
      </c>
      <c r="J3698" t="s">
        <v>7848</v>
      </c>
      <c r="K3698" s="170">
        <v>46022</v>
      </c>
      <c r="L3698" s="1">
        <v>4368.7407407407409</v>
      </c>
      <c r="M3698" s="1">
        <v>46003</v>
      </c>
    </row>
    <row r="3699" spans="1:14" ht="14.4" hidden="1">
      <c r="A3699" t="s">
        <v>238</v>
      </c>
      <c r="B3699" s="1">
        <v>110</v>
      </c>
      <c r="C3699" s="258" t="s">
        <v>7888</v>
      </c>
      <c r="D3699" t="s">
        <v>1255</v>
      </c>
      <c r="E3699" t="s">
        <v>558</v>
      </c>
      <c r="F3699"/>
      <c r="G3699">
        <v>0.15</v>
      </c>
      <c r="H3699" s="1">
        <v>3346.77</v>
      </c>
      <c r="I3699"/>
      <c r="J3699" t="s">
        <v>7850</v>
      </c>
      <c r="K3699" s="170">
        <v>46022</v>
      </c>
      <c r="L3699" s="1">
        <v>6553.1111111111113</v>
      </c>
      <c r="M3699" s="1">
        <v>46003</v>
      </c>
    </row>
    <row r="3700" spans="1:14" ht="14.4" hidden="1">
      <c r="A3700" t="s">
        <v>238</v>
      </c>
      <c r="B3700" s="1">
        <v>111</v>
      </c>
      <c r="C3700" s="258" t="s">
        <v>7889</v>
      </c>
      <c r="D3700" t="s">
        <v>1255</v>
      </c>
      <c r="E3700" t="s">
        <v>1175</v>
      </c>
      <c r="F3700"/>
      <c r="G3700">
        <v>0.2</v>
      </c>
      <c r="H3700" s="1">
        <v>4462.3599999999997</v>
      </c>
      <c r="I3700"/>
      <c r="J3700"/>
      <c r="K3700" s="170">
        <v>46081</v>
      </c>
      <c r="L3700" s="1">
        <v>8737.4814814814818</v>
      </c>
      <c r="M3700" s="1">
        <v>46081</v>
      </c>
    </row>
    <row r="3701" spans="1:14" ht="14.4" hidden="1">
      <c r="A3701" t="s">
        <v>238</v>
      </c>
      <c r="B3701" s="1">
        <v>112</v>
      </c>
      <c r="C3701" s="258" t="s">
        <v>7890</v>
      </c>
      <c r="D3701" t="s">
        <v>1255</v>
      </c>
      <c r="E3701" t="s">
        <v>1178</v>
      </c>
      <c r="F3701"/>
      <c r="G3701">
        <v>0.25</v>
      </c>
      <c r="H3701" s="1">
        <v>5577.95</v>
      </c>
      <c r="I3701"/>
      <c r="J3701"/>
      <c r="K3701" s="170">
        <v>46081</v>
      </c>
      <c r="L3701" s="1">
        <v>10921.851851851852</v>
      </c>
      <c r="M3701" s="1">
        <v>46081</v>
      </c>
    </row>
    <row r="3702" spans="1:14" ht="14.4" hidden="1">
      <c r="A3702" t="s">
        <v>238</v>
      </c>
      <c r="B3702" s="1">
        <v>113</v>
      </c>
      <c r="C3702" s="258" t="s">
        <v>7891</v>
      </c>
      <c r="D3702" t="s">
        <v>1255</v>
      </c>
      <c r="E3702" t="s">
        <v>1181</v>
      </c>
      <c r="F3702"/>
      <c r="G3702">
        <v>0.1</v>
      </c>
      <c r="H3702" s="1">
        <v>2231.1799999999998</v>
      </c>
      <c r="I3702"/>
      <c r="J3702"/>
      <c r="K3702" s="170">
        <v>46081</v>
      </c>
      <c r="L3702" s="1">
        <v>4368.7407407407409</v>
      </c>
      <c r="M3702" s="1">
        <v>46081</v>
      </c>
    </row>
    <row r="3703" spans="1:14" ht="14.4" hidden="1">
      <c r="A3703" t="s">
        <v>238</v>
      </c>
      <c r="B3703" s="1">
        <v>114</v>
      </c>
      <c r="C3703" s="258" t="s">
        <v>7892</v>
      </c>
      <c r="D3703" t="s">
        <v>1255</v>
      </c>
      <c r="E3703" t="s">
        <v>1184</v>
      </c>
      <c r="F3703"/>
      <c r="G3703">
        <v>0.1</v>
      </c>
      <c r="H3703" s="1">
        <v>2231.1799999999998</v>
      </c>
      <c r="I3703"/>
      <c r="J3703"/>
      <c r="K3703" s="170">
        <v>46081</v>
      </c>
      <c r="L3703" s="1">
        <v>4368.7407407407409</v>
      </c>
      <c r="M3703" s="1">
        <v>46081</v>
      </c>
    </row>
    <row r="3704" spans="1:14" ht="14.4" hidden="1">
      <c r="A3704" t="s">
        <v>238</v>
      </c>
      <c r="B3704" s="1">
        <v>115</v>
      </c>
      <c r="C3704" s="258" t="s">
        <v>7893</v>
      </c>
      <c r="D3704" t="s">
        <v>1255</v>
      </c>
      <c r="E3704" t="s">
        <v>1187</v>
      </c>
      <c r="F3704"/>
      <c r="G3704">
        <v>0.05</v>
      </c>
      <c r="H3704" s="1">
        <v>1115.5899999999999</v>
      </c>
      <c r="I3704"/>
      <c r="J3704"/>
      <c r="K3704" s="170">
        <v>46081</v>
      </c>
      <c r="L3704" s="1">
        <v>2184.3703703703704</v>
      </c>
      <c r="M3704" s="1">
        <v>46081</v>
      </c>
    </row>
    <row r="3705" spans="1:14" ht="14.4" hidden="1">
      <c r="A3705" t="s">
        <v>238</v>
      </c>
      <c r="B3705" s="1">
        <v>116</v>
      </c>
      <c r="C3705" s="258" t="s">
        <v>7894</v>
      </c>
      <c r="D3705" t="s">
        <v>1255</v>
      </c>
      <c r="E3705" t="s">
        <v>1190</v>
      </c>
      <c r="F3705"/>
      <c r="G3705">
        <v>0.05</v>
      </c>
      <c r="H3705" s="1">
        <v>1115.5899999999999</v>
      </c>
      <c r="I3705"/>
      <c r="J3705"/>
      <c r="K3705" s="170">
        <v>46112</v>
      </c>
      <c r="L3705" s="1">
        <v>2184.3703703703704</v>
      </c>
      <c r="M3705" s="1">
        <v>46111</v>
      </c>
    </row>
    <row r="3706" spans="1:14" ht="14.4" hidden="1">
      <c r="A3706" t="s">
        <v>238</v>
      </c>
      <c r="B3706" s="1">
        <v>121</v>
      </c>
      <c r="C3706" s="258" t="s">
        <v>7895</v>
      </c>
      <c r="D3706" t="s">
        <v>1264</v>
      </c>
      <c r="E3706" t="s">
        <v>1265</v>
      </c>
      <c r="F3706"/>
      <c r="H3706" s="1">
        <v>12577.5</v>
      </c>
      <c r="I3706"/>
      <c r="J3706"/>
      <c r="K3706" s="170">
        <v>46081</v>
      </c>
      <c r="L3706" s="1">
        <v>21815.368052751983</v>
      </c>
      <c r="M3706" s="1">
        <v>46073</v>
      </c>
      <c r="N3706" s="1">
        <v>18577.5</v>
      </c>
    </row>
    <row r="3707" spans="1:14" ht="14.4" hidden="1">
      <c r="A3707" t="s">
        <v>238</v>
      </c>
      <c r="B3707" s="1">
        <v>122</v>
      </c>
      <c r="C3707" s="258" t="s">
        <v>7896</v>
      </c>
      <c r="D3707" t="s">
        <v>1264</v>
      </c>
      <c r="E3707" t="s">
        <v>1268</v>
      </c>
      <c r="F3707"/>
      <c r="H3707" s="1">
        <v>0</v>
      </c>
      <c r="I3707"/>
      <c r="J3707"/>
      <c r="K3707" s="170"/>
      <c r="L3707" s="1">
        <v>0</v>
      </c>
    </row>
    <row r="3708" spans="1:14" ht="14.4" hidden="1">
      <c r="A3708" t="s">
        <v>238</v>
      </c>
      <c r="B3708" s="1">
        <v>124</v>
      </c>
      <c r="C3708" s="258" t="s">
        <v>7897</v>
      </c>
      <c r="D3708" t="s">
        <v>1264</v>
      </c>
      <c r="E3708" t="s">
        <v>808</v>
      </c>
      <c r="F3708"/>
      <c r="H3708" s="1">
        <v>6000</v>
      </c>
      <c r="I3708"/>
      <c r="J3708"/>
      <c r="K3708" s="170">
        <v>46081</v>
      </c>
      <c r="L3708" s="1">
        <v>10406.854169470236</v>
      </c>
      <c r="M3708" s="1">
        <v>46081</v>
      </c>
    </row>
    <row r="3709" spans="1:14" ht="14.4" hidden="1">
      <c r="A3709" t="s">
        <v>238</v>
      </c>
      <c r="B3709" s="1">
        <v>127</v>
      </c>
      <c r="C3709" s="258" t="s">
        <v>7898</v>
      </c>
      <c r="D3709" t="s">
        <v>1274</v>
      </c>
      <c r="E3709" t="s">
        <v>1275</v>
      </c>
      <c r="F3709"/>
      <c r="H3709" s="1">
        <v>0</v>
      </c>
      <c r="I3709"/>
      <c r="J3709"/>
      <c r="K3709" s="170" t="s">
        <v>51</v>
      </c>
      <c r="N3709" s="1">
        <v>0</v>
      </c>
    </row>
    <row r="3710" spans="1:14" ht="14.4" hidden="1">
      <c r="A3710" t="s">
        <v>238</v>
      </c>
      <c r="B3710" s="1">
        <v>130</v>
      </c>
      <c r="C3710" s="258" t="s">
        <v>7899</v>
      </c>
      <c r="D3710" t="s">
        <v>1277</v>
      </c>
      <c r="E3710" t="s">
        <v>1278</v>
      </c>
      <c r="F3710"/>
      <c r="H3710" s="1">
        <v>0</v>
      </c>
      <c r="I3710"/>
      <c r="J3710" t="s">
        <v>7900</v>
      </c>
      <c r="K3710" s="170">
        <v>46053</v>
      </c>
      <c r="L3710" s="1">
        <v>15121.332421772067</v>
      </c>
      <c r="M3710" s="1">
        <v>46081</v>
      </c>
      <c r="N3710" s="1">
        <v>0</v>
      </c>
    </row>
    <row r="3711" spans="1:14" ht="14.4" hidden="1">
      <c r="A3711" t="s">
        <v>238</v>
      </c>
      <c r="B3711" s="1">
        <v>137</v>
      </c>
      <c r="C3711" s="258" t="s">
        <v>7901</v>
      </c>
      <c r="D3711" t="s">
        <v>1280</v>
      </c>
      <c r="E3711" t="s">
        <v>1281</v>
      </c>
      <c r="F3711"/>
      <c r="H3711" s="1">
        <v>428.4</v>
      </c>
      <c r="I3711"/>
      <c r="J3711" t="s">
        <v>1604</v>
      </c>
      <c r="K3711" s="170">
        <v>45991</v>
      </c>
      <c r="L3711" s="1">
        <v>521.24397722295214</v>
      </c>
      <c r="M3711" s="1">
        <v>45996</v>
      </c>
      <c r="N3711" s="1">
        <v>3111.7799999999997</v>
      </c>
    </row>
    <row r="3712" spans="1:14" ht="14.4" hidden="1">
      <c r="A3712" t="s">
        <v>238</v>
      </c>
      <c r="B3712" s="1">
        <v>138</v>
      </c>
      <c r="C3712" s="258" t="s">
        <v>7902</v>
      </c>
      <c r="D3712" t="s">
        <v>1280</v>
      </c>
      <c r="E3712" t="s">
        <v>1281</v>
      </c>
      <c r="F3712"/>
      <c r="H3712" s="1">
        <v>456.96</v>
      </c>
      <c r="I3712"/>
      <c r="J3712" t="s">
        <v>1604</v>
      </c>
      <c r="K3712" s="170">
        <v>46022</v>
      </c>
      <c r="L3712" s="1">
        <v>606.40805146824641</v>
      </c>
      <c r="M3712" s="1">
        <v>46030</v>
      </c>
    </row>
    <row r="3713" spans="1:14" ht="14.4" hidden="1">
      <c r="A3713" t="s">
        <v>238</v>
      </c>
      <c r="B3713" s="1">
        <v>139</v>
      </c>
      <c r="C3713" s="258" t="s">
        <v>7903</v>
      </c>
      <c r="D3713" t="s">
        <v>1280</v>
      </c>
      <c r="E3713" t="s">
        <v>1281</v>
      </c>
      <c r="F3713"/>
      <c r="H3713" s="1">
        <v>913.92</v>
      </c>
      <c r="I3713"/>
      <c r="J3713" t="s">
        <v>1604</v>
      </c>
      <c r="K3713" s="170">
        <v>46053</v>
      </c>
      <c r="L3713" s="1">
        <v>558.8058275970667</v>
      </c>
      <c r="M3713" s="1">
        <v>46058</v>
      </c>
    </row>
    <row r="3714" spans="1:14" ht="14.4" hidden="1">
      <c r="A3714" t="s">
        <v>238</v>
      </c>
      <c r="B3714" s="1">
        <v>140</v>
      </c>
      <c r="C3714" s="258" t="s">
        <v>7904</v>
      </c>
      <c r="D3714" t="s">
        <v>1280</v>
      </c>
      <c r="E3714" t="s">
        <v>1281</v>
      </c>
      <c r="F3714"/>
      <c r="H3714" s="1">
        <v>656.25</v>
      </c>
      <c r="I3714"/>
      <c r="J3714"/>
      <c r="K3714" s="170">
        <v>46081</v>
      </c>
      <c r="L3714" s="1">
        <v>615.10212804247089</v>
      </c>
      <c r="M3714" s="1">
        <v>46081</v>
      </c>
    </row>
    <row r="3715" spans="1:14" ht="14.4" hidden="1">
      <c r="A3715" t="s">
        <v>238</v>
      </c>
      <c r="B3715" s="1">
        <v>141</v>
      </c>
      <c r="C3715" s="258" t="s">
        <v>7905</v>
      </c>
      <c r="D3715" t="s">
        <v>1280</v>
      </c>
      <c r="E3715" t="s">
        <v>1281</v>
      </c>
      <c r="F3715"/>
      <c r="H3715" s="1">
        <v>656.25</v>
      </c>
      <c r="I3715"/>
      <c r="J3715"/>
      <c r="K3715" s="170">
        <v>46112</v>
      </c>
      <c r="L3715" s="1">
        <v>615.10212804247089</v>
      </c>
      <c r="M3715" s="1">
        <v>46121</v>
      </c>
    </row>
    <row r="3716" spans="1:14" ht="14.4" hidden="1">
      <c r="A3716" t="s">
        <v>238</v>
      </c>
      <c r="B3716" s="1">
        <v>150</v>
      </c>
      <c r="C3716" s="258" t="s">
        <v>7906</v>
      </c>
      <c r="D3716" t="s">
        <v>1451</v>
      </c>
      <c r="E3716" t="s">
        <v>7907</v>
      </c>
      <c r="F3716"/>
      <c r="H3716" s="1">
        <v>450</v>
      </c>
      <c r="I3716"/>
      <c r="J3716" t="s">
        <v>7908</v>
      </c>
      <c r="K3716" s="170">
        <v>45991</v>
      </c>
      <c r="M3716" s="1">
        <v>45932</v>
      </c>
      <c r="N3716" s="1">
        <v>34347</v>
      </c>
    </row>
    <row r="3717" spans="1:14" ht="14.4" hidden="1">
      <c r="A3717" t="s">
        <v>238</v>
      </c>
      <c r="B3717" s="1">
        <v>151</v>
      </c>
      <c r="C3717" s="258" t="s">
        <v>7909</v>
      </c>
      <c r="D3717" t="s">
        <v>1451</v>
      </c>
      <c r="E3717" t="s">
        <v>7910</v>
      </c>
      <c r="F3717"/>
      <c r="H3717" s="1">
        <v>30000</v>
      </c>
      <c r="I3717" t="s">
        <v>7911</v>
      </c>
      <c r="J3717" t="s">
        <v>7912</v>
      </c>
      <c r="K3717" s="170">
        <v>46081</v>
      </c>
      <c r="M3717" s="1">
        <v>46065</v>
      </c>
    </row>
    <row r="3718" spans="1:14" ht="14.4" hidden="1">
      <c r="A3718" t="s">
        <v>238</v>
      </c>
      <c r="B3718" s="1">
        <v>152</v>
      </c>
      <c r="C3718" s="258" t="s">
        <v>7913</v>
      </c>
      <c r="D3718" t="s">
        <v>1451</v>
      </c>
      <c r="E3718" t="s">
        <v>7914</v>
      </c>
      <c r="F3718"/>
      <c r="H3718" s="1">
        <v>3897</v>
      </c>
      <c r="I3718" t="s">
        <v>7915</v>
      </c>
      <c r="J3718"/>
      <c r="K3718" s="170">
        <v>46081</v>
      </c>
      <c r="M3718" s="1">
        <v>46067</v>
      </c>
    </row>
    <row r="3719" spans="1:14" ht="14.4" hidden="1">
      <c r="A3719" t="s">
        <v>536</v>
      </c>
      <c r="B3719" s="1">
        <v>6</v>
      </c>
      <c r="C3719" s="258" t="s">
        <v>7916</v>
      </c>
      <c r="D3719" t="s">
        <v>1146</v>
      </c>
      <c r="E3719" t="s">
        <v>7917</v>
      </c>
      <c r="F3719">
        <v>564.51612903225805</v>
      </c>
      <c r="G3719">
        <v>1433.5</v>
      </c>
      <c r="H3719" s="1">
        <v>809233.87096774194</v>
      </c>
      <c r="I3719"/>
      <c r="J3719"/>
      <c r="K3719" s="170">
        <v>46112</v>
      </c>
      <c r="L3719" s="1">
        <v>901927.56705882354</v>
      </c>
      <c r="M3719" s="1">
        <v>46166</v>
      </c>
      <c r="N3719" s="1">
        <v>809233.87096774194</v>
      </c>
    </row>
    <row r="3720" spans="1:14" ht="14.4" hidden="1">
      <c r="A3720" t="s">
        <v>536</v>
      </c>
      <c r="B3720" s="1">
        <v>14</v>
      </c>
      <c r="C3720" s="258" t="s">
        <v>7918</v>
      </c>
      <c r="D3720" t="s">
        <v>1157</v>
      </c>
      <c r="E3720" t="s">
        <v>1369</v>
      </c>
      <c r="F3720">
        <v>3</v>
      </c>
      <c r="G3720">
        <v>68000</v>
      </c>
      <c r="H3720" s="1">
        <v>204000</v>
      </c>
      <c r="I3720"/>
      <c r="J3720"/>
      <c r="K3720" s="170">
        <v>46112</v>
      </c>
      <c r="L3720" s="1">
        <v>243070.58823529413</v>
      </c>
      <c r="M3720" s="1">
        <v>46166</v>
      </c>
    </row>
    <row r="3721" spans="1:14" ht="14.4" hidden="1">
      <c r="A3721" t="s">
        <v>536</v>
      </c>
      <c r="B3721" s="1">
        <v>21</v>
      </c>
      <c r="C3721" s="258" t="s">
        <v>7919</v>
      </c>
      <c r="D3721" t="s">
        <v>1160</v>
      </c>
      <c r="E3721" t="s">
        <v>1161</v>
      </c>
      <c r="F3721"/>
      <c r="H3721" s="1">
        <v>80000</v>
      </c>
      <c r="I3721"/>
      <c r="J3721"/>
      <c r="K3721" s="170">
        <v>46112</v>
      </c>
      <c r="L3721" s="1">
        <v>164555.29411764705</v>
      </c>
      <c r="M3721" s="1">
        <v>46142</v>
      </c>
      <c r="N3721" s="1">
        <v>80000</v>
      </c>
    </row>
    <row r="3722" spans="1:14" ht="14.4" hidden="1">
      <c r="A3722" t="s">
        <v>536</v>
      </c>
      <c r="B3722" s="1">
        <v>28</v>
      </c>
      <c r="C3722" s="258" t="s">
        <v>7920</v>
      </c>
      <c r="D3722" t="s">
        <v>1165</v>
      </c>
      <c r="E3722" t="s">
        <v>836</v>
      </c>
      <c r="F3722">
        <v>8000</v>
      </c>
      <c r="G3722">
        <v>14</v>
      </c>
      <c r="H3722" s="1">
        <v>112000</v>
      </c>
      <c r="I3722"/>
      <c r="J3722"/>
      <c r="K3722" s="170">
        <v>46112</v>
      </c>
      <c r="L3722" s="1">
        <v>130992.34791015075</v>
      </c>
      <c r="M3722" s="1">
        <v>46166</v>
      </c>
      <c r="N3722" s="1">
        <v>228564.66500000001</v>
      </c>
    </row>
    <row r="3723" spans="1:14" ht="14.4" hidden="1">
      <c r="A3723" t="s">
        <v>536</v>
      </c>
      <c r="B3723" s="1">
        <v>32</v>
      </c>
      <c r="C3723" s="258" t="s">
        <v>7921</v>
      </c>
      <c r="D3723" t="s">
        <v>1165</v>
      </c>
      <c r="E3723" t="s">
        <v>1169</v>
      </c>
      <c r="F3723">
        <v>116564.66499999999</v>
      </c>
      <c r="G3723">
        <v>0.1</v>
      </c>
      <c r="H3723" s="1">
        <v>11656.4665</v>
      </c>
      <c r="I3723"/>
      <c r="J3723"/>
      <c r="K3723" s="170">
        <v>46112</v>
      </c>
      <c r="L3723" s="1">
        <v>13633.106385455512</v>
      </c>
      <c r="M3723" s="1">
        <v>46105</v>
      </c>
    </row>
    <row r="3724" spans="1:14" ht="14.4" hidden="1">
      <c r="A3724" t="s">
        <v>536</v>
      </c>
      <c r="B3724" s="1">
        <v>33</v>
      </c>
      <c r="C3724" s="258" t="s">
        <v>7922</v>
      </c>
      <c r="D3724" t="s">
        <v>1165</v>
      </c>
      <c r="E3724" t="s">
        <v>558</v>
      </c>
      <c r="F3724"/>
      <c r="G3724">
        <v>0.15</v>
      </c>
      <c r="H3724" s="1">
        <v>17484.69975</v>
      </c>
      <c r="I3724"/>
      <c r="J3724"/>
      <c r="K3724" s="170">
        <v>46112</v>
      </c>
      <c r="L3724" s="1">
        <v>20449.659578183269</v>
      </c>
      <c r="M3724" s="1">
        <v>46105</v>
      </c>
    </row>
    <row r="3725" spans="1:14" ht="14.4" hidden="1">
      <c r="A3725" t="s">
        <v>536</v>
      </c>
      <c r="B3725" s="1">
        <v>34</v>
      </c>
      <c r="C3725" s="258" t="s">
        <v>7923</v>
      </c>
      <c r="D3725" t="s">
        <v>1165</v>
      </c>
      <c r="E3725" t="s">
        <v>1175</v>
      </c>
      <c r="F3725"/>
      <c r="G3725">
        <v>0.2</v>
      </c>
      <c r="H3725" s="1">
        <v>23312.933000000001</v>
      </c>
      <c r="I3725"/>
      <c r="J3725"/>
      <c r="K3725" s="170">
        <v>46142</v>
      </c>
      <c r="L3725" s="1">
        <v>27266.212770911025</v>
      </c>
      <c r="M3725" s="1">
        <v>46136</v>
      </c>
    </row>
    <row r="3726" spans="1:14" ht="14.4" hidden="1">
      <c r="A3726" t="s">
        <v>536</v>
      </c>
      <c r="B3726" s="1">
        <v>35</v>
      </c>
      <c r="C3726" s="258" t="s">
        <v>7924</v>
      </c>
      <c r="D3726" t="s">
        <v>1165</v>
      </c>
      <c r="E3726" t="s">
        <v>1178</v>
      </c>
      <c r="F3726"/>
      <c r="G3726">
        <v>0.25</v>
      </c>
      <c r="H3726" s="1">
        <v>29141.166249999998</v>
      </c>
      <c r="I3726"/>
      <c r="J3726"/>
      <c r="K3726" s="170">
        <v>46142</v>
      </c>
      <c r="L3726" s="1">
        <v>34082.765963638783</v>
      </c>
      <c r="M3726" s="1">
        <v>46141</v>
      </c>
    </row>
    <row r="3727" spans="1:14" ht="14.4" hidden="1">
      <c r="A3727" t="s">
        <v>536</v>
      </c>
      <c r="B3727" s="1">
        <v>36</v>
      </c>
      <c r="C3727" s="258" t="s">
        <v>7925</v>
      </c>
      <c r="D3727" t="s">
        <v>1165</v>
      </c>
      <c r="E3727" t="s">
        <v>1181</v>
      </c>
      <c r="F3727"/>
      <c r="G3727">
        <v>0.1</v>
      </c>
      <c r="H3727" s="1">
        <v>11656.4665</v>
      </c>
      <c r="I3727"/>
      <c r="J3727"/>
      <c r="K3727" s="170">
        <v>46173</v>
      </c>
      <c r="L3727" s="1">
        <v>13633.106385455512</v>
      </c>
      <c r="M3727" s="1">
        <v>46154</v>
      </c>
    </row>
    <row r="3728" spans="1:14" ht="14.4" hidden="1">
      <c r="A3728" t="s">
        <v>536</v>
      </c>
      <c r="B3728" s="1">
        <v>37</v>
      </c>
      <c r="C3728" s="258" t="s">
        <v>7926</v>
      </c>
      <c r="D3728" t="s">
        <v>1165</v>
      </c>
      <c r="E3728" t="s">
        <v>1184</v>
      </c>
      <c r="F3728"/>
      <c r="G3728">
        <v>0.1</v>
      </c>
      <c r="H3728" s="1">
        <v>11656.4665</v>
      </c>
      <c r="I3728"/>
      <c r="J3728"/>
      <c r="K3728" s="170">
        <v>46173</v>
      </c>
      <c r="L3728" s="1">
        <v>13633.106385455512</v>
      </c>
      <c r="M3728" s="1">
        <v>46155</v>
      </c>
    </row>
    <row r="3729" spans="1:14" ht="14.4" hidden="1">
      <c r="A3729" t="s">
        <v>536</v>
      </c>
      <c r="B3729" s="1">
        <v>38</v>
      </c>
      <c r="C3729" s="258" t="s">
        <v>7927</v>
      </c>
      <c r="D3729" t="s">
        <v>1165</v>
      </c>
      <c r="E3729" t="s">
        <v>1187</v>
      </c>
      <c r="F3729"/>
      <c r="G3729">
        <v>0.05</v>
      </c>
      <c r="H3729" s="1">
        <v>5828.2332500000002</v>
      </c>
      <c r="I3729"/>
      <c r="J3729"/>
      <c r="K3729" s="170">
        <v>46173</v>
      </c>
      <c r="L3729" s="1">
        <v>6816.5531927277561</v>
      </c>
      <c r="M3729" s="1">
        <v>46155</v>
      </c>
    </row>
    <row r="3730" spans="1:14" ht="14.4" hidden="1">
      <c r="A3730" t="s">
        <v>536</v>
      </c>
      <c r="B3730" s="1">
        <v>39</v>
      </c>
      <c r="C3730" s="258" t="s">
        <v>7928</v>
      </c>
      <c r="D3730" t="s">
        <v>1165</v>
      </c>
      <c r="E3730" t="s">
        <v>1190</v>
      </c>
      <c r="F3730"/>
      <c r="G3730">
        <v>0.05</v>
      </c>
      <c r="H3730" s="1">
        <v>5828.2332500000002</v>
      </c>
      <c r="I3730"/>
      <c r="J3730"/>
      <c r="K3730" s="170">
        <v>46203</v>
      </c>
      <c r="L3730" s="1">
        <v>6816.5531927277561</v>
      </c>
      <c r="M3730" s="1">
        <v>46178</v>
      </c>
    </row>
    <row r="3731" spans="1:14" ht="14.4" hidden="1">
      <c r="A3731" t="s">
        <v>536</v>
      </c>
      <c r="B3731" s="1">
        <v>44</v>
      </c>
      <c r="C3731" s="258" t="s">
        <v>7929</v>
      </c>
      <c r="D3731" t="s">
        <v>1193</v>
      </c>
      <c r="E3731" t="s">
        <v>1302</v>
      </c>
      <c r="F3731"/>
      <c r="H3731" s="1">
        <v>8500</v>
      </c>
      <c r="I3731"/>
      <c r="J3731"/>
      <c r="K3731" s="170">
        <v>46112</v>
      </c>
      <c r="L3731" s="1">
        <v>9898.9898989898993</v>
      </c>
      <c r="M3731" s="1">
        <v>46166</v>
      </c>
      <c r="N3731" s="1">
        <v>49500</v>
      </c>
    </row>
    <row r="3732" spans="1:14" ht="14.4" hidden="1">
      <c r="A3732" t="s">
        <v>536</v>
      </c>
      <c r="B3732" s="1">
        <v>45</v>
      </c>
      <c r="C3732" s="258" t="s">
        <v>7930</v>
      </c>
      <c r="D3732" t="s">
        <v>1193</v>
      </c>
      <c r="E3732" t="s">
        <v>1304</v>
      </c>
      <c r="F3732"/>
      <c r="H3732" s="1">
        <v>26000</v>
      </c>
      <c r="I3732"/>
      <c r="J3732"/>
      <c r="K3732" s="170">
        <v>46112</v>
      </c>
      <c r="L3732" s="1">
        <v>30279.263220439698</v>
      </c>
      <c r="M3732" s="1">
        <v>46142</v>
      </c>
    </row>
    <row r="3733" spans="1:14" ht="14.4" hidden="1">
      <c r="A3733" t="s">
        <v>536</v>
      </c>
      <c r="B3733" s="1">
        <v>46</v>
      </c>
      <c r="C3733" s="258" t="s">
        <v>7931</v>
      </c>
      <c r="D3733" t="s">
        <v>1193</v>
      </c>
      <c r="E3733" t="s">
        <v>1306</v>
      </c>
      <c r="F3733"/>
      <c r="H3733" s="1">
        <v>15000</v>
      </c>
      <c r="I3733"/>
      <c r="J3733"/>
      <c r="K3733" s="170">
        <v>46112</v>
      </c>
      <c r="L3733" s="1">
        <v>17468.805704099821</v>
      </c>
      <c r="M3733" s="1">
        <v>46142</v>
      </c>
    </row>
    <row r="3734" spans="1:14" ht="14.4" hidden="1">
      <c r="A3734" t="s">
        <v>536</v>
      </c>
      <c r="B3734" s="1">
        <v>53</v>
      </c>
      <c r="C3734" s="258" t="s">
        <v>7932</v>
      </c>
      <c r="D3734" t="s">
        <v>1211</v>
      </c>
      <c r="E3734" t="s">
        <v>1212</v>
      </c>
      <c r="F3734"/>
      <c r="H3734" s="1">
        <v>134235.32</v>
      </c>
      <c r="I3734" t="s">
        <v>7933</v>
      </c>
      <c r="J3734"/>
      <c r="K3734" s="170">
        <v>46112</v>
      </c>
      <c r="L3734" s="1">
        <v>320219.52584043448</v>
      </c>
      <c r="M3734" s="1">
        <v>46142</v>
      </c>
    </row>
    <row r="3735" spans="1:14" ht="14.4" hidden="1">
      <c r="A3735" t="s">
        <v>536</v>
      </c>
      <c r="B3735" s="1">
        <v>58</v>
      </c>
      <c r="C3735" s="258" t="s">
        <v>7934</v>
      </c>
      <c r="D3735" t="s">
        <v>1211</v>
      </c>
      <c r="E3735" t="s">
        <v>1169</v>
      </c>
      <c r="F3735">
        <v>73081.571086956479</v>
      </c>
      <c r="G3735">
        <v>0.1</v>
      </c>
      <c r="H3735" s="1">
        <v>7308.1571086956483</v>
      </c>
      <c r="I3735"/>
      <c r="J3735"/>
      <c r="K3735" s="170">
        <v>46112</v>
      </c>
      <c r="L3735" s="1">
        <v>17433.672479895162</v>
      </c>
      <c r="M3735" s="1">
        <v>46105</v>
      </c>
    </row>
    <row r="3736" spans="1:14" ht="14.4" hidden="1">
      <c r="A3736" t="s">
        <v>536</v>
      </c>
      <c r="B3736" s="1">
        <v>59</v>
      </c>
      <c r="C3736" s="258" t="s">
        <v>7935</v>
      </c>
      <c r="D3736" t="s">
        <v>1211</v>
      </c>
      <c r="E3736" t="s">
        <v>558</v>
      </c>
      <c r="F3736"/>
      <c r="G3736">
        <v>0.15</v>
      </c>
      <c r="H3736" s="1">
        <v>10962.235663043472</v>
      </c>
      <c r="I3736"/>
      <c r="J3736"/>
      <c r="K3736" s="170">
        <v>46112</v>
      </c>
      <c r="L3736" s="1">
        <v>26150.508719842743</v>
      </c>
      <c r="M3736" s="1">
        <v>46105</v>
      </c>
    </row>
    <row r="3737" spans="1:14" ht="14.4" hidden="1">
      <c r="A3737" t="s">
        <v>536</v>
      </c>
      <c r="B3737" s="1">
        <v>60</v>
      </c>
      <c r="C3737" s="258" t="s">
        <v>7936</v>
      </c>
      <c r="D3737" t="s">
        <v>1211</v>
      </c>
      <c r="E3737" t="s">
        <v>1175</v>
      </c>
      <c r="F3737"/>
      <c r="G3737">
        <v>0.2</v>
      </c>
      <c r="H3737" s="1">
        <v>14616.314217391297</v>
      </c>
      <c r="I3737"/>
      <c r="J3737"/>
      <c r="K3737" s="170">
        <v>46142</v>
      </c>
      <c r="L3737" s="1">
        <v>34867.344959790324</v>
      </c>
      <c r="M3737" s="1">
        <v>46136</v>
      </c>
    </row>
    <row r="3738" spans="1:14" ht="14.4" hidden="1">
      <c r="A3738" t="s">
        <v>536</v>
      </c>
      <c r="B3738" s="1">
        <v>61</v>
      </c>
      <c r="C3738" s="258" t="s">
        <v>7937</v>
      </c>
      <c r="D3738" t="s">
        <v>1211</v>
      </c>
      <c r="E3738" t="s">
        <v>1178</v>
      </c>
      <c r="F3738"/>
      <c r="G3738">
        <v>0.25</v>
      </c>
      <c r="H3738" s="1">
        <v>18270.39277173912</v>
      </c>
      <c r="I3738"/>
      <c r="J3738"/>
      <c r="K3738" s="170">
        <v>46142</v>
      </c>
      <c r="L3738" s="1">
        <v>43584.181199737905</v>
      </c>
      <c r="M3738" s="1">
        <v>46141</v>
      </c>
    </row>
    <row r="3739" spans="1:14" ht="14.4" hidden="1">
      <c r="A3739" t="s">
        <v>536</v>
      </c>
      <c r="B3739" s="1">
        <v>62</v>
      </c>
      <c r="C3739" s="258" t="s">
        <v>7938</v>
      </c>
      <c r="D3739" t="s">
        <v>1211</v>
      </c>
      <c r="E3739" t="s">
        <v>1181</v>
      </c>
      <c r="F3739"/>
      <c r="G3739">
        <v>0.1</v>
      </c>
      <c r="H3739" s="1">
        <v>7308.1571086956483</v>
      </c>
      <c r="I3739"/>
      <c r="J3739"/>
      <c r="K3739" s="170">
        <v>46173</v>
      </c>
      <c r="L3739" s="1">
        <v>17433.672479895162</v>
      </c>
      <c r="M3739" s="1">
        <v>46154</v>
      </c>
    </row>
    <row r="3740" spans="1:14" ht="14.4" hidden="1">
      <c r="A3740" t="s">
        <v>536</v>
      </c>
      <c r="B3740" s="1">
        <v>63</v>
      </c>
      <c r="C3740" s="258" t="s">
        <v>7939</v>
      </c>
      <c r="D3740" t="s">
        <v>1211</v>
      </c>
      <c r="E3740" t="s">
        <v>1184</v>
      </c>
      <c r="F3740"/>
      <c r="G3740">
        <v>0.1</v>
      </c>
      <c r="H3740" s="1">
        <v>7308.1571086956483</v>
      </c>
      <c r="I3740"/>
      <c r="J3740"/>
      <c r="K3740" s="170">
        <v>46173</v>
      </c>
      <c r="L3740" s="1">
        <v>17433.672479895162</v>
      </c>
      <c r="M3740" s="1">
        <v>46155</v>
      </c>
    </row>
    <row r="3741" spans="1:14" ht="14.4" hidden="1">
      <c r="A3741" t="s">
        <v>536</v>
      </c>
      <c r="B3741" s="1">
        <v>64</v>
      </c>
      <c r="C3741" s="258" t="s">
        <v>7940</v>
      </c>
      <c r="D3741" t="s">
        <v>1211</v>
      </c>
      <c r="E3741" t="s">
        <v>1187</v>
      </c>
      <c r="F3741"/>
      <c r="G3741">
        <v>0.05</v>
      </c>
      <c r="H3741" s="1">
        <v>3654.0785543478241</v>
      </c>
      <c r="I3741"/>
      <c r="J3741"/>
      <c r="K3741" s="170">
        <v>46173</v>
      </c>
      <c r="L3741" s="1">
        <v>8716.8362399475809</v>
      </c>
      <c r="M3741" s="1">
        <v>46155</v>
      </c>
    </row>
    <row r="3742" spans="1:14" ht="14.4" hidden="1">
      <c r="A3742" t="s">
        <v>536</v>
      </c>
      <c r="B3742" s="1">
        <v>65</v>
      </c>
      <c r="C3742" s="258" t="s">
        <v>7941</v>
      </c>
      <c r="D3742" t="s">
        <v>1211</v>
      </c>
      <c r="E3742" t="s">
        <v>1190</v>
      </c>
      <c r="F3742"/>
      <c r="G3742">
        <v>0.05</v>
      </c>
      <c r="H3742" s="1">
        <v>3654.0785543478241</v>
      </c>
      <c r="I3742"/>
      <c r="J3742"/>
      <c r="K3742" s="170">
        <v>46203</v>
      </c>
      <c r="L3742" s="1">
        <v>8716.8362399475809</v>
      </c>
      <c r="M3742" s="1">
        <v>46178</v>
      </c>
    </row>
    <row r="3743" spans="1:14" ht="14.4" hidden="1">
      <c r="A3743" t="s">
        <v>536</v>
      </c>
      <c r="B3743" s="1">
        <v>80</v>
      </c>
      <c r="C3743" s="258" t="s">
        <v>7942</v>
      </c>
      <c r="D3743" t="s">
        <v>1224</v>
      </c>
      <c r="E3743" t="s">
        <v>3319</v>
      </c>
      <c r="F3743"/>
      <c r="H3743" s="1">
        <v>55000</v>
      </c>
      <c r="I3743"/>
      <c r="J3743"/>
      <c r="K3743" s="170">
        <v>46112</v>
      </c>
      <c r="L3743" s="1">
        <v>62459.150326797389</v>
      </c>
      <c r="M3743" s="1">
        <v>46098</v>
      </c>
    </row>
    <row r="3744" spans="1:14" ht="14.4" hidden="1">
      <c r="A3744" t="s">
        <v>536</v>
      </c>
      <c r="B3744" s="1">
        <v>81</v>
      </c>
      <c r="C3744" s="258" t="s">
        <v>7943</v>
      </c>
      <c r="D3744" t="s">
        <v>1224</v>
      </c>
      <c r="E3744" t="s">
        <v>611</v>
      </c>
      <c r="F3744"/>
      <c r="H3744" s="1">
        <v>45000</v>
      </c>
      <c r="I3744"/>
      <c r="J3744"/>
      <c r="K3744" s="170">
        <v>46112</v>
      </c>
      <c r="L3744" s="1">
        <v>51102.941176470595</v>
      </c>
      <c r="M3744" s="1">
        <v>46098</v>
      </c>
    </row>
    <row r="3745" spans="1:13" ht="14.4" hidden="1">
      <c r="A3745" t="s">
        <v>536</v>
      </c>
      <c r="B3745" s="1">
        <v>82</v>
      </c>
      <c r="C3745" s="258" t="s">
        <v>7944</v>
      </c>
      <c r="D3745" t="s">
        <v>1224</v>
      </c>
      <c r="E3745" t="s">
        <v>1362</v>
      </c>
      <c r="F3745"/>
      <c r="H3745" s="1">
        <v>60000</v>
      </c>
      <c r="I3745"/>
      <c r="J3745"/>
      <c r="K3745" s="170">
        <v>46112</v>
      </c>
      <c r="L3745" s="1">
        <v>68137.254901960783</v>
      </c>
      <c r="M3745" s="1">
        <v>46098</v>
      </c>
    </row>
    <row r="3746" spans="1:13" ht="14.4" hidden="1">
      <c r="A3746" t="s">
        <v>536</v>
      </c>
      <c r="B3746" s="1">
        <v>90</v>
      </c>
      <c r="C3746" s="258" t="s">
        <v>7945</v>
      </c>
      <c r="D3746" t="s">
        <v>1246</v>
      </c>
      <c r="E3746" t="s">
        <v>1169</v>
      </c>
      <c r="F3746">
        <v>233707.50000000003</v>
      </c>
      <c r="G3746">
        <v>0.1</v>
      </c>
      <c r="H3746" s="1">
        <v>23370.750000000004</v>
      </c>
      <c r="I3746"/>
      <c r="J3746"/>
      <c r="K3746" s="170">
        <v>46112</v>
      </c>
      <c r="L3746" s="1">
        <v>30550.000000000007</v>
      </c>
      <c r="M3746" s="1">
        <v>46105</v>
      </c>
    </row>
    <row r="3747" spans="1:13" ht="14.4" hidden="1">
      <c r="A3747" t="s">
        <v>536</v>
      </c>
      <c r="B3747" s="1">
        <v>91</v>
      </c>
      <c r="C3747" s="258" t="s">
        <v>7946</v>
      </c>
      <c r="D3747" t="s">
        <v>1246</v>
      </c>
      <c r="E3747" t="s">
        <v>558</v>
      </c>
      <c r="F3747"/>
      <c r="G3747">
        <v>0.15</v>
      </c>
      <c r="H3747" s="1">
        <v>35056.125</v>
      </c>
      <c r="I3747"/>
      <c r="J3747"/>
      <c r="K3747" s="170">
        <v>46112</v>
      </c>
      <c r="L3747" s="1">
        <v>45825</v>
      </c>
      <c r="M3747" s="1">
        <v>46105</v>
      </c>
    </row>
    <row r="3748" spans="1:13" ht="14.4" hidden="1">
      <c r="A3748" t="s">
        <v>536</v>
      </c>
      <c r="B3748" s="1">
        <v>92</v>
      </c>
      <c r="C3748" s="258" t="s">
        <v>7947</v>
      </c>
      <c r="D3748" t="s">
        <v>1246</v>
      </c>
      <c r="E3748" t="s">
        <v>1175</v>
      </c>
      <c r="F3748"/>
      <c r="G3748">
        <v>0.2</v>
      </c>
      <c r="H3748" s="1">
        <v>46741.500000000007</v>
      </c>
      <c r="I3748"/>
      <c r="J3748"/>
      <c r="K3748" s="170">
        <v>46142</v>
      </c>
      <c r="L3748" s="1">
        <v>61100.000000000015</v>
      </c>
      <c r="M3748" s="1">
        <v>46136</v>
      </c>
    </row>
    <row r="3749" spans="1:13" ht="14.4" hidden="1">
      <c r="A3749" t="s">
        <v>536</v>
      </c>
      <c r="B3749" s="1">
        <v>93</v>
      </c>
      <c r="C3749" s="258" t="s">
        <v>7948</v>
      </c>
      <c r="D3749" t="s">
        <v>1246</v>
      </c>
      <c r="E3749" t="s">
        <v>1178</v>
      </c>
      <c r="F3749"/>
      <c r="G3749">
        <v>0.25</v>
      </c>
      <c r="H3749" s="1">
        <v>58426.875000000007</v>
      </c>
      <c r="I3749"/>
      <c r="J3749"/>
      <c r="K3749" s="170">
        <v>46142</v>
      </c>
      <c r="L3749" s="1">
        <v>76375.000000000015</v>
      </c>
      <c r="M3749" s="1">
        <v>46141</v>
      </c>
    </row>
    <row r="3750" spans="1:13" ht="14.4" hidden="1">
      <c r="A3750" t="s">
        <v>536</v>
      </c>
      <c r="B3750" s="1">
        <v>94</v>
      </c>
      <c r="C3750" s="258" t="s">
        <v>7949</v>
      </c>
      <c r="D3750" t="s">
        <v>1246</v>
      </c>
      <c r="E3750" t="s">
        <v>1181</v>
      </c>
      <c r="F3750"/>
      <c r="G3750">
        <v>0.1</v>
      </c>
      <c r="H3750" s="1">
        <v>23370.750000000004</v>
      </c>
      <c r="I3750"/>
      <c r="J3750"/>
      <c r="K3750" s="170">
        <v>46173</v>
      </c>
      <c r="L3750" s="1">
        <v>30550.000000000007</v>
      </c>
      <c r="M3750" s="1">
        <v>46154</v>
      </c>
    </row>
    <row r="3751" spans="1:13" ht="14.4" hidden="1">
      <c r="A3751" t="s">
        <v>536</v>
      </c>
      <c r="B3751" s="1">
        <v>95</v>
      </c>
      <c r="C3751" s="258" t="s">
        <v>7950</v>
      </c>
      <c r="D3751" t="s">
        <v>1246</v>
      </c>
      <c r="E3751" t="s">
        <v>1184</v>
      </c>
      <c r="F3751"/>
      <c r="G3751">
        <v>0.1</v>
      </c>
      <c r="H3751" s="1">
        <v>23370.750000000004</v>
      </c>
      <c r="I3751"/>
      <c r="J3751"/>
      <c r="K3751" s="170">
        <v>46173</v>
      </c>
      <c r="L3751" s="1">
        <v>30550.000000000007</v>
      </c>
      <c r="M3751" s="1">
        <v>46155</v>
      </c>
    </row>
    <row r="3752" spans="1:13" ht="14.4" hidden="1">
      <c r="A3752" t="s">
        <v>536</v>
      </c>
      <c r="B3752" s="1">
        <v>96</v>
      </c>
      <c r="C3752" s="258" t="s">
        <v>7951</v>
      </c>
      <c r="D3752" t="s">
        <v>1246</v>
      </c>
      <c r="E3752" t="s">
        <v>1187</v>
      </c>
      <c r="F3752"/>
      <c r="G3752">
        <v>0.05</v>
      </c>
      <c r="H3752" s="1">
        <v>11685.375000000002</v>
      </c>
      <c r="I3752"/>
      <c r="J3752"/>
      <c r="K3752" s="170">
        <v>46173</v>
      </c>
      <c r="L3752" s="1">
        <v>15275.000000000004</v>
      </c>
      <c r="M3752" s="1">
        <v>46155</v>
      </c>
    </row>
    <row r="3753" spans="1:13" ht="14.4" hidden="1">
      <c r="A3753" t="s">
        <v>536</v>
      </c>
      <c r="B3753" s="1">
        <v>97</v>
      </c>
      <c r="C3753" s="258" t="s">
        <v>7952</v>
      </c>
      <c r="D3753" t="s">
        <v>1246</v>
      </c>
      <c r="E3753" t="s">
        <v>1190</v>
      </c>
      <c r="F3753"/>
      <c r="G3753">
        <v>0.05</v>
      </c>
      <c r="H3753" s="1">
        <v>11685.375000000002</v>
      </c>
      <c r="I3753"/>
      <c r="J3753"/>
      <c r="K3753" s="170">
        <v>46203</v>
      </c>
      <c r="L3753" s="1">
        <v>15275.000000000004</v>
      </c>
      <c r="M3753" s="1">
        <v>46178</v>
      </c>
    </row>
    <row r="3754" spans="1:13" ht="14.4" hidden="1">
      <c r="A3754" t="s">
        <v>536</v>
      </c>
      <c r="B3754" s="1">
        <v>106</v>
      </c>
      <c r="C3754" s="258" t="s">
        <v>7953</v>
      </c>
      <c r="D3754" t="s">
        <v>1255</v>
      </c>
      <c r="E3754" t="s">
        <v>1169</v>
      </c>
      <c r="F3754">
        <v>19481.28222222222</v>
      </c>
      <c r="G3754">
        <v>0.1</v>
      </c>
      <c r="H3754" s="1">
        <v>1948.1282222222219</v>
      </c>
      <c r="I3754"/>
      <c r="J3754"/>
      <c r="K3754" s="170">
        <v>46112</v>
      </c>
      <c r="L3754" s="1">
        <v>2546.5728395061728</v>
      </c>
      <c r="M3754" s="1">
        <v>46105</v>
      </c>
    </row>
    <row r="3755" spans="1:13" ht="14.4" hidden="1">
      <c r="A3755" t="s">
        <v>536</v>
      </c>
      <c r="B3755" s="1">
        <v>107</v>
      </c>
      <c r="C3755" s="258" t="s">
        <v>7954</v>
      </c>
      <c r="D3755" t="s">
        <v>1255</v>
      </c>
      <c r="E3755" t="s">
        <v>558</v>
      </c>
      <c r="F3755"/>
      <c r="G3755">
        <v>0.15</v>
      </c>
      <c r="H3755" s="1">
        <v>2922.192333333333</v>
      </c>
      <c r="I3755"/>
      <c r="J3755"/>
      <c r="K3755" s="170">
        <v>46112</v>
      </c>
      <c r="L3755" s="1">
        <v>3819.859259259259</v>
      </c>
      <c r="M3755" s="1">
        <v>46105</v>
      </c>
    </row>
    <row r="3756" spans="1:13" ht="14.4" hidden="1">
      <c r="A3756" t="s">
        <v>536</v>
      </c>
      <c r="B3756" s="1">
        <v>108</v>
      </c>
      <c r="C3756" s="258" t="s">
        <v>7955</v>
      </c>
      <c r="D3756" t="s">
        <v>1255</v>
      </c>
      <c r="E3756" t="s">
        <v>1175</v>
      </c>
      <c r="F3756"/>
      <c r="G3756">
        <v>0.2</v>
      </c>
      <c r="H3756" s="1">
        <v>3896.2564444444438</v>
      </c>
      <c r="I3756"/>
      <c r="J3756"/>
      <c r="K3756" s="170">
        <v>46142</v>
      </c>
      <c r="L3756" s="1">
        <v>5093.1456790123457</v>
      </c>
      <c r="M3756" s="1">
        <v>46136</v>
      </c>
    </row>
    <row r="3757" spans="1:13" ht="14.4" hidden="1">
      <c r="A3757" t="s">
        <v>536</v>
      </c>
      <c r="B3757" s="1">
        <v>109</v>
      </c>
      <c r="C3757" s="258" t="s">
        <v>7956</v>
      </c>
      <c r="D3757" t="s">
        <v>1255</v>
      </c>
      <c r="E3757" t="s">
        <v>1178</v>
      </c>
      <c r="F3757"/>
      <c r="G3757">
        <v>0.25</v>
      </c>
      <c r="H3757" s="1">
        <v>4870.3205555555551</v>
      </c>
      <c r="I3757"/>
      <c r="J3757"/>
      <c r="K3757" s="170">
        <v>46142</v>
      </c>
      <c r="L3757" s="1">
        <v>6366.4320987654319</v>
      </c>
      <c r="M3757" s="1">
        <v>46141</v>
      </c>
    </row>
    <row r="3758" spans="1:13" ht="14.4" hidden="1">
      <c r="A3758" t="s">
        <v>536</v>
      </c>
      <c r="B3758" s="1">
        <v>110</v>
      </c>
      <c r="C3758" s="258" t="s">
        <v>7957</v>
      </c>
      <c r="D3758" t="s">
        <v>1255</v>
      </c>
      <c r="E3758" t="s">
        <v>1181</v>
      </c>
      <c r="F3758"/>
      <c r="G3758">
        <v>0.1</v>
      </c>
      <c r="H3758" s="1">
        <v>1948.1282222222219</v>
      </c>
      <c r="I3758"/>
      <c r="J3758"/>
      <c r="K3758" s="170">
        <v>46173</v>
      </c>
      <c r="L3758" s="1">
        <v>2546.5728395061728</v>
      </c>
      <c r="M3758" s="1">
        <v>46154</v>
      </c>
    </row>
    <row r="3759" spans="1:13" ht="14.4" hidden="1">
      <c r="A3759" t="s">
        <v>536</v>
      </c>
      <c r="B3759" s="1">
        <v>111</v>
      </c>
      <c r="C3759" s="258" t="s">
        <v>7958</v>
      </c>
      <c r="D3759" t="s">
        <v>1255</v>
      </c>
      <c r="E3759" t="s">
        <v>1184</v>
      </c>
      <c r="F3759"/>
      <c r="G3759">
        <v>0.1</v>
      </c>
      <c r="H3759" s="1">
        <v>1948.1282222222219</v>
      </c>
      <c r="I3759"/>
      <c r="J3759"/>
      <c r="K3759" s="170">
        <v>46173</v>
      </c>
      <c r="L3759" s="1">
        <v>2546.5728395061728</v>
      </c>
      <c r="M3759" s="1">
        <v>46155</v>
      </c>
    </row>
    <row r="3760" spans="1:13" ht="14.4" hidden="1">
      <c r="A3760" t="s">
        <v>536</v>
      </c>
      <c r="B3760" s="1">
        <v>112</v>
      </c>
      <c r="C3760" s="258" t="s">
        <v>7959</v>
      </c>
      <c r="D3760" t="s">
        <v>1255</v>
      </c>
      <c r="E3760" t="s">
        <v>1187</v>
      </c>
      <c r="F3760"/>
      <c r="G3760">
        <v>0.05</v>
      </c>
      <c r="H3760" s="1">
        <v>974.06411111111106</v>
      </c>
      <c r="I3760"/>
      <c r="J3760"/>
      <c r="K3760" s="170">
        <v>46173</v>
      </c>
      <c r="L3760" s="1">
        <v>1273.2864197530864</v>
      </c>
      <c r="M3760" s="1">
        <v>46155</v>
      </c>
    </row>
    <row r="3761" spans="1:14" ht="14.4" hidden="1">
      <c r="A3761" t="s">
        <v>536</v>
      </c>
      <c r="B3761" s="1">
        <v>113</v>
      </c>
      <c r="C3761" s="258" t="s">
        <v>7960</v>
      </c>
      <c r="D3761" t="s">
        <v>1255</v>
      </c>
      <c r="E3761" t="s">
        <v>1190</v>
      </c>
      <c r="F3761"/>
      <c r="G3761">
        <v>0.05</v>
      </c>
      <c r="H3761" s="1">
        <v>974.06411111111106</v>
      </c>
      <c r="I3761"/>
      <c r="J3761"/>
      <c r="K3761" s="170">
        <v>46203</v>
      </c>
      <c r="L3761" s="1">
        <v>1273.2864197530864</v>
      </c>
      <c r="M3761" s="1">
        <v>46178</v>
      </c>
    </row>
    <row r="3762" spans="1:14" ht="14.4" hidden="1">
      <c r="A3762" t="s">
        <v>536</v>
      </c>
      <c r="B3762" s="1">
        <v>118</v>
      </c>
      <c r="C3762" s="258" t="s">
        <v>7961</v>
      </c>
      <c r="D3762" t="s">
        <v>1264</v>
      </c>
      <c r="E3762" t="s">
        <v>1265</v>
      </c>
      <c r="F3762"/>
      <c r="H3762" s="1">
        <v>11000</v>
      </c>
      <c r="I3762"/>
      <c r="J3762"/>
      <c r="K3762" s="170">
        <v>46173</v>
      </c>
      <c r="L3762" s="1">
        <v>10126.984126984127</v>
      </c>
      <c r="M3762" s="1">
        <v>46161</v>
      </c>
      <c r="N3762" s="1">
        <v>35000</v>
      </c>
    </row>
    <row r="3763" spans="1:14" ht="14.4" hidden="1">
      <c r="A3763" t="s">
        <v>536</v>
      </c>
      <c r="B3763" s="1">
        <v>119</v>
      </c>
      <c r="C3763" s="258" t="s">
        <v>7962</v>
      </c>
      <c r="D3763" t="s">
        <v>1264</v>
      </c>
      <c r="E3763" t="s">
        <v>1268</v>
      </c>
      <c r="F3763"/>
      <c r="H3763" s="1">
        <v>18000</v>
      </c>
      <c r="I3763"/>
      <c r="J3763"/>
      <c r="K3763" s="170">
        <v>46173</v>
      </c>
      <c r="L3763" s="1">
        <v>16571.428571428569</v>
      </c>
      <c r="M3763" s="1">
        <v>46149</v>
      </c>
    </row>
    <row r="3764" spans="1:14" ht="14.4" hidden="1">
      <c r="A3764" t="s">
        <v>536</v>
      </c>
      <c r="B3764" s="1">
        <v>121</v>
      </c>
      <c r="C3764" s="258" t="s">
        <v>7963</v>
      </c>
      <c r="D3764" t="s">
        <v>1264</v>
      </c>
      <c r="E3764" t="s">
        <v>808</v>
      </c>
      <c r="F3764"/>
      <c r="H3764" s="1">
        <v>6000</v>
      </c>
      <c r="I3764"/>
      <c r="J3764"/>
      <c r="K3764" s="170">
        <v>46173</v>
      </c>
      <c r="L3764" s="1">
        <v>5523.8095238095239</v>
      </c>
      <c r="M3764" s="1">
        <v>46161</v>
      </c>
    </row>
    <row r="3765" spans="1:14" ht="14.4" hidden="1">
      <c r="A3765" t="s">
        <v>536</v>
      </c>
      <c r="B3765" s="1">
        <v>124</v>
      </c>
      <c r="C3765" s="258" t="s">
        <v>7964</v>
      </c>
      <c r="D3765" t="s">
        <v>1274</v>
      </c>
      <c r="E3765" t="s">
        <v>2101</v>
      </c>
      <c r="F3765"/>
      <c r="H3765" s="1">
        <v>35336.600681514545</v>
      </c>
      <c r="I3765"/>
      <c r="J3765"/>
      <c r="K3765" s="170">
        <v>46173</v>
      </c>
      <c r="M3765" s="1">
        <v>46147</v>
      </c>
      <c r="N3765" s="1">
        <v>35336.600681514545</v>
      </c>
    </row>
    <row r="3766" spans="1:14" ht="14.4" hidden="1">
      <c r="A3766" t="s">
        <v>536</v>
      </c>
      <c r="B3766" s="1">
        <v>127</v>
      </c>
      <c r="C3766" s="258" t="s">
        <v>7965</v>
      </c>
      <c r="D3766" t="s">
        <v>1277</v>
      </c>
      <c r="E3766" t="s">
        <v>1278</v>
      </c>
      <c r="F3766"/>
      <c r="H3766" s="1">
        <v>33977.50065530245</v>
      </c>
      <c r="I3766"/>
      <c r="J3766"/>
      <c r="K3766" s="170">
        <v>46173</v>
      </c>
      <c r="L3766" s="1">
        <v>30349.251428963551</v>
      </c>
      <c r="M3766" s="1">
        <v>46147</v>
      </c>
      <c r="N3766" s="1">
        <v>33977.50065530245</v>
      </c>
    </row>
    <row r="3767" spans="1:14" ht="14.4" hidden="1">
      <c r="A3767" t="s">
        <v>536</v>
      </c>
      <c r="B3767" s="1">
        <v>134</v>
      </c>
      <c r="C3767" s="258" t="s">
        <v>7966</v>
      </c>
      <c r="D3767" t="s">
        <v>1280</v>
      </c>
      <c r="E3767" t="s">
        <v>1281</v>
      </c>
      <c r="F3767"/>
      <c r="H3767" s="1">
        <v>3123.75</v>
      </c>
      <c r="I3767"/>
      <c r="J3767"/>
      <c r="K3767" s="170">
        <v>46081</v>
      </c>
      <c r="L3767" s="1">
        <v>3470.8333333333335</v>
      </c>
      <c r="M3767" s="1">
        <v>46088</v>
      </c>
      <c r="N3767" s="1">
        <v>12495</v>
      </c>
    </row>
    <row r="3768" spans="1:14" ht="14.4" hidden="1">
      <c r="A3768" t="s">
        <v>536</v>
      </c>
      <c r="B3768" s="1">
        <v>135</v>
      </c>
      <c r="C3768" s="258" t="s">
        <v>7967</v>
      </c>
      <c r="D3768" t="s">
        <v>1280</v>
      </c>
      <c r="E3768" t="s">
        <v>1281</v>
      </c>
      <c r="F3768"/>
      <c r="H3768" s="1">
        <v>3123.75</v>
      </c>
      <c r="I3768"/>
      <c r="J3768"/>
      <c r="K3768" s="170">
        <v>46112</v>
      </c>
      <c r="L3768" s="1">
        <v>3470.8333333333335</v>
      </c>
      <c r="M3768" s="1">
        <v>46119</v>
      </c>
    </row>
    <row r="3769" spans="1:14" ht="14.4" hidden="1">
      <c r="A3769" t="s">
        <v>536</v>
      </c>
      <c r="B3769" s="1">
        <v>136</v>
      </c>
      <c r="C3769" s="258" t="s">
        <v>7968</v>
      </c>
      <c r="D3769" t="s">
        <v>1280</v>
      </c>
      <c r="E3769" t="s">
        <v>1281</v>
      </c>
      <c r="F3769"/>
      <c r="H3769" s="1">
        <v>3123.75</v>
      </c>
      <c r="I3769"/>
      <c r="J3769"/>
      <c r="K3769" s="170">
        <v>46142</v>
      </c>
      <c r="L3769" s="1">
        <v>3470.8333333333335</v>
      </c>
      <c r="M3769" s="1">
        <v>46149</v>
      </c>
    </row>
    <row r="3770" spans="1:14" ht="14.4" hidden="1">
      <c r="A3770" t="s">
        <v>536</v>
      </c>
      <c r="B3770" s="1">
        <v>137</v>
      </c>
      <c r="C3770" s="258" t="s">
        <v>7969</v>
      </c>
      <c r="D3770" t="s">
        <v>1280</v>
      </c>
      <c r="E3770" t="s">
        <v>1281</v>
      </c>
      <c r="F3770"/>
      <c r="H3770" s="1">
        <v>3123.75</v>
      </c>
      <c r="I3770"/>
      <c r="J3770"/>
      <c r="K3770" s="170">
        <v>46173</v>
      </c>
      <c r="L3770" s="1">
        <v>3470.8333333333335</v>
      </c>
      <c r="M3770" s="1">
        <v>46180</v>
      </c>
    </row>
    <row r="3771" spans="1:14" ht="14.4" hidden="1">
      <c r="A3771" t="s">
        <v>537</v>
      </c>
      <c r="B3771" s="1">
        <v>6</v>
      </c>
      <c r="C3771" s="258" t="s">
        <v>7970</v>
      </c>
      <c r="D3771" t="s">
        <v>1146</v>
      </c>
      <c r="E3771" t="s">
        <v>7971</v>
      </c>
      <c r="F3771">
        <v>448</v>
      </c>
      <c r="G3771">
        <v>1220</v>
      </c>
      <c r="H3771" s="1">
        <v>546560</v>
      </c>
      <c r="I3771"/>
      <c r="J3771" t="s">
        <v>7972</v>
      </c>
      <c r="K3771" s="170">
        <v>46053</v>
      </c>
      <c r="L3771" s="1">
        <v>746843.5</v>
      </c>
      <c r="M3771" s="1">
        <v>46107</v>
      </c>
      <c r="N3771" s="1">
        <v>546560</v>
      </c>
    </row>
    <row r="3772" spans="1:14" ht="14.4" hidden="1">
      <c r="A3772" t="s">
        <v>537</v>
      </c>
      <c r="B3772" s="1">
        <v>14</v>
      </c>
      <c r="C3772" s="258" t="s">
        <v>7973</v>
      </c>
      <c r="D3772" t="s">
        <v>1157</v>
      </c>
      <c r="E3772" t="s">
        <v>1369</v>
      </c>
      <c r="F3772">
        <v>3</v>
      </c>
      <c r="G3772">
        <v>68870.350000000006</v>
      </c>
      <c r="H3772" s="1">
        <v>206611.05</v>
      </c>
      <c r="I3772"/>
      <c r="J3772" t="s">
        <v>7972</v>
      </c>
      <c r="K3772" s="170">
        <v>46053</v>
      </c>
      <c r="L3772" s="1">
        <v>262500</v>
      </c>
      <c r="M3772" s="1">
        <v>46107</v>
      </c>
    </row>
    <row r="3773" spans="1:14" ht="14.4" hidden="1">
      <c r="A3773" t="s">
        <v>537</v>
      </c>
      <c r="B3773" s="1">
        <v>21</v>
      </c>
      <c r="C3773" s="258" t="s">
        <v>7974</v>
      </c>
      <c r="D3773" t="s">
        <v>1160</v>
      </c>
      <c r="E3773" t="s">
        <v>1161</v>
      </c>
      <c r="F3773"/>
      <c r="H3773" s="1">
        <v>45028</v>
      </c>
      <c r="I3773" t="s">
        <v>7975</v>
      </c>
      <c r="J3773" t="s">
        <v>7976</v>
      </c>
      <c r="K3773" s="170">
        <v>46053</v>
      </c>
      <c r="L3773" s="1">
        <v>136640</v>
      </c>
      <c r="M3773" s="1">
        <v>46080</v>
      </c>
      <c r="N3773" s="1">
        <v>45028</v>
      </c>
    </row>
    <row r="3774" spans="1:14" ht="14.4" hidden="1">
      <c r="A3774" t="s">
        <v>537</v>
      </c>
      <c r="B3774" s="1">
        <v>28</v>
      </c>
      <c r="C3774" s="258" t="s">
        <v>7977</v>
      </c>
      <c r="D3774" t="s">
        <v>1165</v>
      </c>
      <c r="E3774" t="s">
        <v>836</v>
      </c>
      <c r="F3774">
        <v>6000</v>
      </c>
      <c r="G3774">
        <v>13.99</v>
      </c>
      <c r="H3774" s="1">
        <v>83940</v>
      </c>
      <c r="I3774"/>
      <c r="J3774" t="s">
        <v>7972</v>
      </c>
      <c r="K3774" s="170">
        <v>46053</v>
      </c>
      <c r="L3774" s="1">
        <v>100958.20148640532</v>
      </c>
      <c r="M3774" s="1">
        <v>46107</v>
      </c>
      <c r="N3774" s="1">
        <v>218112.78</v>
      </c>
    </row>
    <row r="3775" spans="1:14" ht="14.4" hidden="1">
      <c r="A3775" t="s">
        <v>537</v>
      </c>
      <c r="B3775" s="1">
        <v>32</v>
      </c>
      <c r="C3775" s="258" t="s">
        <v>7978</v>
      </c>
      <c r="D3775" t="s">
        <v>1165</v>
      </c>
      <c r="E3775" t="s">
        <v>1169</v>
      </c>
      <c r="F3775">
        <v>134172.78</v>
      </c>
      <c r="G3775">
        <v>0.1</v>
      </c>
      <c r="H3775" s="1">
        <v>13417.278</v>
      </c>
      <c r="I3775"/>
      <c r="J3775" t="s">
        <v>7979</v>
      </c>
      <c r="K3775" s="170">
        <v>46053</v>
      </c>
      <c r="L3775" s="1">
        <v>16137.529851359466</v>
      </c>
      <c r="M3775" s="1">
        <v>46051</v>
      </c>
    </row>
    <row r="3776" spans="1:14" ht="14.4" hidden="1">
      <c r="A3776" t="s">
        <v>537</v>
      </c>
      <c r="B3776" s="1">
        <v>33</v>
      </c>
      <c r="C3776" s="258" t="s">
        <v>7980</v>
      </c>
      <c r="D3776" t="s">
        <v>1165</v>
      </c>
      <c r="E3776" t="s">
        <v>558</v>
      </c>
      <c r="F3776"/>
      <c r="G3776">
        <v>0.15</v>
      </c>
      <c r="H3776" s="1">
        <v>20125.917000000001</v>
      </c>
      <c r="I3776"/>
      <c r="J3776" t="s">
        <v>7981</v>
      </c>
      <c r="K3776" s="170">
        <v>46053</v>
      </c>
      <c r="L3776" s="1">
        <v>24206.294777039195</v>
      </c>
      <c r="M3776" s="1">
        <v>46058</v>
      </c>
    </row>
    <row r="3777" spans="1:14" ht="14.4" hidden="1">
      <c r="A3777" t="s">
        <v>537</v>
      </c>
      <c r="B3777" s="1">
        <v>34</v>
      </c>
      <c r="C3777" s="258" t="s">
        <v>7982</v>
      </c>
      <c r="D3777" t="s">
        <v>1165</v>
      </c>
      <c r="E3777" t="s">
        <v>1175</v>
      </c>
      <c r="F3777"/>
      <c r="G3777">
        <v>0.2</v>
      </c>
      <c r="H3777" s="1">
        <v>26834.556</v>
      </c>
      <c r="I3777"/>
      <c r="J3777"/>
      <c r="K3777" s="170">
        <v>46112</v>
      </c>
      <c r="L3777" s="1">
        <v>32275.059702718932</v>
      </c>
      <c r="M3777" s="1">
        <v>46086</v>
      </c>
    </row>
    <row r="3778" spans="1:14" ht="14.4" hidden="1">
      <c r="A3778" t="s">
        <v>537</v>
      </c>
      <c r="B3778" s="1">
        <v>35</v>
      </c>
      <c r="C3778" s="258" t="s">
        <v>7983</v>
      </c>
      <c r="D3778" t="s">
        <v>1165</v>
      </c>
      <c r="E3778" t="s">
        <v>1178</v>
      </c>
      <c r="F3778"/>
      <c r="G3778">
        <v>0.25</v>
      </c>
      <c r="H3778" s="1">
        <v>33543.195</v>
      </c>
      <c r="I3778"/>
      <c r="J3778"/>
      <c r="K3778" s="170">
        <v>46112</v>
      </c>
      <c r="L3778" s="1">
        <v>40343.824628398666</v>
      </c>
      <c r="M3778" s="1">
        <v>46101</v>
      </c>
    </row>
    <row r="3779" spans="1:14" ht="14.4" hidden="1">
      <c r="A3779" t="s">
        <v>537</v>
      </c>
      <c r="B3779" s="1">
        <v>36</v>
      </c>
      <c r="C3779" s="258" t="s">
        <v>7984</v>
      </c>
      <c r="D3779" t="s">
        <v>1165</v>
      </c>
      <c r="E3779" t="s">
        <v>1181</v>
      </c>
      <c r="F3779"/>
      <c r="G3779">
        <v>0.1</v>
      </c>
      <c r="H3779" s="1">
        <v>13417.278</v>
      </c>
      <c r="I3779"/>
      <c r="J3779"/>
      <c r="K3779" s="170">
        <v>46112</v>
      </c>
      <c r="L3779" s="1">
        <v>16137.529851359466</v>
      </c>
      <c r="M3779" s="1">
        <v>46112</v>
      </c>
    </row>
    <row r="3780" spans="1:14" ht="14.4" hidden="1">
      <c r="A3780" t="s">
        <v>537</v>
      </c>
      <c r="B3780" s="1">
        <v>37</v>
      </c>
      <c r="C3780" s="258" t="s">
        <v>7985</v>
      </c>
      <c r="D3780" t="s">
        <v>1165</v>
      </c>
      <c r="E3780" t="s">
        <v>1184</v>
      </c>
      <c r="F3780"/>
      <c r="G3780">
        <v>0.1</v>
      </c>
      <c r="H3780" s="1">
        <v>13417.278</v>
      </c>
      <c r="I3780"/>
      <c r="J3780"/>
      <c r="K3780" s="170">
        <v>46142</v>
      </c>
      <c r="L3780" s="1">
        <v>16137.529851359466</v>
      </c>
      <c r="M3780" s="1">
        <v>46113</v>
      </c>
    </row>
    <row r="3781" spans="1:14" ht="14.4" hidden="1">
      <c r="A3781" t="s">
        <v>537</v>
      </c>
      <c r="B3781" s="1">
        <v>38</v>
      </c>
      <c r="C3781" s="258" t="s">
        <v>7986</v>
      </c>
      <c r="D3781" t="s">
        <v>1165</v>
      </c>
      <c r="E3781" t="s">
        <v>1187</v>
      </c>
      <c r="F3781"/>
      <c r="G3781">
        <v>0.05</v>
      </c>
      <c r="H3781" s="1">
        <v>6708.6390000000001</v>
      </c>
      <c r="I3781"/>
      <c r="J3781"/>
      <c r="K3781" s="170">
        <v>46142</v>
      </c>
      <c r="L3781" s="1">
        <v>8068.7649256797331</v>
      </c>
      <c r="M3781" s="1">
        <v>46113</v>
      </c>
    </row>
    <row r="3782" spans="1:14" ht="14.4" hidden="1">
      <c r="A3782" t="s">
        <v>537</v>
      </c>
      <c r="B3782" s="1">
        <v>39</v>
      </c>
      <c r="C3782" s="258" t="s">
        <v>7987</v>
      </c>
      <c r="D3782" t="s">
        <v>1165</v>
      </c>
      <c r="E3782" t="s">
        <v>1190</v>
      </c>
      <c r="F3782"/>
      <c r="G3782">
        <v>0.05</v>
      </c>
      <c r="H3782" s="1">
        <v>6708.6390000000001</v>
      </c>
      <c r="I3782"/>
      <c r="J3782"/>
      <c r="K3782" s="170">
        <v>46142</v>
      </c>
      <c r="L3782" s="1">
        <v>8068.7649256797331</v>
      </c>
      <c r="M3782" s="1">
        <v>46136</v>
      </c>
    </row>
    <row r="3783" spans="1:14" ht="14.4" hidden="1">
      <c r="A3783" t="s">
        <v>537</v>
      </c>
      <c r="B3783" s="1">
        <v>44</v>
      </c>
      <c r="C3783" s="258" t="s">
        <v>7988</v>
      </c>
      <c r="D3783" t="s">
        <v>1193</v>
      </c>
      <c r="E3783" t="s">
        <v>1302</v>
      </c>
      <c r="F3783"/>
      <c r="H3783" s="1">
        <v>8598.34</v>
      </c>
      <c r="I3783"/>
      <c r="J3783" t="s">
        <v>7972</v>
      </c>
      <c r="K3783" s="170">
        <v>46053</v>
      </c>
      <c r="L3783" s="1">
        <v>14012.999682833975</v>
      </c>
      <c r="M3783" s="1">
        <v>46107</v>
      </c>
      <c r="N3783" s="1">
        <v>37582.839999999997</v>
      </c>
    </row>
    <row r="3784" spans="1:14" ht="14.4" hidden="1">
      <c r="A3784" t="s">
        <v>537</v>
      </c>
      <c r="B3784" s="1">
        <v>45</v>
      </c>
      <c r="C3784" s="258" t="s">
        <v>7989</v>
      </c>
      <c r="D3784" t="s">
        <v>1193</v>
      </c>
      <c r="E3784" t="s">
        <v>1304</v>
      </c>
      <c r="F3784"/>
      <c r="H3784" s="1">
        <v>13984.5</v>
      </c>
      <c r="I3784" t="s">
        <v>7990</v>
      </c>
      <c r="J3784" t="s">
        <v>7991</v>
      </c>
      <c r="K3784" s="170">
        <v>46053</v>
      </c>
      <c r="L3784" s="1">
        <v>22791.003154631213</v>
      </c>
      <c r="M3784" s="1">
        <v>46079</v>
      </c>
    </row>
    <row r="3785" spans="1:14" ht="14.4" hidden="1">
      <c r="A3785" t="s">
        <v>537</v>
      </c>
      <c r="B3785" s="1">
        <v>46</v>
      </c>
      <c r="C3785" s="258" t="s">
        <v>7992</v>
      </c>
      <c r="D3785" t="s">
        <v>1193</v>
      </c>
      <c r="E3785" t="s">
        <v>1306</v>
      </c>
      <c r="F3785"/>
      <c r="H3785" s="1">
        <v>15000</v>
      </c>
      <c r="I3785"/>
      <c r="J3785"/>
      <c r="K3785" s="170">
        <v>46081</v>
      </c>
      <c r="L3785" s="1">
        <v>24445.997162534819</v>
      </c>
      <c r="M3785" s="1">
        <v>46079</v>
      </c>
    </row>
    <row r="3786" spans="1:14" ht="14.4" hidden="1">
      <c r="A3786" t="s">
        <v>537</v>
      </c>
      <c r="B3786" s="1">
        <v>53</v>
      </c>
      <c r="C3786" s="258" t="s">
        <v>7993</v>
      </c>
      <c r="D3786" t="s">
        <v>1211</v>
      </c>
      <c r="E3786" t="s">
        <v>1212</v>
      </c>
      <c r="F3786"/>
      <c r="H3786" s="1">
        <v>83351.62</v>
      </c>
      <c r="I3786" t="s">
        <v>7994</v>
      </c>
      <c r="J3786"/>
      <c r="K3786" s="170">
        <v>46081</v>
      </c>
      <c r="L3786" s="1">
        <v>223619.49526100949</v>
      </c>
      <c r="M3786" s="1">
        <v>46111</v>
      </c>
    </row>
    <row r="3787" spans="1:14" ht="14.4" hidden="1">
      <c r="A3787" t="s">
        <v>537</v>
      </c>
      <c r="B3787" s="1">
        <v>58</v>
      </c>
      <c r="C3787" s="258" t="s">
        <v>7995</v>
      </c>
      <c r="D3787" t="s">
        <v>1211</v>
      </c>
      <c r="E3787" t="s">
        <v>1169</v>
      </c>
      <c r="F3787">
        <v>79500</v>
      </c>
      <c r="G3787">
        <v>0.1</v>
      </c>
      <c r="H3787" s="1">
        <v>7950</v>
      </c>
      <c r="I3787"/>
      <c r="J3787" t="s">
        <v>7979</v>
      </c>
      <c r="K3787" s="170">
        <v>46053</v>
      </c>
      <c r="L3787" s="1">
        <v>21328.619495638184</v>
      </c>
      <c r="M3787" s="1">
        <v>46051</v>
      </c>
    </row>
    <row r="3788" spans="1:14" ht="14.4" hidden="1">
      <c r="A3788" t="s">
        <v>537</v>
      </c>
      <c r="B3788" s="1">
        <v>59</v>
      </c>
      <c r="C3788" s="258" t="s">
        <v>7996</v>
      </c>
      <c r="D3788" t="s">
        <v>1211</v>
      </c>
      <c r="E3788" t="s">
        <v>558</v>
      </c>
      <c r="F3788"/>
      <c r="G3788">
        <v>0.15</v>
      </c>
      <c r="H3788" s="1">
        <v>11925</v>
      </c>
      <c r="I3788"/>
      <c r="J3788" t="s">
        <v>7981</v>
      </c>
      <c r="K3788" s="170">
        <v>46053</v>
      </c>
      <c r="L3788" s="1">
        <v>31992.929243457271</v>
      </c>
      <c r="M3788" s="1">
        <v>46058</v>
      </c>
    </row>
    <row r="3789" spans="1:14" ht="14.4" hidden="1">
      <c r="A3789" t="s">
        <v>537</v>
      </c>
      <c r="B3789" s="1">
        <v>60</v>
      </c>
      <c r="C3789" s="258" t="s">
        <v>7997</v>
      </c>
      <c r="D3789" t="s">
        <v>1211</v>
      </c>
      <c r="E3789" t="s">
        <v>1175</v>
      </c>
      <c r="F3789"/>
      <c r="G3789">
        <v>0.2</v>
      </c>
      <c r="H3789" s="1">
        <v>15900</v>
      </c>
      <c r="I3789"/>
      <c r="J3789"/>
      <c r="K3789" s="170">
        <v>46112</v>
      </c>
      <c r="L3789" s="1">
        <v>42657.238991276368</v>
      </c>
      <c r="M3789" s="1">
        <v>46086</v>
      </c>
    </row>
    <row r="3790" spans="1:14" ht="14.4" hidden="1">
      <c r="A3790" t="s">
        <v>537</v>
      </c>
      <c r="B3790" s="1">
        <v>61</v>
      </c>
      <c r="C3790" s="258" t="s">
        <v>7998</v>
      </c>
      <c r="D3790" t="s">
        <v>1211</v>
      </c>
      <c r="E3790" t="s">
        <v>1178</v>
      </c>
      <c r="F3790"/>
      <c r="G3790">
        <v>0.25</v>
      </c>
      <c r="H3790" s="1">
        <v>19875</v>
      </c>
      <c r="I3790"/>
      <c r="J3790"/>
      <c r="K3790" s="170">
        <v>46112</v>
      </c>
      <c r="L3790" s="1">
        <v>53321.548739095451</v>
      </c>
      <c r="M3790" s="1">
        <v>46101</v>
      </c>
    </row>
    <row r="3791" spans="1:14" ht="14.4" hidden="1">
      <c r="A3791" t="s">
        <v>537</v>
      </c>
      <c r="B3791" s="1">
        <v>62</v>
      </c>
      <c r="C3791" s="258" t="s">
        <v>7999</v>
      </c>
      <c r="D3791" t="s">
        <v>1211</v>
      </c>
      <c r="E3791" t="s">
        <v>1181</v>
      </c>
      <c r="F3791"/>
      <c r="G3791">
        <v>0.1</v>
      </c>
      <c r="H3791" s="1">
        <v>7950</v>
      </c>
      <c r="I3791"/>
      <c r="J3791"/>
      <c r="K3791" s="170">
        <v>46112</v>
      </c>
      <c r="L3791" s="1">
        <v>21328.619495638184</v>
      </c>
      <c r="M3791" s="1">
        <v>46112</v>
      </c>
    </row>
    <row r="3792" spans="1:14" ht="14.4" hidden="1">
      <c r="A3792" t="s">
        <v>537</v>
      </c>
      <c r="B3792" s="1">
        <v>63</v>
      </c>
      <c r="C3792" s="258" t="s">
        <v>8000</v>
      </c>
      <c r="D3792" t="s">
        <v>1211</v>
      </c>
      <c r="E3792" t="s">
        <v>1184</v>
      </c>
      <c r="F3792"/>
      <c r="G3792">
        <v>0.1</v>
      </c>
      <c r="H3792" s="1">
        <v>7950</v>
      </c>
      <c r="I3792"/>
      <c r="J3792"/>
      <c r="K3792" s="170">
        <v>46142</v>
      </c>
      <c r="L3792" s="1">
        <v>21328.619495638184</v>
      </c>
      <c r="M3792" s="1">
        <v>46113</v>
      </c>
    </row>
    <row r="3793" spans="1:14" ht="14.4" hidden="1">
      <c r="A3793" t="s">
        <v>537</v>
      </c>
      <c r="B3793" s="1">
        <v>64</v>
      </c>
      <c r="C3793" s="258" t="s">
        <v>8001</v>
      </c>
      <c r="D3793" t="s">
        <v>1211</v>
      </c>
      <c r="E3793" t="s">
        <v>1187</v>
      </c>
      <c r="F3793"/>
      <c r="G3793">
        <v>0.05</v>
      </c>
      <c r="H3793" s="1">
        <v>3975</v>
      </c>
      <c r="I3793"/>
      <c r="J3793"/>
      <c r="K3793" s="170">
        <v>46142</v>
      </c>
      <c r="L3793" s="1">
        <v>10664.309747819092</v>
      </c>
      <c r="M3793" s="1">
        <v>46113</v>
      </c>
    </row>
    <row r="3794" spans="1:14" ht="14.4" hidden="1">
      <c r="A3794" t="s">
        <v>537</v>
      </c>
      <c r="B3794" s="1">
        <v>65</v>
      </c>
      <c r="C3794" s="258" t="s">
        <v>8002</v>
      </c>
      <c r="D3794" t="s">
        <v>1211</v>
      </c>
      <c r="E3794" t="s">
        <v>1190</v>
      </c>
      <c r="F3794"/>
      <c r="G3794">
        <v>0.05</v>
      </c>
      <c r="H3794" s="1">
        <v>3975</v>
      </c>
      <c r="I3794"/>
      <c r="J3794"/>
      <c r="K3794" s="170">
        <v>46142</v>
      </c>
      <c r="L3794" s="1">
        <v>10664.309747819092</v>
      </c>
      <c r="M3794" s="1">
        <v>46136</v>
      </c>
    </row>
    <row r="3795" spans="1:14" ht="14.4" hidden="1">
      <c r="A3795" t="s">
        <v>537</v>
      </c>
      <c r="B3795" s="1">
        <v>90</v>
      </c>
      <c r="C3795" s="258" t="s">
        <v>8003</v>
      </c>
      <c r="D3795" t="s">
        <v>1246</v>
      </c>
      <c r="E3795" t="s">
        <v>1169</v>
      </c>
      <c r="F3795">
        <v>286650</v>
      </c>
      <c r="G3795">
        <v>0.1</v>
      </c>
      <c r="H3795" s="1">
        <v>28665</v>
      </c>
      <c r="I3795"/>
      <c r="J3795" t="s">
        <v>7979</v>
      </c>
      <c r="K3795" s="170">
        <v>46053</v>
      </c>
      <c r="L3795" s="1">
        <v>24142.222222222223</v>
      </c>
      <c r="M3795" s="1">
        <v>46051</v>
      </c>
    </row>
    <row r="3796" spans="1:14" ht="14.4" hidden="1">
      <c r="A3796" t="s">
        <v>537</v>
      </c>
      <c r="B3796" s="1">
        <v>91</v>
      </c>
      <c r="C3796" s="258" t="s">
        <v>8004</v>
      </c>
      <c r="D3796" t="s">
        <v>1246</v>
      </c>
      <c r="E3796" t="s">
        <v>558</v>
      </c>
      <c r="F3796"/>
      <c r="G3796">
        <v>0.15</v>
      </c>
      <c r="H3796" s="1">
        <v>42997.5</v>
      </c>
      <c r="I3796"/>
      <c r="J3796" t="s">
        <v>7981</v>
      </c>
      <c r="K3796" s="170">
        <v>46053</v>
      </c>
      <c r="L3796" s="1">
        <v>36213.333333333336</v>
      </c>
      <c r="M3796" s="1">
        <v>46058</v>
      </c>
    </row>
    <row r="3797" spans="1:14" ht="14.4" hidden="1">
      <c r="A3797" t="s">
        <v>537</v>
      </c>
      <c r="B3797" s="1">
        <v>92</v>
      </c>
      <c r="C3797" s="258" t="s">
        <v>8005</v>
      </c>
      <c r="D3797" t="s">
        <v>1246</v>
      </c>
      <c r="E3797" t="s">
        <v>1175</v>
      </c>
      <c r="F3797"/>
      <c r="G3797">
        <v>0.2</v>
      </c>
      <c r="H3797" s="1">
        <v>57330</v>
      </c>
      <c r="I3797"/>
      <c r="J3797"/>
      <c r="K3797" s="170">
        <v>46112</v>
      </c>
      <c r="L3797" s="1">
        <v>48284.444444444453</v>
      </c>
      <c r="M3797" s="1">
        <v>46086</v>
      </c>
    </row>
    <row r="3798" spans="1:14" ht="14.4" hidden="1">
      <c r="A3798" t="s">
        <v>537</v>
      </c>
      <c r="B3798" s="1">
        <v>93</v>
      </c>
      <c r="C3798" s="258" t="s">
        <v>8006</v>
      </c>
      <c r="D3798" t="s">
        <v>1246</v>
      </c>
      <c r="E3798" t="s">
        <v>1178</v>
      </c>
      <c r="F3798"/>
      <c r="G3798">
        <v>0.25</v>
      </c>
      <c r="H3798" s="1">
        <v>71662.5</v>
      </c>
      <c r="I3798"/>
      <c r="J3798"/>
      <c r="K3798" s="170">
        <v>46112</v>
      </c>
      <c r="L3798" s="1">
        <v>60355.555555555562</v>
      </c>
      <c r="M3798" s="1">
        <v>46101</v>
      </c>
    </row>
    <row r="3799" spans="1:14" ht="14.4" hidden="1">
      <c r="A3799" t="s">
        <v>537</v>
      </c>
      <c r="B3799" s="1">
        <v>94</v>
      </c>
      <c r="C3799" s="258" t="s">
        <v>8007</v>
      </c>
      <c r="D3799" t="s">
        <v>1246</v>
      </c>
      <c r="E3799" t="s">
        <v>1181</v>
      </c>
      <c r="F3799"/>
      <c r="G3799">
        <v>0.1</v>
      </c>
      <c r="H3799" s="1">
        <v>28665</v>
      </c>
      <c r="I3799"/>
      <c r="J3799"/>
      <c r="K3799" s="170">
        <v>46112</v>
      </c>
      <c r="L3799" s="1">
        <v>24142.222222222223</v>
      </c>
      <c r="M3799" s="1">
        <v>46112</v>
      </c>
    </row>
    <row r="3800" spans="1:14" ht="14.4" hidden="1">
      <c r="A3800" t="s">
        <v>537</v>
      </c>
      <c r="B3800" s="1">
        <v>95</v>
      </c>
      <c r="C3800" s="258" t="s">
        <v>8008</v>
      </c>
      <c r="D3800" t="s">
        <v>1246</v>
      </c>
      <c r="E3800" t="s">
        <v>1184</v>
      </c>
      <c r="F3800"/>
      <c r="G3800">
        <v>0.1</v>
      </c>
      <c r="H3800" s="1">
        <v>28665</v>
      </c>
      <c r="I3800"/>
      <c r="J3800"/>
      <c r="K3800" s="170">
        <v>46142</v>
      </c>
      <c r="L3800" s="1">
        <v>24142.222222222223</v>
      </c>
      <c r="M3800" s="1">
        <v>46113</v>
      </c>
    </row>
    <row r="3801" spans="1:14" ht="14.4" hidden="1">
      <c r="A3801" t="s">
        <v>537</v>
      </c>
      <c r="B3801" s="1">
        <v>96</v>
      </c>
      <c r="C3801" s="258" t="s">
        <v>8009</v>
      </c>
      <c r="D3801" t="s">
        <v>1246</v>
      </c>
      <c r="E3801" t="s">
        <v>1187</v>
      </c>
      <c r="F3801"/>
      <c r="G3801">
        <v>0.05</v>
      </c>
      <c r="H3801" s="1">
        <v>14332.5</v>
      </c>
      <c r="I3801"/>
      <c r="J3801"/>
      <c r="K3801" s="170">
        <v>46142</v>
      </c>
      <c r="L3801" s="1">
        <v>12071.111111111111</v>
      </c>
      <c r="M3801" s="1">
        <v>46113</v>
      </c>
    </row>
    <row r="3802" spans="1:14" ht="14.4" hidden="1">
      <c r="A3802" t="s">
        <v>537</v>
      </c>
      <c r="B3802" s="1">
        <v>97</v>
      </c>
      <c r="C3802" s="258" t="s">
        <v>8010</v>
      </c>
      <c r="D3802" t="s">
        <v>1246</v>
      </c>
      <c r="E3802" t="s">
        <v>1190</v>
      </c>
      <c r="F3802"/>
      <c r="G3802">
        <v>0.05</v>
      </c>
      <c r="H3802" s="1">
        <v>14332.5</v>
      </c>
      <c r="I3802"/>
      <c r="J3802"/>
      <c r="K3802" s="170">
        <v>46142</v>
      </c>
      <c r="L3802" s="1">
        <v>12071.111111111111</v>
      </c>
      <c r="M3802" s="1">
        <v>46136</v>
      </c>
    </row>
    <row r="3803" spans="1:14" ht="14.4" hidden="1">
      <c r="A3803" t="s">
        <v>537</v>
      </c>
      <c r="B3803" s="1">
        <v>102</v>
      </c>
      <c r="C3803" s="258" t="s">
        <v>8011</v>
      </c>
      <c r="D3803" t="s">
        <v>1255</v>
      </c>
      <c r="E3803" t="s">
        <v>1343</v>
      </c>
      <c r="F3803"/>
      <c r="H3803" s="1">
        <v>32400</v>
      </c>
      <c r="I3803"/>
      <c r="J3803"/>
      <c r="K3803" s="170">
        <v>46112</v>
      </c>
      <c r="L3803" s="1">
        <v>42355.031249999993</v>
      </c>
      <c r="M3803" s="1">
        <v>46086</v>
      </c>
      <c r="N3803" s="1">
        <v>51200</v>
      </c>
    </row>
    <row r="3804" spans="1:14" ht="14.4" hidden="1">
      <c r="A3804" t="s">
        <v>537</v>
      </c>
      <c r="B3804" s="1">
        <v>106</v>
      </c>
      <c r="C3804" s="258" t="s">
        <v>8012</v>
      </c>
      <c r="D3804" t="s">
        <v>1255</v>
      </c>
      <c r="E3804" t="s">
        <v>1169</v>
      </c>
      <c r="F3804">
        <v>18800</v>
      </c>
      <c r="G3804">
        <v>0.1</v>
      </c>
      <c r="H3804" s="1">
        <v>1880</v>
      </c>
      <c r="I3804"/>
      <c r="J3804" t="s">
        <v>7979</v>
      </c>
      <c r="K3804" s="170">
        <v>46053</v>
      </c>
      <c r="L3804" s="1">
        <v>2457.6376157407408</v>
      </c>
      <c r="M3804" s="1">
        <v>46051</v>
      </c>
    </row>
    <row r="3805" spans="1:14" ht="14.4" hidden="1">
      <c r="A3805" t="s">
        <v>537</v>
      </c>
      <c r="B3805" s="1">
        <v>107</v>
      </c>
      <c r="C3805" s="258" t="s">
        <v>8013</v>
      </c>
      <c r="D3805" t="s">
        <v>1255</v>
      </c>
      <c r="E3805" t="s">
        <v>558</v>
      </c>
      <c r="F3805"/>
      <c r="G3805">
        <v>0.15</v>
      </c>
      <c r="H3805" s="1">
        <v>2820</v>
      </c>
      <c r="I3805"/>
      <c r="J3805" t="s">
        <v>7981</v>
      </c>
      <c r="K3805" s="170">
        <v>46053</v>
      </c>
      <c r="L3805" s="1">
        <v>3686.4564236111105</v>
      </c>
      <c r="M3805" s="1">
        <v>46058</v>
      </c>
    </row>
    <row r="3806" spans="1:14" ht="14.4" hidden="1">
      <c r="A3806" t="s">
        <v>537</v>
      </c>
      <c r="B3806" s="1">
        <v>108</v>
      </c>
      <c r="C3806" s="258" t="s">
        <v>8014</v>
      </c>
      <c r="D3806" t="s">
        <v>1255</v>
      </c>
      <c r="E3806" t="s">
        <v>1175</v>
      </c>
      <c r="F3806"/>
      <c r="G3806">
        <v>0.2</v>
      </c>
      <c r="H3806" s="1">
        <v>3760</v>
      </c>
      <c r="I3806"/>
      <c r="J3806"/>
      <c r="K3806" s="170">
        <v>46112</v>
      </c>
      <c r="L3806" s="1">
        <v>4915.2752314814816</v>
      </c>
      <c r="M3806" s="1">
        <v>46086</v>
      </c>
    </row>
    <row r="3807" spans="1:14" ht="14.4" hidden="1">
      <c r="A3807" t="s">
        <v>537</v>
      </c>
      <c r="B3807" s="1">
        <v>109</v>
      </c>
      <c r="C3807" s="258" t="s">
        <v>8015</v>
      </c>
      <c r="D3807" t="s">
        <v>1255</v>
      </c>
      <c r="E3807" t="s">
        <v>1178</v>
      </c>
      <c r="F3807"/>
      <c r="G3807">
        <v>0.25</v>
      </c>
      <c r="H3807" s="1">
        <v>4700</v>
      </c>
      <c r="I3807"/>
      <c r="J3807"/>
      <c r="K3807" s="170">
        <v>46112</v>
      </c>
      <c r="L3807" s="1">
        <v>6144.0940393518513</v>
      </c>
      <c r="M3807" s="1">
        <v>46101</v>
      </c>
    </row>
    <row r="3808" spans="1:14" ht="14.4" hidden="1">
      <c r="A3808" t="s">
        <v>537</v>
      </c>
      <c r="B3808" s="1">
        <v>110</v>
      </c>
      <c r="C3808" s="258" t="s">
        <v>8016</v>
      </c>
      <c r="D3808" t="s">
        <v>1255</v>
      </c>
      <c r="E3808" t="s">
        <v>1181</v>
      </c>
      <c r="F3808"/>
      <c r="G3808">
        <v>0.1</v>
      </c>
      <c r="H3808" s="1">
        <v>1880</v>
      </c>
      <c r="I3808"/>
      <c r="J3808"/>
      <c r="K3808" s="170">
        <v>46112</v>
      </c>
      <c r="L3808" s="1">
        <v>2457.6376157407408</v>
      </c>
      <c r="M3808" s="1">
        <v>46112</v>
      </c>
    </row>
    <row r="3809" spans="1:14" ht="14.4" hidden="1">
      <c r="A3809" t="s">
        <v>537</v>
      </c>
      <c r="B3809" s="1">
        <v>111</v>
      </c>
      <c r="C3809" s="258" t="s">
        <v>8017</v>
      </c>
      <c r="D3809" t="s">
        <v>1255</v>
      </c>
      <c r="E3809" t="s">
        <v>1184</v>
      </c>
      <c r="F3809"/>
      <c r="G3809">
        <v>0.1</v>
      </c>
      <c r="H3809" s="1">
        <v>1880</v>
      </c>
      <c r="I3809"/>
      <c r="J3809"/>
      <c r="K3809" s="170">
        <v>46142</v>
      </c>
      <c r="L3809" s="1">
        <v>2457.6376157407408</v>
      </c>
      <c r="M3809" s="1">
        <v>46113</v>
      </c>
    </row>
    <row r="3810" spans="1:14" ht="14.4" hidden="1">
      <c r="A3810" t="s">
        <v>537</v>
      </c>
      <c r="B3810" s="1">
        <v>112</v>
      </c>
      <c r="C3810" s="258" t="s">
        <v>8018</v>
      </c>
      <c r="D3810" t="s">
        <v>1255</v>
      </c>
      <c r="E3810" t="s">
        <v>1187</v>
      </c>
      <c r="F3810"/>
      <c r="G3810">
        <v>0.05</v>
      </c>
      <c r="H3810" s="1">
        <v>940</v>
      </c>
      <c r="I3810"/>
      <c r="J3810"/>
      <c r="K3810" s="170">
        <v>46142</v>
      </c>
      <c r="L3810" s="1">
        <v>1228.8188078703704</v>
      </c>
      <c r="M3810" s="1">
        <v>46113</v>
      </c>
    </row>
    <row r="3811" spans="1:14" ht="14.4" hidden="1">
      <c r="A3811" t="s">
        <v>537</v>
      </c>
      <c r="B3811" s="1">
        <v>113</v>
      </c>
      <c r="C3811" s="258" t="s">
        <v>8019</v>
      </c>
      <c r="D3811" t="s">
        <v>1255</v>
      </c>
      <c r="E3811" t="s">
        <v>1190</v>
      </c>
      <c r="F3811"/>
      <c r="G3811">
        <v>0.05</v>
      </c>
      <c r="H3811" s="1">
        <v>940</v>
      </c>
      <c r="I3811"/>
      <c r="J3811"/>
      <c r="K3811" s="170">
        <v>46142</v>
      </c>
      <c r="L3811" s="1">
        <v>1228.8188078703704</v>
      </c>
      <c r="M3811" s="1">
        <v>46136</v>
      </c>
    </row>
    <row r="3812" spans="1:14" ht="14.4" hidden="1">
      <c r="A3812" t="s">
        <v>537</v>
      </c>
      <c r="B3812" s="1">
        <v>118</v>
      </c>
      <c r="C3812" s="258" t="s">
        <v>8020</v>
      </c>
      <c r="D3812" t="s">
        <v>1264</v>
      </c>
      <c r="E3812" t="s">
        <v>1265</v>
      </c>
      <c r="F3812"/>
      <c r="H3812" s="1">
        <v>11000</v>
      </c>
      <c r="I3812"/>
      <c r="J3812"/>
      <c r="K3812" s="170">
        <v>46142</v>
      </c>
      <c r="L3812" s="1">
        <v>12873.10979618672</v>
      </c>
      <c r="M3812" s="1">
        <v>46119</v>
      </c>
      <c r="N3812" s="1">
        <v>84500</v>
      </c>
    </row>
    <row r="3813" spans="1:14" ht="14.4" hidden="1">
      <c r="A3813" t="s">
        <v>537</v>
      </c>
      <c r="B3813" s="1">
        <v>119</v>
      </c>
      <c r="C3813" s="258" t="s">
        <v>8021</v>
      </c>
      <c r="D3813" t="s">
        <v>1264</v>
      </c>
      <c r="E3813" t="s">
        <v>1268</v>
      </c>
      <c r="F3813"/>
      <c r="H3813" s="1">
        <v>7500</v>
      </c>
      <c r="I3813"/>
      <c r="J3813" t="s">
        <v>8022</v>
      </c>
      <c r="K3813" s="170">
        <v>46022</v>
      </c>
      <c r="L3813" s="1">
        <v>8777.120315581853</v>
      </c>
      <c r="M3813" s="1">
        <v>45904</v>
      </c>
    </row>
    <row r="3814" spans="1:14" ht="14.4" hidden="1">
      <c r="A3814" t="s">
        <v>537</v>
      </c>
      <c r="B3814" s="1">
        <v>120</v>
      </c>
      <c r="C3814" s="258" t="s">
        <v>8023</v>
      </c>
      <c r="D3814" t="s">
        <v>1264</v>
      </c>
      <c r="E3814" t="s">
        <v>8024</v>
      </c>
      <c r="F3814"/>
      <c r="H3814" s="1">
        <v>60000</v>
      </c>
      <c r="I3814"/>
      <c r="J3814"/>
      <c r="K3814" s="170">
        <v>46142</v>
      </c>
      <c r="L3814" s="1">
        <v>70216.962524654824</v>
      </c>
      <c r="M3814" s="1">
        <v>46172</v>
      </c>
    </row>
    <row r="3815" spans="1:14" ht="14.4" hidden="1">
      <c r="A3815" t="s">
        <v>537</v>
      </c>
      <c r="B3815" s="1">
        <v>121</v>
      </c>
      <c r="C3815" s="258" t="s">
        <v>8025</v>
      </c>
      <c r="D3815" t="s">
        <v>1264</v>
      </c>
      <c r="E3815" t="s">
        <v>808</v>
      </c>
      <c r="F3815"/>
      <c r="H3815" s="1">
        <v>6000</v>
      </c>
      <c r="I3815"/>
      <c r="J3815"/>
      <c r="K3815" s="170">
        <v>46112</v>
      </c>
      <c r="L3815" s="1">
        <v>7021.6962524654837</v>
      </c>
      <c r="M3815" s="1">
        <v>46112</v>
      </c>
    </row>
    <row r="3816" spans="1:14" ht="14.4" hidden="1">
      <c r="A3816" t="s">
        <v>537</v>
      </c>
      <c r="B3816" s="1">
        <v>124</v>
      </c>
      <c r="C3816" s="258" t="s">
        <v>8026</v>
      </c>
      <c r="D3816" t="s">
        <v>1274</v>
      </c>
      <c r="E3816" t="s">
        <v>1275</v>
      </c>
      <c r="F3816"/>
      <c r="H3816" s="1">
        <v>0</v>
      </c>
      <c r="I3816"/>
      <c r="J3816"/>
      <c r="K3816" s="170" t="s">
        <v>51</v>
      </c>
      <c r="N3816" s="1">
        <v>0</v>
      </c>
    </row>
    <row r="3817" spans="1:14" ht="14.4" hidden="1">
      <c r="A3817" t="s">
        <v>537</v>
      </c>
      <c r="B3817" s="1">
        <v>127</v>
      </c>
      <c r="C3817" s="258" t="s">
        <v>8027</v>
      </c>
      <c r="D3817" t="s">
        <v>1277</v>
      </c>
      <c r="E3817" t="s">
        <v>1278</v>
      </c>
      <c r="F3817"/>
      <c r="H3817" s="1">
        <v>29322.948706294155</v>
      </c>
      <c r="I3817"/>
      <c r="J3817"/>
      <c r="K3817" s="170">
        <v>46112</v>
      </c>
      <c r="L3817" s="1">
        <v>26870.687767621872</v>
      </c>
      <c r="M3817" s="1">
        <v>46105</v>
      </c>
      <c r="N3817" s="1">
        <v>29322.948706294155</v>
      </c>
    </row>
    <row r="3818" spans="1:14" ht="14.4" hidden="1">
      <c r="A3818" t="s">
        <v>537</v>
      </c>
      <c r="B3818" s="1">
        <v>134</v>
      </c>
      <c r="C3818" s="258" t="s">
        <v>8028</v>
      </c>
      <c r="D3818" t="s">
        <v>1280</v>
      </c>
      <c r="E3818" t="s">
        <v>1281</v>
      </c>
      <c r="F3818"/>
      <c r="H3818" s="1">
        <v>447.44</v>
      </c>
      <c r="I3818"/>
      <c r="J3818" t="s">
        <v>1446</v>
      </c>
      <c r="K3818" s="170">
        <v>46022</v>
      </c>
      <c r="L3818" s="1">
        <v>454.14929897688518</v>
      </c>
      <c r="M3818" s="1">
        <v>46030</v>
      </c>
      <c r="N3818" s="1">
        <v>4994.6000000000004</v>
      </c>
    </row>
    <row r="3819" spans="1:14" ht="14.4" hidden="1">
      <c r="A3819" t="s">
        <v>537</v>
      </c>
      <c r="B3819" s="1">
        <v>135</v>
      </c>
      <c r="C3819" s="258" t="s">
        <v>8029</v>
      </c>
      <c r="D3819" t="s">
        <v>1280</v>
      </c>
      <c r="E3819" t="s">
        <v>1281</v>
      </c>
      <c r="F3819"/>
      <c r="H3819" s="1">
        <v>1003.41</v>
      </c>
      <c r="I3819"/>
      <c r="J3819" t="s">
        <v>1446</v>
      </c>
      <c r="K3819" s="170">
        <v>46053</v>
      </c>
      <c r="L3819" s="1">
        <v>1070.8895971649381</v>
      </c>
      <c r="M3819" s="1">
        <v>46058</v>
      </c>
    </row>
    <row r="3820" spans="1:14" ht="14.4" hidden="1">
      <c r="A3820" t="s">
        <v>537</v>
      </c>
      <c r="B3820" s="1">
        <v>136</v>
      </c>
      <c r="C3820" s="258" t="s">
        <v>8030</v>
      </c>
      <c r="D3820" t="s">
        <v>1280</v>
      </c>
      <c r="E3820" t="s">
        <v>1281</v>
      </c>
      <c r="F3820"/>
      <c r="H3820" s="1">
        <v>1181.25</v>
      </c>
      <c r="I3820"/>
      <c r="J3820"/>
      <c r="K3820" s="170">
        <v>46081</v>
      </c>
      <c r="L3820" s="1">
        <v>1241.6534857646257</v>
      </c>
      <c r="M3820" s="1">
        <v>46088</v>
      </c>
    </row>
    <row r="3821" spans="1:14" ht="14.4" hidden="1">
      <c r="A3821" t="s">
        <v>537</v>
      </c>
      <c r="B3821" s="1">
        <v>137</v>
      </c>
      <c r="C3821" s="258" t="s">
        <v>8031</v>
      </c>
      <c r="D3821" t="s">
        <v>1280</v>
      </c>
      <c r="E3821" t="s">
        <v>1281</v>
      </c>
      <c r="F3821"/>
      <c r="H3821" s="1">
        <v>1181.25</v>
      </c>
      <c r="I3821"/>
      <c r="J3821"/>
      <c r="K3821" s="170">
        <v>46112</v>
      </c>
      <c r="L3821" s="1">
        <v>1241.6534857646257</v>
      </c>
      <c r="M3821" s="1">
        <v>46119</v>
      </c>
    </row>
    <row r="3822" spans="1:14" ht="14.4" hidden="1">
      <c r="A3822" t="s">
        <v>537</v>
      </c>
      <c r="B3822" s="1">
        <v>138</v>
      </c>
      <c r="C3822" s="258" t="s">
        <v>8032</v>
      </c>
      <c r="D3822" t="s">
        <v>1280</v>
      </c>
      <c r="E3822" t="s">
        <v>1281</v>
      </c>
      <c r="F3822"/>
      <c r="H3822" s="1">
        <v>1181.25</v>
      </c>
      <c r="I3822"/>
      <c r="J3822"/>
      <c r="K3822" s="170">
        <v>46142</v>
      </c>
      <c r="L3822" s="1">
        <v>1241.6534857646257</v>
      </c>
      <c r="M3822" s="1">
        <v>46149</v>
      </c>
    </row>
    <row r="3823" spans="1:14" ht="14.4" hidden="1">
      <c r="A3823" t="s">
        <v>242</v>
      </c>
      <c r="B3823" s="1">
        <v>6</v>
      </c>
      <c r="C3823" s="258" t="s">
        <v>8033</v>
      </c>
      <c r="D3823" t="s">
        <v>1146</v>
      </c>
      <c r="E3823" t="s">
        <v>8034</v>
      </c>
      <c r="F3823">
        <v>1602</v>
      </c>
      <c r="G3823">
        <v>1327.95</v>
      </c>
      <c r="H3823" s="1">
        <v>2127375.9</v>
      </c>
      <c r="I3823"/>
      <c r="J3823" t="s">
        <v>8035</v>
      </c>
      <c r="K3823" s="170">
        <v>45657</v>
      </c>
      <c r="L3823" s="1">
        <v>2349960.0172043</v>
      </c>
      <c r="M3823" s="1">
        <v>45695</v>
      </c>
      <c r="N3823" s="1">
        <v>4255658.9399999995</v>
      </c>
    </row>
    <row r="3824" spans="1:14" ht="14.4" hidden="1">
      <c r="A3824" t="s">
        <v>242</v>
      </c>
      <c r="B3824" s="1">
        <v>7</v>
      </c>
      <c r="C3824" s="258" t="s">
        <v>8036</v>
      </c>
      <c r="D3824" t="s">
        <v>1146</v>
      </c>
      <c r="E3824" t="s">
        <v>8037</v>
      </c>
      <c r="F3824">
        <v>1602</v>
      </c>
      <c r="H3824" s="1">
        <v>2127375.9</v>
      </c>
      <c r="I3824"/>
      <c r="J3824" t="s">
        <v>8038</v>
      </c>
      <c r="K3824" s="170">
        <v>45657</v>
      </c>
      <c r="L3824" s="1">
        <v>2349960.0172043</v>
      </c>
      <c r="M3824" s="1">
        <v>45708</v>
      </c>
    </row>
    <row r="3825" spans="1:14" ht="14.4" hidden="1">
      <c r="A3825" t="s">
        <v>242</v>
      </c>
      <c r="B3825" s="1">
        <v>10</v>
      </c>
      <c r="C3825" s="258" t="s">
        <v>8039</v>
      </c>
      <c r="D3825" t="s">
        <v>1146</v>
      </c>
      <c r="E3825" t="s">
        <v>8040</v>
      </c>
      <c r="F3825"/>
      <c r="H3825" s="1">
        <v>685.71</v>
      </c>
      <c r="I3825"/>
      <c r="J3825" t="s">
        <v>8041</v>
      </c>
      <c r="K3825" s="170">
        <v>45808</v>
      </c>
      <c r="L3825" s="1">
        <v>0</v>
      </c>
      <c r="M3825" s="1">
        <v>45835</v>
      </c>
    </row>
    <row r="3826" spans="1:14" ht="14.4" hidden="1">
      <c r="A3826" t="s">
        <v>242</v>
      </c>
      <c r="B3826" s="1">
        <v>12</v>
      </c>
      <c r="C3826" s="258" t="s">
        <v>8042</v>
      </c>
      <c r="D3826" t="s">
        <v>1146</v>
      </c>
      <c r="F3826"/>
      <c r="H3826" s="1">
        <v>221.43</v>
      </c>
      <c r="I3826"/>
      <c r="J3826" t="s">
        <v>8043</v>
      </c>
      <c r="K3826" s="170">
        <v>45869</v>
      </c>
      <c r="L3826" s="1">
        <v>0</v>
      </c>
      <c r="M3826" s="1">
        <v>45899</v>
      </c>
    </row>
    <row r="3827" spans="1:14" ht="14.4" hidden="1">
      <c r="A3827" t="s">
        <v>242</v>
      </c>
      <c r="B3827" s="1">
        <v>14</v>
      </c>
      <c r="C3827" s="258" t="s">
        <v>8044</v>
      </c>
      <c r="D3827" t="s">
        <v>1157</v>
      </c>
      <c r="E3827" t="s">
        <v>8045</v>
      </c>
      <c r="F3827">
        <v>18</v>
      </c>
      <c r="G3827">
        <v>18950</v>
      </c>
      <c r="H3827" s="1">
        <v>341100</v>
      </c>
      <c r="I3827" t="s">
        <v>8046</v>
      </c>
      <c r="J3827" t="s">
        <v>8047</v>
      </c>
      <c r="K3827" s="170">
        <v>45716</v>
      </c>
      <c r="L3827" s="1">
        <v>354646.00634633988</v>
      </c>
      <c r="M3827" s="1">
        <v>45744</v>
      </c>
      <c r="N3827" s="1">
        <v>3159240</v>
      </c>
    </row>
    <row r="3828" spans="1:14" ht="14.4" hidden="1">
      <c r="A3828" t="s">
        <v>242</v>
      </c>
      <c r="B3828" s="1">
        <v>15</v>
      </c>
      <c r="C3828" s="258" t="s">
        <v>8048</v>
      </c>
      <c r="D3828" t="s">
        <v>1157</v>
      </c>
      <c r="E3828" t="s">
        <v>8049</v>
      </c>
      <c r="F3828">
        <v>54</v>
      </c>
      <c r="G3828">
        <v>15710</v>
      </c>
      <c r="H3828" s="1">
        <v>848340</v>
      </c>
      <c r="I3828"/>
      <c r="J3828" t="s">
        <v>8047</v>
      </c>
      <c r="K3828" s="170">
        <v>45716</v>
      </c>
      <c r="L3828" s="1">
        <v>882029.88280226907</v>
      </c>
      <c r="M3828" s="1">
        <v>45744</v>
      </c>
    </row>
    <row r="3829" spans="1:14" ht="14.4" hidden="1">
      <c r="A3829" t="s">
        <v>242</v>
      </c>
      <c r="B3829" s="1">
        <v>16</v>
      </c>
      <c r="C3829" s="258" t="s">
        <v>8050</v>
      </c>
      <c r="D3829" t="s">
        <v>1157</v>
      </c>
      <c r="E3829" t="s">
        <v>8051</v>
      </c>
      <c r="F3829">
        <v>825</v>
      </c>
      <c r="G3829">
        <v>1160</v>
      </c>
      <c r="H3829" s="1">
        <v>957000</v>
      </c>
      <c r="I3829" t="s">
        <v>8052</v>
      </c>
      <c r="J3829" t="s">
        <v>8053</v>
      </c>
      <c r="K3829" s="170">
        <v>45688</v>
      </c>
      <c r="L3829" s="1">
        <v>995005.06617838563</v>
      </c>
      <c r="M3829" s="1">
        <v>45715</v>
      </c>
    </row>
    <row r="3830" spans="1:14" ht="14.4" hidden="1">
      <c r="A3830" t="s">
        <v>242</v>
      </c>
      <c r="B3830" s="1">
        <v>17</v>
      </c>
      <c r="C3830" s="258" t="s">
        <v>8054</v>
      </c>
      <c r="D3830" t="s">
        <v>1157</v>
      </c>
      <c r="E3830" t="s">
        <v>8055</v>
      </c>
      <c r="F3830">
        <v>825</v>
      </c>
      <c r="G3830">
        <v>1160</v>
      </c>
      <c r="H3830" s="1">
        <v>957000</v>
      </c>
      <c r="I3830"/>
      <c r="J3830" t="s">
        <v>8053</v>
      </c>
      <c r="K3830" s="170">
        <v>45688</v>
      </c>
      <c r="L3830" s="1">
        <v>995005.06617838563</v>
      </c>
      <c r="M3830" s="1">
        <v>45715</v>
      </c>
    </row>
    <row r="3831" spans="1:14" ht="14.4" hidden="1">
      <c r="A3831" t="s">
        <v>242</v>
      </c>
      <c r="B3831" s="1">
        <v>18</v>
      </c>
      <c r="C3831" s="258" t="s">
        <v>8056</v>
      </c>
      <c r="D3831" t="s">
        <v>1157</v>
      </c>
      <c r="E3831" t="s">
        <v>8057</v>
      </c>
      <c r="F3831">
        <v>60</v>
      </c>
      <c r="H3831" s="1">
        <v>55800</v>
      </c>
      <c r="I3831" t="s">
        <v>8058</v>
      </c>
      <c r="J3831" t="s">
        <v>8059</v>
      </c>
      <c r="K3831" s="170">
        <v>45900</v>
      </c>
      <c r="L3831" s="1">
        <v>0</v>
      </c>
      <c r="M3831" s="1">
        <v>45930</v>
      </c>
    </row>
    <row r="3832" spans="1:14" ht="14.4" hidden="1">
      <c r="A3832" t="s">
        <v>242</v>
      </c>
      <c r="B3832" s="1">
        <v>19</v>
      </c>
      <c r="C3832" s="258" t="s">
        <v>8060</v>
      </c>
      <c r="D3832" t="s">
        <v>1157</v>
      </c>
      <c r="F3832"/>
      <c r="H3832" s="1">
        <v>0</v>
      </c>
      <c r="I3832"/>
      <c r="J3832"/>
      <c r="K3832" s="170"/>
      <c r="L3832" s="1">
        <v>0</v>
      </c>
    </row>
    <row r="3833" spans="1:14" ht="14.4" hidden="1">
      <c r="A3833" t="s">
        <v>242</v>
      </c>
      <c r="B3833" s="1">
        <v>21</v>
      </c>
      <c r="C3833" s="258" t="s">
        <v>8061</v>
      </c>
      <c r="D3833" t="s">
        <v>1160</v>
      </c>
      <c r="E3833" t="s">
        <v>8062</v>
      </c>
      <c r="F3833"/>
      <c r="H3833" s="1">
        <v>346295</v>
      </c>
      <c r="I3833" t="s">
        <v>8063</v>
      </c>
      <c r="J3833" t="s">
        <v>8064</v>
      </c>
      <c r="K3833" s="170">
        <v>45688</v>
      </c>
      <c r="L3833" s="1">
        <v>705479.56989247305</v>
      </c>
      <c r="M3833" s="1">
        <v>45714</v>
      </c>
      <c r="N3833" s="1">
        <v>385343</v>
      </c>
    </row>
    <row r="3834" spans="1:14" ht="14.4" hidden="1">
      <c r="A3834" t="s">
        <v>242</v>
      </c>
      <c r="B3834" s="1">
        <v>22</v>
      </c>
      <c r="C3834" s="258" t="s">
        <v>8065</v>
      </c>
      <c r="D3834" t="s">
        <v>1160</v>
      </c>
      <c r="E3834" t="s">
        <v>1152</v>
      </c>
      <c r="F3834"/>
      <c r="H3834" s="1">
        <v>0</v>
      </c>
      <c r="I3834"/>
      <c r="J3834"/>
      <c r="K3834" s="170"/>
      <c r="L3834" s="1">
        <v>0</v>
      </c>
    </row>
    <row r="3835" spans="1:14" ht="14.4" hidden="1">
      <c r="A3835" t="s">
        <v>242</v>
      </c>
      <c r="B3835" s="1">
        <v>23</v>
      </c>
      <c r="C3835" s="258" t="s">
        <v>8066</v>
      </c>
      <c r="D3835" t="s">
        <v>1160</v>
      </c>
      <c r="E3835" t="s">
        <v>8067</v>
      </c>
      <c r="F3835"/>
      <c r="H3835" s="1">
        <v>39048</v>
      </c>
      <c r="I3835" t="s">
        <v>8068</v>
      </c>
      <c r="J3835" t="s">
        <v>8069</v>
      </c>
      <c r="K3835" s="170">
        <v>45777</v>
      </c>
      <c r="M3835" s="1">
        <v>45777</v>
      </c>
    </row>
    <row r="3836" spans="1:14" ht="14.4" hidden="1">
      <c r="A3836" t="s">
        <v>242</v>
      </c>
      <c r="B3836" s="1">
        <v>26</v>
      </c>
      <c r="C3836" s="258" t="s">
        <v>8070</v>
      </c>
      <c r="D3836" t="s">
        <v>1165</v>
      </c>
      <c r="E3836" t="s">
        <v>3748</v>
      </c>
      <c r="F3836">
        <v>46000</v>
      </c>
      <c r="G3836">
        <v>13.3</v>
      </c>
      <c r="H3836" s="1">
        <v>611800</v>
      </c>
      <c r="I3836"/>
      <c r="J3836" t="s">
        <v>8038</v>
      </c>
      <c r="K3836" s="170">
        <v>45657</v>
      </c>
      <c r="L3836" s="1">
        <v>542107.78446558013</v>
      </c>
      <c r="M3836" s="1">
        <v>45708</v>
      </c>
      <c r="N3836" s="1">
        <v>1702752.5</v>
      </c>
    </row>
    <row r="3837" spans="1:14" ht="14.4" hidden="1">
      <c r="A3837" t="s">
        <v>242</v>
      </c>
      <c r="B3837" s="1">
        <v>27</v>
      </c>
      <c r="C3837" s="258" t="s">
        <v>8071</v>
      </c>
      <c r="D3837" t="s">
        <v>1165</v>
      </c>
      <c r="E3837" t="s">
        <v>2261</v>
      </c>
      <c r="F3837">
        <v>10000</v>
      </c>
      <c r="G3837">
        <v>13.3</v>
      </c>
      <c r="H3837" s="1">
        <v>0</v>
      </c>
      <c r="I3837"/>
      <c r="J3837"/>
      <c r="K3837" s="170"/>
      <c r="L3837" s="1">
        <v>0</v>
      </c>
    </row>
    <row r="3838" spans="1:14" ht="14.4" hidden="1">
      <c r="A3838" t="s">
        <v>242</v>
      </c>
      <c r="B3838" s="1">
        <v>28</v>
      </c>
      <c r="C3838" s="258" t="s">
        <v>8072</v>
      </c>
      <c r="D3838" t="s">
        <v>1165</v>
      </c>
      <c r="E3838" t="s">
        <v>8073</v>
      </c>
      <c r="F3838">
        <v>484867.78</v>
      </c>
      <c r="G3838">
        <v>0.3</v>
      </c>
      <c r="H3838" s="1">
        <v>145460.334</v>
      </c>
      <c r="I3838" t="s">
        <v>8074</v>
      </c>
      <c r="J3838" t="s">
        <v>8075</v>
      </c>
      <c r="K3838" s="170">
        <v>45688</v>
      </c>
      <c r="L3838" s="1">
        <v>290003.51882912021</v>
      </c>
      <c r="M3838" s="1">
        <v>45666</v>
      </c>
    </row>
    <row r="3839" spans="1:14" ht="14.4" hidden="1">
      <c r="A3839" t="s">
        <v>242</v>
      </c>
      <c r="B3839" s="1">
        <v>29</v>
      </c>
      <c r="C3839" s="258" t="s">
        <v>8076</v>
      </c>
      <c r="D3839" t="s">
        <v>1165</v>
      </c>
      <c r="E3839" t="s">
        <v>8077</v>
      </c>
      <c r="F3839"/>
      <c r="G3839">
        <v>0.2</v>
      </c>
      <c r="H3839" s="1">
        <v>96973.556000000011</v>
      </c>
      <c r="I3839"/>
      <c r="J3839" t="s">
        <v>8078</v>
      </c>
      <c r="K3839" s="170">
        <v>45716</v>
      </c>
      <c r="L3839" s="1">
        <v>193335.67921941343</v>
      </c>
      <c r="M3839" s="1">
        <v>45708</v>
      </c>
    </row>
    <row r="3840" spans="1:14" ht="14.4" hidden="1">
      <c r="A3840" t="s">
        <v>242</v>
      </c>
      <c r="B3840" s="1">
        <v>30</v>
      </c>
      <c r="C3840" s="258" t="s">
        <v>8079</v>
      </c>
      <c r="D3840" t="s">
        <v>1165</v>
      </c>
      <c r="E3840" t="s">
        <v>8080</v>
      </c>
      <c r="F3840"/>
      <c r="G3840">
        <v>0.3</v>
      </c>
      <c r="H3840" s="1">
        <v>145460.334</v>
      </c>
      <c r="I3840"/>
      <c r="J3840" t="s">
        <v>8081</v>
      </c>
      <c r="K3840" s="170">
        <v>45747</v>
      </c>
      <c r="L3840" s="1">
        <v>128890.45340366672</v>
      </c>
      <c r="M3840" s="1">
        <v>45757</v>
      </c>
    </row>
    <row r="3841" spans="1:14" ht="14.4" hidden="1">
      <c r="A3841" t="s">
        <v>242</v>
      </c>
      <c r="B3841" s="1">
        <v>31</v>
      </c>
      <c r="C3841" s="258" t="s">
        <v>8082</v>
      </c>
      <c r="D3841" t="s">
        <v>1165</v>
      </c>
      <c r="E3841" t="s">
        <v>8083</v>
      </c>
      <c r="F3841"/>
      <c r="G3841">
        <v>0.15</v>
      </c>
      <c r="H3841" s="1">
        <v>72730.167000000001</v>
      </c>
      <c r="I3841"/>
      <c r="J3841" t="s">
        <v>8084</v>
      </c>
      <c r="K3841" s="170">
        <v>45777</v>
      </c>
      <c r="L3841" s="1">
        <v>159642.90774837055</v>
      </c>
      <c r="M3841" s="1">
        <v>45764</v>
      </c>
    </row>
    <row r="3842" spans="1:14" ht="14.4" hidden="1">
      <c r="A3842" t="s">
        <v>242</v>
      </c>
      <c r="B3842" s="1">
        <v>32</v>
      </c>
      <c r="C3842" s="258" t="s">
        <v>8085</v>
      </c>
      <c r="D3842" t="s">
        <v>1165</v>
      </c>
      <c r="E3842" t="s">
        <v>2138</v>
      </c>
      <c r="F3842"/>
      <c r="G3842">
        <v>0.05</v>
      </c>
      <c r="H3842" s="1">
        <v>24243.389000000003</v>
      </c>
      <c r="I3842"/>
      <c r="J3842" t="s">
        <v>8086</v>
      </c>
      <c r="K3842" s="170">
        <v>45838</v>
      </c>
      <c r="L3842" s="1">
        <v>23159.65591612352</v>
      </c>
      <c r="M3842" s="1">
        <v>45890</v>
      </c>
    </row>
    <row r="3843" spans="1:14" ht="14.4" hidden="1">
      <c r="A3843" t="s">
        <v>242</v>
      </c>
      <c r="B3843" s="1">
        <v>34</v>
      </c>
      <c r="C3843" s="258" t="s">
        <v>8087</v>
      </c>
      <c r="D3843" t="s">
        <v>1165</v>
      </c>
      <c r="E3843" t="s">
        <v>8088</v>
      </c>
      <c r="F3843">
        <v>606084.72</v>
      </c>
      <c r="G3843">
        <v>0.3</v>
      </c>
      <c r="H3843" s="1">
        <v>181825.416</v>
      </c>
      <c r="I3843"/>
      <c r="J3843" t="s">
        <v>8075</v>
      </c>
      <c r="K3843" s="170">
        <v>45688</v>
      </c>
      <c r="M3843" s="1">
        <v>45666</v>
      </c>
    </row>
    <row r="3844" spans="1:14" ht="14.4" hidden="1">
      <c r="A3844" t="s">
        <v>242</v>
      </c>
      <c r="B3844" s="1">
        <v>35</v>
      </c>
      <c r="C3844" s="258" t="s">
        <v>8089</v>
      </c>
      <c r="D3844" t="s">
        <v>1165</v>
      </c>
      <c r="E3844" t="s">
        <v>8077</v>
      </c>
      <c r="F3844"/>
      <c r="G3844">
        <v>0.2</v>
      </c>
      <c r="H3844" s="1">
        <v>121216.944</v>
      </c>
      <c r="I3844"/>
      <c r="J3844" t="s">
        <v>8078</v>
      </c>
      <c r="K3844" s="170">
        <v>45716</v>
      </c>
      <c r="M3844" s="1">
        <v>45708</v>
      </c>
    </row>
    <row r="3845" spans="1:14" ht="14.4" hidden="1">
      <c r="A3845" t="s">
        <v>242</v>
      </c>
      <c r="B3845" s="1">
        <v>36</v>
      </c>
      <c r="C3845" s="258" t="s">
        <v>8090</v>
      </c>
      <c r="D3845" t="s">
        <v>1165</v>
      </c>
      <c r="E3845" t="s">
        <v>169</v>
      </c>
      <c r="F3845"/>
      <c r="G3845">
        <v>0.3</v>
      </c>
      <c r="H3845" s="1">
        <v>181825.416</v>
      </c>
      <c r="I3845"/>
      <c r="J3845" t="s">
        <v>8091</v>
      </c>
      <c r="K3845" s="170">
        <v>45777</v>
      </c>
      <c r="L3845" s="1">
        <v>173697.41793797971</v>
      </c>
      <c r="M3845" s="1">
        <v>45785</v>
      </c>
    </row>
    <row r="3846" spans="1:14" ht="14.4" hidden="1">
      <c r="A3846" t="s">
        <v>242</v>
      </c>
      <c r="B3846" s="1">
        <v>37</v>
      </c>
      <c r="C3846" s="258" t="s">
        <v>8092</v>
      </c>
      <c r="D3846" t="s">
        <v>1165</v>
      </c>
      <c r="E3846" t="s">
        <v>8093</v>
      </c>
      <c r="F3846"/>
      <c r="G3846">
        <v>0.15</v>
      </c>
      <c r="H3846" s="1">
        <v>90912.707999999999</v>
      </c>
      <c r="I3846"/>
      <c r="J3846" t="s">
        <v>8091</v>
      </c>
      <c r="K3846" s="170">
        <v>45777</v>
      </c>
      <c r="L3846" s="1">
        <v>86848.708968989857</v>
      </c>
      <c r="M3846" s="1">
        <v>45785</v>
      </c>
    </row>
    <row r="3847" spans="1:14" ht="14.4" hidden="1">
      <c r="A3847" t="s">
        <v>242</v>
      </c>
      <c r="B3847" s="1">
        <v>38</v>
      </c>
      <c r="C3847" s="258" t="s">
        <v>8094</v>
      </c>
      <c r="D3847" t="s">
        <v>1165</v>
      </c>
      <c r="E3847" t="s">
        <v>2138</v>
      </c>
      <c r="F3847"/>
      <c r="G3847">
        <v>0.05</v>
      </c>
      <c r="H3847" s="1">
        <v>30304.236000000001</v>
      </c>
      <c r="I3847"/>
      <c r="J3847" t="s">
        <v>8095</v>
      </c>
      <c r="K3847" s="170">
        <v>45838</v>
      </c>
      <c r="L3847" s="1">
        <v>28949.569656329953</v>
      </c>
      <c r="M3847" s="1">
        <v>45890</v>
      </c>
    </row>
    <row r="3848" spans="1:14" ht="14.4" hidden="1">
      <c r="A3848" t="s">
        <v>242</v>
      </c>
      <c r="B3848" s="1">
        <v>40</v>
      </c>
      <c r="C3848" s="258" t="s">
        <v>8096</v>
      </c>
      <c r="D3848" t="s">
        <v>1193</v>
      </c>
      <c r="E3848" t="s">
        <v>8097</v>
      </c>
      <c r="F3848">
        <v>2</v>
      </c>
      <c r="G3848">
        <v>1740</v>
      </c>
      <c r="H3848" s="1">
        <v>3480</v>
      </c>
      <c r="I3848" t="s">
        <v>8046</v>
      </c>
      <c r="J3848" t="s">
        <v>8047</v>
      </c>
      <c r="K3848" s="170">
        <v>45716</v>
      </c>
      <c r="L3848" s="1">
        <v>5722.9894158392699</v>
      </c>
      <c r="M3848" s="1">
        <v>45744</v>
      </c>
      <c r="N3848" s="1">
        <v>419582.98</v>
      </c>
    </row>
    <row r="3849" spans="1:14" ht="14.4" hidden="1">
      <c r="A3849" t="s">
        <v>242</v>
      </c>
      <c r="B3849" s="1">
        <v>41</v>
      </c>
      <c r="C3849" s="258" t="s">
        <v>8098</v>
      </c>
      <c r="D3849" t="s">
        <v>1193</v>
      </c>
      <c r="E3849" t="s">
        <v>8099</v>
      </c>
      <c r="F3849"/>
      <c r="H3849" s="1">
        <v>21463</v>
      </c>
      <c r="I3849" t="s">
        <v>8100</v>
      </c>
      <c r="J3849" t="s">
        <v>8101</v>
      </c>
      <c r="K3849" s="170">
        <v>45688</v>
      </c>
      <c r="L3849" s="1">
        <v>31475.09589931423</v>
      </c>
      <c r="M3849" s="1">
        <v>45715</v>
      </c>
    </row>
    <row r="3850" spans="1:14" ht="14.4" hidden="1">
      <c r="A3850" t="s">
        <v>242</v>
      </c>
      <c r="B3850" s="1">
        <v>42</v>
      </c>
      <c r="C3850" s="258" t="s">
        <v>8102</v>
      </c>
      <c r="D3850" t="s">
        <v>1193</v>
      </c>
      <c r="E3850" t="s">
        <v>8103</v>
      </c>
      <c r="F3850">
        <v>2</v>
      </c>
      <c r="G3850">
        <v>14934</v>
      </c>
      <c r="H3850" s="1">
        <v>29868</v>
      </c>
      <c r="I3850"/>
      <c r="J3850" t="s">
        <v>8104</v>
      </c>
      <c r="K3850" s="170">
        <v>45688</v>
      </c>
      <c r="L3850" s="1">
        <v>43800.874263649901</v>
      </c>
      <c r="M3850" s="1">
        <v>45688</v>
      </c>
    </row>
    <row r="3851" spans="1:14" ht="14.4" hidden="1">
      <c r="A3851" t="s">
        <v>242</v>
      </c>
      <c r="B3851" s="1">
        <v>43</v>
      </c>
      <c r="C3851" s="258" t="s">
        <v>8105</v>
      </c>
      <c r="D3851" t="s">
        <v>1193</v>
      </c>
      <c r="E3851" t="s">
        <v>8106</v>
      </c>
      <c r="F3851"/>
      <c r="H3851" s="1">
        <v>40101</v>
      </c>
      <c r="I3851" t="s">
        <v>8107</v>
      </c>
      <c r="J3851" t="s">
        <v>8108</v>
      </c>
      <c r="K3851" s="170">
        <v>45716</v>
      </c>
      <c r="L3851" s="1">
        <v>62163.262020658112</v>
      </c>
      <c r="M3851" s="1">
        <v>45722</v>
      </c>
    </row>
    <row r="3852" spans="1:14" ht="14.4" hidden="1">
      <c r="A3852" t="s">
        <v>242</v>
      </c>
      <c r="B3852" s="1">
        <v>44</v>
      </c>
      <c r="C3852" s="258" t="s">
        <v>8109</v>
      </c>
      <c r="D3852" t="s">
        <v>1193</v>
      </c>
      <c r="E3852" t="s">
        <v>8110</v>
      </c>
      <c r="F3852"/>
      <c r="H3852" s="1">
        <v>40101</v>
      </c>
      <c r="I3852"/>
      <c r="J3852" t="s">
        <v>8111</v>
      </c>
      <c r="K3852" s="170">
        <v>45747</v>
      </c>
      <c r="L3852" s="1">
        <v>62163.262020658112</v>
      </c>
      <c r="M3852" s="1">
        <v>45750</v>
      </c>
    </row>
    <row r="3853" spans="1:14" ht="14.4" hidden="1">
      <c r="A3853" t="s">
        <v>242</v>
      </c>
      <c r="B3853" s="1">
        <v>45</v>
      </c>
      <c r="C3853" s="258" t="s">
        <v>8112</v>
      </c>
      <c r="D3853" t="s">
        <v>1193</v>
      </c>
      <c r="E3853" t="s">
        <v>8113</v>
      </c>
      <c r="F3853"/>
      <c r="H3853" s="1">
        <v>61210</v>
      </c>
      <c r="I3853" t="s">
        <v>8046</v>
      </c>
      <c r="J3853" t="s">
        <v>8047</v>
      </c>
      <c r="K3853" s="170">
        <v>45716</v>
      </c>
      <c r="L3853" s="1">
        <v>125742.7913056097</v>
      </c>
      <c r="M3853" s="1">
        <v>45744</v>
      </c>
    </row>
    <row r="3854" spans="1:14" ht="14.4" hidden="1">
      <c r="A3854" t="s">
        <v>242</v>
      </c>
      <c r="B3854" s="1">
        <v>46</v>
      </c>
      <c r="C3854" s="258" t="s">
        <v>8114</v>
      </c>
      <c r="D3854" t="s">
        <v>1193</v>
      </c>
      <c r="E3854" t="s">
        <v>8115</v>
      </c>
      <c r="F3854"/>
      <c r="H3854" s="1">
        <v>1460</v>
      </c>
      <c r="I3854" t="s">
        <v>8116</v>
      </c>
      <c r="J3854" t="s">
        <v>8117</v>
      </c>
      <c r="K3854" s="170">
        <v>45716</v>
      </c>
      <c r="L3854" s="1">
        <v>2401.0242951509581</v>
      </c>
      <c r="M3854" s="1">
        <v>45744</v>
      </c>
    </row>
    <row r="3855" spans="1:14" ht="14.4" hidden="1">
      <c r="A3855" t="s">
        <v>242</v>
      </c>
      <c r="B3855" s="1">
        <v>47</v>
      </c>
      <c r="C3855" s="258" t="s">
        <v>8118</v>
      </c>
      <c r="D3855" t="s">
        <v>1193</v>
      </c>
      <c r="E3855" t="s">
        <v>8119</v>
      </c>
      <c r="F3855"/>
      <c r="H3855" s="1">
        <v>18571.36</v>
      </c>
      <c r="I3855"/>
      <c r="J3855" t="s">
        <v>8120</v>
      </c>
      <c r="K3855" s="170">
        <v>45716</v>
      </c>
      <c r="L3855" s="1">
        <v>30541.292160270343</v>
      </c>
      <c r="M3855" s="1">
        <v>45715</v>
      </c>
    </row>
    <row r="3856" spans="1:14" ht="14.4" hidden="1">
      <c r="A3856" t="s">
        <v>242</v>
      </c>
      <c r="B3856" s="1">
        <v>48</v>
      </c>
      <c r="C3856" s="258" t="s">
        <v>8121</v>
      </c>
      <c r="D3856" t="s">
        <v>1193</v>
      </c>
      <c r="E3856" t="s">
        <v>8122</v>
      </c>
      <c r="F3856"/>
      <c r="H3856" s="1">
        <v>559.63</v>
      </c>
      <c r="I3856"/>
      <c r="J3856" t="s">
        <v>4989</v>
      </c>
      <c r="K3856" s="170">
        <v>45747</v>
      </c>
      <c r="L3856" s="1">
        <v>0</v>
      </c>
      <c r="M3856" s="1">
        <v>45777</v>
      </c>
    </row>
    <row r="3857" spans="1:13" ht="14.4" hidden="1">
      <c r="A3857" t="s">
        <v>242</v>
      </c>
      <c r="B3857" s="1">
        <v>49</v>
      </c>
      <c r="C3857" s="258" t="s">
        <v>8123</v>
      </c>
      <c r="D3857" t="s">
        <v>1193</v>
      </c>
      <c r="E3857" t="s">
        <v>8124</v>
      </c>
      <c r="F3857"/>
      <c r="H3857" s="1">
        <v>18571.36</v>
      </c>
      <c r="I3857" t="s">
        <v>8125</v>
      </c>
      <c r="J3857" t="s">
        <v>8126</v>
      </c>
      <c r="K3857" s="170">
        <v>45747</v>
      </c>
      <c r="L3857" s="1">
        <v>0</v>
      </c>
      <c r="M3857" s="1">
        <v>45729</v>
      </c>
    </row>
    <row r="3858" spans="1:13" ht="14.4" hidden="1">
      <c r="A3858" t="s">
        <v>242</v>
      </c>
      <c r="B3858" s="1">
        <v>50</v>
      </c>
      <c r="C3858" s="258" t="s">
        <v>8127</v>
      </c>
      <c r="D3858" t="s">
        <v>1193</v>
      </c>
      <c r="E3858" t="s">
        <v>2297</v>
      </c>
      <c r="F3858"/>
      <c r="H3858" s="1">
        <v>559.63</v>
      </c>
      <c r="I3858"/>
      <c r="J3858" t="s">
        <v>8128</v>
      </c>
      <c r="K3858" s="170">
        <v>45808</v>
      </c>
      <c r="L3858" s="1">
        <v>822.17993473261731</v>
      </c>
    </row>
    <row r="3859" spans="1:13" ht="14.4" hidden="1">
      <c r="A3859" t="s">
        <v>242</v>
      </c>
      <c r="B3859" s="1">
        <v>51</v>
      </c>
      <c r="C3859" s="258" t="s">
        <v>8129</v>
      </c>
      <c r="D3859" t="s">
        <v>1193</v>
      </c>
      <c r="E3859" t="s">
        <v>8130</v>
      </c>
      <c r="F3859"/>
      <c r="H3859" s="1">
        <v>23617.5</v>
      </c>
      <c r="I3859" t="s">
        <v>8131</v>
      </c>
      <c r="J3859" t="s">
        <v>8132</v>
      </c>
      <c r="K3859" s="170">
        <v>45747</v>
      </c>
      <c r="L3859" s="1">
        <v>36619.658047253019</v>
      </c>
      <c r="M3859" s="1">
        <v>45744</v>
      </c>
    </row>
    <row r="3860" spans="1:13" ht="14.4" hidden="1">
      <c r="A3860" t="s">
        <v>242</v>
      </c>
      <c r="B3860" s="1">
        <v>52</v>
      </c>
      <c r="C3860" s="258" t="s">
        <v>8133</v>
      </c>
      <c r="D3860" t="s">
        <v>1193</v>
      </c>
      <c r="E3860" t="s">
        <v>8134</v>
      </c>
      <c r="F3860"/>
      <c r="H3860" s="1">
        <v>23617.5</v>
      </c>
      <c r="I3860"/>
      <c r="J3860" t="s">
        <v>8135</v>
      </c>
      <c r="K3860" s="170">
        <v>45747</v>
      </c>
      <c r="L3860" s="1">
        <v>36611.078047253017</v>
      </c>
      <c r="M3860" s="1">
        <v>45750</v>
      </c>
    </row>
    <row r="3861" spans="1:13" ht="14.4" hidden="1">
      <c r="A3861" t="s">
        <v>242</v>
      </c>
      <c r="B3861" s="1">
        <v>53</v>
      </c>
      <c r="C3861" s="258" t="s">
        <v>8136</v>
      </c>
      <c r="D3861" t="s">
        <v>1193</v>
      </c>
      <c r="E3861" t="s">
        <v>8137</v>
      </c>
      <c r="F3861">
        <v>1</v>
      </c>
      <c r="G3861">
        <v>97750</v>
      </c>
      <c r="H3861" s="1">
        <v>97750</v>
      </c>
      <c r="I3861" t="s">
        <v>8138</v>
      </c>
      <c r="J3861" t="s">
        <v>8139</v>
      </c>
      <c r="K3861" s="170">
        <v>45808</v>
      </c>
      <c r="L3861" s="1">
        <v>121579.44869952172</v>
      </c>
      <c r="M3861" s="1">
        <v>45835</v>
      </c>
    </row>
    <row r="3862" spans="1:13" ht="14.4" hidden="1">
      <c r="A3862" t="s">
        <v>242</v>
      </c>
      <c r="B3862" s="1">
        <v>54</v>
      </c>
      <c r="C3862" s="258" t="s">
        <v>8140</v>
      </c>
      <c r="D3862" t="s">
        <v>1193</v>
      </c>
      <c r="E3862" t="s">
        <v>8141</v>
      </c>
      <c r="F3862">
        <v>4</v>
      </c>
      <c r="G3862">
        <v>5550</v>
      </c>
      <c r="H3862" s="1">
        <v>22200</v>
      </c>
      <c r="I3862" t="s">
        <v>8142</v>
      </c>
      <c r="J3862" t="s">
        <v>8143</v>
      </c>
      <c r="K3862" s="170">
        <v>45808</v>
      </c>
      <c r="L3862" s="1">
        <v>32615.110968075522</v>
      </c>
      <c r="M3862" s="1">
        <v>45835</v>
      </c>
    </row>
    <row r="3863" spans="1:13" ht="14.4" hidden="1">
      <c r="A3863" t="s">
        <v>242</v>
      </c>
      <c r="B3863" s="1">
        <v>55</v>
      </c>
      <c r="C3863" s="258" t="s">
        <v>8144</v>
      </c>
      <c r="D3863" t="s">
        <v>1193</v>
      </c>
      <c r="E3863" t="s">
        <v>8145</v>
      </c>
      <c r="F3863"/>
      <c r="H3863" s="1">
        <v>16453</v>
      </c>
      <c r="I3863" t="s">
        <v>8146</v>
      </c>
      <c r="J3863" t="s">
        <v>8147</v>
      </c>
      <c r="K3863" s="170">
        <v>45838</v>
      </c>
      <c r="L3863" s="1">
        <v>0</v>
      </c>
      <c r="M3863" s="1">
        <v>45849</v>
      </c>
    </row>
    <row r="3864" spans="1:13" ht="14.4" hidden="1">
      <c r="A3864" t="s">
        <v>242</v>
      </c>
      <c r="B3864" s="1">
        <v>58</v>
      </c>
      <c r="C3864" s="258" t="s">
        <v>8148</v>
      </c>
      <c r="D3864" t="s">
        <v>1211</v>
      </c>
      <c r="E3864" t="s">
        <v>8149</v>
      </c>
      <c r="F3864"/>
      <c r="H3864" s="1">
        <v>14956</v>
      </c>
      <c r="I3864" t="s">
        <v>8150</v>
      </c>
      <c r="J3864" t="s">
        <v>8151</v>
      </c>
      <c r="K3864" s="170">
        <v>45716</v>
      </c>
      <c r="L3864" s="1">
        <v>15836.642766224404</v>
      </c>
      <c r="M3864" s="1">
        <v>45701</v>
      </c>
    </row>
    <row r="3865" spans="1:13" ht="14.4" hidden="1">
      <c r="A3865" t="s">
        <v>242</v>
      </c>
      <c r="B3865" s="1">
        <v>60</v>
      </c>
      <c r="C3865" s="258" t="s">
        <v>8152</v>
      </c>
      <c r="D3865" t="s">
        <v>1211</v>
      </c>
      <c r="E3865" t="s">
        <v>8153</v>
      </c>
      <c r="F3865"/>
      <c r="H3865" s="1">
        <v>126142</v>
      </c>
      <c r="I3865" t="s">
        <v>8154</v>
      </c>
      <c r="J3865" t="s">
        <v>8155</v>
      </c>
      <c r="K3865" s="170">
        <v>45716</v>
      </c>
      <c r="L3865" s="1">
        <v>93925.813389748524</v>
      </c>
      <c r="M3865" s="1">
        <v>45708</v>
      </c>
    </row>
    <row r="3866" spans="1:13" ht="14.4" hidden="1">
      <c r="A3866" t="s">
        <v>242</v>
      </c>
      <c r="B3866" s="1">
        <v>61</v>
      </c>
      <c r="C3866" s="258" t="s">
        <v>8156</v>
      </c>
      <c r="D3866" t="s">
        <v>1211</v>
      </c>
      <c r="E3866" t="s">
        <v>8073</v>
      </c>
      <c r="F3866">
        <v>616919.5</v>
      </c>
      <c r="G3866">
        <v>0.3</v>
      </c>
      <c r="H3866" s="1">
        <v>185075.85</v>
      </c>
      <c r="I3866" t="s">
        <v>8074</v>
      </c>
      <c r="J3866" t="s">
        <v>8075</v>
      </c>
      <c r="K3866" s="170">
        <v>45688</v>
      </c>
      <c r="L3866" s="1">
        <v>480584.15055997926</v>
      </c>
      <c r="M3866" s="1">
        <v>45666</v>
      </c>
    </row>
    <row r="3867" spans="1:13" ht="14.4" hidden="1">
      <c r="A3867" t="s">
        <v>242</v>
      </c>
      <c r="B3867" s="1">
        <v>62</v>
      </c>
      <c r="C3867" s="258" t="s">
        <v>8157</v>
      </c>
      <c r="D3867" t="s">
        <v>1211</v>
      </c>
      <c r="E3867" t="s">
        <v>8077</v>
      </c>
      <c r="F3867"/>
      <c r="G3867">
        <v>0.2</v>
      </c>
      <c r="H3867" s="1">
        <v>123383.9</v>
      </c>
      <c r="I3867"/>
      <c r="J3867" t="s">
        <v>8078</v>
      </c>
      <c r="K3867" s="170">
        <v>45716</v>
      </c>
      <c r="L3867" s="1">
        <v>293960.29458554141</v>
      </c>
      <c r="M3867" s="1">
        <v>45708</v>
      </c>
    </row>
    <row r="3868" spans="1:13" ht="14.4" hidden="1">
      <c r="A3868" t="s">
        <v>242</v>
      </c>
      <c r="B3868" s="1">
        <v>63</v>
      </c>
      <c r="C3868" s="258" t="s">
        <v>8158</v>
      </c>
      <c r="D3868" t="s">
        <v>1211</v>
      </c>
      <c r="E3868" t="s">
        <v>8080</v>
      </c>
      <c r="F3868"/>
      <c r="G3868">
        <v>0.3</v>
      </c>
      <c r="H3868" s="1">
        <v>185075.85</v>
      </c>
      <c r="I3868"/>
      <c r="J3868" t="s">
        <v>8081</v>
      </c>
      <c r="K3868" s="170">
        <v>45747</v>
      </c>
      <c r="L3868" s="1">
        <v>195973.53042961576</v>
      </c>
      <c r="M3868" s="1">
        <v>45757</v>
      </c>
    </row>
    <row r="3869" spans="1:13" ht="14.4" hidden="1">
      <c r="A3869" t="s">
        <v>242</v>
      </c>
      <c r="B3869" s="1">
        <v>64</v>
      </c>
      <c r="C3869" s="258" t="s">
        <v>8159</v>
      </c>
      <c r="D3869" t="s">
        <v>1211</v>
      </c>
      <c r="E3869" t="s">
        <v>8083</v>
      </c>
      <c r="F3869"/>
      <c r="G3869">
        <v>0.15</v>
      </c>
      <c r="H3869" s="1">
        <v>92537.925000000003</v>
      </c>
      <c r="I3869"/>
      <c r="J3869" t="s">
        <v>8084</v>
      </c>
      <c r="K3869" s="170">
        <v>45777</v>
      </c>
      <c r="L3869" s="1">
        <v>97986.765214807878</v>
      </c>
      <c r="M3869" s="1">
        <v>45764</v>
      </c>
    </row>
    <row r="3870" spans="1:13" ht="14.4" hidden="1">
      <c r="A3870" t="s">
        <v>242</v>
      </c>
      <c r="B3870" s="1">
        <v>65</v>
      </c>
      <c r="C3870" s="258" t="s">
        <v>8160</v>
      </c>
      <c r="D3870" t="s">
        <v>1211</v>
      </c>
      <c r="E3870" t="s">
        <v>2138</v>
      </c>
      <c r="F3870"/>
      <c r="G3870">
        <v>0.05</v>
      </c>
      <c r="H3870" s="1">
        <v>30845.974999999999</v>
      </c>
      <c r="I3870"/>
      <c r="J3870" t="s">
        <v>8086</v>
      </c>
      <c r="K3870" s="170">
        <v>45838</v>
      </c>
      <c r="L3870" s="1">
        <v>32662.255071602627</v>
      </c>
      <c r="M3870" s="1">
        <v>45890</v>
      </c>
    </row>
    <row r="3871" spans="1:13" ht="14.4" hidden="1">
      <c r="A3871" t="s">
        <v>242</v>
      </c>
      <c r="B3871" s="1">
        <v>67</v>
      </c>
      <c r="C3871" s="258" t="s">
        <v>8161</v>
      </c>
      <c r="D3871" t="s">
        <v>1211</v>
      </c>
      <c r="E3871" t="s">
        <v>8088</v>
      </c>
      <c r="F3871">
        <v>771149.37</v>
      </c>
      <c r="G3871">
        <v>0.3</v>
      </c>
      <c r="H3871" s="1">
        <v>231344.81099999999</v>
      </c>
      <c r="I3871"/>
      <c r="J3871" t="s">
        <v>8075</v>
      </c>
      <c r="K3871" s="170">
        <v>45688</v>
      </c>
      <c r="M3871" s="1">
        <v>45666</v>
      </c>
    </row>
    <row r="3872" spans="1:13" ht="14.4" hidden="1">
      <c r="A3872" t="s">
        <v>242</v>
      </c>
      <c r="B3872" s="1">
        <v>68</v>
      </c>
      <c r="C3872" s="258" t="s">
        <v>8162</v>
      </c>
      <c r="D3872" t="s">
        <v>1211</v>
      </c>
      <c r="E3872" t="s">
        <v>8077</v>
      </c>
      <c r="F3872"/>
      <c r="G3872">
        <v>0.2</v>
      </c>
      <c r="H3872" s="1">
        <v>154229.87400000001</v>
      </c>
      <c r="I3872"/>
      <c r="J3872" t="s">
        <v>8078</v>
      </c>
      <c r="K3872" s="170">
        <v>45716</v>
      </c>
      <c r="M3872" s="1">
        <v>45708</v>
      </c>
    </row>
    <row r="3873" spans="1:14" ht="14.4" hidden="1">
      <c r="A3873" t="s">
        <v>242</v>
      </c>
      <c r="B3873" s="1">
        <v>69</v>
      </c>
      <c r="C3873" s="258" t="s">
        <v>8163</v>
      </c>
      <c r="D3873" t="s">
        <v>1211</v>
      </c>
      <c r="E3873" t="s">
        <v>169</v>
      </c>
      <c r="F3873"/>
      <c r="G3873">
        <v>0.3</v>
      </c>
      <c r="H3873" s="1">
        <v>231344.81099999999</v>
      </c>
      <c r="I3873"/>
      <c r="J3873" t="s">
        <v>8091</v>
      </c>
      <c r="K3873" s="170">
        <v>45777</v>
      </c>
      <c r="L3873" s="1">
        <v>244966.91144869631</v>
      </c>
      <c r="M3873" s="1">
        <v>45785</v>
      </c>
    </row>
    <row r="3874" spans="1:14" ht="14.4" hidden="1">
      <c r="A3874" t="s">
        <v>242</v>
      </c>
      <c r="B3874" s="1">
        <v>70</v>
      </c>
      <c r="C3874" s="258" t="s">
        <v>8164</v>
      </c>
      <c r="D3874" t="s">
        <v>1211</v>
      </c>
      <c r="E3874" t="s">
        <v>8093</v>
      </c>
      <c r="F3874"/>
      <c r="G3874">
        <v>0.15</v>
      </c>
      <c r="H3874" s="1">
        <v>115672.40549999999</v>
      </c>
      <c r="I3874"/>
      <c r="J3874" t="s">
        <v>8091</v>
      </c>
      <c r="K3874" s="170">
        <v>45777</v>
      </c>
      <c r="L3874" s="1">
        <v>122483.45572434815</v>
      </c>
      <c r="M3874" s="1">
        <v>45785</v>
      </c>
    </row>
    <row r="3875" spans="1:14" ht="14.4" hidden="1">
      <c r="A3875" t="s">
        <v>242</v>
      </c>
      <c r="B3875" s="1">
        <v>71</v>
      </c>
      <c r="C3875" s="258" t="s">
        <v>8165</v>
      </c>
      <c r="D3875" t="s">
        <v>1211</v>
      </c>
      <c r="E3875" t="s">
        <v>2138</v>
      </c>
      <c r="F3875"/>
      <c r="G3875">
        <v>0.05</v>
      </c>
      <c r="H3875" s="1">
        <v>38557.468500000003</v>
      </c>
      <c r="I3875"/>
      <c r="J3875" t="s">
        <v>8095</v>
      </c>
      <c r="K3875" s="170">
        <v>45838</v>
      </c>
      <c r="L3875" s="1">
        <v>40827.818574782723</v>
      </c>
      <c r="M3875" s="1">
        <v>45890</v>
      </c>
    </row>
    <row r="3876" spans="1:14" ht="14.4" hidden="1">
      <c r="A3876" t="s">
        <v>242</v>
      </c>
      <c r="B3876" s="1">
        <v>82</v>
      </c>
      <c r="C3876" s="258" t="s">
        <v>8166</v>
      </c>
      <c r="D3876" t="s">
        <v>1224</v>
      </c>
      <c r="E3876" t="s">
        <v>8167</v>
      </c>
      <c r="F3876"/>
      <c r="H3876" s="1">
        <v>99</v>
      </c>
      <c r="I3876" t="s">
        <v>8168</v>
      </c>
      <c r="J3876" t="s">
        <v>8169</v>
      </c>
      <c r="K3876" s="170">
        <v>45808</v>
      </c>
      <c r="L3876" s="1">
        <v>132.70615630593156</v>
      </c>
      <c r="M3876" s="1">
        <v>45835</v>
      </c>
      <c r="N3876" s="1">
        <v>492321.82</v>
      </c>
    </row>
    <row r="3877" spans="1:14" ht="14.4" hidden="1">
      <c r="A3877" t="s">
        <v>242</v>
      </c>
      <c r="B3877" s="1">
        <v>83</v>
      </c>
      <c r="C3877" s="258" t="s">
        <v>8170</v>
      </c>
      <c r="D3877" t="s">
        <v>1224</v>
      </c>
      <c r="E3877" t="s">
        <v>8171</v>
      </c>
      <c r="F3877"/>
      <c r="H3877" s="1">
        <v>1500</v>
      </c>
      <c r="I3877" t="s">
        <v>8172</v>
      </c>
      <c r="J3877" t="s">
        <v>8173</v>
      </c>
      <c r="K3877" s="170">
        <v>45808</v>
      </c>
      <c r="L3877" s="1">
        <v>2010.6993379686601</v>
      </c>
      <c r="M3877" s="1">
        <v>45806</v>
      </c>
    </row>
    <row r="3878" spans="1:14" ht="14.4" hidden="1">
      <c r="A3878" t="s">
        <v>242</v>
      </c>
      <c r="B3878" s="1">
        <v>84</v>
      </c>
      <c r="C3878" s="258" t="s">
        <v>8174</v>
      </c>
      <c r="D3878" t="s">
        <v>1224</v>
      </c>
      <c r="E3878" t="s">
        <v>8175</v>
      </c>
      <c r="F3878">
        <v>171800</v>
      </c>
      <c r="G3878">
        <v>0.5</v>
      </c>
      <c r="H3878" s="1">
        <v>85900</v>
      </c>
      <c r="I3878" t="s">
        <v>8176</v>
      </c>
      <c r="J3878" t="s">
        <v>8177</v>
      </c>
      <c r="K3878" s="170">
        <v>45777</v>
      </c>
      <c r="L3878" s="1">
        <v>172789.30223232289</v>
      </c>
      <c r="M3878" s="1">
        <v>45785</v>
      </c>
    </row>
    <row r="3879" spans="1:14" ht="14.4" hidden="1">
      <c r="A3879" t="s">
        <v>242</v>
      </c>
      <c r="B3879" s="1">
        <v>85</v>
      </c>
      <c r="C3879" s="258" t="s">
        <v>8178</v>
      </c>
      <c r="D3879" t="s">
        <v>1224</v>
      </c>
      <c r="F3879"/>
      <c r="G3879">
        <v>0.5</v>
      </c>
      <c r="H3879" s="1">
        <v>85900</v>
      </c>
      <c r="I3879"/>
      <c r="J3879" t="s">
        <v>8177</v>
      </c>
      <c r="K3879" s="170">
        <v>45777</v>
      </c>
      <c r="L3879" s="1">
        <v>172789.30223232289</v>
      </c>
      <c r="M3879" s="1">
        <v>45827</v>
      </c>
    </row>
    <row r="3880" spans="1:14" ht="14.4" hidden="1">
      <c r="A3880" t="s">
        <v>242</v>
      </c>
      <c r="B3880" s="1">
        <v>86</v>
      </c>
      <c r="C3880" s="258" t="s">
        <v>8179</v>
      </c>
      <c r="D3880" t="s">
        <v>1224</v>
      </c>
      <c r="E3880" t="s">
        <v>8180</v>
      </c>
      <c r="F3880"/>
      <c r="H3880" s="1">
        <v>16800</v>
      </c>
      <c r="I3880" t="s">
        <v>8181</v>
      </c>
      <c r="J3880" t="s">
        <v>8182</v>
      </c>
      <c r="K3880" s="170">
        <v>45716</v>
      </c>
      <c r="L3880" s="1">
        <v>39344.387220710938</v>
      </c>
      <c r="M3880" s="1">
        <v>45820</v>
      </c>
    </row>
    <row r="3881" spans="1:14" ht="14.4" hidden="1">
      <c r="A3881" t="s">
        <v>242</v>
      </c>
      <c r="B3881" s="1">
        <v>87</v>
      </c>
      <c r="C3881" s="258" t="s">
        <v>8183</v>
      </c>
      <c r="D3881" t="s">
        <v>1224</v>
      </c>
      <c r="E3881" t="s">
        <v>8184</v>
      </c>
      <c r="F3881">
        <v>21.052631578947366</v>
      </c>
      <c r="G3881">
        <v>2974.66</v>
      </c>
      <c r="H3881" s="1">
        <v>62467.86</v>
      </c>
      <c r="I3881" t="s">
        <v>8185</v>
      </c>
      <c r="J3881" t="s">
        <v>8186</v>
      </c>
      <c r="K3881" s="170">
        <v>45747</v>
      </c>
      <c r="L3881" s="1">
        <v>39459.629818039699</v>
      </c>
      <c r="M3881" s="1">
        <v>45729</v>
      </c>
    </row>
    <row r="3882" spans="1:14" ht="14.4" hidden="1">
      <c r="A3882" t="s">
        <v>242</v>
      </c>
      <c r="B3882" s="1">
        <v>88</v>
      </c>
      <c r="C3882" s="258" t="s">
        <v>8187</v>
      </c>
      <c r="D3882" t="s">
        <v>1224</v>
      </c>
      <c r="E3882" t="s">
        <v>8188</v>
      </c>
      <c r="F3882">
        <v>23</v>
      </c>
      <c r="G3882">
        <v>94.8</v>
      </c>
      <c r="H3882" s="1">
        <v>2180.4</v>
      </c>
      <c r="I3882"/>
      <c r="J3882" t="s">
        <v>8186</v>
      </c>
      <c r="K3882" s="170">
        <v>45747</v>
      </c>
      <c r="L3882" s="1">
        <v>1377.3126989663765</v>
      </c>
      <c r="M3882" s="1">
        <v>45729</v>
      </c>
    </row>
    <row r="3883" spans="1:14" ht="14.4" hidden="1">
      <c r="A3883" t="s">
        <v>242</v>
      </c>
      <c r="B3883" s="1">
        <v>89</v>
      </c>
      <c r="C3883" s="258" t="s">
        <v>8189</v>
      </c>
      <c r="D3883" t="s">
        <v>1224</v>
      </c>
      <c r="E3883" t="s">
        <v>4669</v>
      </c>
      <c r="F3883"/>
      <c r="H3883" s="1">
        <v>5175</v>
      </c>
      <c r="I3883"/>
      <c r="J3883" t="s">
        <v>8186</v>
      </c>
      <c r="K3883" s="170">
        <v>45747</v>
      </c>
      <c r="L3883" s="1">
        <v>3268.9383677999444</v>
      </c>
      <c r="M3883" s="1">
        <v>45729</v>
      </c>
    </row>
    <row r="3884" spans="1:14" ht="14.4" hidden="1">
      <c r="A3884" t="s">
        <v>242</v>
      </c>
      <c r="B3884" s="1">
        <v>90</v>
      </c>
      <c r="C3884" s="258" t="s">
        <v>8190</v>
      </c>
      <c r="D3884" t="s">
        <v>1224</v>
      </c>
      <c r="E3884" t="s">
        <v>8191</v>
      </c>
      <c r="F3884"/>
      <c r="H3884" s="1">
        <v>10519</v>
      </c>
      <c r="I3884" t="s">
        <v>8192</v>
      </c>
      <c r="J3884" t="s">
        <v>8193</v>
      </c>
      <c r="K3884" s="170">
        <v>45838</v>
      </c>
      <c r="L3884" s="1">
        <v>0</v>
      </c>
      <c r="M3884" s="1">
        <v>45841</v>
      </c>
    </row>
    <row r="3885" spans="1:14" ht="14.4" hidden="1">
      <c r="A3885" t="s">
        <v>242</v>
      </c>
      <c r="B3885" s="1">
        <v>92</v>
      </c>
      <c r="C3885" s="258" t="s">
        <v>8194</v>
      </c>
      <c r="D3885" t="s">
        <v>1224</v>
      </c>
      <c r="E3885" t="s">
        <v>8195</v>
      </c>
      <c r="F3885"/>
      <c r="H3885" s="1">
        <v>1100</v>
      </c>
      <c r="I3885" t="s">
        <v>8196</v>
      </c>
      <c r="J3885" t="s">
        <v>8197</v>
      </c>
      <c r="K3885" s="170">
        <v>45808</v>
      </c>
      <c r="L3885" s="1">
        <v>0</v>
      </c>
      <c r="M3885" s="1">
        <v>45827</v>
      </c>
    </row>
    <row r="3886" spans="1:14" ht="14.4" hidden="1">
      <c r="A3886" t="s">
        <v>242</v>
      </c>
      <c r="B3886" s="1">
        <v>93</v>
      </c>
      <c r="C3886" s="258" t="s">
        <v>8198</v>
      </c>
      <c r="D3886" t="s">
        <v>1224</v>
      </c>
      <c r="E3886" t="s">
        <v>8199</v>
      </c>
      <c r="F3886"/>
      <c r="H3886" s="1">
        <v>12000</v>
      </c>
      <c r="I3886" t="s">
        <v>8200</v>
      </c>
      <c r="J3886" t="s">
        <v>8201</v>
      </c>
      <c r="K3886" s="170">
        <v>45688</v>
      </c>
      <c r="L3886" s="1">
        <v>8098.8322427598787</v>
      </c>
      <c r="M3886" s="1">
        <v>45708</v>
      </c>
    </row>
    <row r="3887" spans="1:14" ht="14.4" hidden="1">
      <c r="A3887" t="s">
        <v>242</v>
      </c>
      <c r="B3887" s="1">
        <v>94</v>
      </c>
      <c r="C3887" s="258" t="s">
        <v>8202</v>
      </c>
      <c r="D3887" t="s">
        <v>1224</v>
      </c>
      <c r="E3887" t="s">
        <v>8203</v>
      </c>
      <c r="F3887">
        <v>0.5</v>
      </c>
      <c r="G3887">
        <v>47900</v>
      </c>
      <c r="H3887" s="1">
        <v>23950</v>
      </c>
      <c r="I3887" t="s">
        <v>8204</v>
      </c>
      <c r="J3887" t="s">
        <v>8205</v>
      </c>
      <c r="K3887" s="170">
        <v>45747</v>
      </c>
      <c r="L3887" s="1">
        <v>0</v>
      </c>
      <c r="M3887" s="1">
        <v>45736</v>
      </c>
    </row>
    <row r="3888" spans="1:14" ht="14.4" hidden="1">
      <c r="A3888" t="s">
        <v>242</v>
      </c>
      <c r="B3888" s="1">
        <v>95</v>
      </c>
      <c r="C3888" s="258" t="s">
        <v>8206</v>
      </c>
      <c r="D3888" t="s">
        <v>1224</v>
      </c>
      <c r="E3888" t="s">
        <v>8207</v>
      </c>
      <c r="F3888">
        <v>0.5</v>
      </c>
      <c r="H3888" s="1">
        <v>23950</v>
      </c>
      <c r="I3888"/>
      <c r="J3888" t="s">
        <v>8205</v>
      </c>
      <c r="K3888" s="170">
        <v>45747</v>
      </c>
      <c r="L3888" s="1">
        <v>0</v>
      </c>
      <c r="M3888" s="1">
        <v>45876</v>
      </c>
    </row>
    <row r="3889" spans="1:14" ht="14.4" hidden="1">
      <c r="A3889" t="s">
        <v>242</v>
      </c>
      <c r="B3889" s="1">
        <v>96</v>
      </c>
      <c r="C3889" s="258" t="s">
        <v>8208</v>
      </c>
      <c r="D3889" t="s">
        <v>1224</v>
      </c>
      <c r="E3889" t="s">
        <v>8209</v>
      </c>
      <c r="F3889"/>
      <c r="H3889" s="1">
        <v>0</v>
      </c>
      <c r="I3889"/>
      <c r="J3889"/>
      <c r="K3889" s="170"/>
      <c r="L3889" s="1">
        <v>0</v>
      </c>
    </row>
    <row r="3890" spans="1:14" ht="14.4" hidden="1">
      <c r="A3890" t="s">
        <v>242</v>
      </c>
      <c r="B3890" s="1">
        <v>97</v>
      </c>
      <c r="C3890" s="258" t="s">
        <v>8210</v>
      </c>
      <c r="D3890" t="s">
        <v>1224</v>
      </c>
      <c r="E3890" t="s">
        <v>8211</v>
      </c>
      <c r="F3890">
        <v>0.6</v>
      </c>
      <c r="G3890">
        <v>106215.56</v>
      </c>
      <c r="H3890" s="1">
        <v>63729.336000000003</v>
      </c>
      <c r="I3890" t="s">
        <v>8212</v>
      </c>
      <c r="J3890" t="s">
        <v>8213</v>
      </c>
      <c r="K3890" s="170">
        <v>45716</v>
      </c>
      <c r="L3890" s="1">
        <v>41161.591621423409</v>
      </c>
      <c r="M3890" s="1">
        <v>45708</v>
      </c>
    </row>
    <row r="3891" spans="1:14" ht="14.4" hidden="1">
      <c r="A3891" t="s">
        <v>242</v>
      </c>
      <c r="B3891" s="1">
        <v>98</v>
      </c>
      <c r="C3891" s="258" t="s">
        <v>8214</v>
      </c>
      <c r="D3891" t="s">
        <v>1224</v>
      </c>
      <c r="F3891">
        <v>0.4</v>
      </c>
      <c r="H3891" s="1">
        <v>42486.224000000002</v>
      </c>
      <c r="I3891"/>
      <c r="J3891" t="s">
        <v>8215</v>
      </c>
      <c r="K3891" s="170">
        <v>45747</v>
      </c>
      <c r="L3891" s="1">
        <v>26939.091736530012</v>
      </c>
      <c r="M3891" s="1">
        <v>45750</v>
      </c>
    </row>
    <row r="3892" spans="1:14" ht="14.4" hidden="1">
      <c r="A3892" t="s">
        <v>242</v>
      </c>
      <c r="B3892" s="1">
        <v>99</v>
      </c>
      <c r="C3892" s="258" t="s">
        <v>8216</v>
      </c>
      <c r="D3892" t="s">
        <v>1224</v>
      </c>
      <c r="E3892" t="s">
        <v>8217</v>
      </c>
      <c r="F3892">
        <v>0.75</v>
      </c>
      <c r="G3892">
        <v>44655</v>
      </c>
      <c r="H3892" s="1">
        <v>33491.25</v>
      </c>
      <c r="I3892" t="s">
        <v>8218</v>
      </c>
      <c r="J3892" t="s">
        <v>8219</v>
      </c>
      <c r="K3892" s="170">
        <v>45777</v>
      </c>
      <c r="L3892" s="1">
        <v>39856.732746080132</v>
      </c>
      <c r="M3892" s="1">
        <v>45757</v>
      </c>
    </row>
    <row r="3893" spans="1:14" ht="14.4" hidden="1">
      <c r="A3893" t="s">
        <v>242</v>
      </c>
      <c r="B3893" s="1">
        <v>100</v>
      </c>
      <c r="C3893" s="258" t="s">
        <v>8220</v>
      </c>
      <c r="D3893" t="s">
        <v>1224</v>
      </c>
      <c r="F3893">
        <v>0.25</v>
      </c>
      <c r="H3893" s="1">
        <v>11163.75</v>
      </c>
      <c r="I3893"/>
      <c r="J3893" t="s">
        <v>8219</v>
      </c>
      <c r="K3893" s="170">
        <v>45777</v>
      </c>
      <c r="L3893" s="1">
        <v>13285.577582026706</v>
      </c>
      <c r="M3893" s="1">
        <v>45792</v>
      </c>
    </row>
    <row r="3894" spans="1:14" ht="14.4" hidden="1">
      <c r="A3894" t="s">
        <v>242</v>
      </c>
      <c r="B3894" s="1">
        <v>101</v>
      </c>
      <c r="C3894" s="258" t="s">
        <v>8221</v>
      </c>
      <c r="D3894" t="s">
        <v>1224</v>
      </c>
      <c r="E3894" t="s">
        <v>6513</v>
      </c>
      <c r="F3894"/>
      <c r="H3894" s="1">
        <v>3500</v>
      </c>
      <c r="I3894" t="s">
        <v>8222</v>
      </c>
      <c r="J3894" t="s">
        <v>8223</v>
      </c>
      <c r="K3894" s="170">
        <v>45808</v>
      </c>
      <c r="L3894" s="1">
        <v>76733.911788593541</v>
      </c>
      <c r="M3894" s="1">
        <v>45820</v>
      </c>
    </row>
    <row r="3895" spans="1:14" ht="14.4" hidden="1">
      <c r="A3895" t="s">
        <v>242</v>
      </c>
      <c r="B3895" s="1">
        <v>102</v>
      </c>
      <c r="C3895" s="258" t="s">
        <v>8224</v>
      </c>
      <c r="D3895" t="s">
        <v>1224</v>
      </c>
      <c r="E3895" t="s">
        <v>8225</v>
      </c>
      <c r="F3895">
        <v>50</v>
      </c>
      <c r="G3895">
        <v>94.8</v>
      </c>
      <c r="H3895" s="1">
        <v>4740</v>
      </c>
      <c r="I3895" t="s">
        <v>8226</v>
      </c>
      <c r="J3895" t="s">
        <v>8227</v>
      </c>
      <c r="K3895" s="170">
        <v>45808</v>
      </c>
      <c r="L3895" s="1">
        <v>6353.8099079809645</v>
      </c>
      <c r="M3895" s="1">
        <v>45806</v>
      </c>
    </row>
    <row r="3896" spans="1:14" ht="14.4" hidden="1">
      <c r="A3896" t="s">
        <v>242</v>
      </c>
      <c r="B3896" s="1">
        <v>103</v>
      </c>
      <c r="C3896" s="258" t="s">
        <v>8228</v>
      </c>
      <c r="D3896" t="s">
        <v>1224</v>
      </c>
      <c r="E3896" t="s">
        <v>8229</v>
      </c>
      <c r="F3896">
        <v>1</v>
      </c>
      <c r="G3896">
        <v>1670</v>
      </c>
      <c r="H3896" s="1">
        <v>1670</v>
      </c>
      <c r="I3896"/>
      <c r="J3896" t="s">
        <v>8227</v>
      </c>
      <c r="K3896" s="170">
        <v>45808</v>
      </c>
      <c r="L3896" s="1">
        <v>2238.5785962717746</v>
      </c>
      <c r="M3896" s="1">
        <v>45806</v>
      </c>
    </row>
    <row r="3897" spans="1:14" ht="14.4" hidden="1">
      <c r="A3897" t="s">
        <v>242</v>
      </c>
      <c r="B3897" s="1">
        <v>105</v>
      </c>
      <c r="C3897" s="258" t="s">
        <v>8230</v>
      </c>
      <c r="D3897" t="s">
        <v>1246</v>
      </c>
      <c r="E3897" t="s">
        <v>8073</v>
      </c>
      <c r="F3897">
        <v>912222.22</v>
      </c>
      <c r="G3897">
        <v>0.3</v>
      </c>
      <c r="H3897" s="1">
        <v>273666.66599999997</v>
      </c>
      <c r="I3897" t="s">
        <v>8074</v>
      </c>
      <c r="J3897" t="s">
        <v>8075</v>
      </c>
      <c r="K3897" s="170">
        <v>45688</v>
      </c>
      <c r="L3897" s="1">
        <v>503243.47826086974</v>
      </c>
      <c r="M3897" s="1">
        <v>45666</v>
      </c>
      <c r="N3897" s="1">
        <v>2052500</v>
      </c>
    </row>
    <row r="3898" spans="1:14" ht="14.4" hidden="1">
      <c r="A3898" t="s">
        <v>242</v>
      </c>
      <c r="B3898" s="1">
        <v>106</v>
      </c>
      <c r="C3898" s="258" t="s">
        <v>8231</v>
      </c>
      <c r="D3898" t="s">
        <v>1246</v>
      </c>
      <c r="E3898" t="s">
        <v>8077</v>
      </c>
      <c r="F3898"/>
      <c r="G3898">
        <v>0.2</v>
      </c>
      <c r="H3898" s="1">
        <v>182444.44399999999</v>
      </c>
      <c r="I3898"/>
      <c r="J3898" t="s">
        <v>8078</v>
      </c>
      <c r="K3898" s="170">
        <v>45716</v>
      </c>
      <c r="L3898" s="1">
        <v>335495.6521739132</v>
      </c>
      <c r="M3898" s="1">
        <v>45708</v>
      </c>
    </row>
    <row r="3899" spans="1:14" ht="14.4" hidden="1">
      <c r="A3899" t="s">
        <v>242</v>
      </c>
      <c r="B3899" s="1">
        <v>107</v>
      </c>
      <c r="C3899" s="258" t="s">
        <v>8232</v>
      </c>
      <c r="D3899" t="s">
        <v>1246</v>
      </c>
      <c r="E3899" t="s">
        <v>8080</v>
      </c>
      <c r="F3899"/>
      <c r="G3899">
        <v>0.3</v>
      </c>
      <c r="H3899" s="1">
        <v>273666.66599999997</v>
      </c>
      <c r="I3899"/>
      <c r="J3899" t="s">
        <v>8081</v>
      </c>
      <c r="K3899" s="170">
        <v>45747</v>
      </c>
      <c r="L3899" s="1">
        <v>223663.76757108516</v>
      </c>
      <c r="M3899" s="1">
        <v>45757</v>
      </c>
    </row>
    <row r="3900" spans="1:14" ht="14.4" hidden="1">
      <c r="A3900" t="s">
        <v>242</v>
      </c>
      <c r="B3900" s="1">
        <v>108</v>
      </c>
      <c r="C3900" s="258" t="s">
        <v>8233</v>
      </c>
      <c r="D3900" t="s">
        <v>1246</v>
      </c>
      <c r="E3900" t="s">
        <v>8083</v>
      </c>
      <c r="F3900"/>
      <c r="G3900">
        <v>0.15</v>
      </c>
      <c r="H3900" s="1">
        <v>136833.33299999998</v>
      </c>
      <c r="I3900"/>
      <c r="J3900" t="s">
        <v>8084</v>
      </c>
      <c r="K3900" s="170">
        <v>45777</v>
      </c>
      <c r="L3900" s="1">
        <v>111831.88378554258</v>
      </c>
      <c r="M3900" s="1">
        <v>45764</v>
      </c>
    </row>
    <row r="3901" spans="1:14" ht="14.4" hidden="1">
      <c r="A3901" t="s">
        <v>242</v>
      </c>
      <c r="B3901" s="1">
        <v>109</v>
      </c>
      <c r="C3901" s="258" t="s">
        <v>8234</v>
      </c>
      <c r="D3901" t="s">
        <v>1246</v>
      </c>
      <c r="E3901" t="s">
        <v>2138</v>
      </c>
      <c r="F3901"/>
      <c r="G3901">
        <v>0.05</v>
      </c>
      <c r="H3901" s="1">
        <v>45611.110999999997</v>
      </c>
      <c r="I3901"/>
      <c r="J3901" t="s">
        <v>8086</v>
      </c>
      <c r="K3901" s="170">
        <v>45838</v>
      </c>
      <c r="L3901" s="1">
        <v>37277.294595180865</v>
      </c>
      <c r="M3901" s="1">
        <v>45890</v>
      </c>
    </row>
    <row r="3902" spans="1:14" ht="14.4" hidden="1">
      <c r="A3902" t="s">
        <v>242</v>
      </c>
      <c r="B3902" s="1">
        <v>111</v>
      </c>
      <c r="C3902" s="258" t="s">
        <v>8235</v>
      </c>
      <c r="D3902" t="s">
        <v>1246</v>
      </c>
      <c r="E3902" t="s">
        <v>8088</v>
      </c>
      <c r="F3902">
        <v>1140277.78</v>
      </c>
      <c r="G3902">
        <v>0.3</v>
      </c>
      <c r="H3902" s="1">
        <v>342083.33399999997</v>
      </c>
      <c r="I3902"/>
      <c r="J3902" t="s">
        <v>8075</v>
      </c>
      <c r="K3902" s="170">
        <v>45688</v>
      </c>
      <c r="M3902" s="1">
        <v>45666</v>
      </c>
    </row>
    <row r="3903" spans="1:14" ht="14.4" hidden="1">
      <c r="A3903" t="s">
        <v>242</v>
      </c>
      <c r="B3903" s="1">
        <v>112</v>
      </c>
      <c r="C3903" s="258" t="s">
        <v>8236</v>
      </c>
      <c r="D3903" t="s">
        <v>1246</v>
      </c>
      <c r="E3903" t="s">
        <v>8077</v>
      </c>
      <c r="F3903"/>
      <c r="G3903">
        <v>0.2</v>
      </c>
      <c r="H3903" s="1">
        <v>228055.55600000001</v>
      </c>
      <c r="I3903"/>
      <c r="J3903" t="s">
        <v>8078</v>
      </c>
      <c r="K3903" s="170">
        <v>45716</v>
      </c>
      <c r="M3903" s="1">
        <v>45708</v>
      </c>
    </row>
    <row r="3904" spans="1:14" ht="14.4" hidden="1">
      <c r="A3904" t="s">
        <v>242</v>
      </c>
      <c r="B3904" s="1">
        <v>113</v>
      </c>
      <c r="C3904" s="258" t="s">
        <v>8237</v>
      </c>
      <c r="D3904" t="s">
        <v>1246</v>
      </c>
      <c r="E3904" t="s">
        <v>169</v>
      </c>
      <c r="F3904"/>
      <c r="G3904">
        <v>0.3</v>
      </c>
      <c r="H3904" s="1">
        <v>342083.33399999997</v>
      </c>
      <c r="I3904"/>
      <c r="J3904" t="s">
        <v>8091</v>
      </c>
      <c r="K3904" s="170">
        <v>45777</v>
      </c>
      <c r="L3904" s="1">
        <v>279579.71068978455</v>
      </c>
      <c r="M3904" s="1">
        <v>45785</v>
      </c>
    </row>
    <row r="3905" spans="1:13" ht="14.4" hidden="1">
      <c r="A3905" t="s">
        <v>242</v>
      </c>
      <c r="B3905" s="1">
        <v>114</v>
      </c>
      <c r="C3905" s="258" t="s">
        <v>8238</v>
      </c>
      <c r="D3905" t="s">
        <v>1246</v>
      </c>
      <c r="E3905" t="s">
        <v>8093</v>
      </c>
      <c r="F3905"/>
      <c r="G3905">
        <v>0.15</v>
      </c>
      <c r="H3905" s="1">
        <v>171041.66699999999</v>
      </c>
      <c r="I3905"/>
      <c r="J3905" t="s">
        <v>8091</v>
      </c>
      <c r="K3905" s="170">
        <v>45777</v>
      </c>
      <c r="L3905" s="1">
        <v>139789.85534489228</v>
      </c>
      <c r="M3905" s="1">
        <v>45785</v>
      </c>
    </row>
    <row r="3906" spans="1:13" ht="14.4" hidden="1">
      <c r="A3906" t="s">
        <v>242</v>
      </c>
      <c r="B3906" s="1">
        <v>115</v>
      </c>
      <c r="C3906" s="258" t="s">
        <v>8239</v>
      </c>
      <c r="D3906" t="s">
        <v>1246</v>
      </c>
      <c r="E3906" t="s">
        <v>2138</v>
      </c>
      <c r="F3906"/>
      <c r="G3906">
        <v>0.05</v>
      </c>
      <c r="H3906" s="1">
        <v>57013.889000000003</v>
      </c>
      <c r="I3906"/>
      <c r="J3906" t="s">
        <v>8095</v>
      </c>
      <c r="K3906" s="170">
        <v>45838</v>
      </c>
      <c r="L3906" s="1">
        <v>46596.61844829742</v>
      </c>
      <c r="M3906" s="1">
        <v>45890</v>
      </c>
    </row>
    <row r="3907" spans="1:13" ht="14.4" hidden="1">
      <c r="A3907" t="s">
        <v>242</v>
      </c>
      <c r="B3907" s="1">
        <v>120</v>
      </c>
      <c r="C3907" s="258" t="s">
        <v>8240</v>
      </c>
      <c r="D3907" t="s">
        <v>1255</v>
      </c>
      <c r="E3907" t="s">
        <v>8241</v>
      </c>
      <c r="F3907"/>
      <c r="H3907" s="1">
        <v>1950</v>
      </c>
      <c r="I3907" t="s">
        <v>8242</v>
      </c>
      <c r="J3907" t="s">
        <v>8243</v>
      </c>
      <c r="K3907" s="170">
        <v>45688</v>
      </c>
      <c r="L3907" s="1">
        <v>1151.6421071534205</v>
      </c>
      <c r="M3907" s="1">
        <v>45687</v>
      </c>
    </row>
    <row r="3908" spans="1:13" ht="14.4" hidden="1">
      <c r="A3908" t="s">
        <v>242</v>
      </c>
      <c r="B3908" s="1">
        <v>121</v>
      </c>
      <c r="C3908" s="258" t="s">
        <v>8244</v>
      </c>
      <c r="D3908" t="s">
        <v>1255</v>
      </c>
      <c r="E3908" t="s">
        <v>6631</v>
      </c>
      <c r="F3908"/>
      <c r="H3908" s="1">
        <v>650</v>
      </c>
      <c r="I3908" t="s">
        <v>8245</v>
      </c>
      <c r="J3908" t="s">
        <v>8246</v>
      </c>
      <c r="K3908" s="170">
        <v>45777</v>
      </c>
      <c r="L3908" s="1">
        <v>0</v>
      </c>
      <c r="M3908" s="1">
        <v>45764</v>
      </c>
    </row>
    <row r="3909" spans="1:13" ht="14.4" hidden="1">
      <c r="A3909" t="s">
        <v>242</v>
      </c>
      <c r="B3909" s="1">
        <v>122</v>
      </c>
      <c r="C3909" s="258" t="s">
        <v>8247</v>
      </c>
      <c r="D3909" t="s">
        <v>1255</v>
      </c>
      <c r="E3909" t="s">
        <v>8248</v>
      </c>
      <c r="F3909"/>
      <c r="H3909" s="1">
        <v>27600</v>
      </c>
      <c r="I3909" t="s">
        <v>8249</v>
      </c>
      <c r="J3909" t="s">
        <v>8250</v>
      </c>
      <c r="K3909" s="170">
        <v>45688</v>
      </c>
      <c r="L3909" s="1">
        <v>16300.16520894072</v>
      </c>
      <c r="M3909" s="1">
        <v>45695</v>
      </c>
    </row>
    <row r="3910" spans="1:13" ht="14.4" hidden="1">
      <c r="A3910" t="s">
        <v>242</v>
      </c>
      <c r="B3910" s="1">
        <v>123</v>
      </c>
      <c r="C3910" s="258" t="s">
        <v>8251</v>
      </c>
      <c r="D3910" t="s">
        <v>1255</v>
      </c>
      <c r="E3910" t="s">
        <v>8252</v>
      </c>
      <c r="F3910"/>
      <c r="H3910" s="1">
        <v>31500</v>
      </c>
      <c r="I3910" t="s">
        <v>8253</v>
      </c>
      <c r="J3910" t="s">
        <v>8254</v>
      </c>
      <c r="K3910" s="170">
        <v>45747</v>
      </c>
      <c r="L3910" s="1">
        <v>18947.608634174179</v>
      </c>
      <c r="M3910" s="1">
        <v>45729</v>
      </c>
    </row>
    <row r="3911" spans="1:13" ht="14.4" hidden="1">
      <c r="A3911" t="s">
        <v>242</v>
      </c>
      <c r="B3911" s="1">
        <v>125</v>
      </c>
      <c r="C3911" s="258" t="s">
        <v>8255</v>
      </c>
      <c r="D3911" t="s">
        <v>1255</v>
      </c>
      <c r="E3911" t="s">
        <v>8256</v>
      </c>
      <c r="F3911">
        <v>161168.89000000001</v>
      </c>
      <c r="G3911">
        <v>0.3</v>
      </c>
      <c r="H3911" s="1">
        <v>48350.667000000001</v>
      </c>
      <c r="I3911"/>
      <c r="J3911" t="s">
        <v>8075</v>
      </c>
      <c r="K3911" s="170">
        <v>45688</v>
      </c>
      <c r="L3911" s="1">
        <v>64249.227279545361</v>
      </c>
      <c r="M3911" s="1">
        <v>45666</v>
      </c>
    </row>
    <row r="3912" spans="1:13" ht="14.4" hidden="1">
      <c r="A3912" t="s">
        <v>242</v>
      </c>
      <c r="B3912" s="1">
        <v>126</v>
      </c>
      <c r="C3912" s="258" t="s">
        <v>8257</v>
      </c>
      <c r="D3912" t="s">
        <v>1255</v>
      </c>
      <c r="E3912" t="s">
        <v>8077</v>
      </c>
      <c r="F3912"/>
      <c r="G3912">
        <v>0.2</v>
      </c>
      <c r="H3912" s="1">
        <v>32233.778000000009</v>
      </c>
      <c r="I3912"/>
      <c r="J3912" t="s">
        <v>8078</v>
      </c>
      <c r="K3912" s="170">
        <v>45716</v>
      </c>
      <c r="L3912" s="1">
        <v>45331.253513459706</v>
      </c>
      <c r="M3912" s="1">
        <v>45708</v>
      </c>
    </row>
    <row r="3913" spans="1:13" ht="14.4" hidden="1">
      <c r="A3913" t="s">
        <v>242</v>
      </c>
      <c r="B3913" s="1">
        <v>127</v>
      </c>
      <c r="C3913" s="258" t="s">
        <v>8258</v>
      </c>
      <c r="D3913" t="s">
        <v>1255</v>
      </c>
      <c r="E3913" t="s">
        <v>8080</v>
      </c>
      <c r="F3913"/>
      <c r="G3913">
        <v>0.3</v>
      </c>
      <c r="H3913" s="1">
        <v>48350.667000000001</v>
      </c>
      <c r="I3913"/>
      <c r="J3913" t="s">
        <v>8081</v>
      </c>
      <c r="K3913" s="170">
        <v>45747</v>
      </c>
      <c r="L3913" s="1">
        <v>29279.866683088268</v>
      </c>
      <c r="M3913" s="1">
        <v>45757</v>
      </c>
    </row>
    <row r="3914" spans="1:13" ht="14.4" hidden="1">
      <c r="A3914" t="s">
        <v>242</v>
      </c>
      <c r="B3914" s="1">
        <v>128</v>
      </c>
      <c r="C3914" s="258" t="s">
        <v>8259</v>
      </c>
      <c r="D3914" t="s">
        <v>1255</v>
      </c>
      <c r="E3914" t="s">
        <v>8083</v>
      </c>
      <c r="F3914"/>
      <c r="G3914">
        <v>0.15</v>
      </c>
      <c r="H3914" s="1">
        <v>24175.333500000001</v>
      </c>
      <c r="I3914"/>
      <c r="J3914" t="s">
        <v>8084</v>
      </c>
      <c r="K3914" s="170">
        <v>45777</v>
      </c>
      <c r="L3914" s="1">
        <v>14541.738341544136</v>
      </c>
      <c r="M3914" s="1">
        <v>45764</v>
      </c>
    </row>
    <row r="3915" spans="1:13" ht="14.4" hidden="1">
      <c r="A3915" t="s">
        <v>242</v>
      </c>
      <c r="B3915" s="1">
        <v>129</v>
      </c>
      <c r="C3915" s="258" t="s">
        <v>8260</v>
      </c>
      <c r="D3915" t="s">
        <v>1255</v>
      </c>
      <c r="E3915" t="s">
        <v>2138</v>
      </c>
      <c r="F3915"/>
      <c r="G3915">
        <v>0.05</v>
      </c>
      <c r="H3915" s="1">
        <v>8058.4445000000014</v>
      </c>
      <c r="I3915"/>
      <c r="J3915" t="s">
        <v>8086</v>
      </c>
      <c r="K3915" s="170">
        <v>45838</v>
      </c>
      <c r="L3915" s="1">
        <v>4847.2461138480458</v>
      </c>
      <c r="M3915" s="1">
        <v>45890</v>
      </c>
    </row>
    <row r="3916" spans="1:13" ht="14.4" hidden="1">
      <c r="A3916" t="s">
        <v>242</v>
      </c>
      <c r="B3916" s="1">
        <v>131</v>
      </c>
      <c r="C3916" s="258" t="s">
        <v>8261</v>
      </c>
      <c r="D3916" t="s">
        <v>1255</v>
      </c>
      <c r="E3916" t="s">
        <v>8088</v>
      </c>
      <c r="F3916">
        <v>201461.11</v>
      </c>
      <c r="G3916">
        <v>0.3</v>
      </c>
      <c r="H3916" s="1">
        <v>60438.332999999991</v>
      </c>
      <c r="I3916"/>
      <c r="J3916" t="s">
        <v>8075</v>
      </c>
      <c r="K3916" s="170">
        <v>45688</v>
      </c>
      <c r="M3916" s="1">
        <v>45666</v>
      </c>
    </row>
    <row r="3917" spans="1:13" ht="14.4" hidden="1">
      <c r="A3917" t="s">
        <v>242</v>
      </c>
      <c r="B3917" s="1">
        <v>132</v>
      </c>
      <c r="C3917" s="258" t="s">
        <v>8262</v>
      </c>
      <c r="D3917" t="s">
        <v>1255</v>
      </c>
      <c r="E3917" t="s">
        <v>8077</v>
      </c>
      <c r="F3917"/>
      <c r="G3917">
        <v>0.2</v>
      </c>
      <c r="H3917" s="1">
        <v>40292.222000000002</v>
      </c>
      <c r="I3917"/>
      <c r="J3917" t="s">
        <v>8078</v>
      </c>
      <c r="K3917" s="170">
        <v>45716</v>
      </c>
      <c r="M3917" s="1">
        <v>45708</v>
      </c>
    </row>
    <row r="3918" spans="1:13" ht="14.4" hidden="1">
      <c r="A3918" t="s">
        <v>242</v>
      </c>
      <c r="B3918" s="1">
        <v>133</v>
      </c>
      <c r="C3918" s="258" t="s">
        <v>8263</v>
      </c>
      <c r="D3918" t="s">
        <v>1255</v>
      </c>
      <c r="E3918" t="s">
        <v>169</v>
      </c>
      <c r="F3918"/>
      <c r="G3918">
        <v>0.3</v>
      </c>
      <c r="H3918" s="1">
        <v>60438.332999999991</v>
      </c>
      <c r="I3918"/>
      <c r="J3918" t="s">
        <v>8091</v>
      </c>
      <c r="K3918" s="170">
        <v>45777</v>
      </c>
      <c r="L3918" s="1">
        <v>36354.345402726794</v>
      </c>
      <c r="M3918" s="1">
        <v>45785</v>
      </c>
    </row>
    <row r="3919" spans="1:13" ht="14.4" hidden="1">
      <c r="A3919" t="s">
        <v>242</v>
      </c>
      <c r="B3919" s="1">
        <v>134</v>
      </c>
      <c r="C3919" s="258" t="s">
        <v>8264</v>
      </c>
      <c r="D3919" t="s">
        <v>1255</v>
      </c>
      <c r="E3919" t="s">
        <v>8093</v>
      </c>
      <c r="F3919"/>
      <c r="G3919">
        <v>0.15</v>
      </c>
      <c r="H3919" s="1">
        <v>30219.166499999996</v>
      </c>
      <c r="I3919"/>
      <c r="J3919" t="s">
        <v>8091</v>
      </c>
      <c r="K3919" s="170">
        <v>45777</v>
      </c>
      <c r="L3919" s="1">
        <v>18177.172701363397</v>
      </c>
      <c r="M3919" s="1">
        <v>45785</v>
      </c>
    </row>
    <row r="3920" spans="1:13" ht="14.4" hidden="1">
      <c r="A3920" t="s">
        <v>242</v>
      </c>
      <c r="B3920" s="1">
        <v>135</v>
      </c>
      <c r="C3920" s="258" t="s">
        <v>8265</v>
      </c>
      <c r="D3920" t="s">
        <v>1255</v>
      </c>
      <c r="E3920" t="s">
        <v>2138</v>
      </c>
      <c r="F3920"/>
      <c r="G3920">
        <v>0.05</v>
      </c>
      <c r="H3920" s="1">
        <v>10073.0555</v>
      </c>
      <c r="I3920"/>
      <c r="J3920" t="s">
        <v>8095</v>
      </c>
      <c r="K3920" s="170">
        <v>45838</v>
      </c>
      <c r="L3920" s="1">
        <v>6059.0575671211336</v>
      </c>
      <c r="M3920" s="1">
        <v>45890</v>
      </c>
    </row>
    <row r="3921" spans="1:14" ht="14.4" hidden="1">
      <c r="A3921" t="s">
        <v>242</v>
      </c>
      <c r="B3921" s="1">
        <v>139</v>
      </c>
      <c r="C3921" s="258" t="s">
        <v>8266</v>
      </c>
      <c r="D3921" t="s">
        <v>1264</v>
      </c>
      <c r="E3921" t="s">
        <v>1265</v>
      </c>
      <c r="F3921"/>
      <c r="H3921" s="1">
        <v>17500</v>
      </c>
      <c r="I3921"/>
      <c r="J3921" t="s">
        <v>8267</v>
      </c>
      <c r="K3921" s="170">
        <v>45808</v>
      </c>
      <c r="L3921" s="1">
        <v>26373.592941969204</v>
      </c>
      <c r="M3921" s="1">
        <v>45813</v>
      </c>
      <c r="N3921" s="1">
        <v>120447.39</v>
      </c>
    </row>
    <row r="3922" spans="1:14" ht="14.4" hidden="1">
      <c r="A3922" t="s">
        <v>242</v>
      </c>
      <c r="B3922" s="1">
        <v>140</v>
      </c>
      <c r="C3922" s="258" t="s">
        <v>8268</v>
      </c>
      <c r="D3922" t="s">
        <v>1264</v>
      </c>
      <c r="E3922" t="s">
        <v>8269</v>
      </c>
      <c r="F3922"/>
      <c r="H3922" s="1">
        <v>2147.39</v>
      </c>
      <c r="I3922"/>
      <c r="J3922" t="s">
        <v>8267</v>
      </c>
      <c r="K3922" s="170">
        <v>45808</v>
      </c>
      <c r="L3922" s="1">
        <v>3236.2508427231569</v>
      </c>
      <c r="M3922" s="1">
        <v>45813</v>
      </c>
    </row>
    <row r="3923" spans="1:14" ht="14.4" hidden="1">
      <c r="A3923" t="s">
        <v>242</v>
      </c>
      <c r="B3923" s="1">
        <v>141</v>
      </c>
      <c r="C3923" s="258" t="s">
        <v>8270</v>
      </c>
      <c r="D3923" t="s">
        <v>1264</v>
      </c>
      <c r="E3923" t="s">
        <v>1594</v>
      </c>
      <c r="F3923"/>
      <c r="H3923" s="1">
        <v>0</v>
      </c>
      <c r="I3923"/>
      <c r="J3923" t="s">
        <v>8271</v>
      </c>
      <c r="K3923" s="170">
        <v>45657</v>
      </c>
      <c r="L3923" s="1">
        <v>0</v>
      </c>
      <c r="M3923" s="1">
        <v>45394</v>
      </c>
    </row>
    <row r="3924" spans="1:14" ht="14.4" hidden="1">
      <c r="A3924" t="s">
        <v>242</v>
      </c>
      <c r="B3924" s="1">
        <v>142</v>
      </c>
      <c r="C3924" s="258" t="s">
        <v>8272</v>
      </c>
      <c r="D3924" t="s">
        <v>1264</v>
      </c>
      <c r="E3924" t="s">
        <v>2090</v>
      </c>
      <c r="F3924"/>
      <c r="H3924" s="1">
        <v>79700</v>
      </c>
      <c r="I3924" t="s">
        <v>8273</v>
      </c>
      <c r="J3924" t="s">
        <v>8274</v>
      </c>
      <c r="K3924" s="170">
        <v>45777</v>
      </c>
      <c r="L3924" s="1">
        <v>111937.31615210757</v>
      </c>
      <c r="M3924" s="1">
        <v>45841</v>
      </c>
    </row>
    <row r="3925" spans="1:14" ht="14.4" hidden="1">
      <c r="A3925" t="s">
        <v>242</v>
      </c>
      <c r="B3925" s="1">
        <v>143</v>
      </c>
      <c r="C3925" s="258" t="s">
        <v>8275</v>
      </c>
      <c r="D3925" t="s">
        <v>1264</v>
      </c>
      <c r="E3925" t="s">
        <v>6665</v>
      </c>
      <c r="F3925"/>
      <c r="H3925" s="1">
        <v>5100</v>
      </c>
      <c r="I3925" t="s">
        <v>8276</v>
      </c>
      <c r="J3925" t="s">
        <v>8277</v>
      </c>
      <c r="K3925" s="170">
        <v>45688</v>
      </c>
      <c r="L3925" s="1">
        <v>5746.4982592502702</v>
      </c>
      <c r="M3925" s="1">
        <v>45722</v>
      </c>
    </row>
    <row r="3926" spans="1:14" ht="14.4" hidden="1">
      <c r="A3926" t="s">
        <v>242</v>
      </c>
      <c r="B3926" s="1">
        <v>144</v>
      </c>
      <c r="C3926" s="258" t="s">
        <v>8278</v>
      </c>
      <c r="D3926" t="s">
        <v>1264</v>
      </c>
      <c r="E3926" t="s">
        <v>808</v>
      </c>
      <c r="F3926">
        <v>2</v>
      </c>
      <c r="G3926">
        <v>8000</v>
      </c>
      <c r="H3926" s="1">
        <v>16000</v>
      </c>
      <c r="I3926"/>
      <c r="J3926" t="s">
        <v>8279</v>
      </c>
      <c r="K3926" s="170">
        <v>45808</v>
      </c>
      <c r="L3926" s="1">
        <v>34228.079261228988</v>
      </c>
      <c r="M3926" s="1">
        <v>45808</v>
      </c>
    </row>
    <row r="3927" spans="1:14" ht="14.4" hidden="1">
      <c r="A3927" t="s">
        <v>242</v>
      </c>
      <c r="B3927" s="1">
        <v>146</v>
      </c>
      <c r="C3927" s="258" t="s">
        <v>8280</v>
      </c>
      <c r="D3927" t="s">
        <v>2101</v>
      </c>
      <c r="E3927" t="s">
        <v>8281</v>
      </c>
      <c r="F3927"/>
      <c r="H3927" s="1">
        <v>0</v>
      </c>
      <c r="I3927"/>
      <c r="J3927"/>
      <c r="K3927" s="170" t="s">
        <v>51</v>
      </c>
      <c r="N3927" s="1">
        <v>0</v>
      </c>
    </row>
    <row r="3928" spans="1:14" ht="14.4" hidden="1">
      <c r="A3928" t="s">
        <v>242</v>
      </c>
      <c r="B3928" s="1">
        <v>149</v>
      </c>
      <c r="C3928" s="258" t="s">
        <v>8282</v>
      </c>
      <c r="D3928" t="s">
        <v>1277</v>
      </c>
      <c r="E3928" t="s">
        <v>2105</v>
      </c>
      <c r="F3928"/>
      <c r="H3928" s="1">
        <v>200304.11174596625</v>
      </c>
      <c r="I3928"/>
      <c r="J3928" t="s">
        <v>8283</v>
      </c>
      <c r="K3928" s="170">
        <v>45808</v>
      </c>
      <c r="L3928" s="1">
        <v>755562.17778903199</v>
      </c>
      <c r="M3928" s="1">
        <v>45808</v>
      </c>
      <c r="N3928" s="1">
        <v>165600.00174596626</v>
      </c>
    </row>
    <row r="3929" spans="1:14" ht="14.4" hidden="1">
      <c r="A3929" t="s">
        <v>242</v>
      </c>
      <c r="B3929" s="1">
        <v>150</v>
      </c>
      <c r="C3929" s="258" t="s">
        <v>8284</v>
      </c>
      <c r="D3929" t="s">
        <v>1277</v>
      </c>
      <c r="F3929"/>
      <c r="H3929" s="1">
        <v>-200304.11</v>
      </c>
      <c r="I3929"/>
      <c r="J3929" t="s">
        <v>8285</v>
      </c>
      <c r="K3929" s="170">
        <v>45900</v>
      </c>
      <c r="L3929" s="1">
        <v>0</v>
      </c>
      <c r="M3929" s="1">
        <v>45900</v>
      </c>
    </row>
    <row r="3930" spans="1:14" ht="14.4" hidden="1">
      <c r="A3930" t="s">
        <v>242</v>
      </c>
      <c r="B3930" s="1">
        <v>151</v>
      </c>
      <c r="C3930" s="258" t="s">
        <v>8286</v>
      </c>
      <c r="D3930" t="s">
        <v>1277</v>
      </c>
      <c r="E3930" t="s">
        <v>8287</v>
      </c>
      <c r="F3930"/>
      <c r="H3930" s="1">
        <v>165600</v>
      </c>
      <c r="I3930"/>
      <c r="J3930" t="s">
        <v>8288</v>
      </c>
      <c r="K3930" s="170">
        <v>45900</v>
      </c>
      <c r="L3930" s="1">
        <v>0</v>
      </c>
      <c r="M3930" s="1">
        <v>45900</v>
      </c>
    </row>
    <row r="3931" spans="1:14" ht="14.4" hidden="1">
      <c r="A3931" t="s">
        <v>242</v>
      </c>
      <c r="B3931" s="1">
        <v>157</v>
      </c>
      <c r="C3931" s="258" t="s">
        <v>8289</v>
      </c>
      <c r="D3931" t="s">
        <v>1280</v>
      </c>
      <c r="E3931" t="s">
        <v>8269</v>
      </c>
      <c r="F3931"/>
      <c r="H3931" s="1">
        <v>7446.43</v>
      </c>
      <c r="I3931"/>
      <c r="J3931" t="s">
        <v>1282</v>
      </c>
      <c r="K3931" s="170">
        <v>45657</v>
      </c>
      <c r="L3931" s="1">
        <v>8076.5179765965204</v>
      </c>
      <c r="M3931" s="1">
        <v>45666</v>
      </c>
      <c r="N3931" s="1">
        <v>37052.370000000003</v>
      </c>
    </row>
    <row r="3932" spans="1:14" ht="14.4" hidden="1">
      <c r="A3932" t="s">
        <v>242</v>
      </c>
      <c r="B3932" s="1">
        <v>158</v>
      </c>
      <c r="C3932" s="258" t="s">
        <v>8290</v>
      </c>
      <c r="D3932" t="s">
        <v>1280</v>
      </c>
      <c r="F3932"/>
      <c r="H3932" s="1">
        <v>2931</v>
      </c>
      <c r="I3932"/>
      <c r="J3932" t="s">
        <v>1282</v>
      </c>
      <c r="K3932" s="170">
        <v>45688</v>
      </c>
      <c r="L3932" s="1">
        <v>3343.2703956426249</v>
      </c>
      <c r="M3932" s="1">
        <v>45695</v>
      </c>
    </row>
    <row r="3933" spans="1:14" ht="14.4" hidden="1">
      <c r="A3933" t="s">
        <v>242</v>
      </c>
      <c r="B3933" s="1">
        <v>159</v>
      </c>
      <c r="C3933" s="258" t="s">
        <v>8291</v>
      </c>
      <c r="D3933" t="s">
        <v>1280</v>
      </c>
      <c r="F3933"/>
      <c r="H3933" s="1">
        <v>12977.95</v>
      </c>
      <c r="I3933"/>
      <c r="J3933" t="s">
        <v>1282</v>
      </c>
      <c r="K3933" s="170">
        <v>45716</v>
      </c>
      <c r="L3933" s="1">
        <v>9543.7984984037721</v>
      </c>
      <c r="M3933" s="1">
        <v>45722</v>
      </c>
    </row>
    <row r="3934" spans="1:14" ht="14.4" hidden="1">
      <c r="A3934" t="s">
        <v>242</v>
      </c>
      <c r="B3934" s="1">
        <v>160</v>
      </c>
      <c r="C3934" s="258" t="s">
        <v>8292</v>
      </c>
      <c r="D3934" t="s">
        <v>1280</v>
      </c>
      <c r="F3934"/>
      <c r="H3934" s="1">
        <v>3958.29</v>
      </c>
      <c r="I3934"/>
      <c r="J3934" t="s">
        <v>1282</v>
      </c>
      <c r="K3934" s="170">
        <v>45747</v>
      </c>
      <c r="L3934" s="1">
        <v>4057.1696327506424</v>
      </c>
      <c r="M3934" s="1">
        <v>45754</v>
      </c>
    </row>
    <row r="3935" spans="1:14" ht="14.4" hidden="1">
      <c r="A3935" t="s">
        <v>242</v>
      </c>
      <c r="B3935" s="1">
        <v>161</v>
      </c>
      <c r="C3935" s="258" t="s">
        <v>8293</v>
      </c>
      <c r="D3935" t="s">
        <v>1280</v>
      </c>
      <c r="F3935"/>
      <c r="H3935" s="1">
        <v>1491.59</v>
      </c>
      <c r="I3935"/>
      <c r="J3935" t="s">
        <v>1282</v>
      </c>
      <c r="K3935" s="170">
        <v>45777</v>
      </c>
      <c r="L3935" s="1">
        <v>1505.0667981295369</v>
      </c>
      <c r="M3935" s="1">
        <v>45785</v>
      </c>
    </row>
    <row r="3936" spans="1:14" ht="14.4" hidden="1">
      <c r="A3936" t="s">
        <v>242</v>
      </c>
      <c r="B3936" s="1">
        <v>162</v>
      </c>
      <c r="C3936" s="258" t="s">
        <v>8294</v>
      </c>
      <c r="D3936" t="s">
        <v>1280</v>
      </c>
      <c r="F3936"/>
      <c r="H3936" s="1">
        <v>1352.79</v>
      </c>
      <c r="I3936"/>
      <c r="J3936" t="s">
        <v>1282</v>
      </c>
      <c r="K3936" s="170">
        <v>45808</v>
      </c>
      <c r="L3936" s="1">
        <v>1495.2011092913194</v>
      </c>
      <c r="M3936" s="1">
        <v>45817</v>
      </c>
    </row>
    <row r="3937" spans="1:14" ht="14.4" hidden="1">
      <c r="A3937" t="s">
        <v>242</v>
      </c>
      <c r="B3937" s="1">
        <v>163</v>
      </c>
      <c r="C3937" s="258" t="s">
        <v>8295</v>
      </c>
      <c r="D3937" t="s">
        <v>1280</v>
      </c>
      <c r="F3937"/>
      <c r="H3937" s="1">
        <v>194.68</v>
      </c>
      <c r="I3937"/>
      <c r="J3937" t="s">
        <v>1282</v>
      </c>
      <c r="K3937" s="170">
        <v>45838</v>
      </c>
      <c r="L3937" s="1">
        <v>239.05988409940696</v>
      </c>
      <c r="M3937" s="1">
        <v>45842</v>
      </c>
    </row>
    <row r="3938" spans="1:14" ht="14.4" hidden="1">
      <c r="A3938" t="s">
        <v>242</v>
      </c>
      <c r="B3938" s="1">
        <v>164</v>
      </c>
      <c r="C3938" s="258" t="s">
        <v>8296</v>
      </c>
      <c r="D3938" t="s">
        <v>1280</v>
      </c>
      <c r="F3938"/>
      <c r="H3938" s="1">
        <v>2331.4</v>
      </c>
      <c r="I3938"/>
      <c r="J3938" t="s">
        <v>1282</v>
      </c>
      <c r="K3938" s="170">
        <v>45869</v>
      </c>
      <c r="L3938" s="1">
        <v>2704.8742877996197</v>
      </c>
      <c r="M3938" s="1">
        <v>45876</v>
      </c>
    </row>
    <row r="3939" spans="1:14" ht="14.4" hidden="1">
      <c r="A3939" t="s">
        <v>242</v>
      </c>
      <c r="B3939" s="1">
        <v>165</v>
      </c>
      <c r="C3939" s="258" t="s">
        <v>8297</v>
      </c>
      <c r="D3939" t="s">
        <v>1280</v>
      </c>
      <c r="F3939"/>
      <c r="H3939" s="1">
        <v>4368.24</v>
      </c>
      <c r="I3939"/>
      <c r="J3939" t="s">
        <v>1282</v>
      </c>
      <c r="K3939" s="170">
        <v>45900</v>
      </c>
      <c r="L3939" s="1">
        <v>7535.0364181319565</v>
      </c>
      <c r="M3939" s="1">
        <v>45907</v>
      </c>
    </row>
    <row r="3940" spans="1:14" ht="14.4" hidden="1">
      <c r="A3940" t="s">
        <v>242</v>
      </c>
      <c r="B3940" s="1">
        <v>168</v>
      </c>
      <c r="C3940" s="258" t="s">
        <v>8298</v>
      </c>
      <c r="D3940" t="s">
        <v>1451</v>
      </c>
      <c r="E3940" t="s">
        <v>8299</v>
      </c>
      <c r="F3940"/>
      <c r="H3940" s="1">
        <v>4500</v>
      </c>
      <c r="I3940" t="s">
        <v>8300</v>
      </c>
      <c r="J3940" t="s">
        <v>8301</v>
      </c>
      <c r="K3940" s="170">
        <v>45869</v>
      </c>
      <c r="M3940" s="1">
        <v>45862</v>
      </c>
      <c r="N3940" s="1">
        <v>55898</v>
      </c>
    </row>
    <row r="3941" spans="1:14" ht="14.4" hidden="1">
      <c r="A3941" t="s">
        <v>242</v>
      </c>
      <c r="B3941" s="1">
        <v>169</v>
      </c>
      <c r="C3941" s="258" t="s">
        <v>8302</v>
      </c>
      <c r="D3941" t="s">
        <v>1451</v>
      </c>
      <c r="E3941" t="s">
        <v>8303</v>
      </c>
      <c r="F3941"/>
      <c r="H3941" s="1">
        <v>4347.83</v>
      </c>
      <c r="I3941" t="s">
        <v>8304</v>
      </c>
      <c r="J3941" t="s">
        <v>8305</v>
      </c>
      <c r="K3941" s="170">
        <v>45869</v>
      </c>
      <c r="M3941" s="1">
        <v>45862</v>
      </c>
    </row>
    <row r="3942" spans="1:14" ht="14.4" hidden="1">
      <c r="A3942" t="s">
        <v>242</v>
      </c>
      <c r="B3942" s="1">
        <v>170</v>
      </c>
      <c r="C3942" s="258" t="s">
        <v>8306</v>
      </c>
      <c r="D3942" t="s">
        <v>1451</v>
      </c>
      <c r="E3942" t="s">
        <v>8307</v>
      </c>
      <c r="F3942"/>
      <c r="H3942" s="1">
        <v>5305</v>
      </c>
      <c r="I3942" t="s">
        <v>8308</v>
      </c>
      <c r="J3942" t="s">
        <v>8309</v>
      </c>
      <c r="K3942" s="170">
        <v>45869</v>
      </c>
      <c r="M3942" s="1">
        <v>45855</v>
      </c>
    </row>
    <row r="3943" spans="1:14" ht="14.4" hidden="1">
      <c r="A3943" t="s">
        <v>242</v>
      </c>
      <c r="B3943" s="1">
        <v>171</v>
      </c>
      <c r="C3943" s="258" t="s">
        <v>8310</v>
      </c>
      <c r="D3943" t="s">
        <v>1451</v>
      </c>
      <c r="E3943" t="s">
        <v>8311</v>
      </c>
      <c r="F3943"/>
      <c r="H3943" s="1">
        <v>17160</v>
      </c>
      <c r="I3943" t="s">
        <v>8312</v>
      </c>
      <c r="J3943" t="s">
        <v>8313</v>
      </c>
      <c r="K3943" s="170">
        <v>46053</v>
      </c>
      <c r="M3943" s="1">
        <v>46058</v>
      </c>
    </row>
    <row r="3944" spans="1:14" ht="14.4" hidden="1">
      <c r="A3944" t="s">
        <v>242</v>
      </c>
      <c r="B3944" s="1">
        <v>172</v>
      </c>
      <c r="C3944" s="258" t="s">
        <v>8314</v>
      </c>
      <c r="D3944" t="s">
        <v>1451</v>
      </c>
      <c r="E3944" t="s">
        <v>8315</v>
      </c>
      <c r="F3944"/>
      <c r="H3944" s="1">
        <v>19085.169999999998</v>
      </c>
      <c r="I3944"/>
      <c r="J3944" t="s">
        <v>8316</v>
      </c>
      <c r="K3944" s="170">
        <v>45869</v>
      </c>
      <c r="M3944" s="1">
        <v>45862</v>
      </c>
    </row>
    <row r="3945" spans="1:14" ht="14.4" hidden="1">
      <c r="A3945" t="s">
        <v>242</v>
      </c>
      <c r="B3945" s="1">
        <v>173</v>
      </c>
      <c r="C3945" s="258" t="s">
        <v>8317</v>
      </c>
      <c r="D3945" t="s">
        <v>1451</v>
      </c>
      <c r="E3945" t="s">
        <v>8318</v>
      </c>
      <c r="F3945"/>
      <c r="H3945" s="1">
        <v>5500</v>
      </c>
      <c r="I3945" t="s">
        <v>8319</v>
      </c>
      <c r="J3945" t="s">
        <v>8320</v>
      </c>
      <c r="K3945" s="170">
        <v>45900</v>
      </c>
      <c r="M3945" s="1">
        <v>45899</v>
      </c>
    </row>
    <row r="3946" spans="1:14" ht="14.4" hidden="1">
      <c r="A3946" t="s">
        <v>244</v>
      </c>
      <c r="B3946" s="1">
        <v>4</v>
      </c>
      <c r="C3946" s="258" t="s">
        <v>8321</v>
      </c>
      <c r="D3946" t="s">
        <v>1780</v>
      </c>
      <c r="E3946" t="s">
        <v>1781</v>
      </c>
      <c r="F3946" t="s">
        <v>1782</v>
      </c>
      <c r="G3946" t="s">
        <v>1783</v>
      </c>
      <c r="H3946" s="1" t="s">
        <v>1784</v>
      </c>
      <c r="I3946" t="s">
        <v>1785</v>
      </c>
      <c r="J3946" t="s">
        <v>1786</v>
      </c>
      <c r="K3946" s="170" t="s">
        <v>1787</v>
      </c>
      <c r="L3946" s="1" t="s">
        <v>1788</v>
      </c>
      <c r="M3946" s="1" t="s">
        <v>1789</v>
      </c>
      <c r="N3946" s="1" t="s">
        <v>1790</v>
      </c>
    </row>
    <row r="3947" spans="1:14" ht="14.4" hidden="1">
      <c r="A3947" t="s">
        <v>244</v>
      </c>
      <c r="B3947" s="1">
        <v>6</v>
      </c>
      <c r="C3947" s="258" t="s">
        <v>8322</v>
      </c>
      <c r="D3947" t="s">
        <v>1791</v>
      </c>
      <c r="E3947" t="s">
        <v>1146</v>
      </c>
      <c r="F3947" t="s">
        <v>4274</v>
      </c>
      <c r="G3947">
        <v>754</v>
      </c>
      <c r="H3947" s="1">
        <v>1327.95</v>
      </c>
      <c r="I3947" t="s">
        <v>8323</v>
      </c>
      <c r="J3947" t="s">
        <v>8324</v>
      </c>
      <c r="K3947" s="170">
        <v>45688</v>
      </c>
      <c r="L3947" s="1">
        <v>1109432.1590066925</v>
      </c>
      <c r="M3947" s="1">
        <v>45764</v>
      </c>
      <c r="N3947" s="1">
        <v>1012492</v>
      </c>
    </row>
    <row r="3948" spans="1:14" ht="14.4" hidden="1">
      <c r="A3948" t="s">
        <v>244</v>
      </c>
      <c r="B3948" s="1">
        <v>7</v>
      </c>
      <c r="C3948" s="258" t="s">
        <v>8325</v>
      </c>
      <c r="D3948" t="s">
        <v>1791</v>
      </c>
      <c r="E3948" t="s">
        <v>1146</v>
      </c>
      <c r="F3948" t="s">
        <v>4274</v>
      </c>
      <c r="G3948">
        <v>6</v>
      </c>
      <c r="H3948" s="1">
        <v>1327.95</v>
      </c>
      <c r="I3948" t="s">
        <v>8326</v>
      </c>
      <c r="J3948" t="s">
        <v>8327</v>
      </c>
      <c r="K3948" s="170">
        <v>45716</v>
      </c>
      <c r="L3948" s="1">
        <v>8828.3726180903905</v>
      </c>
      <c r="M3948" s="1">
        <v>45771</v>
      </c>
    </row>
    <row r="3949" spans="1:14" ht="14.4" hidden="1">
      <c r="A3949" t="s">
        <v>244</v>
      </c>
      <c r="B3949" s="1">
        <v>8</v>
      </c>
      <c r="C3949" s="258" t="s">
        <v>8328</v>
      </c>
      <c r="D3949" t="s">
        <v>1791</v>
      </c>
      <c r="E3949" t="s">
        <v>1146</v>
      </c>
      <c r="F3949" t="s">
        <v>1152</v>
      </c>
      <c r="H3949" s="1">
        <v>3250</v>
      </c>
      <c r="I3949" t="s">
        <v>8329</v>
      </c>
      <c r="J3949" t="s">
        <v>8327</v>
      </c>
      <c r="K3949" s="170">
        <v>45716</v>
      </c>
      <c r="L3949" s="1">
        <v>3601.0656787772841</v>
      </c>
      <c r="M3949" s="1">
        <v>45771</v>
      </c>
    </row>
    <row r="3950" spans="1:14" ht="14.4" hidden="1">
      <c r="A3950" t="s">
        <v>244</v>
      </c>
      <c r="B3950" s="1">
        <v>13</v>
      </c>
      <c r="C3950" s="258" t="s">
        <v>8330</v>
      </c>
      <c r="D3950" t="s">
        <v>1792</v>
      </c>
      <c r="E3950" t="s">
        <v>1157</v>
      </c>
      <c r="F3950" t="s">
        <v>8331</v>
      </c>
      <c r="G3950">
        <v>4</v>
      </c>
      <c r="H3950" s="1">
        <v>68870.350000000006</v>
      </c>
      <c r="I3950" t="s">
        <v>8332</v>
      </c>
      <c r="J3950" t="s">
        <v>8333</v>
      </c>
      <c r="K3950" s="170">
        <v>45688</v>
      </c>
      <c r="L3950" s="1">
        <v>297948.37129253999</v>
      </c>
      <c r="M3950" s="1">
        <v>45708</v>
      </c>
      <c r="N3950" s="1">
        <v>275481.40999999997</v>
      </c>
    </row>
    <row r="3951" spans="1:14" ht="14.4" hidden="1">
      <c r="A3951" t="s">
        <v>244</v>
      </c>
      <c r="B3951" s="1">
        <v>19</v>
      </c>
      <c r="C3951" s="258" t="s">
        <v>8334</v>
      </c>
      <c r="D3951" t="s">
        <v>4433</v>
      </c>
      <c r="E3951" t="s">
        <v>1160</v>
      </c>
      <c r="F3951"/>
      <c r="G3951">
        <v>499</v>
      </c>
      <c r="H3951" s="1">
        <v>24.880000000000003</v>
      </c>
      <c r="I3951" t="s">
        <v>8335</v>
      </c>
      <c r="J3951" t="s">
        <v>3250</v>
      </c>
      <c r="K3951" s="170">
        <v>45900</v>
      </c>
      <c r="L3951" s="1">
        <v>0</v>
      </c>
      <c r="M3951" s="1">
        <v>45900</v>
      </c>
    </row>
    <row r="3952" spans="1:14" ht="14.4" hidden="1">
      <c r="A3952" t="s">
        <v>244</v>
      </c>
      <c r="B3952" s="1">
        <v>23</v>
      </c>
      <c r="C3952" s="258" t="s">
        <v>8336</v>
      </c>
      <c r="D3952" t="s">
        <v>1793</v>
      </c>
      <c r="E3952" t="s">
        <v>1165</v>
      </c>
      <c r="F3952" t="s">
        <v>3748</v>
      </c>
      <c r="G3952">
        <v>10000</v>
      </c>
      <c r="H3952" s="1">
        <v>13.3</v>
      </c>
      <c r="I3952" t="s">
        <v>8337</v>
      </c>
      <c r="J3952" t="s">
        <v>8333</v>
      </c>
      <c r="K3952" s="170">
        <v>45688</v>
      </c>
      <c r="L3952" s="1">
        <v>153175.76421181645</v>
      </c>
      <c r="M3952" s="1">
        <v>45708</v>
      </c>
      <c r="N3952" s="1">
        <v>349560</v>
      </c>
    </row>
    <row r="3953" spans="1:14" ht="14.4" hidden="1">
      <c r="A3953" t="s">
        <v>244</v>
      </c>
      <c r="B3953" s="1">
        <v>24</v>
      </c>
      <c r="C3953" s="258" t="s">
        <v>8338</v>
      </c>
      <c r="D3953" t="s">
        <v>1793</v>
      </c>
      <c r="E3953" t="s">
        <v>1165</v>
      </c>
      <c r="F3953" t="s">
        <v>836</v>
      </c>
      <c r="G3953">
        <v>8000</v>
      </c>
      <c r="H3953" s="1">
        <v>13.3</v>
      </c>
      <c r="I3953" t="s">
        <v>8339</v>
      </c>
      <c r="J3953" t="s">
        <v>8324</v>
      </c>
      <c r="K3953" s="170">
        <v>45688</v>
      </c>
      <c r="L3953" s="1">
        <v>122540.61136945318</v>
      </c>
      <c r="M3953" s="1">
        <v>45399</v>
      </c>
    </row>
    <row r="3954" spans="1:14" ht="14.4" hidden="1">
      <c r="A3954" t="s">
        <v>244</v>
      </c>
      <c r="B3954" s="1">
        <v>25</v>
      </c>
      <c r="C3954" s="258" t="s">
        <v>8340</v>
      </c>
      <c r="D3954" t="s">
        <v>1793</v>
      </c>
      <c r="E3954" t="s">
        <v>1165</v>
      </c>
      <c r="F3954" t="s">
        <v>836</v>
      </c>
      <c r="G3954">
        <v>2005</v>
      </c>
      <c r="H3954" s="1">
        <v>14.7</v>
      </c>
      <c r="I3954" t="s">
        <v>8341</v>
      </c>
      <c r="J3954" t="s">
        <v>8342</v>
      </c>
      <c r="K3954" s="170">
        <v>45716</v>
      </c>
      <c r="L3954" s="1">
        <v>11014.67</v>
      </c>
      <c r="M3954" s="1">
        <v>45744</v>
      </c>
    </row>
    <row r="3955" spans="1:14" ht="14.4" hidden="1">
      <c r="A3955" t="s">
        <v>244</v>
      </c>
      <c r="B3955" s="1">
        <v>26</v>
      </c>
      <c r="C3955" s="258" t="s">
        <v>8343</v>
      </c>
      <c r="D3955" t="s">
        <v>1793</v>
      </c>
      <c r="E3955" t="s">
        <v>1165</v>
      </c>
      <c r="F3955" t="s">
        <v>8344</v>
      </c>
      <c r="G3955">
        <v>995</v>
      </c>
      <c r="H3955" s="1">
        <v>14.7</v>
      </c>
      <c r="I3955" t="s">
        <v>8345</v>
      </c>
      <c r="J3955" t="s">
        <v>8346</v>
      </c>
      <c r="K3955" s="170">
        <v>45716</v>
      </c>
      <c r="M3955" s="1">
        <v>45744</v>
      </c>
    </row>
    <row r="3956" spans="1:14" ht="14.4" hidden="1">
      <c r="A3956" t="s">
        <v>244</v>
      </c>
      <c r="B3956" s="1">
        <v>27</v>
      </c>
      <c r="C3956" s="258" t="s">
        <v>8347</v>
      </c>
      <c r="D3956" t="s">
        <v>1793</v>
      </c>
      <c r="E3956" t="s">
        <v>1165</v>
      </c>
      <c r="F3956" t="s">
        <v>8348</v>
      </c>
      <c r="G3956">
        <v>1000</v>
      </c>
      <c r="H3956" s="1">
        <v>13.3</v>
      </c>
      <c r="I3956" t="s">
        <v>8349</v>
      </c>
      <c r="J3956" t="s">
        <v>6317</v>
      </c>
      <c r="K3956" s="170">
        <v>45900</v>
      </c>
      <c r="M3956" s="1">
        <v>45900</v>
      </c>
    </row>
    <row r="3957" spans="1:14" ht="14.4" hidden="1">
      <c r="A3957" t="s">
        <v>244</v>
      </c>
      <c r="B3957" s="1">
        <v>28</v>
      </c>
      <c r="C3957" s="258" t="s">
        <v>8350</v>
      </c>
      <c r="D3957" t="s">
        <v>1793</v>
      </c>
      <c r="E3957" t="s">
        <v>1165</v>
      </c>
      <c r="F3957" t="s">
        <v>8351</v>
      </c>
      <c r="G3957">
        <v>800</v>
      </c>
      <c r="H3957" s="1">
        <v>13.3</v>
      </c>
      <c r="I3957" t="s">
        <v>8352</v>
      </c>
      <c r="J3957" t="s">
        <v>6317</v>
      </c>
      <c r="K3957" s="170">
        <v>45900</v>
      </c>
      <c r="M3957" s="1">
        <v>45900</v>
      </c>
    </row>
    <row r="3958" spans="1:14" ht="14.4" hidden="1">
      <c r="A3958" t="s">
        <v>244</v>
      </c>
      <c r="B3958" s="1">
        <v>29</v>
      </c>
      <c r="C3958" s="258" t="s">
        <v>8353</v>
      </c>
      <c r="D3958" t="s">
        <v>1793</v>
      </c>
      <c r="E3958" t="s">
        <v>1165</v>
      </c>
      <c r="F3958" t="s">
        <v>1169</v>
      </c>
      <c r="G3958">
        <v>90000</v>
      </c>
      <c r="H3958" s="1">
        <v>0.1</v>
      </c>
      <c r="I3958" t="s">
        <v>8354</v>
      </c>
      <c r="J3958" t="s">
        <v>8355</v>
      </c>
      <c r="K3958" s="170">
        <v>45688</v>
      </c>
      <c r="L3958" s="1">
        <v>10365.277277491339</v>
      </c>
      <c r="M3958" s="1">
        <v>45687</v>
      </c>
    </row>
    <row r="3959" spans="1:14" ht="14.4" hidden="1">
      <c r="A3959" t="s">
        <v>244</v>
      </c>
      <c r="B3959" s="1">
        <v>30</v>
      </c>
      <c r="C3959" s="258" t="s">
        <v>8356</v>
      </c>
      <c r="D3959" t="s">
        <v>1793</v>
      </c>
      <c r="E3959" t="s">
        <v>1165</v>
      </c>
      <c r="F3959" t="s">
        <v>558</v>
      </c>
      <c r="H3959" s="1">
        <v>0.15</v>
      </c>
      <c r="I3959" t="s">
        <v>8357</v>
      </c>
      <c r="J3959" t="s">
        <v>8358</v>
      </c>
      <c r="K3959" s="170">
        <v>45716</v>
      </c>
      <c r="L3959" s="1">
        <v>13712.137892392157</v>
      </c>
      <c r="M3959" s="1">
        <v>45708</v>
      </c>
    </row>
    <row r="3960" spans="1:14" ht="14.4" hidden="1">
      <c r="A3960" t="s">
        <v>244</v>
      </c>
      <c r="B3960" s="1">
        <v>31</v>
      </c>
      <c r="C3960" s="258" t="s">
        <v>8359</v>
      </c>
      <c r="D3960" t="s">
        <v>1793</v>
      </c>
      <c r="E3960" t="s">
        <v>1165</v>
      </c>
      <c r="F3960" t="s">
        <v>1175</v>
      </c>
      <c r="H3960" s="1">
        <v>0.25</v>
      </c>
      <c r="I3960" t="s">
        <v>8360</v>
      </c>
      <c r="J3960" t="s">
        <v>8361</v>
      </c>
      <c r="K3960" s="170">
        <v>45716</v>
      </c>
      <c r="L3960" s="1">
        <v>22853.563153986928</v>
      </c>
      <c r="M3960" s="1">
        <v>45729</v>
      </c>
    </row>
    <row r="3961" spans="1:14" ht="14.4" hidden="1">
      <c r="A3961" t="s">
        <v>244</v>
      </c>
      <c r="B3961" s="1">
        <v>32</v>
      </c>
      <c r="C3961" s="258" t="s">
        <v>8362</v>
      </c>
      <c r="D3961" t="s">
        <v>1793</v>
      </c>
      <c r="E3961" t="s">
        <v>1165</v>
      </c>
      <c r="F3961" t="s">
        <v>1178</v>
      </c>
      <c r="H3961" s="1">
        <v>0.2</v>
      </c>
      <c r="I3961" t="s">
        <v>8363</v>
      </c>
      <c r="J3961" t="s">
        <v>8361</v>
      </c>
      <c r="K3961" s="170">
        <v>45716</v>
      </c>
      <c r="L3961" s="1">
        <v>18282.850523189543</v>
      </c>
      <c r="M3961" s="1">
        <v>45729</v>
      </c>
    </row>
    <row r="3962" spans="1:14" ht="14.4" hidden="1">
      <c r="A3962" t="s">
        <v>244</v>
      </c>
      <c r="B3962" s="1">
        <v>33</v>
      </c>
      <c r="C3962" s="258" t="s">
        <v>8364</v>
      </c>
      <c r="D3962" t="s">
        <v>1793</v>
      </c>
      <c r="E3962" t="s">
        <v>1165</v>
      </c>
      <c r="F3962" t="s">
        <v>1181</v>
      </c>
      <c r="H3962" s="1">
        <v>0.1</v>
      </c>
      <c r="I3962" t="s">
        <v>8354</v>
      </c>
      <c r="J3962" t="s">
        <v>8365</v>
      </c>
      <c r="K3962" s="170">
        <v>45747</v>
      </c>
      <c r="L3962" s="1">
        <v>9141.4252615947717</v>
      </c>
      <c r="M3962" s="1">
        <v>45744</v>
      </c>
    </row>
    <row r="3963" spans="1:14" ht="14.4" hidden="1">
      <c r="A3963" t="s">
        <v>244</v>
      </c>
      <c r="B3963" s="1">
        <v>34</v>
      </c>
      <c r="C3963" s="258" t="s">
        <v>8366</v>
      </c>
      <c r="D3963" t="s">
        <v>1793</v>
      </c>
      <c r="E3963" t="s">
        <v>1165</v>
      </c>
      <c r="F3963" t="s">
        <v>1184</v>
      </c>
      <c r="H3963" s="1">
        <v>0.1</v>
      </c>
      <c r="I3963" t="s">
        <v>8354</v>
      </c>
      <c r="J3963" t="s">
        <v>8367</v>
      </c>
      <c r="K3963" s="170">
        <v>45747</v>
      </c>
      <c r="L3963" s="1">
        <v>9141.4252615947717</v>
      </c>
      <c r="M3963" s="1">
        <v>45757</v>
      </c>
    </row>
    <row r="3964" spans="1:14" ht="14.4" hidden="1">
      <c r="A3964" t="s">
        <v>244</v>
      </c>
      <c r="B3964" s="1">
        <v>35</v>
      </c>
      <c r="C3964" s="258" t="s">
        <v>8368</v>
      </c>
      <c r="D3964" t="s">
        <v>1793</v>
      </c>
      <c r="E3964" t="s">
        <v>1165</v>
      </c>
      <c r="F3964" t="s">
        <v>1187</v>
      </c>
      <c r="H3964" s="1">
        <v>0.05</v>
      </c>
      <c r="I3964" t="s">
        <v>8369</v>
      </c>
      <c r="J3964" t="s">
        <v>8370</v>
      </c>
      <c r="K3964" s="170">
        <v>45777</v>
      </c>
      <c r="L3964" s="1">
        <v>4570.7126307973858</v>
      </c>
      <c r="M3964" s="1">
        <v>45785</v>
      </c>
    </row>
    <row r="3965" spans="1:14" ht="14.4" hidden="1">
      <c r="A3965" t="s">
        <v>244</v>
      </c>
      <c r="B3965" s="1">
        <v>36</v>
      </c>
      <c r="C3965" s="258" t="s">
        <v>8371</v>
      </c>
      <c r="D3965" t="s">
        <v>1793</v>
      </c>
      <c r="E3965" t="s">
        <v>1165</v>
      </c>
      <c r="F3965" t="s">
        <v>1190</v>
      </c>
      <c r="H3965" s="1">
        <v>0.05</v>
      </c>
      <c r="I3965" t="s">
        <v>8369</v>
      </c>
      <c r="J3965" t="s">
        <v>8372</v>
      </c>
      <c r="K3965" s="170">
        <v>45777</v>
      </c>
      <c r="L3965" s="1">
        <v>4570.7126307973858</v>
      </c>
      <c r="M3965" s="1">
        <v>45785</v>
      </c>
    </row>
    <row r="3966" spans="1:14" ht="14.4" hidden="1">
      <c r="A3966" t="s">
        <v>244</v>
      </c>
      <c r="B3966" s="1">
        <v>42</v>
      </c>
      <c r="C3966" s="258" t="s">
        <v>8373</v>
      </c>
      <c r="D3966" t="s">
        <v>6801</v>
      </c>
      <c r="E3966" t="s">
        <v>1193</v>
      </c>
      <c r="F3966" t="s">
        <v>1306</v>
      </c>
      <c r="G3966">
        <v>2</v>
      </c>
      <c r="H3966" s="1">
        <v>11169</v>
      </c>
      <c r="I3966" t="s">
        <v>8374</v>
      </c>
      <c r="J3966" t="s">
        <v>8375</v>
      </c>
      <c r="K3966" s="170">
        <v>45688</v>
      </c>
      <c r="L3966" s="1">
        <v>26787.421474997907</v>
      </c>
      <c r="M3966" s="1">
        <v>45688</v>
      </c>
    </row>
    <row r="3967" spans="1:14" ht="14.4" hidden="1">
      <c r="A3967" t="s">
        <v>244</v>
      </c>
      <c r="B3967" s="1">
        <v>50</v>
      </c>
      <c r="C3967" s="258" t="s">
        <v>8376</v>
      </c>
      <c r="D3967" t="s">
        <v>1795</v>
      </c>
      <c r="E3967" t="s">
        <v>1211</v>
      </c>
      <c r="F3967" t="s">
        <v>8377</v>
      </c>
      <c r="G3967">
        <v>55805</v>
      </c>
      <c r="H3967" s="1">
        <v>0.5</v>
      </c>
      <c r="I3967" t="s">
        <v>8378</v>
      </c>
      <c r="J3967" t="s">
        <v>8379</v>
      </c>
      <c r="K3967" s="170">
        <v>45688</v>
      </c>
      <c r="L3967" s="1">
        <v>46462.056315901449</v>
      </c>
      <c r="M3967" s="1">
        <v>45687</v>
      </c>
      <c r="N3967" s="1">
        <v>401539</v>
      </c>
    </row>
    <row r="3968" spans="1:14" ht="14.4" hidden="1">
      <c r="A3968" t="s">
        <v>244</v>
      </c>
      <c r="B3968" s="1">
        <v>51</v>
      </c>
      <c r="C3968" s="258" t="s">
        <v>8380</v>
      </c>
      <c r="D3968" t="s">
        <v>1795</v>
      </c>
      <c r="E3968" t="s">
        <v>1211</v>
      </c>
      <c r="F3968" t="s">
        <v>8381</v>
      </c>
      <c r="H3968" s="1">
        <v>0.5</v>
      </c>
      <c r="I3968" t="s">
        <v>8378</v>
      </c>
      <c r="J3968" t="s">
        <v>8382</v>
      </c>
      <c r="K3968" s="170">
        <v>45716</v>
      </c>
      <c r="L3968" s="1">
        <v>49933.354718988187</v>
      </c>
      <c r="M3968" s="1">
        <v>45715</v>
      </c>
    </row>
    <row r="3969" spans="1:13" ht="14.4" hidden="1">
      <c r="A3969" t="s">
        <v>244</v>
      </c>
      <c r="B3969" s="1">
        <v>52</v>
      </c>
      <c r="C3969" s="258" t="s">
        <v>8383</v>
      </c>
      <c r="D3969" t="s">
        <v>1795</v>
      </c>
      <c r="E3969" t="s">
        <v>1211</v>
      </c>
      <c r="F3969" t="s">
        <v>8384</v>
      </c>
      <c r="G3969">
        <v>54738</v>
      </c>
      <c r="H3969" s="1">
        <v>0.5</v>
      </c>
      <c r="I3969" t="s">
        <v>8385</v>
      </c>
      <c r="J3969" t="s">
        <v>8379</v>
      </c>
      <c r="K3969" s="170">
        <v>45688</v>
      </c>
      <c r="L3969" s="1">
        <v>45573.694805480038</v>
      </c>
      <c r="M3969" s="1">
        <v>45687</v>
      </c>
    </row>
    <row r="3970" spans="1:13" ht="14.4" hidden="1">
      <c r="A3970" t="s">
        <v>244</v>
      </c>
      <c r="B3970" s="1">
        <v>53</v>
      </c>
      <c r="C3970" s="258" t="s">
        <v>8386</v>
      </c>
      <c r="D3970" t="s">
        <v>1795</v>
      </c>
      <c r="E3970" t="s">
        <v>1211</v>
      </c>
      <c r="F3970" t="s">
        <v>8387</v>
      </c>
      <c r="H3970" s="1">
        <v>0.5</v>
      </c>
      <c r="I3970" t="s">
        <v>8385</v>
      </c>
      <c r="J3970" t="s">
        <v>8382</v>
      </c>
      <c r="K3970" s="170">
        <v>45716</v>
      </c>
      <c r="L3970" s="1">
        <v>48978.621460585528</v>
      </c>
      <c r="M3970" s="1">
        <v>45715</v>
      </c>
    </row>
    <row r="3971" spans="1:13" ht="14.4" hidden="1">
      <c r="A3971" t="s">
        <v>244</v>
      </c>
      <c r="B3971" s="1">
        <v>54</v>
      </c>
      <c r="C3971" s="258" t="s">
        <v>8388</v>
      </c>
      <c r="D3971" t="s">
        <v>1795</v>
      </c>
      <c r="E3971" t="s">
        <v>1211</v>
      </c>
      <c r="F3971" t="s">
        <v>8389</v>
      </c>
      <c r="G3971">
        <v>26396</v>
      </c>
      <c r="H3971" s="1">
        <v>0.5</v>
      </c>
      <c r="I3971" t="s">
        <v>8390</v>
      </c>
      <c r="J3971" t="s">
        <v>8391</v>
      </c>
      <c r="K3971" s="170">
        <v>45716</v>
      </c>
      <c r="L3971" s="1">
        <v>23618.687056041792</v>
      </c>
      <c r="M3971" s="1">
        <v>45715</v>
      </c>
    </row>
    <row r="3972" spans="1:13" ht="14.4" hidden="1">
      <c r="A3972" t="s">
        <v>244</v>
      </c>
      <c r="B3972" s="1">
        <v>55</v>
      </c>
      <c r="C3972" s="258" t="s">
        <v>8392</v>
      </c>
      <c r="D3972" t="s">
        <v>1795</v>
      </c>
      <c r="E3972" t="s">
        <v>1211</v>
      </c>
      <c r="F3972" t="s">
        <v>8393</v>
      </c>
      <c r="H3972" s="1">
        <v>0.5</v>
      </c>
      <c r="I3972" t="s">
        <v>8390</v>
      </c>
      <c r="J3972" t="s">
        <v>8391</v>
      </c>
      <c r="K3972" s="170">
        <v>45716</v>
      </c>
      <c r="L3972" s="1">
        <v>23618.687056041792</v>
      </c>
      <c r="M3972" s="1">
        <v>45715</v>
      </c>
    </row>
    <row r="3973" spans="1:13" ht="14.4" hidden="1">
      <c r="A3973" t="s">
        <v>244</v>
      </c>
      <c r="B3973" s="1">
        <v>58</v>
      </c>
      <c r="C3973" s="258" t="s">
        <v>8394</v>
      </c>
      <c r="D3973" t="s">
        <v>1795</v>
      </c>
      <c r="E3973" t="s">
        <v>1211</v>
      </c>
      <c r="F3973" t="s">
        <v>1169</v>
      </c>
      <c r="G3973">
        <v>264600</v>
      </c>
      <c r="H3973" s="1">
        <v>0.1</v>
      </c>
      <c r="I3973" t="s">
        <v>8395</v>
      </c>
      <c r="J3973" t="s">
        <v>8355</v>
      </c>
      <c r="K3973" s="170">
        <v>45688</v>
      </c>
      <c r="L3973" s="1">
        <v>44060.066664949467</v>
      </c>
      <c r="M3973" s="1">
        <v>45687</v>
      </c>
    </row>
    <row r="3974" spans="1:13" ht="14.4" hidden="1">
      <c r="A3974" t="s">
        <v>244</v>
      </c>
      <c r="B3974" s="1">
        <v>59</v>
      </c>
      <c r="C3974" s="258" t="s">
        <v>8396</v>
      </c>
      <c r="D3974" t="s">
        <v>1795</v>
      </c>
      <c r="E3974" t="s">
        <v>1211</v>
      </c>
      <c r="F3974" t="s">
        <v>558</v>
      </c>
      <c r="H3974" s="1">
        <v>0.15</v>
      </c>
      <c r="I3974" t="s">
        <v>8397</v>
      </c>
      <c r="J3974" t="s">
        <v>8358</v>
      </c>
      <c r="K3974" s="170">
        <v>45716</v>
      </c>
      <c r="L3974" s="1">
        <v>81195.919467669242</v>
      </c>
      <c r="M3974" s="1">
        <v>45708</v>
      </c>
    </row>
    <row r="3975" spans="1:13" ht="14.4" hidden="1">
      <c r="A3975" t="s">
        <v>244</v>
      </c>
      <c r="B3975" s="1">
        <v>60</v>
      </c>
      <c r="C3975" s="258" t="s">
        <v>8398</v>
      </c>
      <c r="D3975" t="s">
        <v>1795</v>
      </c>
      <c r="E3975" t="s">
        <v>1211</v>
      </c>
      <c r="F3975" t="s">
        <v>1175</v>
      </c>
      <c r="H3975" s="1">
        <v>0.25</v>
      </c>
      <c r="I3975" t="s">
        <v>8399</v>
      </c>
      <c r="J3975" t="s">
        <v>8361</v>
      </c>
      <c r="K3975" s="170">
        <v>45716</v>
      </c>
      <c r="L3975" s="1">
        <v>118379.76577944876</v>
      </c>
      <c r="M3975" s="1">
        <v>45729</v>
      </c>
    </row>
    <row r="3976" spans="1:13" ht="14.4" hidden="1">
      <c r="A3976" t="s">
        <v>244</v>
      </c>
      <c r="B3976" s="1">
        <v>61</v>
      </c>
      <c r="C3976" s="258" t="s">
        <v>8400</v>
      </c>
      <c r="D3976" t="s">
        <v>1795</v>
      </c>
      <c r="E3976" t="s">
        <v>1211</v>
      </c>
      <c r="F3976" t="s">
        <v>1178</v>
      </c>
      <c r="H3976" s="1">
        <v>0.2</v>
      </c>
      <c r="I3976" t="s">
        <v>8401</v>
      </c>
      <c r="J3976" t="s">
        <v>8361</v>
      </c>
      <c r="K3976" s="170">
        <v>45716</v>
      </c>
      <c r="L3976" s="1">
        <v>94703.812623559003</v>
      </c>
      <c r="M3976" s="1">
        <v>45729</v>
      </c>
    </row>
    <row r="3977" spans="1:13" ht="14.4" hidden="1">
      <c r="A3977" t="s">
        <v>244</v>
      </c>
      <c r="B3977" s="1">
        <v>62</v>
      </c>
      <c r="C3977" s="258" t="s">
        <v>8402</v>
      </c>
      <c r="D3977" t="s">
        <v>1795</v>
      </c>
      <c r="E3977" t="s">
        <v>1211</v>
      </c>
      <c r="F3977" t="s">
        <v>1181</v>
      </c>
      <c r="H3977" s="1">
        <v>0.1</v>
      </c>
      <c r="I3977" t="s">
        <v>8395</v>
      </c>
      <c r="J3977" t="s">
        <v>8365</v>
      </c>
      <c r="K3977" s="170">
        <v>45747</v>
      </c>
      <c r="L3977" s="1">
        <v>47351.906311779501</v>
      </c>
      <c r="M3977" s="1">
        <v>45744</v>
      </c>
    </row>
    <row r="3978" spans="1:13" ht="14.4" hidden="1">
      <c r="A3978" t="s">
        <v>244</v>
      </c>
      <c r="B3978" s="1">
        <v>63</v>
      </c>
      <c r="C3978" s="258" t="s">
        <v>8403</v>
      </c>
      <c r="D3978" t="s">
        <v>1795</v>
      </c>
      <c r="E3978" t="s">
        <v>1211</v>
      </c>
      <c r="F3978" t="s">
        <v>1184</v>
      </c>
      <c r="H3978" s="1">
        <v>0.1</v>
      </c>
      <c r="I3978" t="s">
        <v>8395</v>
      </c>
      <c r="J3978" t="s">
        <v>8367</v>
      </c>
      <c r="K3978" s="170">
        <v>45747</v>
      </c>
      <c r="L3978" s="1">
        <v>47351.906311779501</v>
      </c>
      <c r="M3978" s="1">
        <v>45757</v>
      </c>
    </row>
    <row r="3979" spans="1:13" ht="14.4" hidden="1">
      <c r="A3979" t="s">
        <v>244</v>
      </c>
      <c r="B3979" s="1">
        <v>64</v>
      </c>
      <c r="C3979" s="258" t="s">
        <v>8404</v>
      </c>
      <c r="D3979" t="s">
        <v>1795</v>
      </c>
      <c r="E3979" t="s">
        <v>1211</v>
      </c>
      <c r="F3979" t="s">
        <v>1187</v>
      </c>
      <c r="H3979" s="1">
        <v>0.05</v>
      </c>
      <c r="I3979" t="s">
        <v>8405</v>
      </c>
      <c r="J3979" t="s">
        <v>8370</v>
      </c>
      <c r="K3979" s="170">
        <v>45777</v>
      </c>
      <c r="L3979" s="1">
        <v>23675.953155889751</v>
      </c>
      <c r="M3979" s="1">
        <v>45785</v>
      </c>
    </row>
    <row r="3980" spans="1:13" ht="14.4" hidden="1">
      <c r="A3980" t="s">
        <v>244</v>
      </c>
      <c r="B3980" s="1">
        <v>65</v>
      </c>
      <c r="C3980" s="258" t="s">
        <v>8406</v>
      </c>
      <c r="D3980" t="s">
        <v>1795</v>
      </c>
      <c r="E3980" t="s">
        <v>1211</v>
      </c>
      <c r="F3980" t="s">
        <v>1190</v>
      </c>
      <c r="H3980" s="1">
        <v>0.05</v>
      </c>
      <c r="I3980" t="s">
        <v>8405</v>
      </c>
      <c r="J3980" t="s">
        <v>8372</v>
      </c>
      <c r="K3980" s="170">
        <v>45777</v>
      </c>
      <c r="L3980" s="1">
        <v>23675.953155889751</v>
      </c>
      <c r="M3980" s="1">
        <v>45785</v>
      </c>
    </row>
    <row r="3981" spans="1:13" ht="14.4" hidden="1">
      <c r="A3981" t="s">
        <v>244</v>
      </c>
      <c r="B3981" s="1">
        <v>79</v>
      </c>
      <c r="C3981" s="258" t="s">
        <v>8407</v>
      </c>
      <c r="D3981" t="s">
        <v>1798</v>
      </c>
      <c r="E3981" t="s">
        <v>1224</v>
      </c>
      <c r="F3981" t="s">
        <v>2409</v>
      </c>
      <c r="G3981">
        <v>12</v>
      </c>
      <c r="H3981" s="1">
        <v>2974.66</v>
      </c>
      <c r="I3981" t="s">
        <v>8408</v>
      </c>
      <c r="J3981" t="s">
        <v>8409</v>
      </c>
      <c r="K3981" s="170">
        <v>45747</v>
      </c>
      <c r="L3981" s="1">
        <v>23598.382053793917</v>
      </c>
      <c r="M3981" s="1">
        <v>45729</v>
      </c>
    </row>
    <row r="3982" spans="1:13" ht="14.4" hidden="1">
      <c r="A3982" t="s">
        <v>244</v>
      </c>
      <c r="B3982" s="1">
        <v>84</v>
      </c>
      <c r="C3982" s="258" t="s">
        <v>8410</v>
      </c>
      <c r="D3982" t="s">
        <v>1798</v>
      </c>
      <c r="E3982" t="s">
        <v>1224</v>
      </c>
      <c r="F3982" t="s">
        <v>8411</v>
      </c>
      <c r="G3982">
        <v>6</v>
      </c>
      <c r="H3982" s="1">
        <v>2974.65</v>
      </c>
      <c r="I3982" t="s">
        <v>8412</v>
      </c>
      <c r="J3982" t="s">
        <v>8413</v>
      </c>
      <c r="K3982" s="170">
        <v>45747</v>
      </c>
      <c r="L3982" s="1">
        <v>4520.1414824245585</v>
      </c>
      <c r="M3982" s="1">
        <v>45747</v>
      </c>
    </row>
    <row r="3983" spans="1:13" ht="14.4" hidden="1">
      <c r="A3983" t="s">
        <v>244</v>
      </c>
      <c r="B3983" s="1">
        <v>85</v>
      </c>
      <c r="C3983" s="258" t="s">
        <v>8414</v>
      </c>
      <c r="D3983" t="s">
        <v>1798</v>
      </c>
      <c r="E3983" t="s">
        <v>1224</v>
      </c>
      <c r="F3983" t="s">
        <v>8415</v>
      </c>
      <c r="G3983">
        <v>0.5</v>
      </c>
      <c r="H3983" s="1">
        <v>67608</v>
      </c>
      <c r="I3983" t="s">
        <v>8416</v>
      </c>
      <c r="J3983" t="s">
        <v>8417</v>
      </c>
      <c r="K3983" s="170">
        <v>45716</v>
      </c>
      <c r="L3983" s="1">
        <v>25096.355750081511</v>
      </c>
      <c r="M3983" s="1">
        <v>45708</v>
      </c>
    </row>
    <row r="3984" spans="1:13" ht="14.4" hidden="1">
      <c r="A3984" t="s">
        <v>244</v>
      </c>
      <c r="B3984" s="1">
        <v>88</v>
      </c>
      <c r="C3984" s="258" t="s">
        <v>8418</v>
      </c>
      <c r="D3984" t="s">
        <v>1798</v>
      </c>
      <c r="E3984" t="s">
        <v>1224</v>
      </c>
      <c r="F3984" t="s">
        <v>1411</v>
      </c>
      <c r="G3984">
        <v>0.5</v>
      </c>
      <c r="H3984" s="1">
        <v>57450</v>
      </c>
      <c r="I3984" t="s">
        <v>8419</v>
      </c>
      <c r="J3984" t="s">
        <v>8420</v>
      </c>
      <c r="K3984" s="170">
        <v>45747</v>
      </c>
      <c r="L3984" s="1">
        <v>21325.666161433302</v>
      </c>
      <c r="M3984" s="1">
        <v>45757</v>
      </c>
    </row>
    <row r="3985" spans="1:14" ht="14.4" hidden="1">
      <c r="A3985" t="s">
        <v>244</v>
      </c>
      <c r="B3985" s="1">
        <v>93</v>
      </c>
      <c r="C3985" s="258" t="s">
        <v>8421</v>
      </c>
      <c r="D3985" t="s">
        <v>4493</v>
      </c>
      <c r="E3985" t="s">
        <v>1246</v>
      </c>
      <c r="F3985" t="s">
        <v>1169</v>
      </c>
      <c r="G3985">
        <v>351000</v>
      </c>
      <c r="H3985" s="1">
        <v>0.1</v>
      </c>
      <c r="I3985" t="s">
        <v>8422</v>
      </c>
      <c r="J3985" t="s">
        <v>8355</v>
      </c>
      <c r="K3985" s="170">
        <v>45688</v>
      </c>
      <c r="L3985" s="1">
        <v>42694.117647058803</v>
      </c>
      <c r="M3985" s="1">
        <v>45687</v>
      </c>
      <c r="N3985" s="1">
        <v>351000</v>
      </c>
    </row>
    <row r="3986" spans="1:14" ht="14.4" hidden="1">
      <c r="A3986" t="s">
        <v>244</v>
      </c>
      <c r="B3986" s="1">
        <v>94</v>
      </c>
      <c r="C3986" s="258" t="s">
        <v>8423</v>
      </c>
      <c r="D3986" t="s">
        <v>4493</v>
      </c>
      <c r="E3986" t="s">
        <v>1246</v>
      </c>
      <c r="F3986" t="s">
        <v>558</v>
      </c>
      <c r="H3986" s="1">
        <v>0.15</v>
      </c>
      <c r="I3986" t="s">
        <v>8424</v>
      </c>
      <c r="J3986" t="s">
        <v>8358</v>
      </c>
      <c r="K3986" s="170">
        <v>45716</v>
      </c>
      <c r="L3986" s="1">
        <v>64041.176470588201</v>
      </c>
      <c r="M3986" s="1">
        <v>45708</v>
      </c>
    </row>
    <row r="3987" spans="1:14" ht="14.4" hidden="1">
      <c r="A3987" t="s">
        <v>244</v>
      </c>
      <c r="B3987" s="1">
        <v>95</v>
      </c>
      <c r="C3987" s="258" t="s">
        <v>8425</v>
      </c>
      <c r="D3987" t="s">
        <v>4493</v>
      </c>
      <c r="E3987" t="s">
        <v>1246</v>
      </c>
      <c r="F3987" t="s">
        <v>1175</v>
      </c>
      <c r="H3987" s="1">
        <v>0.25</v>
      </c>
      <c r="I3987" t="s">
        <v>8426</v>
      </c>
      <c r="J3987" t="s">
        <v>8361</v>
      </c>
      <c r="K3987" s="170">
        <v>45716</v>
      </c>
      <c r="L3987" s="1">
        <v>106735.294117647</v>
      </c>
      <c r="M3987" s="1">
        <v>45729</v>
      </c>
    </row>
    <row r="3988" spans="1:14" ht="14.4" hidden="1">
      <c r="A3988" t="s">
        <v>244</v>
      </c>
      <c r="B3988" s="1">
        <v>96</v>
      </c>
      <c r="C3988" s="258" t="s">
        <v>8427</v>
      </c>
      <c r="D3988" t="s">
        <v>4493</v>
      </c>
      <c r="E3988" t="s">
        <v>1246</v>
      </c>
      <c r="F3988" t="s">
        <v>1178</v>
      </c>
      <c r="H3988" s="1">
        <v>0.2</v>
      </c>
      <c r="I3988" t="s">
        <v>8428</v>
      </c>
      <c r="J3988" t="s">
        <v>8361</v>
      </c>
      <c r="K3988" s="170">
        <v>45716</v>
      </c>
      <c r="L3988" s="1">
        <v>85388.235294117607</v>
      </c>
      <c r="M3988" s="1">
        <v>45729</v>
      </c>
    </row>
    <row r="3989" spans="1:14" ht="14.4" hidden="1">
      <c r="A3989" t="s">
        <v>244</v>
      </c>
      <c r="B3989" s="1">
        <v>97</v>
      </c>
      <c r="C3989" s="258" t="s">
        <v>8429</v>
      </c>
      <c r="D3989" t="s">
        <v>4493</v>
      </c>
      <c r="E3989" t="s">
        <v>1246</v>
      </c>
      <c r="F3989" t="s">
        <v>1181</v>
      </c>
      <c r="H3989" s="1">
        <v>0.1</v>
      </c>
      <c r="I3989" t="s">
        <v>8422</v>
      </c>
      <c r="J3989" t="s">
        <v>8365</v>
      </c>
      <c r="K3989" s="170">
        <v>45747</v>
      </c>
      <c r="L3989" s="1">
        <v>42694.117647058803</v>
      </c>
      <c r="M3989" s="1">
        <v>45744</v>
      </c>
    </row>
    <row r="3990" spans="1:14" ht="14.4" hidden="1">
      <c r="A3990" t="s">
        <v>244</v>
      </c>
      <c r="B3990" s="1">
        <v>98</v>
      </c>
      <c r="C3990" s="258" t="s">
        <v>8430</v>
      </c>
      <c r="D3990" t="s">
        <v>4493</v>
      </c>
      <c r="E3990" t="s">
        <v>1246</v>
      </c>
      <c r="F3990" t="s">
        <v>1184</v>
      </c>
      <c r="H3990" s="1">
        <v>0.1</v>
      </c>
      <c r="I3990" t="s">
        <v>8422</v>
      </c>
      <c r="J3990" t="s">
        <v>8367</v>
      </c>
      <c r="K3990" s="170">
        <v>45747</v>
      </c>
      <c r="L3990" s="1">
        <v>42694.117647058803</v>
      </c>
      <c r="M3990" s="1">
        <v>45757</v>
      </c>
    </row>
    <row r="3991" spans="1:14" ht="14.4" hidden="1">
      <c r="A3991" t="s">
        <v>244</v>
      </c>
      <c r="B3991" s="1">
        <v>99</v>
      </c>
      <c r="C3991" s="258" t="s">
        <v>8431</v>
      </c>
      <c r="D3991" t="s">
        <v>4493</v>
      </c>
      <c r="E3991" t="s">
        <v>1246</v>
      </c>
      <c r="F3991" t="s">
        <v>1187</v>
      </c>
      <c r="H3991" s="1">
        <v>0.05</v>
      </c>
      <c r="I3991" t="s">
        <v>8432</v>
      </c>
      <c r="J3991" t="s">
        <v>8370</v>
      </c>
      <c r="K3991" s="170">
        <v>45777</v>
      </c>
      <c r="L3991" s="1">
        <v>21347.058823529402</v>
      </c>
      <c r="M3991" s="1">
        <v>45799</v>
      </c>
    </row>
    <row r="3992" spans="1:14" ht="14.4" hidden="1">
      <c r="A3992" t="s">
        <v>244</v>
      </c>
      <c r="B3992" s="1">
        <v>100</v>
      </c>
      <c r="C3992" s="258" t="s">
        <v>8433</v>
      </c>
      <c r="D3992" t="s">
        <v>4493</v>
      </c>
      <c r="E3992" t="s">
        <v>1246</v>
      </c>
      <c r="F3992" t="s">
        <v>1190</v>
      </c>
      <c r="H3992" s="1">
        <v>0.05</v>
      </c>
      <c r="I3992" t="s">
        <v>8432</v>
      </c>
      <c r="J3992" t="s">
        <v>8372</v>
      </c>
      <c r="K3992" s="170">
        <v>45777</v>
      </c>
      <c r="L3992" s="1">
        <v>21347.058823529402</v>
      </c>
      <c r="M3992" s="1">
        <v>45785</v>
      </c>
    </row>
    <row r="3993" spans="1:14" ht="14.4" hidden="1">
      <c r="A3993" t="s">
        <v>244</v>
      </c>
      <c r="B3993" s="1">
        <v>104</v>
      </c>
      <c r="C3993" s="258" t="s">
        <v>8434</v>
      </c>
      <c r="D3993" t="s">
        <v>1799</v>
      </c>
      <c r="E3993" t="s">
        <v>1255</v>
      </c>
      <c r="F3993" t="s">
        <v>1169</v>
      </c>
      <c r="G3993">
        <v>55000</v>
      </c>
      <c r="H3993" s="1">
        <v>0.1</v>
      </c>
      <c r="I3993" t="s">
        <v>8435</v>
      </c>
      <c r="J3993" t="s">
        <v>8355</v>
      </c>
      <c r="K3993" s="170">
        <v>45688</v>
      </c>
      <c r="L3993" s="1">
        <v>6741.9960784313707</v>
      </c>
      <c r="M3993" s="1">
        <v>45687</v>
      </c>
    </row>
    <row r="3994" spans="1:14" ht="14.4" hidden="1">
      <c r="A3994" t="s">
        <v>244</v>
      </c>
      <c r="B3994" s="1">
        <v>105</v>
      </c>
      <c r="C3994" s="258" t="s">
        <v>8436</v>
      </c>
      <c r="D3994" t="s">
        <v>1799</v>
      </c>
      <c r="E3994" t="s">
        <v>1255</v>
      </c>
      <c r="F3994" t="s">
        <v>558</v>
      </c>
      <c r="H3994" s="1">
        <v>0.15</v>
      </c>
      <c r="I3994" t="s">
        <v>8437</v>
      </c>
      <c r="J3994" t="s">
        <v>8358</v>
      </c>
      <c r="K3994" s="170">
        <v>45716</v>
      </c>
      <c r="L3994" s="1">
        <v>10112.994117647057</v>
      </c>
      <c r="M3994" s="1">
        <v>45708</v>
      </c>
    </row>
    <row r="3995" spans="1:14" ht="14.4" hidden="1">
      <c r="A3995" t="s">
        <v>244</v>
      </c>
      <c r="B3995" s="1">
        <v>106</v>
      </c>
      <c r="C3995" s="258" t="s">
        <v>8438</v>
      </c>
      <c r="D3995" t="s">
        <v>1799</v>
      </c>
      <c r="E3995" t="s">
        <v>1255</v>
      </c>
      <c r="F3995" t="s">
        <v>1175</v>
      </c>
      <c r="H3995" s="1">
        <v>0.25</v>
      </c>
      <c r="I3995" t="s">
        <v>8439</v>
      </c>
      <c r="J3995" t="s">
        <v>8361</v>
      </c>
      <c r="K3995" s="170">
        <v>45716</v>
      </c>
      <c r="L3995" s="1">
        <v>16854.990196078426</v>
      </c>
      <c r="M3995" s="1">
        <v>45729</v>
      </c>
    </row>
    <row r="3996" spans="1:14" ht="14.4" hidden="1">
      <c r="A3996" t="s">
        <v>244</v>
      </c>
      <c r="B3996" s="1">
        <v>107</v>
      </c>
      <c r="C3996" s="258" t="s">
        <v>8440</v>
      </c>
      <c r="D3996" t="s">
        <v>1799</v>
      </c>
      <c r="E3996" t="s">
        <v>1255</v>
      </c>
      <c r="F3996" t="s">
        <v>1178</v>
      </c>
      <c r="H3996" s="1">
        <v>0.2</v>
      </c>
      <c r="I3996" t="s">
        <v>8441</v>
      </c>
      <c r="J3996" t="s">
        <v>8361</v>
      </c>
      <c r="K3996" s="170">
        <v>45716</v>
      </c>
      <c r="L3996" s="1">
        <v>13483.99215686274</v>
      </c>
      <c r="M3996" s="1">
        <v>45729</v>
      </c>
    </row>
    <row r="3997" spans="1:14" ht="14.4" hidden="1">
      <c r="A3997" t="s">
        <v>244</v>
      </c>
      <c r="B3997" s="1">
        <v>108</v>
      </c>
      <c r="C3997" s="258" t="s">
        <v>8442</v>
      </c>
      <c r="D3997" t="s">
        <v>1799</v>
      </c>
      <c r="E3997" t="s">
        <v>1255</v>
      </c>
      <c r="F3997" t="s">
        <v>1181</v>
      </c>
      <c r="H3997" s="1">
        <v>0.1</v>
      </c>
      <c r="I3997" t="s">
        <v>8435</v>
      </c>
      <c r="J3997" t="s">
        <v>8365</v>
      </c>
      <c r="K3997" s="170">
        <v>45747</v>
      </c>
      <c r="L3997" s="1">
        <v>6741.9960784313707</v>
      </c>
      <c r="M3997" s="1">
        <v>45744</v>
      </c>
    </row>
    <row r="3998" spans="1:14" ht="14.4" hidden="1">
      <c r="A3998" t="s">
        <v>244</v>
      </c>
      <c r="B3998" s="1">
        <v>109</v>
      </c>
      <c r="C3998" s="258" t="s">
        <v>8443</v>
      </c>
      <c r="D3998" t="s">
        <v>1799</v>
      </c>
      <c r="E3998" t="s">
        <v>1255</v>
      </c>
      <c r="F3998" t="s">
        <v>1184</v>
      </c>
      <c r="H3998" s="1">
        <v>0.1</v>
      </c>
      <c r="I3998" t="s">
        <v>8435</v>
      </c>
      <c r="J3998" t="s">
        <v>8367</v>
      </c>
      <c r="K3998" s="170">
        <v>45747</v>
      </c>
      <c r="L3998" s="1">
        <v>6741.9960784313707</v>
      </c>
      <c r="M3998" s="1">
        <v>45757</v>
      </c>
    </row>
    <row r="3999" spans="1:14" ht="14.4" hidden="1">
      <c r="A3999" t="s">
        <v>244</v>
      </c>
      <c r="B3999" s="1">
        <v>110</v>
      </c>
      <c r="C3999" s="258" t="s">
        <v>8444</v>
      </c>
      <c r="D3999" t="s">
        <v>1799</v>
      </c>
      <c r="E3999" t="s">
        <v>1255</v>
      </c>
      <c r="F3999" t="s">
        <v>1187</v>
      </c>
      <c r="H3999" s="1">
        <v>0.05</v>
      </c>
      <c r="I3999" t="s">
        <v>8445</v>
      </c>
      <c r="J3999" t="s">
        <v>8370</v>
      </c>
      <c r="K3999" s="170">
        <v>45777</v>
      </c>
      <c r="L3999" s="1">
        <v>3370.9980392156858</v>
      </c>
      <c r="M3999" s="1">
        <v>45785</v>
      </c>
    </row>
    <row r="4000" spans="1:14" ht="14.4" hidden="1">
      <c r="A4000" t="s">
        <v>244</v>
      </c>
      <c r="B4000" s="1">
        <v>111</v>
      </c>
      <c r="C4000" s="258" t="s">
        <v>8446</v>
      </c>
      <c r="D4000" t="s">
        <v>1799</v>
      </c>
      <c r="E4000" t="s">
        <v>1255</v>
      </c>
      <c r="F4000" t="s">
        <v>1190</v>
      </c>
      <c r="H4000" s="1">
        <v>0.05</v>
      </c>
      <c r="I4000" t="s">
        <v>8445</v>
      </c>
      <c r="J4000" t="s">
        <v>8372</v>
      </c>
      <c r="K4000" s="170">
        <v>45777</v>
      </c>
      <c r="L4000" s="1">
        <v>3370.9980392156858</v>
      </c>
      <c r="M4000" s="1">
        <v>45785</v>
      </c>
    </row>
    <row r="4001" spans="1:14" ht="14.4" hidden="1">
      <c r="A4001" t="s">
        <v>246</v>
      </c>
      <c r="B4001" s="1">
        <v>6</v>
      </c>
      <c r="C4001" s="258" t="s">
        <v>8447</v>
      </c>
      <c r="D4001" t="s">
        <v>1146</v>
      </c>
      <c r="E4001" t="s">
        <v>8448</v>
      </c>
      <c r="F4001">
        <v>194</v>
      </c>
      <c r="G4001">
        <v>1175.96</v>
      </c>
      <c r="H4001" s="1">
        <v>228137</v>
      </c>
      <c r="I4001" t="s">
        <v>8449</v>
      </c>
      <c r="J4001" t="s">
        <v>8450</v>
      </c>
      <c r="K4001" s="170">
        <v>45808</v>
      </c>
      <c r="L4001" s="1">
        <v>270346.45674938691</v>
      </c>
      <c r="M4001" s="1">
        <v>45867</v>
      </c>
      <c r="N4001" s="1">
        <v>620962.18000000005</v>
      </c>
    </row>
    <row r="4002" spans="1:14" ht="14.4" hidden="1">
      <c r="A4002" t="s">
        <v>246</v>
      </c>
      <c r="B4002" s="1">
        <v>7</v>
      </c>
      <c r="C4002" s="258" t="s">
        <v>8451</v>
      </c>
      <c r="F4002">
        <v>315</v>
      </c>
      <c r="G4002">
        <v>1175.96</v>
      </c>
      <c r="H4002" s="1">
        <v>370428.63</v>
      </c>
      <c r="I4002"/>
      <c r="J4002" t="s">
        <v>8452</v>
      </c>
      <c r="K4002" s="170">
        <v>45808</v>
      </c>
      <c r="L4002" s="1">
        <v>438964.60284403502</v>
      </c>
      <c r="M4002" s="1">
        <v>45867</v>
      </c>
    </row>
    <row r="4003" spans="1:14" ht="14.4" hidden="1">
      <c r="A4003" t="s">
        <v>246</v>
      </c>
      <c r="B4003" s="1">
        <v>8</v>
      </c>
      <c r="C4003" s="258" t="s">
        <v>8453</v>
      </c>
      <c r="D4003" t="s">
        <v>1146</v>
      </c>
      <c r="E4003" t="s">
        <v>8454</v>
      </c>
      <c r="F4003"/>
      <c r="H4003" s="1">
        <v>1842</v>
      </c>
      <c r="I4003"/>
      <c r="J4003" t="s">
        <v>8452</v>
      </c>
      <c r="K4003" s="170">
        <v>45808</v>
      </c>
      <c r="L4003" s="1">
        <v>2182.803198658572</v>
      </c>
      <c r="M4003" s="1">
        <v>45867</v>
      </c>
    </row>
    <row r="4004" spans="1:14" ht="14.4" hidden="1">
      <c r="A4004" t="s">
        <v>246</v>
      </c>
      <c r="B4004" s="1">
        <v>9</v>
      </c>
      <c r="C4004" s="258" t="s">
        <v>8455</v>
      </c>
      <c r="D4004" t="s">
        <v>1146</v>
      </c>
      <c r="E4004" t="s">
        <v>1150</v>
      </c>
      <c r="F4004"/>
      <c r="H4004" s="1">
        <v>6284.25</v>
      </c>
      <c r="I4004"/>
      <c r="J4004" t="s">
        <v>8452</v>
      </c>
      <c r="K4004" s="170">
        <v>45808</v>
      </c>
      <c r="L4004" s="1">
        <v>7446.9495120359006</v>
      </c>
      <c r="M4004" s="1">
        <v>45867</v>
      </c>
    </row>
    <row r="4005" spans="1:14" ht="14.4" hidden="1">
      <c r="A4005" t="s">
        <v>246</v>
      </c>
      <c r="B4005" s="1">
        <v>10</v>
      </c>
      <c r="C4005" s="258" t="s">
        <v>8456</v>
      </c>
      <c r="D4005" t="s">
        <v>1146</v>
      </c>
      <c r="F4005"/>
      <c r="H4005" s="1">
        <v>10400</v>
      </c>
      <c r="I4005"/>
      <c r="J4005" t="s">
        <v>8452</v>
      </c>
      <c r="K4005" s="170">
        <v>45808</v>
      </c>
      <c r="L4005" s="1">
        <v>12324.187440851872</v>
      </c>
      <c r="M4005" s="1">
        <v>45867</v>
      </c>
    </row>
    <row r="4006" spans="1:14" ht="14.4" hidden="1">
      <c r="A4006" t="s">
        <v>246</v>
      </c>
      <c r="B4006" s="1">
        <v>11</v>
      </c>
      <c r="C4006" s="258" t="s">
        <v>8457</v>
      </c>
      <c r="D4006" t="s">
        <v>1146</v>
      </c>
      <c r="F4006"/>
      <c r="H4006" s="1">
        <v>3870.3</v>
      </c>
      <c r="I4006"/>
      <c r="J4006" t="s">
        <v>8450</v>
      </c>
      <c r="K4006" s="170">
        <v>45808</v>
      </c>
      <c r="L4006" s="1">
        <v>4586.3752550316349</v>
      </c>
      <c r="M4006" s="1">
        <v>45867</v>
      </c>
    </row>
    <row r="4007" spans="1:14" ht="14.4" hidden="1">
      <c r="A4007" t="s">
        <v>246</v>
      </c>
      <c r="B4007" s="1">
        <v>14</v>
      </c>
      <c r="C4007" s="258" t="s">
        <v>8458</v>
      </c>
      <c r="D4007" t="s">
        <v>1157</v>
      </c>
      <c r="E4007" t="s">
        <v>3079</v>
      </c>
      <c r="F4007">
        <v>3</v>
      </c>
      <c r="G4007">
        <v>68870.350000000006</v>
      </c>
      <c r="H4007" s="1">
        <v>206611.05</v>
      </c>
      <c r="I4007" t="s">
        <v>8459</v>
      </c>
      <c r="J4007" t="s">
        <v>8460</v>
      </c>
      <c r="K4007" s="170">
        <v>45808</v>
      </c>
      <c r="L4007" s="1">
        <v>238636.36363636365</v>
      </c>
      <c r="M4007" s="1">
        <v>45862</v>
      </c>
      <c r="N4007" s="1">
        <v>206611.05</v>
      </c>
    </row>
    <row r="4008" spans="1:14" ht="14.4" hidden="1">
      <c r="A4008" t="s">
        <v>246</v>
      </c>
      <c r="B4008" s="1">
        <v>22</v>
      </c>
      <c r="C4008" s="258" t="s">
        <v>8461</v>
      </c>
      <c r="D4008" t="s">
        <v>1160</v>
      </c>
      <c r="E4008" t="s">
        <v>1161</v>
      </c>
      <c r="F4008"/>
      <c r="H4008" s="1">
        <v>60238.8</v>
      </c>
      <c r="I4008" t="s">
        <v>8462</v>
      </c>
      <c r="J4008" t="s">
        <v>8463</v>
      </c>
      <c r="K4008" s="170">
        <v>45808</v>
      </c>
      <c r="L4008" s="1">
        <v>107042.48657675298</v>
      </c>
      <c r="M4008" s="1">
        <v>45835</v>
      </c>
      <c r="N4008" s="1">
        <v>71480.800000000003</v>
      </c>
    </row>
    <row r="4009" spans="1:14" ht="14.4" hidden="1">
      <c r="A4009" t="s">
        <v>246</v>
      </c>
      <c r="B4009" s="1">
        <v>23</v>
      </c>
      <c r="C4009" s="258" t="s">
        <v>8464</v>
      </c>
      <c r="D4009" t="s">
        <v>1160</v>
      </c>
      <c r="E4009" t="s">
        <v>8465</v>
      </c>
      <c r="F4009"/>
      <c r="H4009" s="1">
        <v>11242</v>
      </c>
      <c r="I4009" t="s">
        <v>8466</v>
      </c>
      <c r="J4009" t="s">
        <v>8467</v>
      </c>
      <c r="K4009" s="170">
        <v>45838</v>
      </c>
      <c r="L4009" s="1">
        <v>5688.1205951779339</v>
      </c>
      <c r="M4009" s="1">
        <v>45867</v>
      </c>
    </row>
    <row r="4010" spans="1:14" ht="14.4" hidden="1">
      <c r="A4010" t="s">
        <v>246</v>
      </c>
      <c r="B4010" s="1">
        <v>24</v>
      </c>
      <c r="C4010" s="258" t="s">
        <v>8468</v>
      </c>
      <c r="D4010" t="s">
        <v>1160</v>
      </c>
      <c r="E4010" t="s">
        <v>3252</v>
      </c>
      <c r="F4010"/>
      <c r="H4010" s="1">
        <v>0</v>
      </c>
      <c r="I4010"/>
      <c r="J4010"/>
      <c r="K4010" s="170">
        <v>45900</v>
      </c>
      <c r="L4010" s="1">
        <v>44876.781797918942</v>
      </c>
    </row>
    <row r="4011" spans="1:14" ht="14.4" hidden="1">
      <c r="A4011" t="s">
        <v>246</v>
      </c>
      <c r="B4011" s="1">
        <v>29</v>
      </c>
      <c r="C4011" s="258" t="s">
        <v>8469</v>
      </c>
      <c r="D4011" t="s">
        <v>1165</v>
      </c>
      <c r="E4011" t="s">
        <v>8470</v>
      </c>
      <c r="F4011">
        <v>8000</v>
      </c>
      <c r="G4011">
        <v>13.89</v>
      </c>
      <c r="H4011" s="1">
        <v>111120</v>
      </c>
      <c r="I4011" t="s">
        <v>8449</v>
      </c>
      <c r="J4011" t="s">
        <v>8471</v>
      </c>
      <c r="K4011" s="170">
        <v>45808</v>
      </c>
      <c r="L4011" s="1">
        <v>150375.77758683579</v>
      </c>
      <c r="M4011" s="1">
        <v>45782</v>
      </c>
      <c r="N4011" s="1">
        <v>214275.25</v>
      </c>
    </row>
    <row r="4012" spans="1:14" ht="14.4" hidden="1">
      <c r="A4012" t="s">
        <v>246</v>
      </c>
      <c r="B4012" s="1">
        <v>33</v>
      </c>
      <c r="C4012" s="258" t="s">
        <v>8472</v>
      </c>
      <c r="D4012" t="s">
        <v>1165</v>
      </c>
      <c r="E4012" t="s">
        <v>1169</v>
      </c>
      <c r="F4012">
        <v>103155.25</v>
      </c>
      <c r="G4012">
        <v>0.1</v>
      </c>
      <c r="H4012" s="1">
        <v>10315.525</v>
      </c>
      <c r="I4012" t="s">
        <v>8473</v>
      </c>
      <c r="J4012" t="s">
        <v>8474</v>
      </c>
      <c r="K4012" s="170">
        <v>45808</v>
      </c>
      <c r="L4012" s="1">
        <v>13959.729059498241</v>
      </c>
      <c r="M4012" s="1">
        <v>45792</v>
      </c>
    </row>
    <row r="4013" spans="1:14" ht="14.4" hidden="1">
      <c r="A4013" t="s">
        <v>246</v>
      </c>
      <c r="B4013" s="1">
        <v>34</v>
      </c>
      <c r="C4013" s="258" t="s">
        <v>8475</v>
      </c>
      <c r="D4013" t="s">
        <v>1165</v>
      </c>
      <c r="E4013" t="s">
        <v>558</v>
      </c>
      <c r="F4013"/>
      <c r="G4013">
        <v>0.15</v>
      </c>
      <c r="H4013" s="1">
        <v>15473.2875</v>
      </c>
      <c r="I4013"/>
      <c r="J4013" t="s">
        <v>8476</v>
      </c>
      <c r="K4013" s="170">
        <v>45838</v>
      </c>
      <c r="L4013" s="1">
        <v>20939.593589247357</v>
      </c>
      <c r="M4013" s="1">
        <v>45827</v>
      </c>
    </row>
    <row r="4014" spans="1:14" ht="14.4" hidden="1">
      <c r="A4014" t="s">
        <v>246</v>
      </c>
      <c r="B4014" s="1">
        <v>35</v>
      </c>
      <c r="C4014" s="258" t="s">
        <v>8477</v>
      </c>
      <c r="D4014" t="s">
        <v>1165</v>
      </c>
      <c r="E4014" t="s">
        <v>1175</v>
      </c>
      <c r="F4014"/>
      <c r="G4014">
        <v>0.2</v>
      </c>
      <c r="H4014" s="1">
        <v>20631.050000000003</v>
      </c>
      <c r="I4014"/>
      <c r="J4014" t="s">
        <v>8478</v>
      </c>
      <c r="K4014" s="170">
        <v>45838</v>
      </c>
      <c r="L4014" s="1">
        <v>27919.458118996477</v>
      </c>
      <c r="M4014" s="1">
        <v>46051</v>
      </c>
    </row>
    <row r="4015" spans="1:14" ht="14.4" hidden="1">
      <c r="A4015" t="s">
        <v>246</v>
      </c>
      <c r="B4015" s="1">
        <v>36</v>
      </c>
      <c r="C4015" s="258" t="s">
        <v>8479</v>
      </c>
      <c r="D4015" t="s">
        <v>1165</v>
      </c>
      <c r="E4015" t="s">
        <v>1178</v>
      </c>
      <c r="F4015"/>
      <c r="G4015">
        <v>0.25</v>
      </c>
      <c r="H4015" s="1">
        <v>25788.8125</v>
      </c>
      <c r="I4015"/>
      <c r="J4015" t="s">
        <v>8480</v>
      </c>
      <c r="K4015" s="170">
        <v>45838</v>
      </c>
      <c r="L4015" s="1">
        <v>34899.322648745598</v>
      </c>
      <c r="M4015" s="1">
        <v>45841</v>
      </c>
    </row>
    <row r="4016" spans="1:14" ht="14.4" hidden="1">
      <c r="A4016" t="s">
        <v>246</v>
      </c>
      <c r="B4016" s="1">
        <v>37</v>
      </c>
      <c r="C4016" s="258" t="s">
        <v>8481</v>
      </c>
      <c r="D4016" t="s">
        <v>1165</v>
      </c>
      <c r="E4016" t="s">
        <v>1181</v>
      </c>
      <c r="F4016"/>
      <c r="G4016">
        <v>0.1</v>
      </c>
      <c r="H4016" s="1">
        <v>10315.525</v>
      </c>
      <c r="I4016"/>
      <c r="J4016" t="s">
        <v>8482</v>
      </c>
      <c r="K4016" s="170">
        <v>45838</v>
      </c>
      <c r="L4016" s="1">
        <v>13959.729059498241</v>
      </c>
      <c r="M4016" s="1">
        <v>46077</v>
      </c>
    </row>
    <row r="4017" spans="1:14" ht="14.4" hidden="1">
      <c r="A4017" t="s">
        <v>246</v>
      </c>
      <c r="B4017" s="1">
        <v>38</v>
      </c>
      <c r="C4017" s="258" t="s">
        <v>8483</v>
      </c>
      <c r="D4017" t="s">
        <v>1165</v>
      </c>
      <c r="E4017" t="s">
        <v>1184</v>
      </c>
      <c r="F4017"/>
      <c r="G4017">
        <v>0.1</v>
      </c>
      <c r="H4017" s="1">
        <v>10315.525</v>
      </c>
      <c r="I4017"/>
      <c r="J4017" t="s">
        <v>8484</v>
      </c>
      <c r="K4017" s="170">
        <v>45838</v>
      </c>
      <c r="L4017" s="1">
        <v>13959.729059498241</v>
      </c>
      <c r="M4017" s="1">
        <v>46087</v>
      </c>
    </row>
    <row r="4018" spans="1:14" ht="14.4" hidden="1">
      <c r="A4018" t="s">
        <v>246</v>
      </c>
      <c r="B4018" s="1">
        <v>39</v>
      </c>
      <c r="C4018" s="258" t="s">
        <v>8485</v>
      </c>
      <c r="D4018" t="s">
        <v>1165</v>
      </c>
      <c r="E4018" t="s">
        <v>1187</v>
      </c>
      <c r="F4018"/>
      <c r="G4018">
        <v>0.05</v>
      </c>
      <c r="H4018" s="1">
        <v>5157.7625000000007</v>
      </c>
      <c r="I4018"/>
      <c r="J4018" t="s">
        <v>8486</v>
      </c>
      <c r="K4018" s="170">
        <v>45838</v>
      </c>
      <c r="L4018" s="1">
        <v>6979.8645297491194</v>
      </c>
      <c r="M4018" s="1">
        <v>46087</v>
      </c>
    </row>
    <row r="4019" spans="1:14" ht="14.4" hidden="1">
      <c r="A4019" t="s">
        <v>246</v>
      </c>
      <c r="B4019" s="1">
        <v>40</v>
      </c>
      <c r="C4019" s="258" t="s">
        <v>8487</v>
      </c>
      <c r="D4019" t="s">
        <v>1165</v>
      </c>
      <c r="E4019" t="s">
        <v>1190</v>
      </c>
      <c r="F4019"/>
      <c r="G4019">
        <v>0.05</v>
      </c>
      <c r="H4019" s="1">
        <v>5157.7625000000007</v>
      </c>
      <c r="I4019"/>
      <c r="J4019" t="s">
        <v>8488</v>
      </c>
      <c r="K4019" s="170">
        <v>45838</v>
      </c>
      <c r="L4019" s="1">
        <v>6979.8645297491194</v>
      </c>
      <c r="M4019" s="1">
        <v>46110</v>
      </c>
    </row>
    <row r="4020" spans="1:14" ht="14.4" hidden="1">
      <c r="A4020" t="s">
        <v>246</v>
      </c>
      <c r="B4020" s="1">
        <v>45</v>
      </c>
      <c r="C4020" s="258" t="s">
        <v>8489</v>
      </c>
      <c r="D4020" t="s">
        <v>1193</v>
      </c>
      <c r="E4020" t="s">
        <v>2755</v>
      </c>
      <c r="F4020"/>
      <c r="H4020" s="1">
        <v>8598.35</v>
      </c>
      <c r="I4020" t="s">
        <v>8459</v>
      </c>
      <c r="J4020" t="s">
        <v>8490</v>
      </c>
      <c r="K4020" s="170">
        <v>45808</v>
      </c>
      <c r="L4020" s="1">
        <v>12277.093379226768</v>
      </c>
      <c r="M4020" s="1">
        <v>45855</v>
      </c>
      <c r="N4020" s="1">
        <v>35927.129999999997</v>
      </c>
    </row>
    <row r="4021" spans="1:14" ht="14.4" hidden="1">
      <c r="A4021" t="s">
        <v>246</v>
      </c>
      <c r="B4021" s="1">
        <v>46</v>
      </c>
      <c r="C4021" s="258" t="s">
        <v>8491</v>
      </c>
      <c r="D4021" t="s">
        <v>1193</v>
      </c>
      <c r="E4021" t="s">
        <v>1196</v>
      </c>
      <c r="F4021"/>
      <c r="H4021" s="1">
        <v>13695</v>
      </c>
      <c r="I4021" t="s">
        <v>8492</v>
      </c>
      <c r="J4021" t="s">
        <v>8493</v>
      </c>
      <c r="K4021" s="170">
        <v>45777</v>
      </c>
      <c r="L4021" s="1">
        <v>19114.237373104399</v>
      </c>
      <c r="M4021" s="1">
        <v>45808</v>
      </c>
    </row>
    <row r="4022" spans="1:14" ht="14.4" hidden="1">
      <c r="A4022" t="s">
        <v>246</v>
      </c>
      <c r="B4022" s="1">
        <v>47</v>
      </c>
      <c r="C4022" s="258" t="s">
        <v>8494</v>
      </c>
      <c r="D4022" t="s">
        <v>1193</v>
      </c>
      <c r="F4022"/>
      <c r="H4022" s="1">
        <v>214.28</v>
      </c>
      <c r="I4022"/>
      <c r="J4022" t="s">
        <v>3286</v>
      </c>
      <c r="K4022" s="170">
        <v>45838</v>
      </c>
      <c r="L4022" s="1">
        <v>332.10278694680039</v>
      </c>
      <c r="M4022" s="1">
        <v>45867</v>
      </c>
    </row>
    <row r="4023" spans="1:14" ht="14.4" hidden="1">
      <c r="A4023" t="s">
        <v>246</v>
      </c>
      <c r="B4023" s="1">
        <v>48</v>
      </c>
      <c r="C4023" s="258" t="s">
        <v>8495</v>
      </c>
      <c r="D4023" t="s">
        <v>1193</v>
      </c>
      <c r="E4023" t="s">
        <v>1200</v>
      </c>
      <c r="F4023"/>
      <c r="H4023" s="1">
        <v>11169</v>
      </c>
      <c r="I4023"/>
      <c r="J4023" t="s">
        <v>2969</v>
      </c>
      <c r="K4023" s="170">
        <v>45838</v>
      </c>
      <c r="L4023" s="1">
        <v>20789.453069856329</v>
      </c>
      <c r="M4023" s="1">
        <v>45838</v>
      </c>
    </row>
    <row r="4024" spans="1:14" ht="14.4" hidden="1">
      <c r="A4024" t="s">
        <v>246</v>
      </c>
      <c r="B4024" s="1">
        <v>49</v>
      </c>
      <c r="C4024" s="258" t="s">
        <v>8496</v>
      </c>
      <c r="D4024" t="s">
        <v>1193</v>
      </c>
      <c r="E4024" t="s">
        <v>2768</v>
      </c>
      <c r="F4024"/>
      <c r="H4024" s="1">
        <v>2250.5</v>
      </c>
      <c r="I4024" t="s">
        <v>2971</v>
      </c>
      <c r="J4024" t="s">
        <v>2769</v>
      </c>
      <c r="K4024" s="170">
        <v>45808</v>
      </c>
      <c r="L4024" s="1">
        <v>3168.9360499339805</v>
      </c>
      <c r="M4024" s="1">
        <v>45799</v>
      </c>
    </row>
    <row r="4025" spans="1:14" ht="14.4" hidden="1">
      <c r="A4025" t="s">
        <v>246</v>
      </c>
      <c r="B4025" s="1">
        <v>55</v>
      </c>
      <c r="C4025" s="258" t="s">
        <v>8497</v>
      </c>
      <c r="D4025" t="s">
        <v>1211</v>
      </c>
      <c r="E4025" t="s">
        <v>1212</v>
      </c>
      <c r="F4025"/>
      <c r="H4025" s="1">
        <v>117330.71</v>
      </c>
      <c r="I4025" t="s">
        <v>8498</v>
      </c>
      <c r="J4025" t="s">
        <v>8499</v>
      </c>
      <c r="K4025" s="170">
        <v>45838</v>
      </c>
      <c r="L4025" s="1">
        <v>247725.5307397561</v>
      </c>
      <c r="M4025" s="1">
        <v>45867</v>
      </c>
    </row>
    <row r="4026" spans="1:14" ht="14.4" hidden="1">
      <c r="A4026" t="s">
        <v>246</v>
      </c>
      <c r="B4026" s="1">
        <v>60</v>
      </c>
      <c r="C4026" s="258" t="s">
        <v>8500</v>
      </c>
      <c r="D4026" t="s">
        <v>1211</v>
      </c>
      <c r="E4026" t="s">
        <v>1169</v>
      </c>
      <c r="F4026">
        <v>83761.399999999994</v>
      </c>
      <c r="G4026">
        <v>0.1</v>
      </c>
      <c r="H4026" s="1">
        <v>8376.14</v>
      </c>
      <c r="I4026" t="s">
        <v>8473</v>
      </c>
      <c r="J4026" t="s">
        <v>8474</v>
      </c>
      <c r="K4026" s="170">
        <v>45808</v>
      </c>
      <c r="L4026" s="1">
        <v>17946.698887126469</v>
      </c>
      <c r="M4026" s="1">
        <v>45792</v>
      </c>
    </row>
    <row r="4027" spans="1:14" ht="14.4" hidden="1">
      <c r="A4027" t="s">
        <v>246</v>
      </c>
      <c r="B4027" s="1">
        <v>61</v>
      </c>
      <c r="C4027" s="258" t="s">
        <v>8501</v>
      </c>
      <c r="D4027" t="s">
        <v>1211</v>
      </c>
      <c r="E4027" t="s">
        <v>558</v>
      </c>
      <c r="F4027"/>
      <c r="G4027">
        <v>0.15</v>
      </c>
      <c r="H4027" s="1">
        <v>12564.21</v>
      </c>
      <c r="I4027"/>
      <c r="J4027" t="s">
        <v>8476</v>
      </c>
      <c r="K4027" s="170">
        <v>45838</v>
      </c>
      <c r="L4027" s="1">
        <v>26265.593699313253</v>
      </c>
      <c r="M4027" s="1">
        <v>45827</v>
      </c>
    </row>
    <row r="4028" spans="1:14" ht="14.4" hidden="1">
      <c r="A4028" t="s">
        <v>246</v>
      </c>
      <c r="B4028" s="1">
        <v>62</v>
      </c>
      <c r="C4028" s="258" t="s">
        <v>8502</v>
      </c>
      <c r="D4028" t="s">
        <v>1211</v>
      </c>
      <c r="E4028" t="s">
        <v>1175</v>
      </c>
      <c r="F4028"/>
      <c r="G4028">
        <v>0.2</v>
      </c>
      <c r="H4028" s="1">
        <v>16752.28</v>
      </c>
      <c r="I4028"/>
      <c r="J4028" t="s">
        <v>8478</v>
      </c>
      <c r="K4028" s="170">
        <v>45838</v>
      </c>
      <c r="L4028" s="1">
        <v>35369.83159908434</v>
      </c>
      <c r="M4028" s="1">
        <v>46051</v>
      </c>
    </row>
    <row r="4029" spans="1:14" ht="14.4" hidden="1">
      <c r="A4029" t="s">
        <v>246</v>
      </c>
      <c r="B4029" s="1">
        <v>63</v>
      </c>
      <c r="C4029" s="258" t="s">
        <v>8503</v>
      </c>
      <c r="D4029" t="s">
        <v>1211</v>
      </c>
      <c r="E4029" t="s">
        <v>1178</v>
      </c>
      <c r="F4029"/>
      <c r="G4029">
        <v>0.25</v>
      </c>
      <c r="H4029" s="1">
        <v>20940.349999999999</v>
      </c>
      <c r="I4029"/>
      <c r="J4029" t="s">
        <v>8480</v>
      </c>
      <c r="K4029" s="170">
        <v>45838</v>
      </c>
      <c r="L4029" s="1">
        <v>44212.289498855418</v>
      </c>
      <c r="M4029" s="1">
        <v>45841</v>
      </c>
    </row>
    <row r="4030" spans="1:14" ht="14.4" hidden="1">
      <c r="A4030" t="s">
        <v>246</v>
      </c>
      <c r="B4030" s="1">
        <v>64</v>
      </c>
      <c r="C4030" s="258" t="s">
        <v>8504</v>
      </c>
      <c r="D4030" t="s">
        <v>1211</v>
      </c>
      <c r="E4030" t="s">
        <v>1181</v>
      </c>
      <c r="F4030"/>
      <c r="G4030">
        <v>0.1</v>
      </c>
      <c r="H4030" s="1">
        <v>8376.14</v>
      </c>
      <c r="I4030"/>
      <c r="J4030" t="s">
        <v>8482</v>
      </c>
      <c r="K4030" s="170">
        <v>45838</v>
      </c>
      <c r="L4030" s="1">
        <v>17684.91579954217</v>
      </c>
      <c r="M4030" s="1">
        <v>46077</v>
      </c>
    </row>
    <row r="4031" spans="1:14" ht="14.4" hidden="1">
      <c r="A4031" t="s">
        <v>246</v>
      </c>
      <c r="B4031" s="1">
        <v>65</v>
      </c>
      <c r="C4031" s="258" t="s">
        <v>8505</v>
      </c>
      <c r="D4031" t="s">
        <v>1211</v>
      </c>
      <c r="E4031" t="s">
        <v>1184</v>
      </c>
      <c r="F4031"/>
      <c r="G4031">
        <v>0.1</v>
      </c>
      <c r="H4031" s="1">
        <v>8376.14</v>
      </c>
      <c r="I4031"/>
      <c r="J4031" t="s">
        <v>8484</v>
      </c>
      <c r="K4031" s="170">
        <v>45838</v>
      </c>
      <c r="L4031" s="1">
        <v>17684.91579954217</v>
      </c>
      <c r="M4031" s="1">
        <v>46087</v>
      </c>
    </row>
    <row r="4032" spans="1:14" ht="14.4" hidden="1">
      <c r="A4032" t="s">
        <v>246</v>
      </c>
      <c r="B4032" s="1">
        <v>66</v>
      </c>
      <c r="C4032" s="258" t="s">
        <v>8506</v>
      </c>
      <c r="D4032" t="s">
        <v>1211</v>
      </c>
      <c r="E4032" t="s">
        <v>1187</v>
      </c>
      <c r="F4032"/>
      <c r="G4032">
        <v>0.05</v>
      </c>
      <c r="H4032" s="1">
        <v>4188.07</v>
      </c>
      <c r="I4032"/>
      <c r="J4032" t="s">
        <v>8486</v>
      </c>
      <c r="K4032" s="170">
        <v>45838</v>
      </c>
      <c r="L4032" s="1">
        <v>8842.4578997710851</v>
      </c>
      <c r="M4032" s="1">
        <v>46087</v>
      </c>
    </row>
    <row r="4033" spans="1:14" ht="14.4" hidden="1">
      <c r="A4033" t="s">
        <v>246</v>
      </c>
      <c r="B4033" s="1">
        <v>67</v>
      </c>
      <c r="C4033" s="258" t="s">
        <v>8507</v>
      </c>
      <c r="D4033" t="s">
        <v>1211</v>
      </c>
      <c r="E4033" t="s">
        <v>1190</v>
      </c>
      <c r="F4033"/>
      <c r="G4033">
        <v>0.05</v>
      </c>
      <c r="H4033" s="1">
        <v>4188.07</v>
      </c>
      <c r="I4033"/>
      <c r="J4033" t="s">
        <v>8488</v>
      </c>
      <c r="K4033" s="170">
        <v>45838</v>
      </c>
      <c r="L4033" s="1">
        <v>8842.4578997710851</v>
      </c>
      <c r="M4033" s="1">
        <v>46110</v>
      </c>
    </row>
    <row r="4034" spans="1:14" ht="14.4" hidden="1">
      <c r="A4034" t="s">
        <v>246</v>
      </c>
      <c r="B4034" s="1">
        <v>81</v>
      </c>
      <c r="C4034" s="258" t="s">
        <v>8508</v>
      </c>
      <c r="D4034" t="s">
        <v>1224</v>
      </c>
      <c r="E4034" t="s">
        <v>8509</v>
      </c>
      <c r="F4034">
        <v>0.3</v>
      </c>
      <c r="G4034">
        <v>21138</v>
      </c>
      <c r="H4034" s="1">
        <v>6341.4</v>
      </c>
      <c r="I4034" t="s">
        <v>8510</v>
      </c>
      <c r="J4034" t="s">
        <v>8511</v>
      </c>
      <c r="K4034" s="170">
        <v>45991</v>
      </c>
      <c r="M4034" s="1">
        <v>45988</v>
      </c>
      <c r="N4034" s="1">
        <v>308513</v>
      </c>
    </row>
    <row r="4035" spans="1:14" ht="14.4" hidden="1">
      <c r="A4035" t="s">
        <v>246</v>
      </c>
      <c r="B4035" s="1">
        <v>82</v>
      </c>
      <c r="C4035" s="258" t="s">
        <v>8512</v>
      </c>
      <c r="D4035" t="s">
        <v>1224</v>
      </c>
      <c r="E4035" t="s">
        <v>8513</v>
      </c>
      <c r="F4035">
        <v>0.7</v>
      </c>
      <c r="H4035" s="1">
        <v>14796.6</v>
      </c>
      <c r="I4035"/>
      <c r="J4035" t="s">
        <v>8511</v>
      </c>
      <c r="K4035" s="170">
        <v>45991</v>
      </c>
      <c r="M4035" s="1">
        <v>46021</v>
      </c>
    </row>
    <row r="4036" spans="1:14" ht="14.4" hidden="1">
      <c r="A4036" t="s">
        <v>246</v>
      </c>
      <c r="B4036" s="1">
        <v>83</v>
      </c>
      <c r="C4036" s="258" t="s">
        <v>8514</v>
      </c>
      <c r="D4036" t="s">
        <v>1224</v>
      </c>
      <c r="E4036" t="s">
        <v>8515</v>
      </c>
      <c r="F4036">
        <v>0.3</v>
      </c>
      <c r="G4036">
        <v>22900</v>
      </c>
      <c r="H4036" s="1">
        <v>6870</v>
      </c>
      <c r="I4036" t="s">
        <v>8510</v>
      </c>
      <c r="J4036" t="s">
        <v>8516</v>
      </c>
      <c r="K4036" s="170">
        <v>45991</v>
      </c>
      <c r="M4036" s="1">
        <v>45988</v>
      </c>
    </row>
    <row r="4037" spans="1:14" ht="14.4" hidden="1">
      <c r="A4037" t="s">
        <v>246</v>
      </c>
      <c r="B4037" s="1">
        <v>84</v>
      </c>
      <c r="C4037" s="258" t="s">
        <v>8517</v>
      </c>
      <c r="D4037" t="s">
        <v>1224</v>
      </c>
      <c r="E4037" t="s">
        <v>8518</v>
      </c>
      <c r="F4037">
        <v>0.7</v>
      </c>
      <c r="H4037" s="1">
        <v>16029.999999999998</v>
      </c>
      <c r="I4037"/>
      <c r="J4037" t="s">
        <v>8516</v>
      </c>
      <c r="K4037" s="170">
        <v>45991</v>
      </c>
      <c r="M4037" s="1">
        <v>46021</v>
      </c>
    </row>
    <row r="4038" spans="1:14" ht="14.4" hidden="1">
      <c r="A4038" t="s">
        <v>246</v>
      </c>
      <c r="B4038" s="1">
        <v>85</v>
      </c>
      <c r="C4038" s="258" t="s">
        <v>8519</v>
      </c>
      <c r="D4038" t="s">
        <v>1224</v>
      </c>
      <c r="E4038" t="s">
        <v>8520</v>
      </c>
      <c r="F4038"/>
      <c r="H4038" s="1">
        <v>16160</v>
      </c>
      <c r="I4038" t="s">
        <v>8521</v>
      </c>
      <c r="J4038" t="s">
        <v>8522</v>
      </c>
      <c r="K4038" s="170">
        <v>46053</v>
      </c>
      <c r="M4038" s="1">
        <v>46051</v>
      </c>
    </row>
    <row r="4039" spans="1:14" ht="14.4" hidden="1">
      <c r="A4039" t="s">
        <v>246</v>
      </c>
      <c r="B4039" s="1">
        <v>86</v>
      </c>
      <c r="C4039" s="258" t="s">
        <v>8523</v>
      </c>
      <c r="D4039" t="s">
        <v>1224</v>
      </c>
      <c r="E4039" t="s">
        <v>8524</v>
      </c>
      <c r="F4039"/>
      <c r="H4039" s="1">
        <v>4040</v>
      </c>
      <c r="I4039"/>
      <c r="J4039" t="s">
        <v>8522</v>
      </c>
      <c r="K4039" s="170">
        <v>46053</v>
      </c>
      <c r="M4039" s="1">
        <v>46065</v>
      </c>
    </row>
    <row r="4040" spans="1:14" ht="14.4" hidden="1">
      <c r="A4040" t="s">
        <v>246</v>
      </c>
      <c r="B4040" s="1">
        <v>87</v>
      </c>
      <c r="C4040" s="258" t="s">
        <v>8525</v>
      </c>
      <c r="D4040" t="s">
        <v>1224</v>
      </c>
      <c r="E4040" t="s">
        <v>8526</v>
      </c>
      <c r="F4040"/>
      <c r="H4040" s="1">
        <v>115500</v>
      </c>
      <c r="I4040" t="s">
        <v>8527</v>
      </c>
      <c r="J4040" t="s">
        <v>8528</v>
      </c>
      <c r="K4040" s="170">
        <v>45961</v>
      </c>
      <c r="M4040" s="1">
        <v>45939</v>
      </c>
    </row>
    <row r="4041" spans="1:14" ht="14.4" hidden="1">
      <c r="A4041" t="s">
        <v>246</v>
      </c>
      <c r="B4041" s="1">
        <v>88</v>
      </c>
      <c r="C4041" s="258" t="s">
        <v>8529</v>
      </c>
      <c r="D4041" t="s">
        <v>1224</v>
      </c>
      <c r="E4041" t="s">
        <v>8526</v>
      </c>
      <c r="F4041"/>
      <c r="H4041" s="1">
        <v>115500</v>
      </c>
      <c r="I4041"/>
      <c r="J4041" t="s">
        <v>8530</v>
      </c>
      <c r="K4041" s="170">
        <v>45991</v>
      </c>
      <c r="M4041" s="1">
        <v>46009</v>
      </c>
    </row>
    <row r="4042" spans="1:14" ht="14.4" hidden="1">
      <c r="A4042" t="s">
        <v>246</v>
      </c>
      <c r="B4042" s="1">
        <v>89</v>
      </c>
      <c r="C4042" s="258" t="s">
        <v>8531</v>
      </c>
      <c r="D4042" t="s">
        <v>1224</v>
      </c>
      <c r="E4042" t="s">
        <v>8532</v>
      </c>
      <c r="F4042"/>
      <c r="H4042" s="1">
        <v>7275</v>
      </c>
      <c r="I4042" t="s">
        <v>8533</v>
      </c>
      <c r="J4042" t="s">
        <v>8534</v>
      </c>
      <c r="K4042" s="170">
        <v>45930</v>
      </c>
      <c r="M4042" s="1">
        <v>45932</v>
      </c>
    </row>
    <row r="4043" spans="1:14" ht="14.4" hidden="1">
      <c r="A4043" t="s">
        <v>246</v>
      </c>
      <c r="B4043" s="1">
        <v>90</v>
      </c>
      <c r="C4043" s="258" t="s">
        <v>8535</v>
      </c>
      <c r="D4043" t="s">
        <v>1224</v>
      </c>
      <c r="E4043" t="s">
        <v>8536</v>
      </c>
      <c r="F4043"/>
      <c r="H4043" s="1">
        <v>6000</v>
      </c>
      <c r="I4043"/>
      <c r="J4043" t="s">
        <v>8537</v>
      </c>
      <c r="K4043" s="170">
        <v>45991</v>
      </c>
      <c r="M4043" s="1">
        <v>45981</v>
      </c>
    </row>
    <row r="4044" spans="1:14" ht="14.4" hidden="1">
      <c r="A4044" t="s">
        <v>246</v>
      </c>
      <c r="B4044" s="1">
        <v>94</v>
      </c>
      <c r="C4044" s="258" t="s">
        <v>8538</v>
      </c>
      <c r="D4044" t="s">
        <v>1246</v>
      </c>
      <c r="E4044" t="s">
        <v>1169</v>
      </c>
      <c r="F4044">
        <v>308000</v>
      </c>
      <c r="G4044">
        <v>0.1</v>
      </c>
      <c r="H4044" s="1">
        <v>30800</v>
      </c>
      <c r="I4044" t="s">
        <v>8473</v>
      </c>
      <c r="J4044" t="s">
        <v>8474</v>
      </c>
      <c r="K4044" s="170">
        <v>45808</v>
      </c>
      <c r="L4044" s="1">
        <v>29327.941176470591</v>
      </c>
      <c r="M4044" s="1">
        <v>45792</v>
      </c>
    </row>
    <row r="4045" spans="1:14" ht="14.4" hidden="1">
      <c r="A4045" t="s">
        <v>246</v>
      </c>
      <c r="B4045" s="1">
        <v>95</v>
      </c>
      <c r="C4045" s="258" t="s">
        <v>8539</v>
      </c>
      <c r="D4045" t="s">
        <v>1246</v>
      </c>
      <c r="E4045" t="s">
        <v>558</v>
      </c>
      <c r="F4045"/>
      <c r="G4045">
        <v>0.15</v>
      </c>
      <c r="H4045" s="1">
        <v>46200</v>
      </c>
      <c r="I4045"/>
      <c r="J4045" t="s">
        <v>8476</v>
      </c>
      <c r="K4045" s="170">
        <v>45838</v>
      </c>
      <c r="L4045" s="1">
        <v>43991.911764705881</v>
      </c>
      <c r="M4045" s="1">
        <v>45827</v>
      </c>
    </row>
    <row r="4046" spans="1:14" ht="14.4" hidden="1">
      <c r="A4046" t="s">
        <v>246</v>
      </c>
      <c r="B4046" s="1">
        <v>96</v>
      </c>
      <c r="C4046" s="258" t="s">
        <v>8540</v>
      </c>
      <c r="D4046" t="s">
        <v>1246</v>
      </c>
      <c r="E4046" t="s">
        <v>1175</v>
      </c>
      <c r="F4046"/>
      <c r="G4046">
        <v>0.2</v>
      </c>
      <c r="H4046" s="1">
        <v>61600</v>
      </c>
      <c r="I4046"/>
      <c r="J4046" t="s">
        <v>8478</v>
      </c>
      <c r="K4046" s="170">
        <v>45838</v>
      </c>
      <c r="L4046" s="1">
        <v>58655.882352941182</v>
      </c>
      <c r="M4046" s="1">
        <v>46051</v>
      </c>
    </row>
    <row r="4047" spans="1:14" ht="14.4" hidden="1">
      <c r="A4047" t="s">
        <v>246</v>
      </c>
      <c r="B4047" s="1">
        <v>97</v>
      </c>
      <c r="C4047" s="258" t="s">
        <v>8541</v>
      </c>
      <c r="D4047" t="s">
        <v>1246</v>
      </c>
      <c r="E4047" t="s">
        <v>1178</v>
      </c>
      <c r="F4047"/>
      <c r="G4047">
        <v>0.25</v>
      </c>
      <c r="H4047" s="1">
        <v>77000</v>
      </c>
      <c r="I4047"/>
      <c r="J4047" t="s">
        <v>8480</v>
      </c>
      <c r="K4047" s="170">
        <v>45838</v>
      </c>
      <c r="L4047" s="1">
        <v>73319.852941176476</v>
      </c>
      <c r="M4047" s="1">
        <v>45841</v>
      </c>
    </row>
    <row r="4048" spans="1:14" ht="14.4" hidden="1">
      <c r="A4048" t="s">
        <v>246</v>
      </c>
      <c r="B4048" s="1">
        <v>98</v>
      </c>
      <c r="C4048" s="258" t="s">
        <v>8542</v>
      </c>
      <c r="D4048" t="s">
        <v>1246</v>
      </c>
      <c r="E4048" t="s">
        <v>1181</v>
      </c>
      <c r="F4048"/>
      <c r="G4048">
        <v>0.1</v>
      </c>
      <c r="H4048" s="1">
        <v>30800</v>
      </c>
      <c r="I4048"/>
      <c r="J4048" t="s">
        <v>8482</v>
      </c>
      <c r="K4048" s="170">
        <v>45838</v>
      </c>
      <c r="L4048" s="1">
        <v>29327.941176470591</v>
      </c>
      <c r="M4048" s="1">
        <v>46077</v>
      </c>
    </row>
    <row r="4049" spans="1:14" ht="14.4" hidden="1">
      <c r="A4049" t="s">
        <v>246</v>
      </c>
      <c r="B4049" s="1">
        <v>99</v>
      </c>
      <c r="C4049" s="258" t="s">
        <v>8543</v>
      </c>
      <c r="D4049" t="s">
        <v>1246</v>
      </c>
      <c r="E4049" t="s">
        <v>1184</v>
      </c>
      <c r="F4049"/>
      <c r="G4049">
        <v>0.1</v>
      </c>
      <c r="H4049" s="1">
        <v>30800</v>
      </c>
      <c r="I4049"/>
      <c r="J4049" t="s">
        <v>8484</v>
      </c>
      <c r="K4049" s="170">
        <v>45838</v>
      </c>
      <c r="L4049" s="1">
        <v>29327.941176470591</v>
      </c>
      <c r="M4049" s="1">
        <v>46087</v>
      </c>
    </row>
    <row r="4050" spans="1:14" ht="14.4" hidden="1">
      <c r="A4050" t="s">
        <v>246</v>
      </c>
      <c r="B4050" s="1">
        <v>100</v>
      </c>
      <c r="C4050" s="258" t="s">
        <v>8544</v>
      </c>
      <c r="D4050" t="s">
        <v>1246</v>
      </c>
      <c r="E4050" t="s">
        <v>1187</v>
      </c>
      <c r="F4050"/>
      <c r="G4050">
        <v>0.05</v>
      </c>
      <c r="H4050" s="1">
        <v>15400</v>
      </c>
      <c r="I4050"/>
      <c r="J4050" t="s">
        <v>8486</v>
      </c>
      <c r="K4050" s="170">
        <v>45838</v>
      </c>
      <c r="L4050" s="1">
        <v>14663.970588235296</v>
      </c>
      <c r="M4050" s="1">
        <v>46087</v>
      </c>
    </row>
    <row r="4051" spans="1:14" ht="14.4" hidden="1">
      <c r="A4051" t="s">
        <v>246</v>
      </c>
      <c r="B4051" s="1">
        <v>101</v>
      </c>
      <c r="C4051" s="258" t="s">
        <v>8545</v>
      </c>
      <c r="D4051" t="s">
        <v>1246</v>
      </c>
      <c r="E4051" t="s">
        <v>1190</v>
      </c>
      <c r="F4051"/>
      <c r="G4051">
        <v>0.05</v>
      </c>
      <c r="H4051" s="1">
        <v>15400</v>
      </c>
      <c r="I4051"/>
      <c r="J4051" t="s">
        <v>8488</v>
      </c>
      <c r="K4051" s="170">
        <v>45838</v>
      </c>
      <c r="L4051" s="1">
        <v>14663.970588235296</v>
      </c>
      <c r="M4051" s="1">
        <v>46110</v>
      </c>
    </row>
    <row r="4052" spans="1:14" ht="14.4" hidden="1">
      <c r="A4052" t="s">
        <v>246</v>
      </c>
      <c r="B4052" s="1">
        <v>114</v>
      </c>
      <c r="C4052" s="258" t="s">
        <v>8546</v>
      </c>
      <c r="D4052" t="s">
        <v>1255</v>
      </c>
      <c r="E4052" t="s">
        <v>1169</v>
      </c>
      <c r="F4052">
        <v>29143.23</v>
      </c>
      <c r="G4052">
        <v>0.1</v>
      </c>
      <c r="H4052" s="1">
        <v>2914.3230000000003</v>
      </c>
      <c r="I4052" t="s">
        <v>8473</v>
      </c>
      <c r="J4052" t="s">
        <v>8474</v>
      </c>
      <c r="K4052" s="170">
        <v>45808</v>
      </c>
      <c r="L4052" s="1">
        <v>1525.9399855598192</v>
      </c>
      <c r="M4052" s="1">
        <v>45792</v>
      </c>
    </row>
    <row r="4053" spans="1:14" ht="14.4" hidden="1">
      <c r="A4053" t="s">
        <v>246</v>
      </c>
      <c r="B4053" s="1">
        <v>115</v>
      </c>
      <c r="C4053" s="258" t="s">
        <v>8547</v>
      </c>
      <c r="D4053" t="s">
        <v>1255</v>
      </c>
      <c r="E4053" t="s">
        <v>558</v>
      </c>
      <c r="F4053"/>
      <c r="G4053">
        <v>0.15</v>
      </c>
      <c r="H4053" s="1">
        <v>4371.4844999999996</v>
      </c>
      <c r="I4053"/>
      <c r="J4053" t="s">
        <v>8476</v>
      </c>
      <c r="K4053" s="170">
        <v>45838</v>
      </c>
      <c r="L4053" s="1">
        <v>3493.9577023597517</v>
      </c>
      <c r="M4053" s="1">
        <v>45827</v>
      </c>
    </row>
    <row r="4054" spans="1:14" ht="14.4" hidden="1">
      <c r="A4054" t="s">
        <v>246</v>
      </c>
      <c r="B4054" s="1">
        <v>116</v>
      </c>
      <c r="C4054" s="258" t="s">
        <v>8548</v>
      </c>
      <c r="D4054" t="s">
        <v>1255</v>
      </c>
      <c r="E4054" t="s">
        <v>1175</v>
      </c>
      <c r="F4054"/>
      <c r="G4054">
        <v>0.2</v>
      </c>
      <c r="H4054" s="1">
        <v>5828.6460000000006</v>
      </c>
      <c r="I4054"/>
      <c r="J4054" t="s">
        <v>8478</v>
      </c>
      <c r="K4054" s="170">
        <v>45838</v>
      </c>
      <c r="L4054" s="1">
        <v>4015.9169364796694</v>
      </c>
      <c r="M4054" s="1">
        <v>46051</v>
      </c>
    </row>
    <row r="4055" spans="1:14" ht="14.4" hidden="1">
      <c r="A4055" t="s">
        <v>246</v>
      </c>
      <c r="B4055" s="1">
        <v>117</v>
      </c>
      <c r="C4055" s="258" t="s">
        <v>8549</v>
      </c>
      <c r="D4055" t="s">
        <v>1255</v>
      </c>
      <c r="F4055"/>
      <c r="H4055" s="1">
        <v>-0.01</v>
      </c>
      <c r="I4055"/>
      <c r="J4055" t="s">
        <v>8478</v>
      </c>
      <c r="K4055" s="170">
        <v>45900</v>
      </c>
      <c r="L4055" s="1">
        <v>0</v>
      </c>
      <c r="M4055" s="1">
        <v>45900</v>
      </c>
    </row>
    <row r="4056" spans="1:14" ht="14.4" hidden="1">
      <c r="A4056" t="s">
        <v>246</v>
      </c>
      <c r="B4056" s="1">
        <v>118</v>
      </c>
      <c r="C4056" s="258" t="s">
        <v>8550</v>
      </c>
      <c r="D4056" t="s">
        <v>1255</v>
      </c>
      <c r="E4056" t="s">
        <v>1178</v>
      </c>
      <c r="F4056"/>
      <c r="G4056">
        <v>0.25</v>
      </c>
      <c r="H4056" s="1">
        <v>7285.8074999999999</v>
      </c>
      <c r="I4056"/>
      <c r="J4056" t="s">
        <v>8480</v>
      </c>
      <c r="K4056" s="170">
        <v>45838</v>
      </c>
      <c r="L4056" s="1">
        <v>5019.8961705995862</v>
      </c>
      <c r="M4056" s="1">
        <v>45841</v>
      </c>
    </row>
    <row r="4057" spans="1:14" ht="14.4" hidden="1">
      <c r="A4057" t="s">
        <v>246</v>
      </c>
      <c r="B4057" s="1">
        <v>119</v>
      </c>
      <c r="C4057" s="258" t="s">
        <v>8551</v>
      </c>
      <c r="D4057" t="s">
        <v>1255</v>
      </c>
      <c r="E4057" t="s">
        <v>1181</v>
      </c>
      <c r="F4057"/>
      <c r="G4057">
        <v>0.1</v>
      </c>
      <c r="H4057" s="1">
        <v>2914.3230000000003</v>
      </c>
      <c r="I4057"/>
      <c r="J4057" t="s">
        <v>8482</v>
      </c>
      <c r="K4057" s="170">
        <v>45838</v>
      </c>
      <c r="L4057" s="1">
        <v>2007.9584682398347</v>
      </c>
      <c r="M4057" s="1">
        <v>46077</v>
      </c>
    </row>
    <row r="4058" spans="1:14" ht="14.4" hidden="1">
      <c r="A4058" t="s">
        <v>246</v>
      </c>
      <c r="B4058" s="1">
        <v>120</v>
      </c>
      <c r="C4058" s="258" t="s">
        <v>8552</v>
      </c>
      <c r="D4058" t="s">
        <v>1255</v>
      </c>
      <c r="E4058" t="s">
        <v>1184</v>
      </c>
      <c r="F4058"/>
      <c r="G4058">
        <v>0.1</v>
      </c>
      <c r="H4058" s="1">
        <v>2914.3230000000003</v>
      </c>
      <c r="I4058"/>
      <c r="J4058" t="s">
        <v>8484</v>
      </c>
      <c r="K4058" s="170">
        <v>45838</v>
      </c>
      <c r="L4058" s="1">
        <v>2007.9584682398347</v>
      </c>
      <c r="M4058" s="1">
        <v>46087</v>
      </c>
    </row>
    <row r="4059" spans="1:14" ht="14.4" hidden="1">
      <c r="A4059" t="s">
        <v>246</v>
      </c>
      <c r="B4059" s="1">
        <v>121</v>
      </c>
      <c r="C4059" s="258" t="s">
        <v>8553</v>
      </c>
      <c r="D4059" t="s">
        <v>1255</v>
      </c>
      <c r="E4059" t="s">
        <v>1187</v>
      </c>
      <c r="F4059"/>
      <c r="G4059">
        <v>0.05</v>
      </c>
      <c r="H4059" s="1">
        <v>1457.1615000000002</v>
      </c>
      <c r="I4059"/>
      <c r="J4059" t="s">
        <v>8486</v>
      </c>
      <c r="K4059" s="170">
        <v>45838</v>
      </c>
      <c r="L4059" s="1">
        <v>1003.9792341199176</v>
      </c>
      <c r="M4059" s="1">
        <v>46087</v>
      </c>
    </row>
    <row r="4060" spans="1:14" ht="14.4" hidden="1">
      <c r="A4060" t="s">
        <v>246</v>
      </c>
      <c r="B4060" s="1">
        <v>122</v>
      </c>
      <c r="C4060" s="258" t="s">
        <v>8554</v>
      </c>
      <c r="D4060" t="s">
        <v>1255</v>
      </c>
      <c r="E4060" t="s">
        <v>1190</v>
      </c>
      <c r="F4060"/>
      <c r="G4060">
        <v>0.05</v>
      </c>
      <c r="H4060" s="1">
        <v>1457.1615000000002</v>
      </c>
      <c r="I4060"/>
      <c r="J4060" t="s">
        <v>8488</v>
      </c>
      <c r="K4060" s="170">
        <v>45838</v>
      </c>
      <c r="L4060" s="1">
        <v>1003.9792341199176</v>
      </c>
      <c r="M4060" s="1">
        <v>46110</v>
      </c>
    </row>
    <row r="4061" spans="1:14" ht="14.4" hidden="1">
      <c r="A4061" t="s">
        <v>246</v>
      </c>
      <c r="B4061" s="1">
        <v>127</v>
      </c>
      <c r="C4061" s="258" t="s">
        <v>8555</v>
      </c>
      <c r="D4061" t="s">
        <v>1264</v>
      </c>
      <c r="E4061" t="s">
        <v>1265</v>
      </c>
      <c r="F4061"/>
      <c r="H4061" s="1">
        <v>8458.18</v>
      </c>
      <c r="I4061"/>
      <c r="J4061" t="s">
        <v>3345</v>
      </c>
      <c r="K4061" s="170">
        <v>45869</v>
      </c>
      <c r="L4061" s="1">
        <v>13975.052805188438</v>
      </c>
      <c r="M4061" s="1">
        <v>46084</v>
      </c>
      <c r="N4061" s="1">
        <v>22670.42</v>
      </c>
    </row>
    <row r="4062" spans="1:14" ht="14.4" hidden="1">
      <c r="A4062" t="s">
        <v>246</v>
      </c>
      <c r="B4062" s="1">
        <v>128</v>
      </c>
      <c r="C4062" s="258" t="s">
        <v>8556</v>
      </c>
      <c r="D4062" t="s">
        <v>1264</v>
      </c>
      <c r="E4062" t="s">
        <v>1268</v>
      </c>
      <c r="F4062"/>
      <c r="H4062" s="1">
        <v>8212.24</v>
      </c>
      <c r="I4062" t="s">
        <v>2845</v>
      </c>
      <c r="J4062" t="s">
        <v>3197</v>
      </c>
      <c r="K4062" s="170">
        <v>45777</v>
      </c>
      <c r="L4062" s="1">
        <v>11112.947754041408</v>
      </c>
      <c r="M4062" s="1">
        <v>45757</v>
      </c>
    </row>
    <row r="4063" spans="1:14" ht="14.4" hidden="1">
      <c r="A4063" t="s">
        <v>246</v>
      </c>
      <c r="B4063" s="1">
        <v>129</v>
      </c>
      <c r="C4063" s="258" t="s">
        <v>8557</v>
      </c>
      <c r="D4063" t="s">
        <v>1264</v>
      </c>
      <c r="E4063" t="s">
        <v>808</v>
      </c>
      <c r="F4063"/>
      <c r="H4063" s="1">
        <v>6000</v>
      </c>
      <c r="I4063"/>
      <c r="J4063"/>
      <c r="K4063" s="170">
        <v>46081</v>
      </c>
      <c r="L4063" s="1">
        <v>9029.6466652554827</v>
      </c>
      <c r="M4063" s="1">
        <v>46111</v>
      </c>
    </row>
    <row r="4064" spans="1:14" ht="14.4" hidden="1">
      <c r="A4064" t="s">
        <v>246</v>
      </c>
      <c r="B4064" s="1">
        <v>136</v>
      </c>
      <c r="C4064" s="258" t="s">
        <v>8558</v>
      </c>
      <c r="D4064" t="s">
        <v>1277</v>
      </c>
      <c r="E4064" t="s">
        <v>1278</v>
      </c>
      <c r="F4064"/>
      <c r="H4064" s="1">
        <v>33706.8125</v>
      </c>
      <c r="I4064"/>
      <c r="J4064"/>
      <c r="K4064" s="170">
        <v>46081</v>
      </c>
      <c r="L4064" s="1">
        <v>106117.6596035079</v>
      </c>
      <c r="M4064" s="1">
        <v>46111</v>
      </c>
      <c r="N4064" s="1">
        <v>33706.8125</v>
      </c>
    </row>
    <row r="4065" spans="1:14" ht="14.4" hidden="1">
      <c r="A4065" t="s">
        <v>246</v>
      </c>
      <c r="B4065" s="1">
        <v>137</v>
      </c>
      <c r="C4065" s="258" t="s">
        <v>8559</v>
      </c>
      <c r="D4065" t="s">
        <v>1277</v>
      </c>
      <c r="E4065" t="s">
        <v>1903</v>
      </c>
      <c r="F4065"/>
      <c r="H4065" s="1">
        <v>0</v>
      </c>
      <c r="I4065"/>
      <c r="J4065"/>
      <c r="K4065" s="170">
        <v>45991</v>
      </c>
      <c r="L4065" s="1">
        <v>0</v>
      </c>
      <c r="M4065" s="1">
        <v>46111</v>
      </c>
    </row>
    <row r="4066" spans="1:14" ht="14.4" hidden="1">
      <c r="A4066" t="s">
        <v>246</v>
      </c>
      <c r="B4066" s="1">
        <v>138</v>
      </c>
      <c r="C4066" s="258" t="s">
        <v>8560</v>
      </c>
      <c r="D4066" t="s">
        <v>1277</v>
      </c>
      <c r="E4066" t="s">
        <v>1905</v>
      </c>
      <c r="F4066"/>
      <c r="H4066" s="1">
        <v>0</v>
      </c>
      <c r="I4066"/>
      <c r="J4066"/>
      <c r="K4066" s="170">
        <v>45991</v>
      </c>
      <c r="L4066" s="1">
        <v>0</v>
      </c>
      <c r="M4066" s="1">
        <v>46111</v>
      </c>
    </row>
    <row r="4067" spans="1:14" ht="14.4" hidden="1">
      <c r="A4067" t="s">
        <v>246</v>
      </c>
      <c r="B4067" s="1">
        <v>139</v>
      </c>
      <c r="C4067" s="258" t="s">
        <v>8561</v>
      </c>
      <c r="D4067" t="s">
        <v>1277</v>
      </c>
      <c r="E4067" t="s">
        <v>1907</v>
      </c>
      <c r="F4067"/>
      <c r="H4067" s="1">
        <v>0</v>
      </c>
      <c r="I4067"/>
      <c r="J4067"/>
      <c r="K4067" s="170">
        <v>45991</v>
      </c>
      <c r="L4067" s="1">
        <v>0</v>
      </c>
      <c r="M4067" s="1">
        <v>46111</v>
      </c>
    </row>
    <row r="4068" spans="1:14" ht="14.4" hidden="1">
      <c r="A4068" t="s">
        <v>246</v>
      </c>
      <c r="B4068" s="1">
        <v>140</v>
      </c>
      <c r="C4068" s="258" t="s">
        <v>8562</v>
      </c>
      <c r="D4068" t="s">
        <v>1277</v>
      </c>
      <c r="E4068" t="s">
        <v>1909</v>
      </c>
      <c r="F4068"/>
      <c r="H4068" s="1">
        <v>0</v>
      </c>
      <c r="I4068"/>
      <c r="J4068"/>
      <c r="K4068" s="170">
        <v>45991</v>
      </c>
      <c r="L4068" s="1">
        <v>0</v>
      </c>
      <c r="M4068" s="1">
        <v>46111</v>
      </c>
    </row>
    <row r="4069" spans="1:14" ht="14.4" hidden="1">
      <c r="A4069" t="s">
        <v>246</v>
      </c>
      <c r="B4069" s="1">
        <v>143</v>
      </c>
      <c r="C4069" s="258" t="s">
        <v>8563</v>
      </c>
      <c r="D4069" t="s">
        <v>1280</v>
      </c>
      <c r="E4069" t="s">
        <v>1281</v>
      </c>
      <c r="F4069"/>
      <c r="H4069" s="1">
        <v>2352.17</v>
      </c>
      <c r="I4069"/>
      <c r="J4069" t="s">
        <v>2854</v>
      </c>
      <c r="K4069" s="170">
        <v>45777</v>
      </c>
      <c r="L4069" s="1">
        <v>2052.8133171210261</v>
      </c>
      <c r="M4069" s="1">
        <v>45785</v>
      </c>
      <c r="N4069" s="1">
        <v>6714.3100000000013</v>
      </c>
    </row>
    <row r="4070" spans="1:14" ht="14.4" hidden="1">
      <c r="A4070" t="s">
        <v>246</v>
      </c>
      <c r="B4070" s="1">
        <v>144</v>
      </c>
      <c r="C4070" s="258" t="s">
        <v>8564</v>
      </c>
      <c r="D4070" t="s">
        <v>1280</v>
      </c>
      <c r="E4070" t="s">
        <v>1281</v>
      </c>
      <c r="F4070"/>
      <c r="H4070" s="1">
        <v>0</v>
      </c>
      <c r="I4070"/>
      <c r="J4070" t="s">
        <v>1604</v>
      </c>
      <c r="K4070" s="170">
        <v>45808</v>
      </c>
      <c r="L4070" s="1">
        <v>0</v>
      </c>
      <c r="M4070" s="1">
        <v>45808</v>
      </c>
    </row>
    <row r="4071" spans="1:14" ht="14.4" hidden="1">
      <c r="A4071" t="s">
        <v>246</v>
      </c>
      <c r="B4071" s="1">
        <v>145</v>
      </c>
      <c r="C4071" s="258" t="s">
        <v>8565</v>
      </c>
      <c r="D4071" t="s">
        <v>1280</v>
      </c>
      <c r="E4071" t="s">
        <v>1281</v>
      </c>
      <c r="F4071"/>
      <c r="H4071" s="1">
        <v>2345.52</v>
      </c>
      <c r="I4071"/>
      <c r="J4071" t="s">
        <v>1604</v>
      </c>
      <c r="K4071" s="170">
        <v>45838</v>
      </c>
      <c r="L4071" s="1">
        <v>1348.7569812424897</v>
      </c>
      <c r="M4071" s="1">
        <v>45842</v>
      </c>
    </row>
    <row r="4072" spans="1:14" ht="14.4" hidden="1">
      <c r="A4072" t="s">
        <v>246</v>
      </c>
      <c r="B4072" s="1">
        <v>146</v>
      </c>
      <c r="C4072" s="258" t="s">
        <v>8566</v>
      </c>
      <c r="D4072" t="s">
        <v>1280</v>
      </c>
      <c r="E4072" t="s">
        <v>1281</v>
      </c>
      <c r="F4072"/>
      <c r="H4072" s="1">
        <v>685.44</v>
      </c>
      <c r="I4072"/>
      <c r="J4072" t="s">
        <v>1604</v>
      </c>
      <c r="K4072" s="170">
        <v>45869</v>
      </c>
      <c r="L4072" s="1">
        <v>716.57191023217149</v>
      </c>
      <c r="M4072" s="1">
        <v>45876</v>
      </c>
    </row>
    <row r="4073" spans="1:14" ht="14.4" hidden="1">
      <c r="A4073" t="s">
        <v>246</v>
      </c>
      <c r="B4073" s="1">
        <v>147</v>
      </c>
      <c r="C4073" s="258" t="s">
        <v>8567</v>
      </c>
      <c r="D4073" t="s">
        <v>1280</v>
      </c>
      <c r="E4073" t="s">
        <v>1281</v>
      </c>
      <c r="F4073"/>
      <c r="H4073" s="1">
        <v>0</v>
      </c>
      <c r="I4073"/>
      <c r="J4073" t="s">
        <v>1604</v>
      </c>
      <c r="K4073" s="170">
        <v>45900</v>
      </c>
      <c r="L4073" s="1">
        <v>0</v>
      </c>
      <c r="M4073" s="1">
        <v>45900</v>
      </c>
    </row>
    <row r="4074" spans="1:14" ht="14.4" hidden="1">
      <c r="A4074" t="s">
        <v>246</v>
      </c>
      <c r="B4074" s="1">
        <v>148</v>
      </c>
      <c r="C4074" s="258" t="s">
        <v>8568</v>
      </c>
      <c r="D4074" t="s">
        <v>1280</v>
      </c>
      <c r="E4074" t="s">
        <v>1281</v>
      </c>
      <c r="F4074"/>
      <c r="H4074" s="1">
        <v>0</v>
      </c>
      <c r="I4074"/>
      <c r="J4074" t="s">
        <v>1604</v>
      </c>
      <c r="K4074" s="170">
        <v>45930</v>
      </c>
      <c r="L4074" s="1">
        <v>0</v>
      </c>
      <c r="M4074" s="1">
        <v>45930</v>
      </c>
    </row>
    <row r="4075" spans="1:14" ht="14.4" hidden="1">
      <c r="A4075" t="s">
        <v>246</v>
      </c>
      <c r="B4075" s="1">
        <v>149</v>
      </c>
      <c r="C4075" s="258" t="s">
        <v>8569</v>
      </c>
      <c r="D4075" t="s">
        <v>1280</v>
      </c>
      <c r="E4075" t="s">
        <v>1281</v>
      </c>
      <c r="F4075"/>
      <c r="H4075" s="1">
        <v>631.17999999999995</v>
      </c>
      <c r="I4075"/>
      <c r="J4075" t="s">
        <v>1604</v>
      </c>
      <c r="K4075" s="170">
        <v>45961</v>
      </c>
      <c r="L4075" s="1">
        <v>647.88276598663288</v>
      </c>
      <c r="M4075" s="1">
        <v>45967</v>
      </c>
    </row>
    <row r="4076" spans="1:14" ht="14.4" hidden="1">
      <c r="A4076" t="s">
        <v>246</v>
      </c>
      <c r="B4076" s="1">
        <v>150</v>
      </c>
      <c r="C4076" s="258" t="s">
        <v>8570</v>
      </c>
      <c r="D4076" t="s">
        <v>1280</v>
      </c>
      <c r="E4076" t="s">
        <v>1281</v>
      </c>
      <c r="F4076"/>
      <c r="H4076" s="1">
        <v>0</v>
      </c>
      <c r="I4076"/>
      <c r="J4076" t="s">
        <v>1604</v>
      </c>
      <c r="K4076" s="170">
        <v>45991</v>
      </c>
      <c r="L4076" s="1">
        <v>0</v>
      </c>
      <c r="M4076" s="1">
        <v>45991</v>
      </c>
    </row>
    <row r="4077" spans="1:14" ht="14.4" hidden="1">
      <c r="A4077" t="s">
        <v>246</v>
      </c>
      <c r="B4077" s="1">
        <v>151</v>
      </c>
      <c r="C4077" s="258" t="s">
        <v>8571</v>
      </c>
      <c r="D4077" t="s">
        <v>1280</v>
      </c>
      <c r="E4077" t="s">
        <v>1281</v>
      </c>
      <c r="F4077"/>
      <c r="H4077" s="1">
        <v>0</v>
      </c>
      <c r="I4077"/>
      <c r="J4077" t="s">
        <v>1604</v>
      </c>
      <c r="K4077" s="170">
        <v>46022</v>
      </c>
      <c r="L4077" s="1">
        <v>0</v>
      </c>
      <c r="M4077" s="1">
        <v>46021</v>
      </c>
    </row>
    <row r="4078" spans="1:14" ht="14.4" hidden="1">
      <c r="A4078" t="s">
        <v>246</v>
      </c>
      <c r="B4078" s="1">
        <v>152</v>
      </c>
      <c r="C4078" s="258" t="s">
        <v>8572</v>
      </c>
      <c r="D4078" t="s">
        <v>1280</v>
      </c>
      <c r="E4078" t="s">
        <v>1281</v>
      </c>
      <c r="F4078"/>
      <c r="H4078" s="1">
        <v>0</v>
      </c>
      <c r="I4078"/>
      <c r="J4078" t="s">
        <v>1604</v>
      </c>
      <c r="K4078" s="170">
        <v>46053</v>
      </c>
      <c r="L4078" s="1">
        <v>0</v>
      </c>
      <c r="M4078" s="1">
        <v>46079</v>
      </c>
    </row>
    <row r="4079" spans="1:14" ht="14.4" hidden="1">
      <c r="A4079" t="s">
        <v>246</v>
      </c>
      <c r="B4079" s="1">
        <v>153</v>
      </c>
      <c r="C4079" s="258" t="s">
        <v>8573</v>
      </c>
      <c r="D4079" t="s">
        <v>1280</v>
      </c>
      <c r="F4079"/>
      <c r="H4079" s="1">
        <v>700</v>
      </c>
      <c r="I4079"/>
      <c r="J4079"/>
      <c r="K4079" s="170">
        <v>46081</v>
      </c>
      <c r="L4079" s="1">
        <v>1410.4475832907185</v>
      </c>
      <c r="M4079" s="1">
        <v>46088</v>
      </c>
    </row>
    <row r="4080" spans="1:14" ht="14.4" hidden="1">
      <c r="A4080" t="s">
        <v>246</v>
      </c>
      <c r="B4080" s="1">
        <v>156</v>
      </c>
      <c r="C4080" s="258" t="s">
        <v>8574</v>
      </c>
      <c r="D4080" t="s">
        <v>1451</v>
      </c>
      <c r="E4080" t="s">
        <v>2865</v>
      </c>
      <c r="F4080"/>
      <c r="H4080" s="1">
        <v>202000</v>
      </c>
      <c r="I4080"/>
      <c r="J4080" t="s">
        <v>8575</v>
      </c>
      <c r="K4080" s="170">
        <v>45838</v>
      </c>
      <c r="L4080" s="1">
        <v>141258.74125874127</v>
      </c>
      <c r="M4080" s="1">
        <v>45827</v>
      </c>
      <c r="N4080" s="1">
        <v>464768.74</v>
      </c>
    </row>
    <row r="4081" spans="1:14" ht="14.4" hidden="1">
      <c r="A4081" t="s">
        <v>246</v>
      </c>
      <c r="B4081" s="1">
        <v>157</v>
      </c>
      <c r="C4081" s="258" t="s">
        <v>8576</v>
      </c>
      <c r="D4081" t="s">
        <v>1451</v>
      </c>
      <c r="E4081" t="s">
        <v>2868</v>
      </c>
      <c r="F4081"/>
      <c r="H4081" s="1">
        <v>202000</v>
      </c>
      <c r="I4081"/>
      <c r="J4081" t="s">
        <v>8575</v>
      </c>
      <c r="K4081" s="170">
        <v>45838</v>
      </c>
      <c r="L4081" s="1">
        <v>141258.74125874127</v>
      </c>
      <c r="M4081" s="1">
        <v>46077</v>
      </c>
    </row>
    <row r="4082" spans="1:14" ht="14.4" hidden="1">
      <c r="A4082" t="s">
        <v>246</v>
      </c>
      <c r="B4082" s="1">
        <v>159</v>
      </c>
      <c r="C4082" s="258" t="s">
        <v>8577</v>
      </c>
      <c r="D4082" t="s">
        <v>1451</v>
      </c>
      <c r="E4082" t="s">
        <v>3226</v>
      </c>
      <c r="F4082"/>
      <c r="H4082" s="1">
        <v>0</v>
      </c>
      <c r="I4082"/>
      <c r="J4082"/>
      <c r="K4082" s="170">
        <v>45930</v>
      </c>
      <c r="L4082" s="1">
        <v>17482.51748251748</v>
      </c>
      <c r="M4082" s="1">
        <v>45930</v>
      </c>
    </row>
    <row r="4083" spans="1:14" ht="14.4" hidden="1">
      <c r="A4083" t="s">
        <v>246</v>
      </c>
      <c r="B4083" s="1">
        <v>161</v>
      </c>
      <c r="C4083" s="258" t="s">
        <v>8578</v>
      </c>
      <c r="D4083" t="s">
        <v>1451</v>
      </c>
      <c r="E4083" t="s">
        <v>8579</v>
      </c>
      <c r="F4083">
        <v>0.5</v>
      </c>
      <c r="G4083">
        <v>60768.74</v>
      </c>
      <c r="H4083" s="1">
        <v>30384.37</v>
      </c>
      <c r="I4083" t="s">
        <v>8580</v>
      </c>
      <c r="J4083" t="s">
        <v>8581</v>
      </c>
      <c r="K4083" s="170">
        <v>46081</v>
      </c>
      <c r="M4083" s="1">
        <v>46067</v>
      </c>
    </row>
    <row r="4084" spans="1:14" ht="14.4" hidden="1">
      <c r="A4084" t="s">
        <v>246</v>
      </c>
      <c r="B4084" s="1">
        <v>162</v>
      </c>
      <c r="C4084" s="258" t="s">
        <v>8582</v>
      </c>
      <c r="D4084" t="s">
        <v>1451</v>
      </c>
      <c r="F4084"/>
      <c r="H4084" s="1">
        <v>30384.37</v>
      </c>
      <c r="I4084"/>
      <c r="J4084" t="s">
        <v>8583</v>
      </c>
      <c r="K4084" s="170">
        <v>46081</v>
      </c>
      <c r="M4084" s="1">
        <v>46074</v>
      </c>
    </row>
    <row r="4085" spans="1:14" ht="14.4" hidden="1">
      <c r="A4085" t="s">
        <v>248</v>
      </c>
      <c r="B4085" s="1">
        <v>6</v>
      </c>
      <c r="C4085" s="258" t="s">
        <v>8584</v>
      </c>
      <c r="D4085" t="s">
        <v>1146</v>
      </c>
      <c r="E4085" t="s">
        <v>3585</v>
      </c>
      <c r="F4085">
        <v>1352</v>
      </c>
      <c r="G4085">
        <v>1233.8</v>
      </c>
      <c r="H4085" s="1">
        <v>1668097.6</v>
      </c>
      <c r="I4085" t="s">
        <v>8585</v>
      </c>
      <c r="J4085" t="s">
        <v>8586</v>
      </c>
      <c r="K4085" s="170">
        <v>45777</v>
      </c>
      <c r="L4085" s="1">
        <v>1978406.2608695652</v>
      </c>
      <c r="M4085" s="1">
        <v>45834</v>
      </c>
      <c r="N4085" s="1">
        <v>1672198.9999999998</v>
      </c>
    </row>
    <row r="4086" spans="1:14" ht="14.4" hidden="1">
      <c r="A4086" t="s">
        <v>248</v>
      </c>
      <c r="B4086" s="1">
        <v>8</v>
      </c>
      <c r="C4086" s="258" t="s">
        <v>8587</v>
      </c>
      <c r="D4086" t="s">
        <v>1146</v>
      </c>
      <c r="F4086"/>
      <c r="H4086" s="1">
        <v>4101.3999999999996</v>
      </c>
      <c r="I4086"/>
      <c r="J4086" t="s">
        <v>8588</v>
      </c>
      <c r="K4086" s="170">
        <v>45930</v>
      </c>
      <c r="L4086" s="1">
        <v>0</v>
      </c>
      <c r="M4086" s="1">
        <v>45980</v>
      </c>
    </row>
    <row r="4087" spans="1:14" ht="14.4" hidden="1">
      <c r="A4087" t="s">
        <v>248</v>
      </c>
      <c r="B4087" s="1">
        <v>13</v>
      </c>
      <c r="C4087" s="258" t="s">
        <v>8589</v>
      </c>
      <c r="D4087" t="s">
        <v>1157</v>
      </c>
      <c r="E4087" t="s">
        <v>2937</v>
      </c>
      <c r="F4087">
        <v>7</v>
      </c>
      <c r="G4087">
        <v>68870.350000000006</v>
      </c>
      <c r="H4087" s="1">
        <v>482092.45000000007</v>
      </c>
      <c r="I4087" t="s">
        <v>8590</v>
      </c>
      <c r="J4087" t="s">
        <v>8591</v>
      </c>
      <c r="K4087" s="170">
        <v>45808</v>
      </c>
      <c r="L4087" s="1">
        <v>532608.69565217395</v>
      </c>
      <c r="M4087" s="1">
        <v>45866</v>
      </c>
      <c r="N4087" s="1">
        <v>482092.45000000007</v>
      </c>
    </row>
    <row r="4088" spans="1:14" ht="14.4" hidden="1">
      <c r="A4088" t="s">
        <v>248</v>
      </c>
      <c r="B4088" s="1">
        <v>21</v>
      </c>
      <c r="C4088" s="258" t="s">
        <v>8592</v>
      </c>
      <c r="D4088" t="s">
        <v>1160</v>
      </c>
      <c r="E4088" t="s">
        <v>1161</v>
      </c>
      <c r="F4088"/>
      <c r="H4088" s="1">
        <v>160486.6</v>
      </c>
      <c r="I4088" t="s">
        <v>8593</v>
      </c>
      <c r="J4088" t="s">
        <v>8594</v>
      </c>
      <c r="K4088" s="170">
        <v>45808</v>
      </c>
      <c r="L4088" s="1">
        <v>369382.84224959463</v>
      </c>
      <c r="M4088" s="1">
        <v>45835</v>
      </c>
      <c r="N4088" s="1">
        <v>171482</v>
      </c>
    </row>
    <row r="4089" spans="1:14" ht="14.4" hidden="1">
      <c r="A4089" t="s">
        <v>248</v>
      </c>
      <c r="B4089" s="1">
        <v>22</v>
      </c>
      <c r="C4089" s="258" t="s">
        <v>8595</v>
      </c>
      <c r="D4089" t="s">
        <v>1160</v>
      </c>
      <c r="E4089" t="s">
        <v>8596</v>
      </c>
      <c r="F4089">
        <v>400</v>
      </c>
      <c r="G4089">
        <v>24.88</v>
      </c>
      <c r="H4089" s="1">
        <v>9952</v>
      </c>
      <c r="I4089"/>
      <c r="J4089" t="s">
        <v>3250</v>
      </c>
      <c r="K4089" s="170">
        <v>45808</v>
      </c>
      <c r="L4089" s="1">
        <v>22905.950067282665</v>
      </c>
      <c r="M4089" s="1">
        <v>45808</v>
      </c>
    </row>
    <row r="4090" spans="1:14" ht="14.4" hidden="1">
      <c r="A4090" t="s">
        <v>248</v>
      </c>
      <c r="B4090" s="1">
        <v>24</v>
      </c>
      <c r="C4090" s="258" t="s">
        <v>8597</v>
      </c>
      <c r="D4090" t="s">
        <v>1160</v>
      </c>
      <c r="E4090" t="s">
        <v>1152</v>
      </c>
      <c r="F4090"/>
      <c r="H4090" s="1">
        <v>1043.4000000000001</v>
      </c>
      <c r="I4090"/>
      <c r="J4090" t="s">
        <v>8598</v>
      </c>
      <c r="K4090" s="170">
        <v>45808</v>
      </c>
      <c r="L4090" s="1">
        <v>2401.5341941522038</v>
      </c>
      <c r="M4090" s="1">
        <v>45835</v>
      </c>
    </row>
    <row r="4091" spans="1:14" ht="14.4" hidden="1">
      <c r="A4091" t="s">
        <v>248</v>
      </c>
      <c r="B4091" s="1">
        <v>28</v>
      </c>
      <c r="C4091" s="258" t="s">
        <v>8599</v>
      </c>
      <c r="D4091" t="s">
        <v>1165</v>
      </c>
      <c r="E4091" t="s">
        <v>2943</v>
      </c>
      <c r="F4091">
        <v>22000</v>
      </c>
      <c r="G4091">
        <v>13.4</v>
      </c>
      <c r="H4091" s="1">
        <v>294800</v>
      </c>
      <c r="I4091" t="s">
        <v>8590</v>
      </c>
      <c r="J4091" t="s">
        <v>8591</v>
      </c>
      <c r="K4091" s="170">
        <v>45808</v>
      </c>
      <c r="L4091" s="1">
        <v>304011.10414743284</v>
      </c>
      <c r="M4091" s="1">
        <v>45867</v>
      </c>
      <c r="N4091" s="1">
        <v>708174.85002179013</v>
      </c>
    </row>
    <row r="4092" spans="1:14" ht="14.4" hidden="1">
      <c r="A4092" t="s">
        <v>248</v>
      </c>
      <c r="B4092" s="1">
        <v>32</v>
      </c>
      <c r="C4092" s="258" t="s">
        <v>8600</v>
      </c>
      <c r="D4092" t="s">
        <v>1165</v>
      </c>
      <c r="E4092" t="s">
        <v>1169</v>
      </c>
      <c r="F4092">
        <v>413374.84573918878</v>
      </c>
      <c r="G4092">
        <v>0.1</v>
      </c>
      <c r="H4092" s="1">
        <v>41337.484573918882</v>
      </c>
      <c r="I4092" t="s">
        <v>8601</v>
      </c>
      <c r="J4092" t="s">
        <v>8602</v>
      </c>
      <c r="K4092" s="170">
        <v>45808</v>
      </c>
      <c r="L4092" s="1">
        <v>42629.085237430641</v>
      </c>
      <c r="M4092" s="1">
        <v>45792</v>
      </c>
    </row>
    <row r="4093" spans="1:14" ht="14.4" hidden="1">
      <c r="A4093" t="s">
        <v>248</v>
      </c>
      <c r="B4093" s="1">
        <v>33</v>
      </c>
      <c r="C4093" s="258" t="s">
        <v>8603</v>
      </c>
      <c r="D4093" t="s">
        <v>1165</v>
      </c>
      <c r="E4093" t="s">
        <v>558</v>
      </c>
      <c r="F4093"/>
      <c r="G4093">
        <v>0.15</v>
      </c>
      <c r="H4093" s="1">
        <v>62006.226860878312</v>
      </c>
      <c r="I4093"/>
      <c r="J4093" t="s">
        <v>8602</v>
      </c>
      <c r="K4093" s="170">
        <v>45808</v>
      </c>
      <c r="L4093" s="1">
        <v>63943.62785614594</v>
      </c>
      <c r="M4093" s="1">
        <v>45806</v>
      </c>
    </row>
    <row r="4094" spans="1:14" ht="14.4" hidden="1">
      <c r="A4094" t="s">
        <v>248</v>
      </c>
      <c r="B4094" s="1">
        <v>34</v>
      </c>
      <c r="C4094" s="258" t="s">
        <v>8604</v>
      </c>
      <c r="D4094" t="s">
        <v>1165</v>
      </c>
      <c r="E4094" t="s">
        <v>1175</v>
      </c>
      <c r="F4094"/>
      <c r="G4094">
        <v>0.2</v>
      </c>
      <c r="H4094" s="1">
        <v>82674.969147837764</v>
      </c>
      <c r="I4094"/>
      <c r="J4094" t="s">
        <v>8605</v>
      </c>
      <c r="K4094" s="170">
        <v>45869</v>
      </c>
      <c r="L4094" s="1">
        <v>85258.16995927284</v>
      </c>
      <c r="M4094" s="1">
        <v>45899</v>
      </c>
    </row>
    <row r="4095" spans="1:14" ht="14.4" hidden="1">
      <c r="A4095" t="s">
        <v>248</v>
      </c>
      <c r="B4095" s="1">
        <v>35</v>
      </c>
      <c r="C4095" s="258" t="s">
        <v>8606</v>
      </c>
      <c r="D4095" t="s">
        <v>1165</v>
      </c>
      <c r="E4095" t="s">
        <v>1178</v>
      </c>
      <c r="F4095"/>
      <c r="G4095">
        <v>0.125</v>
      </c>
      <c r="H4095" s="1">
        <v>51671.86</v>
      </c>
      <c r="I4095"/>
      <c r="J4095" t="s">
        <v>8607</v>
      </c>
      <c r="K4095" s="170">
        <v>45869</v>
      </c>
      <c r="L4095" s="1">
        <v>53286.360640957901</v>
      </c>
      <c r="M4095" s="1">
        <v>45849</v>
      </c>
    </row>
    <row r="4096" spans="1:14" ht="14.4" hidden="1">
      <c r="A4096" t="s">
        <v>248</v>
      </c>
      <c r="B4096" s="1">
        <v>36</v>
      </c>
      <c r="C4096" s="258" t="s">
        <v>8608</v>
      </c>
      <c r="D4096" t="s">
        <v>1165</v>
      </c>
      <c r="E4096" t="s">
        <v>1178</v>
      </c>
      <c r="F4096"/>
      <c r="G4096">
        <v>0.125</v>
      </c>
      <c r="H4096" s="1">
        <v>51671.855717398597</v>
      </c>
      <c r="I4096"/>
      <c r="J4096" t="s">
        <v>8609</v>
      </c>
      <c r="K4096" s="170">
        <v>45900</v>
      </c>
      <c r="L4096" s="1">
        <v>53286.356224545518</v>
      </c>
      <c r="M4096" s="1">
        <v>45932</v>
      </c>
    </row>
    <row r="4097" spans="1:14" ht="14.4" hidden="1">
      <c r="A4097" t="s">
        <v>248</v>
      </c>
      <c r="B4097" s="1">
        <v>37</v>
      </c>
      <c r="C4097" s="258" t="s">
        <v>8610</v>
      </c>
      <c r="D4097" t="s">
        <v>1165</v>
      </c>
      <c r="E4097" t="s">
        <v>1181</v>
      </c>
      <c r="F4097"/>
      <c r="G4097">
        <v>0.1</v>
      </c>
      <c r="H4097" s="1">
        <v>41337.484573918882</v>
      </c>
      <c r="I4097"/>
      <c r="J4097" t="s">
        <v>8611</v>
      </c>
      <c r="K4097" s="170">
        <v>45900</v>
      </c>
      <c r="L4097" s="1">
        <v>42629.08497963642</v>
      </c>
      <c r="M4097" s="1">
        <v>45946</v>
      </c>
    </row>
    <row r="4098" spans="1:14" ht="14.4" hidden="1">
      <c r="A4098" t="s">
        <v>248</v>
      </c>
      <c r="B4098" s="1">
        <v>38</v>
      </c>
      <c r="C4098" s="258" t="s">
        <v>8612</v>
      </c>
      <c r="D4098" t="s">
        <v>1165</v>
      </c>
      <c r="E4098" t="s">
        <v>1184</v>
      </c>
      <c r="F4098"/>
      <c r="G4098">
        <v>0.1</v>
      </c>
      <c r="H4098" s="1">
        <v>41337.484573918882</v>
      </c>
      <c r="I4098"/>
      <c r="J4098" t="s">
        <v>8613</v>
      </c>
      <c r="K4098" s="170">
        <v>45900</v>
      </c>
      <c r="L4098" s="1">
        <v>42629.08497963642</v>
      </c>
      <c r="M4098" s="1">
        <v>46003</v>
      </c>
    </row>
    <row r="4099" spans="1:14" ht="14.4" hidden="1">
      <c r="A4099" t="s">
        <v>248</v>
      </c>
      <c r="B4099" s="1">
        <v>39</v>
      </c>
      <c r="C4099" s="258" t="s">
        <v>8614</v>
      </c>
      <c r="D4099" t="s">
        <v>1165</v>
      </c>
      <c r="E4099" t="s">
        <v>1187</v>
      </c>
      <c r="F4099"/>
      <c r="G4099">
        <v>0.05</v>
      </c>
      <c r="H4099" s="1">
        <v>20668.742286959441</v>
      </c>
      <c r="I4099"/>
      <c r="J4099" t="s">
        <v>8615</v>
      </c>
      <c r="K4099" s="170">
        <v>45900</v>
      </c>
      <c r="L4099" s="1">
        <v>21314.54248981821</v>
      </c>
      <c r="M4099" s="1">
        <v>46037</v>
      </c>
    </row>
    <row r="4100" spans="1:14" ht="14.4" hidden="1">
      <c r="A4100" t="s">
        <v>248</v>
      </c>
      <c r="B4100" s="1">
        <v>40</v>
      </c>
      <c r="C4100" s="258" t="s">
        <v>8616</v>
      </c>
      <c r="D4100" t="s">
        <v>1165</v>
      </c>
      <c r="E4100" t="s">
        <v>1190</v>
      </c>
      <c r="F4100"/>
      <c r="G4100">
        <v>0.05</v>
      </c>
      <c r="H4100" s="1">
        <v>20668.742286959441</v>
      </c>
      <c r="I4100"/>
      <c r="J4100" t="s">
        <v>8617</v>
      </c>
      <c r="K4100" s="170">
        <v>45900</v>
      </c>
      <c r="L4100" s="1">
        <v>21314.54248981821</v>
      </c>
      <c r="M4100" s="1">
        <v>46065</v>
      </c>
    </row>
    <row r="4101" spans="1:14" ht="14.4" hidden="1">
      <c r="A4101" t="s">
        <v>248</v>
      </c>
      <c r="B4101" s="1">
        <v>45</v>
      </c>
      <c r="C4101" s="258" t="s">
        <v>8618</v>
      </c>
      <c r="D4101" t="s">
        <v>1193</v>
      </c>
      <c r="E4101" t="s">
        <v>2963</v>
      </c>
      <c r="F4101"/>
      <c r="H4101" s="1">
        <v>8598.35</v>
      </c>
      <c r="I4101"/>
      <c r="J4101" t="s">
        <v>8619</v>
      </c>
      <c r="K4101" s="170">
        <v>45808</v>
      </c>
      <c r="L4101" s="1">
        <v>4835.1492186843525</v>
      </c>
      <c r="M4101" s="1">
        <v>45855</v>
      </c>
      <c r="N4101" s="1">
        <v>99501.22</v>
      </c>
    </row>
    <row r="4102" spans="1:14" ht="14.4" hidden="1">
      <c r="A4102" t="s">
        <v>248</v>
      </c>
      <c r="B4102" s="1">
        <v>46</v>
      </c>
      <c r="C4102" s="258" t="s">
        <v>8620</v>
      </c>
      <c r="D4102" t="s">
        <v>1193</v>
      </c>
      <c r="E4102" t="s">
        <v>1196</v>
      </c>
      <c r="F4102"/>
      <c r="H4102" s="1">
        <v>14805</v>
      </c>
      <c r="I4102" t="s">
        <v>8621</v>
      </c>
      <c r="J4102" t="s">
        <v>8622</v>
      </c>
      <c r="K4102" s="170">
        <v>45777</v>
      </c>
      <c r="L4102" s="1">
        <v>19230.024970443686</v>
      </c>
      <c r="M4102" s="1">
        <v>45806</v>
      </c>
    </row>
    <row r="4103" spans="1:14" ht="14.4" hidden="1">
      <c r="A4103" t="s">
        <v>248</v>
      </c>
      <c r="B4103" s="1">
        <v>47</v>
      </c>
      <c r="C4103" s="258" t="s">
        <v>8623</v>
      </c>
      <c r="D4103" t="s">
        <v>1193</v>
      </c>
      <c r="E4103" t="s">
        <v>8624</v>
      </c>
      <c r="F4103"/>
      <c r="H4103" s="1">
        <v>214.28</v>
      </c>
      <c r="I4103"/>
      <c r="J4103" t="s">
        <v>3286</v>
      </c>
      <c r="K4103" s="170">
        <v>45838</v>
      </c>
      <c r="L4103" s="1">
        <v>115.44095934848644</v>
      </c>
      <c r="M4103" s="1">
        <v>45867</v>
      </c>
    </row>
    <row r="4104" spans="1:14" ht="14.4" hidden="1">
      <c r="A4104" t="s">
        <v>248</v>
      </c>
      <c r="B4104" s="1">
        <v>48</v>
      </c>
      <c r="C4104" s="258" t="s">
        <v>8625</v>
      </c>
      <c r="D4104" t="s">
        <v>1193</v>
      </c>
      <c r="E4104" t="s">
        <v>1200</v>
      </c>
      <c r="F4104"/>
      <c r="H4104" s="1">
        <v>14934</v>
      </c>
      <c r="I4104"/>
      <c r="J4104" t="s">
        <v>2969</v>
      </c>
      <c r="K4104" s="170">
        <v>45838</v>
      </c>
      <c r="L4104" s="1">
        <v>7108.4458862716847</v>
      </c>
      <c r="M4104" s="1">
        <v>45838</v>
      </c>
    </row>
    <row r="4105" spans="1:14" ht="14.4" hidden="1">
      <c r="A4105" t="s">
        <v>248</v>
      </c>
      <c r="B4105" s="1">
        <v>49</v>
      </c>
      <c r="C4105" s="258" t="s">
        <v>8626</v>
      </c>
      <c r="D4105" t="s">
        <v>1193</v>
      </c>
      <c r="E4105" t="s">
        <v>1496</v>
      </c>
      <c r="F4105"/>
      <c r="H4105" s="1">
        <v>334.29</v>
      </c>
      <c r="I4105"/>
      <c r="J4105" t="s">
        <v>8627</v>
      </c>
      <c r="K4105" s="170">
        <v>45900</v>
      </c>
      <c r="L4105" s="1">
        <v>0</v>
      </c>
      <c r="M4105" s="1">
        <v>45930</v>
      </c>
    </row>
    <row r="4106" spans="1:14" ht="14.4" hidden="1">
      <c r="A4106" t="s">
        <v>248</v>
      </c>
      <c r="B4106" s="1">
        <v>50</v>
      </c>
      <c r="C4106" s="258" t="s">
        <v>8628</v>
      </c>
      <c r="D4106" t="s">
        <v>1193</v>
      </c>
      <c r="E4106" t="s">
        <v>2768</v>
      </c>
      <c r="F4106"/>
      <c r="H4106" s="1">
        <v>2250.5</v>
      </c>
      <c r="I4106" t="s">
        <v>2971</v>
      </c>
      <c r="J4106" t="s">
        <v>8629</v>
      </c>
      <c r="K4106" s="170">
        <v>45808</v>
      </c>
      <c r="L4106" s="1">
        <v>1265.5338892519071</v>
      </c>
      <c r="M4106" s="1">
        <v>45799</v>
      </c>
    </row>
    <row r="4107" spans="1:14" ht="14.4" hidden="1">
      <c r="A4107" t="s">
        <v>248</v>
      </c>
      <c r="B4107" s="1">
        <v>51</v>
      </c>
      <c r="C4107" s="258" t="s">
        <v>8630</v>
      </c>
      <c r="D4107" t="s">
        <v>1193</v>
      </c>
      <c r="E4107" t="s">
        <v>1982</v>
      </c>
      <c r="F4107"/>
      <c r="H4107" s="1">
        <v>14060</v>
      </c>
      <c r="I4107" t="s">
        <v>8631</v>
      </c>
      <c r="J4107" t="s">
        <v>8632</v>
      </c>
      <c r="K4107" s="170">
        <v>45808</v>
      </c>
      <c r="L4107" s="1">
        <v>7906.423676019469</v>
      </c>
      <c r="M4107" s="1">
        <v>45835</v>
      </c>
    </row>
    <row r="4108" spans="1:14" ht="14.4" hidden="1">
      <c r="A4108" t="s">
        <v>248</v>
      </c>
      <c r="B4108" s="1">
        <v>52</v>
      </c>
      <c r="C4108" s="258" t="s">
        <v>8633</v>
      </c>
      <c r="D4108" t="s">
        <v>1193</v>
      </c>
      <c r="E4108" t="s">
        <v>8634</v>
      </c>
      <c r="F4108"/>
      <c r="H4108" s="1">
        <v>304.8</v>
      </c>
      <c r="I4108"/>
      <c r="J4108" t="s">
        <v>1204</v>
      </c>
      <c r="K4108" s="170">
        <v>45961</v>
      </c>
      <c r="L4108" s="1">
        <v>0</v>
      </c>
      <c r="M4108" s="1">
        <v>45991</v>
      </c>
    </row>
    <row r="4109" spans="1:14" ht="14.4" hidden="1">
      <c r="A4109" t="s">
        <v>248</v>
      </c>
      <c r="B4109" s="1">
        <v>53</v>
      </c>
      <c r="C4109" s="258" t="s">
        <v>8635</v>
      </c>
      <c r="D4109" t="s">
        <v>1193</v>
      </c>
      <c r="E4109" t="s">
        <v>8636</v>
      </c>
      <c r="F4109"/>
      <c r="H4109" s="1">
        <v>40000</v>
      </c>
      <c r="I4109" t="s">
        <v>8637</v>
      </c>
      <c r="J4109" t="s">
        <v>8638</v>
      </c>
      <c r="K4109" s="170">
        <v>45838</v>
      </c>
      <c r="L4109" s="1">
        <v>10644.893733150357</v>
      </c>
      <c r="M4109" s="1">
        <v>45867</v>
      </c>
    </row>
    <row r="4110" spans="1:14" ht="14.4" hidden="1">
      <c r="A4110" t="s">
        <v>248</v>
      </c>
      <c r="B4110" s="1">
        <v>54</v>
      </c>
      <c r="C4110" s="258" t="s">
        <v>8639</v>
      </c>
      <c r="D4110" t="s">
        <v>1193</v>
      </c>
      <c r="E4110" t="s">
        <v>3294</v>
      </c>
      <c r="F4110"/>
      <c r="H4110" s="1">
        <v>4000</v>
      </c>
      <c r="I4110" t="s">
        <v>8640</v>
      </c>
      <c r="J4110" t="s">
        <v>8641</v>
      </c>
      <c r="K4110" s="170">
        <v>45838</v>
      </c>
      <c r="L4110" s="1">
        <v>2154.9553733150351</v>
      </c>
      <c r="M4110" s="1">
        <v>45867</v>
      </c>
    </row>
    <row r="4111" spans="1:14" ht="14.4" hidden="1">
      <c r="A4111" t="s">
        <v>248</v>
      </c>
      <c r="B4111" s="1">
        <v>57</v>
      </c>
      <c r="C4111" s="258" t="s">
        <v>8642</v>
      </c>
      <c r="D4111" t="s">
        <v>1211</v>
      </c>
      <c r="E4111" t="s">
        <v>1212</v>
      </c>
      <c r="F4111"/>
      <c r="H4111" s="1">
        <v>223169.3</v>
      </c>
      <c r="I4111"/>
      <c r="J4111" t="s">
        <v>8643</v>
      </c>
      <c r="K4111" s="170">
        <v>45838</v>
      </c>
      <c r="L4111" s="1">
        <v>633760.18187817803</v>
      </c>
      <c r="M4111" s="1">
        <v>45867</v>
      </c>
    </row>
    <row r="4112" spans="1:14" ht="14.4" hidden="1">
      <c r="A4112" t="s">
        <v>248</v>
      </c>
      <c r="B4112" s="1">
        <v>58</v>
      </c>
      <c r="C4112" s="258" t="s">
        <v>8644</v>
      </c>
      <c r="D4112" t="s">
        <v>1211</v>
      </c>
      <c r="E4112" t="s">
        <v>8645</v>
      </c>
      <c r="F4112"/>
      <c r="H4112" s="1">
        <v>4825.5</v>
      </c>
      <c r="I4112" t="s">
        <v>8646</v>
      </c>
      <c r="J4112" t="s">
        <v>8647</v>
      </c>
      <c r="K4112" s="170">
        <v>46022</v>
      </c>
      <c r="M4112" s="1">
        <v>46003</v>
      </c>
    </row>
    <row r="4113" spans="1:14" ht="14.4" hidden="1">
      <c r="A4113" t="s">
        <v>248</v>
      </c>
      <c r="B4113" s="1">
        <v>59</v>
      </c>
      <c r="C4113" s="258" t="s">
        <v>8648</v>
      </c>
      <c r="D4113" t="s">
        <v>1211</v>
      </c>
      <c r="E4113" t="s">
        <v>8649</v>
      </c>
      <c r="F4113"/>
      <c r="H4113" s="1">
        <v>-4825.5</v>
      </c>
      <c r="I4113"/>
      <c r="J4113" t="s">
        <v>3143</v>
      </c>
      <c r="K4113" s="170">
        <v>46081</v>
      </c>
      <c r="M4113" s="1">
        <v>46081</v>
      </c>
    </row>
    <row r="4114" spans="1:14" ht="14.4" hidden="1">
      <c r="A4114" t="s">
        <v>248</v>
      </c>
      <c r="B4114" s="1">
        <v>61</v>
      </c>
      <c r="C4114" s="258" t="s">
        <v>8650</v>
      </c>
      <c r="D4114" t="s">
        <v>1211</v>
      </c>
      <c r="E4114" t="s">
        <v>1169</v>
      </c>
      <c r="F4114">
        <v>206394.5437884815</v>
      </c>
      <c r="G4114">
        <v>0.1</v>
      </c>
      <c r="H4114" s="1">
        <v>20639.45</v>
      </c>
      <c r="I4114" t="s">
        <v>8601</v>
      </c>
      <c r="J4114" t="s">
        <v>8602</v>
      </c>
      <c r="K4114" s="170">
        <v>45808</v>
      </c>
      <c r="L4114" s="1">
        <v>59564.758516957765</v>
      </c>
      <c r="M4114" s="1">
        <v>45792</v>
      </c>
    </row>
    <row r="4115" spans="1:14" ht="14.4" hidden="1">
      <c r="A4115" t="s">
        <v>248</v>
      </c>
      <c r="B4115" s="1">
        <v>62</v>
      </c>
      <c r="C4115" s="258" t="s">
        <v>8651</v>
      </c>
      <c r="D4115" t="s">
        <v>1211</v>
      </c>
      <c r="E4115" t="s">
        <v>558</v>
      </c>
      <c r="F4115"/>
      <c r="G4115">
        <v>0.15</v>
      </c>
      <c r="H4115" s="1">
        <v>30959.18</v>
      </c>
      <c r="I4115"/>
      <c r="J4115" t="s">
        <v>8602</v>
      </c>
      <c r="K4115" s="170">
        <v>45808</v>
      </c>
      <c r="L4115" s="1">
        <v>89347.152205268503</v>
      </c>
      <c r="M4115" s="1">
        <v>45806</v>
      </c>
    </row>
    <row r="4116" spans="1:14" ht="14.4" hidden="1">
      <c r="A4116" t="s">
        <v>248</v>
      </c>
      <c r="B4116" s="1">
        <v>63</v>
      </c>
      <c r="C4116" s="258" t="s">
        <v>8652</v>
      </c>
      <c r="D4116" t="s">
        <v>1211</v>
      </c>
      <c r="E4116" t="s">
        <v>1175</v>
      </c>
      <c r="F4116"/>
      <c r="G4116">
        <v>0.2</v>
      </c>
      <c r="H4116" s="1">
        <v>41278.908757696307</v>
      </c>
      <c r="I4116"/>
      <c r="J4116" t="s">
        <v>8605</v>
      </c>
      <c r="K4116" s="170">
        <v>45869</v>
      </c>
      <c r="L4116" s="1">
        <v>117582.31641236432</v>
      </c>
      <c r="M4116" s="1">
        <v>45899</v>
      </c>
    </row>
    <row r="4117" spans="1:14" ht="14.4" hidden="1">
      <c r="A4117" t="s">
        <v>248</v>
      </c>
      <c r="B4117" s="1">
        <v>64</v>
      </c>
      <c r="C4117" s="258" t="s">
        <v>8653</v>
      </c>
      <c r="D4117" t="s">
        <v>1211</v>
      </c>
      <c r="E4117" t="s">
        <v>1178</v>
      </c>
      <c r="F4117"/>
      <c r="G4117">
        <v>0.125</v>
      </c>
      <c r="H4117" s="1">
        <v>25799.32</v>
      </c>
      <c r="I4117"/>
      <c r="J4117" t="s">
        <v>8607</v>
      </c>
      <c r="K4117" s="170">
        <v>45869</v>
      </c>
      <c r="L4117" s="1">
        <v>73488.943530009346</v>
      </c>
      <c r="M4117" s="1">
        <v>45849</v>
      </c>
    </row>
    <row r="4118" spans="1:14" ht="14.4" hidden="1">
      <c r="A4118" t="s">
        <v>248</v>
      </c>
      <c r="B4118" s="1">
        <v>65</v>
      </c>
      <c r="C4118" s="258" t="s">
        <v>8654</v>
      </c>
      <c r="D4118" t="s">
        <v>1211</v>
      </c>
      <c r="E4118" t="s">
        <v>1178</v>
      </c>
      <c r="F4118"/>
      <c r="G4118">
        <v>0.125</v>
      </c>
      <c r="H4118" s="1">
        <v>25799.317973560188</v>
      </c>
      <c r="I4118"/>
      <c r="J4118" t="s">
        <v>8609</v>
      </c>
      <c r="K4118" s="170">
        <v>45900</v>
      </c>
      <c r="L4118" s="1">
        <v>73488.947757727699</v>
      </c>
      <c r="M4118" s="1">
        <v>45932</v>
      </c>
    </row>
    <row r="4119" spans="1:14" ht="14.4" hidden="1">
      <c r="A4119" t="s">
        <v>248</v>
      </c>
      <c r="B4119" s="1">
        <v>66</v>
      </c>
      <c r="C4119" s="258" t="s">
        <v>8655</v>
      </c>
      <c r="D4119" t="s">
        <v>1211</v>
      </c>
      <c r="E4119" t="s">
        <v>1181</v>
      </c>
      <c r="F4119"/>
      <c r="G4119">
        <v>0.1</v>
      </c>
      <c r="H4119" s="1">
        <v>20639.454378848153</v>
      </c>
      <c r="I4119"/>
      <c r="J4119" t="s">
        <v>8611</v>
      </c>
      <c r="K4119" s="170">
        <v>45900</v>
      </c>
      <c r="L4119" s="1">
        <v>58791.158206182161</v>
      </c>
      <c r="M4119" s="1">
        <v>45946</v>
      </c>
    </row>
    <row r="4120" spans="1:14" ht="14.4" hidden="1">
      <c r="A4120" t="s">
        <v>248</v>
      </c>
      <c r="B4120" s="1">
        <v>67</v>
      </c>
      <c r="C4120" s="258" t="s">
        <v>8656</v>
      </c>
      <c r="D4120" t="s">
        <v>1211</v>
      </c>
      <c r="E4120" t="s">
        <v>1184</v>
      </c>
      <c r="F4120"/>
      <c r="G4120">
        <v>0.1</v>
      </c>
      <c r="H4120" s="1">
        <v>20639.454378848153</v>
      </c>
      <c r="I4120"/>
      <c r="J4120" t="s">
        <v>8613</v>
      </c>
      <c r="K4120" s="170">
        <v>45900</v>
      </c>
      <c r="L4120" s="1">
        <v>58791.158206182161</v>
      </c>
      <c r="M4120" s="1">
        <v>46003</v>
      </c>
    </row>
    <row r="4121" spans="1:14" ht="14.4" hidden="1">
      <c r="A4121" t="s">
        <v>248</v>
      </c>
      <c r="B4121" s="1">
        <v>68</v>
      </c>
      <c r="C4121" s="258" t="s">
        <v>8657</v>
      </c>
      <c r="D4121" t="s">
        <v>1211</v>
      </c>
      <c r="E4121" t="s">
        <v>1187</v>
      </c>
      <c r="F4121"/>
      <c r="G4121">
        <v>0.05</v>
      </c>
      <c r="H4121" s="1">
        <v>10319.727189424077</v>
      </c>
      <c r="I4121"/>
      <c r="J4121" t="s">
        <v>8658</v>
      </c>
      <c r="K4121" s="170">
        <v>45900</v>
      </c>
      <c r="L4121" s="1">
        <v>29395.57910309108</v>
      </c>
      <c r="M4121" s="1">
        <v>46065</v>
      </c>
    </row>
    <row r="4122" spans="1:14" ht="14.4" hidden="1">
      <c r="A4122" t="s">
        <v>248</v>
      </c>
      <c r="B4122" s="1">
        <v>69</v>
      </c>
      <c r="C4122" s="258" t="s">
        <v>8659</v>
      </c>
      <c r="D4122" t="s">
        <v>1211</v>
      </c>
      <c r="E4122" t="s">
        <v>1190</v>
      </c>
      <c r="F4122"/>
      <c r="G4122">
        <v>0.05</v>
      </c>
      <c r="H4122" s="1">
        <v>10319.727189424077</v>
      </c>
      <c r="I4122"/>
      <c r="J4122" t="s">
        <v>8617</v>
      </c>
      <c r="K4122" s="170">
        <v>45900</v>
      </c>
      <c r="L4122" s="1">
        <v>29395.57910309108</v>
      </c>
      <c r="M4122" s="1">
        <v>46065</v>
      </c>
    </row>
    <row r="4123" spans="1:14" ht="14.4" hidden="1">
      <c r="A4123" t="s">
        <v>248</v>
      </c>
      <c r="B4123" s="1">
        <v>83</v>
      </c>
      <c r="C4123" s="258" t="s">
        <v>8660</v>
      </c>
      <c r="D4123" t="s">
        <v>1224</v>
      </c>
      <c r="E4123" t="s">
        <v>2811</v>
      </c>
      <c r="F4123"/>
      <c r="H4123" s="1">
        <v>4430</v>
      </c>
      <c r="I4123" t="s">
        <v>8661</v>
      </c>
      <c r="J4123" t="s">
        <v>8662</v>
      </c>
      <c r="K4123" s="170">
        <v>45961</v>
      </c>
      <c r="L4123" s="1">
        <v>0</v>
      </c>
      <c r="M4123" s="1">
        <v>45946</v>
      </c>
      <c r="N4123" s="1">
        <v>139900.5</v>
      </c>
    </row>
    <row r="4124" spans="1:14" ht="14.4" hidden="1">
      <c r="A4124" t="s">
        <v>248</v>
      </c>
      <c r="B4124" s="1">
        <v>85</v>
      </c>
      <c r="C4124" s="258" t="s">
        <v>8663</v>
      </c>
      <c r="D4124" t="s">
        <v>1224</v>
      </c>
      <c r="E4124" t="s">
        <v>8664</v>
      </c>
      <c r="F4124"/>
      <c r="H4124" s="1">
        <v>91969</v>
      </c>
      <c r="I4124" t="s">
        <v>8665</v>
      </c>
      <c r="J4124" t="s">
        <v>8666</v>
      </c>
      <c r="K4124" s="170">
        <v>45838</v>
      </c>
      <c r="L4124" s="1">
        <v>217391.30434782608</v>
      </c>
      <c r="M4124" s="1">
        <v>45869</v>
      </c>
    </row>
    <row r="4125" spans="1:14" ht="14.4" hidden="1">
      <c r="A4125" t="s">
        <v>248</v>
      </c>
      <c r="B4125" s="1">
        <v>86</v>
      </c>
      <c r="C4125" s="258" t="s">
        <v>8667</v>
      </c>
      <c r="D4125" t="s">
        <v>1224</v>
      </c>
      <c r="E4125" t="s">
        <v>8668</v>
      </c>
      <c r="F4125"/>
      <c r="H4125" s="1">
        <v>16675</v>
      </c>
      <c r="I4125" t="s">
        <v>8669</v>
      </c>
      <c r="J4125" t="s">
        <v>8670</v>
      </c>
      <c r="K4125" s="170">
        <v>45900</v>
      </c>
      <c r="L4125" s="1">
        <v>8337.5</v>
      </c>
      <c r="M4125" s="1">
        <v>45876</v>
      </c>
    </row>
    <row r="4126" spans="1:14" ht="14.4" hidden="1">
      <c r="A4126" t="s">
        <v>248</v>
      </c>
      <c r="B4126" s="1">
        <v>88</v>
      </c>
      <c r="C4126" s="258" t="s">
        <v>8671</v>
      </c>
      <c r="D4126" t="s">
        <v>1224</v>
      </c>
      <c r="E4126" t="s">
        <v>8672</v>
      </c>
      <c r="F4126"/>
      <c r="H4126" s="1">
        <v>8337.5</v>
      </c>
      <c r="I4126"/>
      <c r="J4126" t="s">
        <v>8673</v>
      </c>
      <c r="K4126" s="170">
        <v>45869</v>
      </c>
      <c r="L4126" s="1">
        <v>0</v>
      </c>
      <c r="M4126" s="1">
        <v>45925</v>
      </c>
    </row>
    <row r="4127" spans="1:14" ht="14.4" hidden="1">
      <c r="A4127" t="s">
        <v>248</v>
      </c>
      <c r="B4127" s="1">
        <v>89</v>
      </c>
      <c r="C4127" s="258" t="s">
        <v>8674</v>
      </c>
      <c r="D4127" t="s">
        <v>1224</v>
      </c>
      <c r="E4127" t="s">
        <v>3135</v>
      </c>
      <c r="F4127"/>
      <c r="H4127" s="1">
        <v>2050</v>
      </c>
      <c r="I4127" t="s">
        <v>8675</v>
      </c>
      <c r="J4127" t="s">
        <v>8676</v>
      </c>
      <c r="K4127" s="170">
        <v>45961</v>
      </c>
      <c r="L4127" s="1">
        <v>0</v>
      </c>
      <c r="M4127" s="1">
        <v>45961</v>
      </c>
    </row>
    <row r="4128" spans="1:14" ht="14.4" hidden="1">
      <c r="A4128" t="s">
        <v>248</v>
      </c>
      <c r="B4128" s="1">
        <v>90</v>
      </c>
      <c r="C4128" s="258" t="s">
        <v>8677</v>
      </c>
      <c r="D4128" t="s">
        <v>1224</v>
      </c>
      <c r="E4128" t="s">
        <v>8678</v>
      </c>
      <c r="F4128"/>
      <c r="H4128" s="1">
        <v>16439</v>
      </c>
      <c r="I4128" t="s">
        <v>8679</v>
      </c>
      <c r="J4128" t="s">
        <v>8680</v>
      </c>
      <c r="K4128" s="170">
        <v>45961</v>
      </c>
      <c r="L4128" s="1">
        <v>0</v>
      </c>
      <c r="M4128" s="1">
        <v>45989</v>
      </c>
    </row>
    <row r="4129" spans="1:13" ht="14.4" hidden="1">
      <c r="A4129" t="s">
        <v>248</v>
      </c>
      <c r="B4129" s="1">
        <v>93</v>
      </c>
      <c r="C4129" s="258" t="s">
        <v>8681</v>
      </c>
      <c r="D4129" t="s">
        <v>1246</v>
      </c>
      <c r="E4129" t="s">
        <v>1169</v>
      </c>
      <c r="F4129">
        <v>1079213.0025524204</v>
      </c>
      <c r="G4129">
        <v>0.1</v>
      </c>
      <c r="H4129" s="1">
        <v>107921.30025524204</v>
      </c>
      <c r="I4129" t="s">
        <v>8601</v>
      </c>
      <c r="J4129" t="s">
        <v>8602</v>
      </c>
      <c r="K4129" s="170">
        <v>45808</v>
      </c>
      <c r="L4129" s="1">
        <v>79717.647058823539</v>
      </c>
      <c r="M4129" s="1">
        <v>45792</v>
      </c>
    </row>
    <row r="4130" spans="1:13" ht="14.4" hidden="1">
      <c r="A4130" t="s">
        <v>248</v>
      </c>
      <c r="B4130" s="1">
        <v>94</v>
      </c>
      <c r="C4130" s="258" t="s">
        <v>8682</v>
      </c>
      <c r="D4130" t="s">
        <v>1246</v>
      </c>
      <c r="E4130" t="s">
        <v>558</v>
      </c>
      <c r="F4130"/>
      <c r="G4130">
        <v>0.15</v>
      </c>
      <c r="H4130" s="1">
        <v>161881.95038286303</v>
      </c>
      <c r="I4130"/>
      <c r="J4130" t="s">
        <v>8602</v>
      </c>
      <c r="K4130" s="170">
        <v>45808</v>
      </c>
      <c r="L4130" s="1">
        <v>119576.47058823529</v>
      </c>
      <c r="M4130" s="1">
        <v>45806</v>
      </c>
    </row>
    <row r="4131" spans="1:13" ht="14.4" hidden="1">
      <c r="A4131" t="s">
        <v>248</v>
      </c>
      <c r="B4131" s="1">
        <v>95</v>
      </c>
      <c r="C4131" s="258" t="s">
        <v>8683</v>
      </c>
      <c r="D4131" t="s">
        <v>1246</v>
      </c>
      <c r="E4131" t="s">
        <v>1175</v>
      </c>
      <c r="F4131"/>
      <c r="G4131">
        <v>0.2</v>
      </c>
      <c r="H4131" s="1">
        <v>215842.60051048407</v>
      </c>
      <c r="I4131"/>
      <c r="J4131" t="s">
        <v>8605</v>
      </c>
      <c r="K4131" s="170">
        <v>45869</v>
      </c>
      <c r="L4131" s="1">
        <v>159435.29342611699</v>
      </c>
      <c r="M4131" s="1">
        <v>45899</v>
      </c>
    </row>
    <row r="4132" spans="1:13" ht="14.4" hidden="1">
      <c r="A4132" t="s">
        <v>248</v>
      </c>
      <c r="B4132" s="1">
        <v>96</v>
      </c>
      <c r="C4132" s="258" t="s">
        <v>8684</v>
      </c>
      <c r="D4132" t="s">
        <v>1246</v>
      </c>
      <c r="E4132" t="s">
        <v>1178</v>
      </c>
      <c r="F4132"/>
      <c r="G4132">
        <v>0.125</v>
      </c>
      <c r="H4132" s="1">
        <v>134901.63</v>
      </c>
      <c r="I4132"/>
      <c r="J4132" t="s">
        <v>8607</v>
      </c>
      <c r="K4132" s="170">
        <v>45869</v>
      </c>
      <c r="L4132" s="1">
        <v>99647.061848973433</v>
      </c>
      <c r="M4132" s="1">
        <v>45849</v>
      </c>
    </row>
    <row r="4133" spans="1:13" ht="14.4" hidden="1">
      <c r="A4133" t="s">
        <v>248</v>
      </c>
      <c r="B4133" s="1">
        <v>97</v>
      </c>
      <c r="C4133" s="258" t="s">
        <v>8685</v>
      </c>
      <c r="D4133" t="s">
        <v>1246</v>
      </c>
      <c r="E4133" t="s">
        <v>1178</v>
      </c>
      <c r="F4133"/>
      <c r="G4133">
        <v>0.125</v>
      </c>
      <c r="H4133" s="1">
        <v>134901.62531905255</v>
      </c>
      <c r="I4133"/>
      <c r="J4133" t="s">
        <v>8609</v>
      </c>
      <c r="K4133" s="170">
        <v>45900</v>
      </c>
      <c r="L4133" s="1">
        <v>99647.058391323124</v>
      </c>
      <c r="M4133" s="1">
        <v>45932</v>
      </c>
    </row>
    <row r="4134" spans="1:13" ht="14.4" hidden="1">
      <c r="A4134" t="s">
        <v>248</v>
      </c>
      <c r="B4134" s="1">
        <v>98</v>
      </c>
      <c r="C4134" s="258" t="s">
        <v>8686</v>
      </c>
      <c r="D4134" t="s">
        <v>1246</v>
      </c>
      <c r="E4134" t="s">
        <v>1181</v>
      </c>
      <c r="F4134"/>
      <c r="G4134">
        <v>0.1</v>
      </c>
      <c r="H4134" s="1">
        <v>107921.30025524204</v>
      </c>
      <c r="I4134"/>
      <c r="J4134" t="s">
        <v>8611</v>
      </c>
      <c r="K4134" s="170">
        <v>45900</v>
      </c>
      <c r="L4134" s="1">
        <v>79717.646713058493</v>
      </c>
      <c r="M4134" s="1">
        <v>45946</v>
      </c>
    </row>
    <row r="4135" spans="1:13" ht="14.4" hidden="1">
      <c r="A4135" t="s">
        <v>248</v>
      </c>
      <c r="B4135" s="1">
        <v>99</v>
      </c>
      <c r="C4135" s="258" t="s">
        <v>8687</v>
      </c>
      <c r="D4135" t="s">
        <v>1246</v>
      </c>
      <c r="E4135" t="s">
        <v>1184</v>
      </c>
      <c r="F4135"/>
      <c r="G4135">
        <v>0.1</v>
      </c>
      <c r="H4135" s="1">
        <v>107921.30025524204</v>
      </c>
      <c r="I4135"/>
      <c r="J4135" t="s">
        <v>8688</v>
      </c>
      <c r="K4135" s="170">
        <v>45961</v>
      </c>
      <c r="L4135" s="1">
        <v>79717.646713058493</v>
      </c>
      <c r="M4135" s="1">
        <v>46003</v>
      </c>
    </row>
    <row r="4136" spans="1:13" ht="14.4" hidden="1">
      <c r="A4136" t="s">
        <v>248</v>
      </c>
      <c r="B4136" s="1">
        <v>100</v>
      </c>
      <c r="C4136" s="258" t="s">
        <v>8689</v>
      </c>
      <c r="D4136" t="s">
        <v>1246</v>
      </c>
      <c r="E4136" t="s">
        <v>1187</v>
      </c>
      <c r="F4136"/>
      <c r="G4136">
        <v>0.05</v>
      </c>
      <c r="H4136" s="1">
        <v>53960.650127621018</v>
      </c>
      <c r="I4136"/>
      <c r="J4136" t="s">
        <v>8690</v>
      </c>
      <c r="K4136" s="170">
        <v>45961</v>
      </c>
      <c r="L4136" s="1">
        <v>39858.823356529247</v>
      </c>
      <c r="M4136" s="1">
        <v>46065</v>
      </c>
    </row>
    <row r="4137" spans="1:13" ht="14.4" hidden="1">
      <c r="A4137" t="s">
        <v>248</v>
      </c>
      <c r="B4137" s="1">
        <v>101</v>
      </c>
      <c r="C4137" s="258" t="s">
        <v>8691</v>
      </c>
      <c r="D4137" t="s">
        <v>1246</v>
      </c>
      <c r="E4137" t="s">
        <v>1190</v>
      </c>
      <c r="F4137"/>
      <c r="G4137">
        <v>0.05</v>
      </c>
      <c r="H4137" s="1">
        <v>53960.650127621018</v>
      </c>
      <c r="I4137"/>
      <c r="J4137" t="s">
        <v>8692</v>
      </c>
      <c r="K4137" s="170">
        <v>45961</v>
      </c>
      <c r="L4137" s="1">
        <v>39858.823356529247</v>
      </c>
      <c r="M4137" s="1">
        <v>46065</v>
      </c>
    </row>
    <row r="4138" spans="1:13" ht="14.4" hidden="1">
      <c r="A4138" t="s">
        <v>248</v>
      </c>
      <c r="B4138" s="1">
        <v>108</v>
      </c>
      <c r="C4138" s="258" t="s">
        <v>8693</v>
      </c>
      <c r="D4138" t="s">
        <v>1255</v>
      </c>
      <c r="E4138" t="s">
        <v>3015</v>
      </c>
      <c r="F4138"/>
      <c r="H4138" s="1">
        <v>17637.599999999999</v>
      </c>
      <c r="I4138" t="s">
        <v>8694</v>
      </c>
      <c r="J4138" t="s">
        <v>8695</v>
      </c>
      <c r="K4138" s="170">
        <v>45900</v>
      </c>
      <c r="L4138" s="1">
        <v>45792.971256628385</v>
      </c>
      <c r="M4138" s="1">
        <v>45901</v>
      </c>
    </row>
    <row r="4139" spans="1:13" ht="14.4" hidden="1">
      <c r="A4139" t="s">
        <v>248</v>
      </c>
      <c r="B4139" s="1">
        <v>109</v>
      </c>
      <c r="C4139" s="258" t="s">
        <v>8696</v>
      </c>
      <c r="D4139" t="s">
        <v>1255</v>
      </c>
      <c r="E4139" t="s">
        <v>3018</v>
      </c>
      <c r="F4139"/>
      <c r="H4139" s="1">
        <v>0</v>
      </c>
      <c r="I4139"/>
      <c r="J4139"/>
      <c r="K4139" s="170"/>
      <c r="L4139" s="1">
        <v>0</v>
      </c>
    </row>
    <row r="4140" spans="1:13" ht="14.4" hidden="1">
      <c r="A4140" t="s">
        <v>248</v>
      </c>
      <c r="B4140" s="1">
        <v>114</v>
      </c>
      <c r="C4140" s="258" t="s">
        <v>8697</v>
      </c>
      <c r="D4140" t="s">
        <v>1255</v>
      </c>
      <c r="E4140" t="s">
        <v>1169</v>
      </c>
      <c r="F4140">
        <v>111097.60791991001</v>
      </c>
      <c r="G4140">
        <v>0.1</v>
      </c>
      <c r="H4140" s="1">
        <v>11109.760791991001</v>
      </c>
      <c r="I4140" t="s">
        <v>8601</v>
      </c>
      <c r="J4140" t="s">
        <v>8602</v>
      </c>
      <c r="K4140" s="170">
        <v>45808</v>
      </c>
      <c r="L4140" s="1">
        <v>13994.262513104664</v>
      </c>
      <c r="M4140" s="1">
        <v>45792</v>
      </c>
    </row>
    <row r="4141" spans="1:13" ht="14.4" hidden="1">
      <c r="A4141" t="s">
        <v>248</v>
      </c>
      <c r="B4141" s="1">
        <v>115</v>
      </c>
      <c r="C4141" s="258" t="s">
        <v>8698</v>
      </c>
      <c r="D4141" t="s">
        <v>1255</v>
      </c>
      <c r="E4141" t="s">
        <v>558</v>
      </c>
      <c r="F4141"/>
      <c r="G4141">
        <v>0.15</v>
      </c>
      <c r="H4141" s="1">
        <v>16664.650000000001</v>
      </c>
      <c r="I4141"/>
      <c r="J4141" t="s">
        <v>8602</v>
      </c>
      <c r="K4141" s="170">
        <v>45808</v>
      </c>
      <c r="L4141" s="1">
        <v>20991.404869592759</v>
      </c>
      <c r="M4141" s="1">
        <v>45806</v>
      </c>
    </row>
    <row r="4142" spans="1:13" ht="14.4" hidden="1">
      <c r="A4142" t="s">
        <v>248</v>
      </c>
      <c r="B4142" s="1">
        <v>116</v>
      </c>
      <c r="C4142" s="258" t="s">
        <v>8699</v>
      </c>
      <c r="D4142" t="s">
        <v>1255</v>
      </c>
      <c r="E4142" t="s">
        <v>1175</v>
      </c>
      <c r="F4142"/>
      <c r="G4142">
        <v>0.2</v>
      </c>
      <c r="H4142" s="1">
        <v>22219.521583982001</v>
      </c>
      <c r="I4142"/>
      <c r="J4142" t="s">
        <v>8605</v>
      </c>
      <c r="K4142" s="170">
        <v>45869</v>
      </c>
      <c r="L4142" s="1">
        <v>27988.525200766198</v>
      </c>
      <c r="M4142" s="1">
        <v>45899</v>
      </c>
    </row>
    <row r="4143" spans="1:13" ht="14.4" hidden="1">
      <c r="A4143" t="s">
        <v>248</v>
      </c>
      <c r="B4143" s="1">
        <v>117</v>
      </c>
      <c r="C4143" s="258" t="s">
        <v>8700</v>
      </c>
      <c r="D4143" t="s">
        <v>1255</v>
      </c>
      <c r="E4143" t="s">
        <v>1178</v>
      </c>
      <c r="F4143"/>
      <c r="G4143">
        <v>0.125</v>
      </c>
      <c r="H4143" s="1">
        <v>13887.2</v>
      </c>
      <c r="I4143"/>
      <c r="J4143" t="s">
        <v>8607</v>
      </c>
      <c r="K4143" s="170">
        <v>45869</v>
      </c>
      <c r="L4143" s="1">
        <v>17492.827003452774</v>
      </c>
      <c r="M4143" s="1">
        <v>45849</v>
      </c>
    </row>
    <row r="4144" spans="1:13" ht="14.4" hidden="1">
      <c r="A4144" t="s">
        <v>248</v>
      </c>
      <c r="B4144" s="1">
        <v>118</v>
      </c>
      <c r="C4144" s="258" t="s">
        <v>8701</v>
      </c>
      <c r="D4144" t="s">
        <v>1255</v>
      </c>
      <c r="E4144" t="s">
        <v>1178</v>
      </c>
      <c r="F4144"/>
      <c r="G4144">
        <v>0.125</v>
      </c>
      <c r="H4144" s="1">
        <v>14247.2</v>
      </c>
      <c r="I4144"/>
      <c r="J4144" t="s">
        <v>8609</v>
      </c>
      <c r="K4144" s="170">
        <v>45900</v>
      </c>
      <c r="L4144" s="1">
        <v>22066.722808059832</v>
      </c>
      <c r="M4144" s="1">
        <v>45932</v>
      </c>
    </row>
    <row r="4145" spans="1:14" ht="14.4" hidden="1">
      <c r="A4145" t="s">
        <v>248</v>
      </c>
      <c r="B4145" s="1">
        <v>119</v>
      </c>
      <c r="C4145" s="258" t="s">
        <v>8702</v>
      </c>
      <c r="D4145" t="s">
        <v>1255</v>
      </c>
      <c r="E4145" t="s">
        <v>1181</v>
      </c>
      <c r="F4145"/>
      <c r="G4145">
        <v>0.1</v>
      </c>
      <c r="H4145" s="1">
        <v>11109.760791991001</v>
      </c>
      <c r="I4145"/>
      <c r="J4145" t="s">
        <v>8611</v>
      </c>
      <c r="K4145" s="170">
        <v>45900</v>
      </c>
      <c r="L4145" s="1">
        <v>17207.311742708505</v>
      </c>
      <c r="M4145" s="1">
        <v>45946</v>
      </c>
    </row>
    <row r="4146" spans="1:14" ht="14.4" hidden="1">
      <c r="A4146" t="s">
        <v>248</v>
      </c>
      <c r="B4146" s="1">
        <v>120</v>
      </c>
      <c r="C4146" s="258" t="s">
        <v>8703</v>
      </c>
      <c r="D4146" t="s">
        <v>1255</v>
      </c>
      <c r="E4146" t="s">
        <v>1184</v>
      </c>
      <c r="F4146"/>
      <c r="G4146">
        <v>0.1</v>
      </c>
      <c r="H4146" s="1">
        <v>11109.760791991001</v>
      </c>
      <c r="I4146"/>
      <c r="J4146" t="s">
        <v>8613</v>
      </c>
      <c r="K4146" s="170">
        <v>45900</v>
      </c>
      <c r="L4146" s="1">
        <v>17207.311742708505</v>
      </c>
      <c r="M4146" s="1">
        <v>46003</v>
      </c>
    </row>
    <row r="4147" spans="1:14" ht="14.4" hidden="1">
      <c r="A4147" t="s">
        <v>248</v>
      </c>
      <c r="B4147" s="1">
        <v>121</v>
      </c>
      <c r="C4147" s="258" t="s">
        <v>8704</v>
      </c>
      <c r="D4147" t="s">
        <v>1255</v>
      </c>
      <c r="F4147"/>
      <c r="H4147" s="1">
        <v>0.04</v>
      </c>
      <c r="I4147"/>
      <c r="J4147" t="s">
        <v>8613</v>
      </c>
      <c r="K4147" s="170">
        <v>45900</v>
      </c>
      <c r="L4147" s="1">
        <v>6.1953851446066112E-2</v>
      </c>
      <c r="M4147" s="1">
        <v>46003</v>
      </c>
    </row>
    <row r="4148" spans="1:14" ht="14.4" hidden="1">
      <c r="A4148" t="s">
        <v>248</v>
      </c>
      <c r="B4148" s="1">
        <v>122</v>
      </c>
      <c r="C4148" s="258" t="s">
        <v>8705</v>
      </c>
      <c r="D4148" t="s">
        <v>1255</v>
      </c>
      <c r="E4148" t="s">
        <v>1187</v>
      </c>
      <c r="F4148"/>
      <c r="G4148">
        <v>0.05</v>
      </c>
      <c r="H4148" s="1">
        <v>5554.8803959955003</v>
      </c>
      <c r="I4148"/>
      <c r="J4148" t="s">
        <v>8658</v>
      </c>
      <c r="K4148" s="170">
        <v>45900</v>
      </c>
      <c r="L4148" s="1">
        <v>8603.6558713542527</v>
      </c>
      <c r="M4148" s="1">
        <v>46065</v>
      </c>
    </row>
    <row r="4149" spans="1:14" ht="14.4" hidden="1">
      <c r="A4149" t="s">
        <v>248</v>
      </c>
      <c r="B4149" s="1">
        <v>123</v>
      </c>
      <c r="C4149" s="258" t="s">
        <v>8706</v>
      </c>
      <c r="D4149" t="s">
        <v>1255</v>
      </c>
      <c r="E4149" t="s">
        <v>1190</v>
      </c>
      <c r="F4149"/>
      <c r="G4149">
        <v>0.05</v>
      </c>
      <c r="H4149" s="1">
        <v>5554.8803959955003</v>
      </c>
      <c r="I4149"/>
      <c r="J4149" t="s">
        <v>8617</v>
      </c>
      <c r="K4149" s="170">
        <v>45900</v>
      </c>
      <c r="L4149" s="1">
        <v>8603.6558713542527</v>
      </c>
      <c r="M4149" s="1">
        <v>46065</v>
      </c>
    </row>
    <row r="4150" spans="1:14" ht="14.4" hidden="1">
      <c r="A4150" t="s">
        <v>248</v>
      </c>
      <c r="B4150" s="1">
        <v>128</v>
      </c>
      <c r="C4150" s="258" t="s">
        <v>8707</v>
      </c>
      <c r="D4150" t="s">
        <v>1264</v>
      </c>
      <c r="E4150" t="s">
        <v>1265</v>
      </c>
      <c r="F4150"/>
      <c r="H4150" s="1">
        <v>23015.83</v>
      </c>
      <c r="I4150"/>
      <c r="J4150" t="s">
        <v>3345</v>
      </c>
      <c r="K4150" s="170">
        <v>45869</v>
      </c>
      <c r="L4150" s="1">
        <v>89767.396632699674</v>
      </c>
      <c r="M4150" s="1">
        <v>46051</v>
      </c>
      <c r="N4150" s="1">
        <v>42015.83</v>
      </c>
    </row>
    <row r="4151" spans="1:14" ht="14.4" hidden="1">
      <c r="A4151" t="s">
        <v>248</v>
      </c>
      <c r="B4151" s="1">
        <v>129</v>
      </c>
      <c r="C4151" s="258" t="s">
        <v>8708</v>
      </c>
      <c r="D4151" t="s">
        <v>1264</v>
      </c>
      <c r="E4151" t="s">
        <v>1268</v>
      </c>
      <c r="F4151"/>
      <c r="H4151" s="1">
        <v>11000</v>
      </c>
      <c r="I4151" t="s">
        <v>2845</v>
      </c>
      <c r="J4151" t="s">
        <v>2846</v>
      </c>
      <c r="K4151" s="170">
        <v>45777</v>
      </c>
      <c r="L4151" s="1">
        <v>46275.138134564862</v>
      </c>
      <c r="M4151" s="1">
        <v>45757</v>
      </c>
    </row>
    <row r="4152" spans="1:14" ht="14.4" hidden="1">
      <c r="A4152" t="s">
        <v>248</v>
      </c>
      <c r="B4152" s="1">
        <v>130</v>
      </c>
      <c r="C4152" s="258" t="s">
        <v>8709</v>
      </c>
      <c r="D4152" t="s">
        <v>1264</v>
      </c>
      <c r="E4152" t="s">
        <v>808</v>
      </c>
      <c r="F4152"/>
      <c r="H4152" s="1">
        <v>8000</v>
      </c>
      <c r="I4152"/>
      <c r="J4152" t="s">
        <v>1899</v>
      </c>
      <c r="K4152" s="170">
        <v>45900</v>
      </c>
      <c r="L4152" s="1">
        <v>31995.111758367933</v>
      </c>
      <c r="M4152" s="1">
        <v>45900</v>
      </c>
    </row>
    <row r="4153" spans="1:14" ht="14.4" hidden="1">
      <c r="A4153" t="s">
        <v>248</v>
      </c>
      <c r="B4153" s="1">
        <v>137</v>
      </c>
      <c r="C4153" s="258" t="s">
        <v>8710</v>
      </c>
      <c r="D4153" t="s">
        <v>1277</v>
      </c>
      <c r="E4153" t="s">
        <v>1278</v>
      </c>
      <c r="F4153"/>
      <c r="H4153" s="1">
        <v>101946.67</v>
      </c>
      <c r="I4153"/>
      <c r="J4153" t="s">
        <v>1901</v>
      </c>
      <c r="K4153" s="170">
        <v>45900</v>
      </c>
      <c r="L4153" s="1">
        <v>319796.50028762</v>
      </c>
      <c r="M4153" s="1">
        <v>45900</v>
      </c>
      <c r="N4153" s="1">
        <v>101946.67</v>
      </c>
    </row>
    <row r="4154" spans="1:14" ht="14.4" hidden="1">
      <c r="A4154" t="s">
        <v>248</v>
      </c>
      <c r="B4154" s="1">
        <v>138</v>
      </c>
      <c r="C4154" s="258" t="s">
        <v>8711</v>
      </c>
      <c r="D4154" t="s">
        <v>1277</v>
      </c>
      <c r="E4154" t="s">
        <v>1903</v>
      </c>
      <c r="F4154"/>
      <c r="H4154" s="1">
        <v>0</v>
      </c>
      <c r="I4154"/>
      <c r="J4154"/>
      <c r="K4154" s="170"/>
      <c r="L4154" s="1">
        <v>0</v>
      </c>
    </row>
    <row r="4155" spans="1:14" ht="14.4" hidden="1">
      <c r="A4155" t="s">
        <v>248</v>
      </c>
      <c r="B4155" s="1">
        <v>139</v>
      </c>
      <c r="C4155" s="258" t="s">
        <v>8712</v>
      </c>
      <c r="D4155" t="s">
        <v>1277</v>
      </c>
      <c r="E4155" t="s">
        <v>1905</v>
      </c>
      <c r="F4155"/>
      <c r="H4155" s="1">
        <v>0</v>
      </c>
      <c r="I4155"/>
      <c r="J4155"/>
      <c r="K4155" s="170"/>
      <c r="L4155" s="1">
        <v>0</v>
      </c>
    </row>
    <row r="4156" spans="1:14" ht="14.4" hidden="1">
      <c r="A4156" t="s">
        <v>248</v>
      </c>
      <c r="B4156" s="1">
        <v>140</v>
      </c>
      <c r="C4156" s="258" t="s">
        <v>8713</v>
      </c>
      <c r="D4156" t="s">
        <v>1277</v>
      </c>
      <c r="E4156" t="s">
        <v>1907</v>
      </c>
      <c r="F4156"/>
      <c r="H4156" s="1">
        <v>0</v>
      </c>
      <c r="I4156"/>
      <c r="J4156"/>
      <c r="K4156" s="170"/>
      <c r="L4156" s="1">
        <v>0</v>
      </c>
    </row>
    <row r="4157" spans="1:14" ht="14.4" hidden="1">
      <c r="A4157" t="s">
        <v>248</v>
      </c>
      <c r="B4157" s="1">
        <v>141</v>
      </c>
      <c r="C4157" s="258" t="s">
        <v>8714</v>
      </c>
      <c r="D4157" t="s">
        <v>1277</v>
      </c>
      <c r="E4157" t="s">
        <v>1909</v>
      </c>
      <c r="F4157"/>
      <c r="H4157" s="1">
        <v>0</v>
      </c>
      <c r="I4157"/>
      <c r="J4157"/>
      <c r="K4157" s="170"/>
      <c r="L4157" s="1">
        <v>0</v>
      </c>
    </row>
    <row r="4158" spans="1:14" ht="14.4" hidden="1">
      <c r="A4158" t="s">
        <v>248</v>
      </c>
      <c r="B4158" s="1">
        <v>144</v>
      </c>
      <c r="C4158" s="258" t="s">
        <v>8715</v>
      </c>
      <c r="D4158" t="s">
        <v>1280</v>
      </c>
      <c r="E4158" t="s">
        <v>1281</v>
      </c>
      <c r="F4158"/>
      <c r="H4158" s="1">
        <v>0</v>
      </c>
      <c r="I4158"/>
      <c r="J4158"/>
      <c r="K4158" s="170">
        <v>45777</v>
      </c>
      <c r="L4158" s="1">
        <v>0</v>
      </c>
      <c r="M4158" s="1">
        <v>45777</v>
      </c>
      <c r="N4158" s="1">
        <v>25855.729999999996</v>
      </c>
    </row>
    <row r="4159" spans="1:14" ht="14.4" hidden="1">
      <c r="A4159" t="s">
        <v>248</v>
      </c>
      <c r="B4159" s="1">
        <v>145</v>
      </c>
      <c r="C4159" s="258" t="s">
        <v>8716</v>
      </c>
      <c r="D4159" t="s">
        <v>1280</v>
      </c>
      <c r="E4159" t="s">
        <v>1281</v>
      </c>
      <c r="F4159"/>
      <c r="H4159" s="1">
        <v>7491.3999999999987</v>
      </c>
      <c r="I4159"/>
      <c r="J4159" t="s">
        <v>1604</v>
      </c>
      <c r="K4159" s="170">
        <v>45808</v>
      </c>
      <c r="L4159" s="1">
        <v>10803.940102655346</v>
      </c>
      <c r="M4159" s="1">
        <v>45817</v>
      </c>
    </row>
    <row r="4160" spans="1:14" ht="14.4" hidden="1">
      <c r="A4160" t="s">
        <v>248</v>
      </c>
      <c r="B4160" s="1">
        <v>146</v>
      </c>
      <c r="C4160" s="258" t="s">
        <v>8717</v>
      </c>
      <c r="D4160" t="s">
        <v>1280</v>
      </c>
      <c r="E4160" t="s">
        <v>1281</v>
      </c>
      <c r="F4160"/>
      <c r="H4160" s="1">
        <v>10843.08</v>
      </c>
      <c r="I4160"/>
      <c r="J4160" t="s">
        <v>1604</v>
      </c>
      <c r="K4160" s="170">
        <v>45838</v>
      </c>
      <c r="L4160" s="1">
        <v>3947.0759666687318</v>
      </c>
      <c r="M4160" s="1">
        <v>45842</v>
      </c>
    </row>
    <row r="4161" spans="1:14" ht="14.4" hidden="1">
      <c r="A4161" t="s">
        <v>248</v>
      </c>
      <c r="B4161" s="1">
        <v>147</v>
      </c>
      <c r="C4161" s="258" t="s">
        <v>8718</v>
      </c>
      <c r="D4161" t="s">
        <v>1280</v>
      </c>
      <c r="E4161" t="s">
        <v>1281</v>
      </c>
      <c r="F4161"/>
      <c r="H4161" s="1">
        <v>0</v>
      </c>
      <c r="I4161"/>
      <c r="J4161" t="s">
        <v>1604</v>
      </c>
      <c r="K4161" s="170">
        <v>45869</v>
      </c>
      <c r="L4161" s="1">
        <v>0</v>
      </c>
      <c r="M4161" s="1">
        <v>45868</v>
      </c>
    </row>
    <row r="4162" spans="1:14" ht="14.4" hidden="1">
      <c r="A4162" t="s">
        <v>248</v>
      </c>
      <c r="B4162" s="1">
        <v>148</v>
      </c>
      <c r="C4162" s="258" t="s">
        <v>8719</v>
      </c>
      <c r="D4162" t="s">
        <v>1280</v>
      </c>
      <c r="E4162" t="s">
        <v>1281</v>
      </c>
      <c r="F4162"/>
      <c r="H4162" s="1">
        <v>0</v>
      </c>
      <c r="I4162"/>
      <c r="J4162" t="s">
        <v>1604</v>
      </c>
      <c r="K4162" s="170">
        <v>45900</v>
      </c>
      <c r="L4162" s="1">
        <v>0</v>
      </c>
      <c r="M4162" s="1">
        <v>45899</v>
      </c>
    </row>
    <row r="4163" spans="1:14" ht="14.4" hidden="1">
      <c r="A4163" t="s">
        <v>248</v>
      </c>
      <c r="B4163" s="1">
        <v>149</v>
      </c>
      <c r="C4163" s="258" t="s">
        <v>8720</v>
      </c>
      <c r="D4163" t="s">
        <v>1280</v>
      </c>
      <c r="E4163" t="s">
        <v>1281</v>
      </c>
      <c r="F4163"/>
      <c r="H4163" s="1">
        <v>0</v>
      </c>
      <c r="I4163"/>
      <c r="J4163" t="s">
        <v>1604</v>
      </c>
      <c r="K4163" s="170">
        <v>45930</v>
      </c>
      <c r="L4163" s="1">
        <v>0</v>
      </c>
      <c r="M4163" s="1">
        <v>45930</v>
      </c>
    </row>
    <row r="4164" spans="1:14" ht="14.4" hidden="1">
      <c r="A4164" t="s">
        <v>248</v>
      </c>
      <c r="B4164" s="1">
        <v>150</v>
      </c>
      <c r="C4164" s="258" t="s">
        <v>8721</v>
      </c>
      <c r="D4164" t="s">
        <v>1280</v>
      </c>
      <c r="E4164" t="s">
        <v>1281</v>
      </c>
      <c r="F4164"/>
      <c r="H4164" s="1">
        <v>0</v>
      </c>
      <c r="I4164"/>
      <c r="J4164" t="s">
        <v>1604</v>
      </c>
      <c r="K4164" s="170">
        <v>45961</v>
      </c>
      <c r="L4164" s="1">
        <v>2337.2200000000003</v>
      </c>
      <c r="M4164" s="1">
        <v>45960</v>
      </c>
    </row>
    <row r="4165" spans="1:14" ht="14.4" hidden="1">
      <c r="A4165" t="s">
        <v>248</v>
      </c>
      <c r="B4165" s="1">
        <v>151</v>
      </c>
      <c r="C4165" s="258" t="s">
        <v>8722</v>
      </c>
      <c r="D4165" t="s">
        <v>1280</v>
      </c>
      <c r="E4165" t="s">
        <v>1281</v>
      </c>
      <c r="F4165"/>
      <c r="H4165" s="1">
        <v>5134.76</v>
      </c>
      <c r="I4165"/>
      <c r="J4165" t="s">
        <v>1604</v>
      </c>
      <c r="K4165" s="170">
        <v>45991</v>
      </c>
      <c r="L4165" s="1">
        <v>0</v>
      </c>
      <c r="M4165" s="1">
        <v>45996</v>
      </c>
    </row>
    <row r="4166" spans="1:14" ht="14.4" hidden="1">
      <c r="A4166" t="s">
        <v>248</v>
      </c>
      <c r="B4166" s="1">
        <v>152</v>
      </c>
      <c r="C4166" s="258" t="s">
        <v>8723</v>
      </c>
      <c r="D4166" t="s">
        <v>1280</v>
      </c>
      <c r="E4166" t="s">
        <v>1281</v>
      </c>
      <c r="F4166"/>
      <c r="H4166" s="1">
        <v>2386.4899999999998</v>
      </c>
      <c r="I4166"/>
      <c r="J4166" t="s">
        <v>1604</v>
      </c>
      <c r="K4166" s="170">
        <v>46022</v>
      </c>
      <c r="L4166" s="1">
        <v>0</v>
      </c>
      <c r="M4166" s="1">
        <v>46030</v>
      </c>
    </row>
    <row r="4167" spans="1:14" ht="14.4" hidden="1">
      <c r="A4167" t="s">
        <v>248</v>
      </c>
      <c r="B4167" s="1">
        <v>153</v>
      </c>
      <c r="C4167" s="258" t="s">
        <v>8724</v>
      </c>
      <c r="D4167" t="s">
        <v>1280</v>
      </c>
      <c r="E4167" t="s">
        <v>1281</v>
      </c>
      <c r="F4167"/>
      <c r="H4167" s="1">
        <v>0</v>
      </c>
      <c r="I4167"/>
      <c r="J4167" t="s">
        <v>1604</v>
      </c>
      <c r="K4167" s="170">
        <v>46053</v>
      </c>
      <c r="L4167" s="1">
        <v>0</v>
      </c>
      <c r="M4167" s="1">
        <v>46052</v>
      </c>
    </row>
    <row r="4168" spans="1:14" ht="14.4" hidden="1">
      <c r="A4168" t="s">
        <v>248</v>
      </c>
      <c r="B4168" s="1">
        <v>157</v>
      </c>
      <c r="C4168" s="258" t="s">
        <v>8725</v>
      </c>
      <c r="D4168" t="s">
        <v>1451</v>
      </c>
      <c r="E4168" t="s">
        <v>2865</v>
      </c>
      <c r="F4168"/>
      <c r="H4168" s="1">
        <v>611000</v>
      </c>
      <c r="I4168"/>
      <c r="J4168" t="s">
        <v>8726</v>
      </c>
      <c r="K4168" s="170">
        <v>45838</v>
      </c>
      <c r="L4168" s="1">
        <v>714898.59594383778</v>
      </c>
      <c r="M4168" s="1">
        <v>45849</v>
      </c>
      <c r="N4168" s="1">
        <v>1222000</v>
      </c>
    </row>
    <row r="4169" spans="1:14" ht="14.4" hidden="1">
      <c r="A4169" t="s">
        <v>248</v>
      </c>
      <c r="B4169" s="1">
        <v>158</v>
      </c>
      <c r="C4169" s="258" t="s">
        <v>8727</v>
      </c>
      <c r="D4169" t="s">
        <v>1451</v>
      </c>
      <c r="E4169" t="s">
        <v>2868</v>
      </c>
      <c r="F4169"/>
      <c r="H4169" s="1">
        <v>611000</v>
      </c>
      <c r="I4169"/>
      <c r="J4169" t="s">
        <v>8726</v>
      </c>
      <c r="K4169" s="170">
        <v>45838</v>
      </c>
      <c r="L4169" s="1">
        <v>714898.59594383778</v>
      </c>
      <c r="M4169" s="1">
        <v>45960</v>
      </c>
    </row>
    <row r="4170" spans="1:14" ht="14.4" hidden="1">
      <c r="A4170" t="s">
        <v>248</v>
      </c>
      <c r="B4170" s="1">
        <v>160</v>
      </c>
      <c r="C4170" s="258" t="s">
        <v>8728</v>
      </c>
      <c r="D4170" t="s">
        <v>1451</v>
      </c>
      <c r="E4170" t="s">
        <v>3226</v>
      </c>
      <c r="F4170"/>
      <c r="H4170" s="1">
        <v>0</v>
      </c>
      <c r="I4170"/>
      <c r="J4170"/>
      <c r="K4170" s="170">
        <v>45900</v>
      </c>
      <c r="L4170" s="1">
        <v>70202.808112324492</v>
      </c>
      <c r="M4170" s="1">
        <v>45900</v>
      </c>
    </row>
    <row r="4171" spans="1:14" ht="14.4" hidden="1">
      <c r="A4171" t="s">
        <v>250</v>
      </c>
      <c r="B4171" s="1">
        <v>6</v>
      </c>
      <c r="C4171" s="258" t="s">
        <v>8729</v>
      </c>
      <c r="D4171" t="s">
        <v>1146</v>
      </c>
      <c r="E4171" t="s">
        <v>1454</v>
      </c>
      <c r="F4171">
        <v>770</v>
      </c>
      <c r="G4171">
        <v>1150.5</v>
      </c>
      <c r="H4171" s="1">
        <v>885885</v>
      </c>
      <c r="I4171" t="s">
        <v>8730</v>
      </c>
      <c r="J4171" t="s">
        <v>8731</v>
      </c>
      <c r="K4171" s="170">
        <v>45900</v>
      </c>
      <c r="L4171" s="1">
        <v>1492013.321</v>
      </c>
      <c r="M4171" s="1">
        <v>45954</v>
      </c>
      <c r="N4171" s="1">
        <v>888586</v>
      </c>
    </row>
    <row r="4172" spans="1:14" ht="14.4" hidden="1">
      <c r="A4172" t="s">
        <v>250</v>
      </c>
      <c r="B4172" s="1">
        <v>7</v>
      </c>
      <c r="C4172" s="258" t="s">
        <v>8732</v>
      </c>
      <c r="D4172" t="s">
        <v>1146</v>
      </c>
      <c r="E4172" t="s">
        <v>7484</v>
      </c>
      <c r="F4172">
        <v>2</v>
      </c>
      <c r="G4172">
        <v>1150.5</v>
      </c>
      <c r="H4172" s="1">
        <v>2301</v>
      </c>
      <c r="I4172"/>
      <c r="J4172" t="s">
        <v>8733</v>
      </c>
      <c r="K4172" s="170">
        <v>46081</v>
      </c>
      <c r="L4172" s="1">
        <v>0</v>
      </c>
      <c r="M4172" s="1">
        <v>46118</v>
      </c>
    </row>
    <row r="4173" spans="1:14" ht="14.4" hidden="1">
      <c r="A4173" t="s">
        <v>250</v>
      </c>
      <c r="B4173" s="1">
        <v>8</v>
      </c>
      <c r="C4173" s="258" t="s">
        <v>8734</v>
      </c>
      <c r="D4173" t="s">
        <v>1146</v>
      </c>
      <c r="E4173" t="s">
        <v>1461</v>
      </c>
      <c r="F4173"/>
      <c r="H4173" s="1">
        <v>400</v>
      </c>
      <c r="I4173"/>
      <c r="J4173" t="s">
        <v>8733</v>
      </c>
      <c r="K4173" s="170">
        <v>46081</v>
      </c>
      <c r="L4173" s="1">
        <v>0</v>
      </c>
      <c r="M4173" s="1">
        <v>46118</v>
      </c>
    </row>
    <row r="4174" spans="1:14" ht="14.4" hidden="1">
      <c r="A4174" t="s">
        <v>250</v>
      </c>
      <c r="B4174" s="1">
        <v>13</v>
      </c>
      <c r="C4174" s="258" t="s">
        <v>8735</v>
      </c>
      <c r="D4174" t="s">
        <v>1157</v>
      </c>
      <c r="E4174" t="s">
        <v>8736</v>
      </c>
      <c r="F4174">
        <v>4</v>
      </c>
      <c r="G4174">
        <v>53700.89</v>
      </c>
      <c r="H4174" s="1">
        <v>214803.56</v>
      </c>
      <c r="I4174" t="s">
        <v>8737</v>
      </c>
      <c r="J4174" t="s">
        <v>8738</v>
      </c>
      <c r="K4174" s="170">
        <v>45869</v>
      </c>
      <c r="L4174" s="1">
        <v>484689.4815102109</v>
      </c>
      <c r="M4174" s="1">
        <v>45926</v>
      </c>
      <c r="N4174" s="1">
        <v>216421.11</v>
      </c>
    </row>
    <row r="4175" spans="1:14" ht="14.4" hidden="1">
      <c r="A4175" t="s">
        <v>250</v>
      </c>
      <c r="B4175" s="1">
        <v>14</v>
      </c>
      <c r="C4175" s="258" t="s">
        <v>8739</v>
      </c>
      <c r="D4175" t="s">
        <v>1157</v>
      </c>
      <c r="E4175" t="s">
        <v>8740</v>
      </c>
      <c r="F4175"/>
      <c r="H4175" s="1">
        <v>396.44</v>
      </c>
      <c r="I4175"/>
      <c r="J4175" t="s">
        <v>8738</v>
      </c>
      <c r="K4175" s="170">
        <v>45869</v>
      </c>
      <c r="L4175" s="1">
        <v>894.53963449166304</v>
      </c>
      <c r="M4175" s="1">
        <v>45926</v>
      </c>
    </row>
    <row r="4176" spans="1:14" ht="14.4" hidden="1">
      <c r="A4176" t="s">
        <v>250</v>
      </c>
      <c r="B4176" s="1">
        <v>15</v>
      </c>
      <c r="C4176" s="258" t="s">
        <v>8741</v>
      </c>
      <c r="D4176" t="s">
        <v>1157</v>
      </c>
      <c r="E4176" t="s">
        <v>5988</v>
      </c>
      <c r="F4176"/>
      <c r="H4176" s="1">
        <v>1221.1099999999999</v>
      </c>
      <c r="I4176"/>
      <c r="J4176" t="s">
        <v>8738</v>
      </c>
      <c r="K4176" s="170">
        <v>45869</v>
      </c>
      <c r="L4176" s="1">
        <v>2755.3508552974336</v>
      </c>
      <c r="M4176" s="1">
        <v>45926</v>
      </c>
    </row>
    <row r="4177" spans="1:14" ht="14.4" hidden="1">
      <c r="A4177" t="s">
        <v>250</v>
      </c>
      <c r="B4177" s="1">
        <v>21</v>
      </c>
      <c r="C4177" s="258" t="s">
        <v>8742</v>
      </c>
      <c r="D4177" t="s">
        <v>1160</v>
      </c>
      <c r="E4177" t="s">
        <v>1161</v>
      </c>
      <c r="F4177"/>
      <c r="H4177" s="1">
        <v>122040.5</v>
      </c>
      <c r="I4177" t="s">
        <v>8743</v>
      </c>
      <c r="J4177" t="s">
        <v>8744</v>
      </c>
      <c r="K4177" s="170">
        <v>45869</v>
      </c>
      <c r="L4177" s="1">
        <v>221686.54130000001</v>
      </c>
      <c r="M4177" s="1">
        <v>45899</v>
      </c>
      <c r="N4177" s="1">
        <v>123340.5</v>
      </c>
    </row>
    <row r="4178" spans="1:14" ht="14.4" hidden="1">
      <c r="A4178" t="s">
        <v>250</v>
      </c>
      <c r="B4178" s="1">
        <v>23</v>
      </c>
      <c r="C4178" s="258" t="s">
        <v>8745</v>
      </c>
      <c r="D4178" t="s">
        <v>1160</v>
      </c>
      <c r="E4178" t="s">
        <v>1934</v>
      </c>
      <c r="F4178"/>
      <c r="H4178" s="1">
        <v>1300</v>
      </c>
      <c r="I4178" t="s">
        <v>8746</v>
      </c>
      <c r="J4178"/>
      <c r="K4178" s="170">
        <v>46081</v>
      </c>
      <c r="L4178" s="1">
        <v>0</v>
      </c>
      <c r="M4178" s="1">
        <v>46081</v>
      </c>
    </row>
    <row r="4179" spans="1:14" ht="14.4" hidden="1">
      <c r="A4179" t="s">
        <v>250</v>
      </c>
      <c r="B4179" s="1">
        <v>28</v>
      </c>
      <c r="C4179" s="258" t="s">
        <v>8747</v>
      </c>
      <c r="D4179" t="s">
        <v>1165</v>
      </c>
      <c r="E4179" t="s">
        <v>836</v>
      </c>
      <c r="F4179">
        <v>18000</v>
      </c>
      <c r="G4179">
        <v>13.5</v>
      </c>
      <c r="H4179" s="1">
        <v>243000</v>
      </c>
      <c r="I4179"/>
      <c r="J4179" t="s">
        <v>8748</v>
      </c>
      <c r="K4179" s="170">
        <v>45869</v>
      </c>
      <c r="L4179" s="1">
        <v>308594.28851123527</v>
      </c>
      <c r="M4179" s="1">
        <v>45900</v>
      </c>
      <c r="N4179" s="1">
        <v>631371.99999999988</v>
      </c>
    </row>
    <row r="4180" spans="1:14" ht="14.4" hidden="1">
      <c r="A4180" t="s">
        <v>250</v>
      </c>
      <c r="B4180" s="1">
        <v>29</v>
      </c>
      <c r="C4180" s="258" t="s">
        <v>8749</v>
      </c>
      <c r="D4180" t="s">
        <v>1165</v>
      </c>
      <c r="E4180" t="s">
        <v>836</v>
      </c>
      <c r="F4180">
        <v>9000</v>
      </c>
      <c r="G4180">
        <v>14</v>
      </c>
      <c r="H4180" s="1">
        <v>126000</v>
      </c>
      <c r="I4180" t="s">
        <v>8750</v>
      </c>
      <c r="J4180" t="s">
        <v>8751</v>
      </c>
      <c r="K4180" s="170">
        <v>46053</v>
      </c>
      <c r="L4180" s="1">
        <v>0</v>
      </c>
      <c r="M4180" s="1">
        <v>46081</v>
      </c>
    </row>
    <row r="4181" spans="1:14" ht="14.4" hidden="1">
      <c r="A4181" t="s">
        <v>250</v>
      </c>
      <c r="B4181" s="1">
        <v>32</v>
      </c>
      <c r="C4181" s="258" t="s">
        <v>8752</v>
      </c>
      <c r="D4181" t="s">
        <v>1165</v>
      </c>
      <c r="E4181" t="s">
        <v>1169</v>
      </c>
      <c r="F4181">
        <v>262372</v>
      </c>
      <c r="G4181">
        <v>0.1</v>
      </c>
      <c r="H4181" s="1">
        <v>26237.200000000001</v>
      </c>
      <c r="I4181" t="s">
        <v>8753</v>
      </c>
      <c r="J4181" t="s">
        <v>8754</v>
      </c>
      <c r="K4181" s="170">
        <v>45869</v>
      </c>
      <c r="L4181" s="1">
        <v>33319.547598876474</v>
      </c>
      <c r="M4181" s="1">
        <v>45883</v>
      </c>
    </row>
    <row r="4182" spans="1:14" ht="14.4" hidden="1">
      <c r="A4182" t="s">
        <v>250</v>
      </c>
      <c r="B4182" s="1">
        <v>33</v>
      </c>
      <c r="C4182" s="258" t="s">
        <v>8755</v>
      </c>
      <c r="D4182" t="s">
        <v>1165</v>
      </c>
      <c r="E4182" t="s">
        <v>558</v>
      </c>
      <c r="F4182"/>
      <c r="G4182">
        <v>0.15</v>
      </c>
      <c r="H4182" s="1">
        <v>39355.800000000003</v>
      </c>
      <c r="I4182"/>
      <c r="J4182" t="s">
        <v>8756</v>
      </c>
      <c r="K4182" s="170">
        <v>45869</v>
      </c>
      <c r="L4182" s="1">
        <v>49979.321398314707</v>
      </c>
      <c r="M4182" s="1">
        <v>45869</v>
      </c>
    </row>
    <row r="4183" spans="1:14" ht="14.4" hidden="1">
      <c r="A4183" t="s">
        <v>250</v>
      </c>
      <c r="B4183" s="1">
        <v>34</v>
      </c>
      <c r="C4183" s="258" t="s">
        <v>8757</v>
      </c>
      <c r="D4183" t="s">
        <v>1165</v>
      </c>
      <c r="E4183" t="s">
        <v>1175</v>
      </c>
      <c r="F4183"/>
      <c r="G4183">
        <v>0.2</v>
      </c>
      <c r="H4183" s="1">
        <v>52474.400000000001</v>
      </c>
      <c r="I4183"/>
      <c r="J4183" t="s">
        <v>8758</v>
      </c>
      <c r="K4183" s="170">
        <v>45900</v>
      </c>
      <c r="L4183" s="1">
        <v>66639.095197752948</v>
      </c>
      <c r="M4183" s="1">
        <v>46009</v>
      </c>
    </row>
    <row r="4184" spans="1:14" ht="14.4" hidden="1">
      <c r="A4184" t="s">
        <v>250</v>
      </c>
      <c r="B4184" s="1">
        <v>35</v>
      </c>
      <c r="C4184" s="258" t="s">
        <v>8759</v>
      </c>
      <c r="D4184" t="s">
        <v>1165</v>
      </c>
      <c r="E4184" t="s">
        <v>1178</v>
      </c>
      <c r="F4184"/>
      <c r="G4184">
        <v>0.25</v>
      </c>
      <c r="H4184" s="1">
        <v>65593</v>
      </c>
      <c r="I4184"/>
      <c r="J4184" t="s">
        <v>8758</v>
      </c>
      <c r="K4184" s="170">
        <v>45900</v>
      </c>
      <c r="L4184" s="1">
        <v>83298.868997191181</v>
      </c>
      <c r="M4184" s="1">
        <v>46080</v>
      </c>
    </row>
    <row r="4185" spans="1:14" ht="14.4" hidden="1">
      <c r="A4185" t="s">
        <v>250</v>
      </c>
      <c r="B4185" s="1">
        <v>36</v>
      </c>
      <c r="C4185" s="258" t="s">
        <v>8760</v>
      </c>
      <c r="D4185" t="s">
        <v>1165</v>
      </c>
      <c r="E4185" t="s">
        <v>1181</v>
      </c>
      <c r="F4185"/>
      <c r="G4185">
        <v>0.1</v>
      </c>
      <c r="H4185" s="1">
        <v>26237.200000000001</v>
      </c>
      <c r="I4185"/>
      <c r="J4185" t="s">
        <v>8758</v>
      </c>
      <c r="K4185" s="170">
        <v>45900</v>
      </c>
      <c r="L4185" s="1">
        <v>33319.547598876474</v>
      </c>
      <c r="M4185" s="1">
        <v>46085</v>
      </c>
    </row>
    <row r="4186" spans="1:14" ht="14.4" hidden="1">
      <c r="A4186" t="s">
        <v>250</v>
      </c>
      <c r="B4186" s="1">
        <v>37</v>
      </c>
      <c r="C4186" s="258" t="s">
        <v>8761</v>
      </c>
      <c r="D4186" t="s">
        <v>1165</v>
      </c>
      <c r="E4186" t="s">
        <v>1184</v>
      </c>
      <c r="F4186"/>
      <c r="G4186">
        <v>0.1</v>
      </c>
      <c r="H4186" s="1">
        <v>26237.200000000001</v>
      </c>
      <c r="I4186"/>
      <c r="J4186" t="s">
        <v>8758</v>
      </c>
      <c r="K4186" s="170">
        <v>45900</v>
      </c>
      <c r="L4186" s="1">
        <v>33319.547598876474</v>
      </c>
      <c r="M4186" s="1">
        <v>46090</v>
      </c>
    </row>
    <row r="4187" spans="1:14" ht="14.4" hidden="1">
      <c r="A4187" t="s">
        <v>250</v>
      </c>
      <c r="B4187" s="1">
        <v>38</v>
      </c>
      <c r="C4187" s="258" t="s">
        <v>8762</v>
      </c>
      <c r="D4187" t="s">
        <v>1165</v>
      </c>
      <c r="E4187" t="s">
        <v>1187</v>
      </c>
      <c r="F4187"/>
      <c r="G4187">
        <v>0.05</v>
      </c>
      <c r="H4187" s="1">
        <v>13118.6</v>
      </c>
      <c r="I4187"/>
      <c r="J4187" t="s">
        <v>8758</v>
      </c>
      <c r="K4187" s="170">
        <v>45900</v>
      </c>
      <c r="L4187" s="1">
        <v>16659.773799438237</v>
      </c>
      <c r="M4187" s="1">
        <v>46090</v>
      </c>
    </row>
    <row r="4188" spans="1:14" ht="14.4" hidden="1">
      <c r="A4188" t="s">
        <v>250</v>
      </c>
      <c r="B4188" s="1">
        <v>39</v>
      </c>
      <c r="C4188" s="258" t="s">
        <v>8763</v>
      </c>
      <c r="D4188" t="s">
        <v>1165</v>
      </c>
      <c r="E4188" t="s">
        <v>1190</v>
      </c>
      <c r="F4188"/>
      <c r="G4188">
        <v>0.05</v>
      </c>
      <c r="H4188" s="1">
        <v>13118.6</v>
      </c>
      <c r="I4188"/>
      <c r="J4188" t="s">
        <v>8758</v>
      </c>
      <c r="K4188" s="170">
        <v>45900</v>
      </c>
      <c r="L4188" s="1">
        <v>16659.773799438237</v>
      </c>
      <c r="M4188" s="1">
        <v>46113</v>
      </c>
    </row>
    <row r="4189" spans="1:14" ht="14.4" hidden="1">
      <c r="A4189" t="s">
        <v>250</v>
      </c>
      <c r="B4189" s="1">
        <v>44</v>
      </c>
      <c r="C4189" s="258" t="s">
        <v>8764</v>
      </c>
      <c r="D4189" t="s">
        <v>1193</v>
      </c>
      <c r="E4189" t="s">
        <v>8765</v>
      </c>
      <c r="F4189"/>
      <c r="H4189" s="1">
        <v>36324.44</v>
      </c>
      <c r="I4189" t="s">
        <v>8766</v>
      </c>
      <c r="J4189"/>
      <c r="K4189" s="170">
        <v>46081</v>
      </c>
      <c r="L4189" s="1">
        <v>47453.8580247629</v>
      </c>
      <c r="M4189" s="1">
        <v>46111</v>
      </c>
      <c r="N4189" s="1">
        <v>124261.44</v>
      </c>
    </row>
    <row r="4190" spans="1:14" ht="14.4" hidden="1">
      <c r="A4190" t="s">
        <v>250</v>
      </c>
      <c r="B4190" s="1">
        <v>45</v>
      </c>
      <c r="C4190" s="258" t="s">
        <v>8767</v>
      </c>
      <c r="D4190" t="s">
        <v>1193</v>
      </c>
      <c r="E4190" t="s">
        <v>1196</v>
      </c>
      <c r="F4190"/>
      <c r="H4190" s="1">
        <v>22768</v>
      </c>
      <c r="I4190" t="s">
        <v>8768</v>
      </c>
      <c r="J4190" t="s">
        <v>8769</v>
      </c>
      <c r="K4190" s="170">
        <v>45838</v>
      </c>
      <c r="L4190" s="1">
        <v>41886.51580509232</v>
      </c>
      <c r="M4190" s="1">
        <v>45867</v>
      </c>
    </row>
    <row r="4191" spans="1:14" ht="14.4" hidden="1">
      <c r="A4191" t="s">
        <v>250</v>
      </c>
      <c r="B4191" s="1">
        <v>46</v>
      </c>
      <c r="C4191" s="258" t="s">
        <v>8770</v>
      </c>
      <c r="D4191" t="s">
        <v>1193</v>
      </c>
      <c r="E4191" t="s">
        <v>1200</v>
      </c>
      <c r="F4191"/>
      <c r="H4191" s="1">
        <v>11169</v>
      </c>
      <c r="I4191"/>
      <c r="J4191" t="s">
        <v>1494</v>
      </c>
      <c r="K4191" s="170">
        <v>45869</v>
      </c>
      <c r="L4191" s="1">
        <v>20823.825129055531</v>
      </c>
      <c r="M4191" s="1">
        <v>45869</v>
      </c>
    </row>
    <row r="4192" spans="1:14" ht="14.4" hidden="1">
      <c r="A4192" t="s">
        <v>250</v>
      </c>
      <c r="B4192" s="1">
        <v>47</v>
      </c>
      <c r="C4192" s="258" t="s">
        <v>8771</v>
      </c>
      <c r="D4192" t="s">
        <v>1193</v>
      </c>
      <c r="E4192" t="s">
        <v>5129</v>
      </c>
      <c r="F4192"/>
      <c r="H4192" s="1">
        <v>54000</v>
      </c>
      <c r="I4192" t="s">
        <v>8772</v>
      </c>
      <c r="J4192" t="s">
        <v>8773</v>
      </c>
      <c r="K4192" s="170">
        <v>45869</v>
      </c>
      <c r="L4192" s="1">
        <v>101242.09122831035</v>
      </c>
      <c r="M4192" s="1">
        <v>45900</v>
      </c>
    </row>
    <row r="4193" spans="1:13" ht="14.4" hidden="1">
      <c r="A4193" t="s">
        <v>250</v>
      </c>
      <c r="B4193" s="1">
        <v>54</v>
      </c>
      <c r="C4193" s="258" t="s">
        <v>8774</v>
      </c>
      <c r="D4193" t="s">
        <v>1211</v>
      </c>
      <c r="E4193" t="s">
        <v>1169</v>
      </c>
      <c r="F4193">
        <v>235040</v>
      </c>
      <c r="G4193">
        <v>0.1</v>
      </c>
      <c r="H4193" s="1">
        <v>23504</v>
      </c>
      <c r="I4193"/>
      <c r="J4193" t="s">
        <v>8754</v>
      </c>
      <c r="K4193" s="170">
        <v>45869</v>
      </c>
      <c r="L4193" s="1">
        <v>69264.504460000011</v>
      </c>
      <c r="M4193" s="1">
        <v>45883</v>
      </c>
    </row>
    <row r="4194" spans="1:13" ht="14.4" hidden="1">
      <c r="A4194" t="s">
        <v>250</v>
      </c>
      <c r="B4194" s="1">
        <v>55</v>
      </c>
      <c r="C4194" s="258" t="s">
        <v>8775</v>
      </c>
      <c r="D4194" t="s">
        <v>1211</v>
      </c>
      <c r="E4194" t="s">
        <v>558</v>
      </c>
      <c r="F4194"/>
      <c r="G4194">
        <v>0.15</v>
      </c>
      <c r="H4194" s="1">
        <v>35256</v>
      </c>
      <c r="I4194"/>
      <c r="J4194" t="s">
        <v>8756</v>
      </c>
      <c r="K4194" s="170">
        <v>45869</v>
      </c>
      <c r="L4194" s="1">
        <v>103896.75668999999</v>
      </c>
      <c r="M4194" s="1">
        <v>45869</v>
      </c>
    </row>
    <row r="4195" spans="1:13" ht="14.4" hidden="1">
      <c r="A4195" t="s">
        <v>250</v>
      </c>
      <c r="B4195" s="1">
        <v>56</v>
      </c>
      <c r="C4195" s="258" t="s">
        <v>8776</v>
      </c>
      <c r="D4195" t="s">
        <v>1211</v>
      </c>
      <c r="E4195" t="s">
        <v>1175</v>
      </c>
      <c r="F4195"/>
      <c r="G4195">
        <v>0.2</v>
      </c>
      <c r="H4195" s="1">
        <v>47008</v>
      </c>
      <c r="I4195"/>
      <c r="J4195" t="s">
        <v>8758</v>
      </c>
      <c r="K4195" s="170">
        <v>45900</v>
      </c>
      <c r="L4195" s="1">
        <v>138529.00892000002</v>
      </c>
      <c r="M4195" s="1">
        <v>46009</v>
      </c>
    </row>
    <row r="4196" spans="1:13" ht="14.4" hidden="1">
      <c r="A4196" t="s">
        <v>250</v>
      </c>
      <c r="B4196" s="1">
        <v>57</v>
      </c>
      <c r="C4196" s="258" t="s">
        <v>8777</v>
      </c>
      <c r="D4196" t="s">
        <v>1211</v>
      </c>
      <c r="E4196" t="s">
        <v>1178</v>
      </c>
      <c r="F4196"/>
      <c r="G4196">
        <v>0.25</v>
      </c>
      <c r="H4196" s="1">
        <v>58760</v>
      </c>
      <c r="I4196"/>
      <c r="J4196" t="s">
        <v>8758</v>
      </c>
      <c r="K4196" s="170">
        <v>45900</v>
      </c>
      <c r="L4196" s="1">
        <v>173161.26115000001</v>
      </c>
      <c r="M4196" s="1">
        <v>46080</v>
      </c>
    </row>
    <row r="4197" spans="1:13" ht="14.4" hidden="1">
      <c r="A4197" t="s">
        <v>250</v>
      </c>
      <c r="B4197" s="1">
        <v>58</v>
      </c>
      <c r="C4197" s="258" t="s">
        <v>8778</v>
      </c>
      <c r="D4197" t="s">
        <v>1211</v>
      </c>
      <c r="E4197" t="s">
        <v>1181</v>
      </c>
      <c r="F4197"/>
      <c r="G4197">
        <v>0.1</v>
      </c>
      <c r="H4197" s="1">
        <v>23504</v>
      </c>
      <c r="I4197"/>
      <c r="J4197" t="s">
        <v>8758</v>
      </c>
      <c r="K4197" s="170">
        <v>45900</v>
      </c>
      <c r="L4197" s="1">
        <v>69264.504460000011</v>
      </c>
      <c r="M4197" s="1">
        <v>46085</v>
      </c>
    </row>
    <row r="4198" spans="1:13" ht="14.4" hidden="1">
      <c r="A4198" t="s">
        <v>250</v>
      </c>
      <c r="B4198" s="1">
        <v>59</v>
      </c>
      <c r="C4198" s="258" t="s">
        <v>8779</v>
      </c>
      <c r="D4198" t="s">
        <v>1211</v>
      </c>
      <c r="E4198" t="s">
        <v>1184</v>
      </c>
      <c r="F4198"/>
      <c r="G4198">
        <v>0.1</v>
      </c>
      <c r="H4198" s="1">
        <v>23504</v>
      </c>
      <c r="I4198"/>
      <c r="J4198" t="s">
        <v>8758</v>
      </c>
      <c r="K4198" s="170">
        <v>45900</v>
      </c>
      <c r="L4198" s="1">
        <v>69264.504460000011</v>
      </c>
      <c r="M4198" s="1">
        <v>46090</v>
      </c>
    </row>
    <row r="4199" spans="1:13" ht="14.4" hidden="1">
      <c r="A4199" t="s">
        <v>250</v>
      </c>
      <c r="B4199" s="1">
        <v>60</v>
      </c>
      <c r="C4199" s="258" t="s">
        <v>8780</v>
      </c>
      <c r="D4199" t="s">
        <v>1211</v>
      </c>
      <c r="E4199" t="s">
        <v>1187</v>
      </c>
      <c r="F4199"/>
      <c r="G4199">
        <v>0.05</v>
      </c>
      <c r="H4199" s="1">
        <v>11752</v>
      </c>
      <c r="I4199"/>
      <c r="J4199" t="s">
        <v>8758</v>
      </c>
      <c r="K4199" s="170">
        <v>45900</v>
      </c>
      <c r="L4199" s="1">
        <v>34632.252230000006</v>
      </c>
      <c r="M4199" s="1">
        <v>46090</v>
      </c>
    </row>
    <row r="4200" spans="1:13" ht="14.4" hidden="1">
      <c r="A4200" t="s">
        <v>250</v>
      </c>
      <c r="B4200" s="1">
        <v>61</v>
      </c>
      <c r="C4200" s="258" t="s">
        <v>8781</v>
      </c>
      <c r="D4200" t="s">
        <v>1211</v>
      </c>
      <c r="E4200" t="s">
        <v>1190</v>
      </c>
      <c r="F4200"/>
      <c r="G4200">
        <v>0.05</v>
      </c>
      <c r="H4200" s="1">
        <v>11752</v>
      </c>
      <c r="I4200"/>
      <c r="J4200" t="s">
        <v>8758</v>
      </c>
      <c r="K4200" s="170">
        <v>45900</v>
      </c>
      <c r="L4200" s="1">
        <v>34632.252230000006</v>
      </c>
      <c r="M4200" s="1">
        <v>46113</v>
      </c>
    </row>
    <row r="4201" spans="1:13" ht="14.4" hidden="1">
      <c r="A4201" t="s">
        <v>250</v>
      </c>
      <c r="B4201" s="1">
        <v>77</v>
      </c>
      <c r="C4201" s="258" t="s">
        <v>8782</v>
      </c>
      <c r="D4201" t="s">
        <v>1224</v>
      </c>
      <c r="E4201" t="s">
        <v>8783</v>
      </c>
      <c r="F4201"/>
      <c r="G4201">
        <v>2642000</v>
      </c>
      <c r="H4201" s="1">
        <v>1329750</v>
      </c>
      <c r="I4201" t="s">
        <v>8784</v>
      </c>
      <c r="J4201" t="s">
        <v>8785</v>
      </c>
      <c r="K4201" s="170">
        <v>45808</v>
      </c>
      <c r="L4201" s="1">
        <v>1027779.9272249884</v>
      </c>
      <c r="M4201" s="1">
        <v>45792</v>
      </c>
    </row>
    <row r="4202" spans="1:13" ht="14.4" hidden="1">
      <c r="A4202" t="s">
        <v>250</v>
      </c>
      <c r="B4202" s="1">
        <v>79</v>
      </c>
      <c r="C4202" s="258" t="s">
        <v>8786</v>
      </c>
      <c r="D4202" t="s">
        <v>1224</v>
      </c>
      <c r="E4202" t="s">
        <v>8787</v>
      </c>
      <c r="F4202"/>
      <c r="H4202" s="1">
        <v>-1329750</v>
      </c>
      <c r="I4202"/>
      <c r="J4202" t="s">
        <v>8788</v>
      </c>
      <c r="K4202" s="170">
        <v>45808</v>
      </c>
      <c r="L4202" s="1">
        <v>-1027779.9272249884</v>
      </c>
      <c r="M4202" s="1">
        <v>45805</v>
      </c>
    </row>
    <row r="4203" spans="1:13" ht="14.4" hidden="1">
      <c r="A4203" t="s">
        <v>250</v>
      </c>
      <c r="B4203" s="1">
        <v>81</v>
      </c>
      <c r="C4203" s="258" t="s">
        <v>8789</v>
      </c>
      <c r="D4203" t="s">
        <v>1224</v>
      </c>
      <c r="E4203" t="s">
        <v>8783</v>
      </c>
      <c r="F4203">
        <v>2500000</v>
      </c>
      <c r="G4203">
        <v>0.25</v>
      </c>
      <c r="H4203" s="1">
        <v>625000</v>
      </c>
      <c r="I4203"/>
      <c r="J4203" t="s">
        <v>8790</v>
      </c>
      <c r="K4203" s="170">
        <v>45869</v>
      </c>
      <c r="L4203" s="1">
        <v>471698.11320754723</v>
      </c>
      <c r="M4203" s="1">
        <v>45869</v>
      </c>
    </row>
    <row r="4204" spans="1:13" ht="14.4" hidden="1">
      <c r="A4204" t="s">
        <v>250</v>
      </c>
      <c r="B4204" s="1">
        <v>82</v>
      </c>
      <c r="C4204" s="258" t="s">
        <v>8791</v>
      </c>
      <c r="D4204" t="s">
        <v>1224</v>
      </c>
      <c r="E4204" t="s">
        <v>8792</v>
      </c>
      <c r="F4204"/>
      <c r="G4204">
        <v>0.15</v>
      </c>
      <c r="H4204" s="1">
        <v>375000</v>
      </c>
      <c r="I4204"/>
      <c r="J4204" t="s">
        <v>8790</v>
      </c>
      <c r="K4204" s="170">
        <v>45900</v>
      </c>
      <c r="L4204" s="1">
        <v>341245.41130984924</v>
      </c>
      <c r="M4204" s="1">
        <v>45869</v>
      </c>
    </row>
    <row r="4205" spans="1:13" ht="14.4" hidden="1">
      <c r="A4205" t="s">
        <v>250</v>
      </c>
      <c r="B4205" s="1">
        <v>83</v>
      </c>
      <c r="C4205" s="258" t="s">
        <v>8793</v>
      </c>
      <c r="D4205" t="s">
        <v>1224</v>
      </c>
      <c r="E4205" t="s">
        <v>8792</v>
      </c>
      <c r="F4205"/>
      <c r="G4205">
        <v>0.15</v>
      </c>
      <c r="H4205" s="1">
        <v>375000</v>
      </c>
      <c r="I4205"/>
      <c r="J4205" t="s">
        <v>8790</v>
      </c>
      <c r="K4205" s="170">
        <v>45900</v>
      </c>
      <c r="L4205" s="1">
        <v>341045.40130984923</v>
      </c>
      <c r="M4205" s="1">
        <v>45869</v>
      </c>
    </row>
    <row r="4206" spans="1:13" ht="14.4" hidden="1">
      <c r="A4206" t="s">
        <v>250</v>
      </c>
      <c r="B4206" s="1">
        <v>84</v>
      </c>
      <c r="C4206" s="258" t="s">
        <v>8794</v>
      </c>
      <c r="D4206" t="s">
        <v>1224</v>
      </c>
      <c r="E4206" t="s">
        <v>8792</v>
      </c>
      <c r="F4206"/>
      <c r="G4206">
        <v>0.15</v>
      </c>
      <c r="H4206" s="1">
        <v>375000</v>
      </c>
      <c r="I4206"/>
      <c r="J4206" t="s">
        <v>8790</v>
      </c>
      <c r="K4206" s="170">
        <v>45900</v>
      </c>
      <c r="L4206" s="1">
        <v>163720.25130984926</v>
      </c>
      <c r="M4206" s="1">
        <v>45869</v>
      </c>
    </row>
    <row r="4207" spans="1:13" ht="14.4" hidden="1">
      <c r="A4207" t="s">
        <v>250</v>
      </c>
      <c r="B4207" s="1">
        <v>85</v>
      </c>
      <c r="C4207" s="258" t="s">
        <v>8795</v>
      </c>
      <c r="D4207" t="s">
        <v>1224</v>
      </c>
      <c r="E4207" t="s">
        <v>8796</v>
      </c>
      <c r="F4207"/>
      <c r="G4207">
        <v>0.3</v>
      </c>
      <c r="H4207" s="1">
        <v>750000</v>
      </c>
      <c r="I4207"/>
      <c r="J4207" t="s">
        <v>8790</v>
      </c>
      <c r="K4207" s="170">
        <v>45900</v>
      </c>
      <c r="L4207" s="1">
        <v>682290.82261969848</v>
      </c>
      <c r="M4207" s="1">
        <v>45869</v>
      </c>
    </row>
    <row r="4208" spans="1:13" ht="14.4" hidden="1">
      <c r="A4208" t="s">
        <v>250</v>
      </c>
      <c r="B4208" s="1">
        <v>87</v>
      </c>
      <c r="C4208" s="258" t="s">
        <v>8797</v>
      </c>
      <c r="D4208" t="s">
        <v>1224</v>
      </c>
      <c r="E4208" t="s">
        <v>611</v>
      </c>
      <c r="F4208">
        <v>120203.36</v>
      </c>
      <c r="G4208">
        <v>0.5</v>
      </c>
      <c r="H4208" s="1">
        <v>60101.68</v>
      </c>
      <c r="I4208" t="s">
        <v>8798</v>
      </c>
      <c r="J4208" t="s">
        <v>8799</v>
      </c>
      <c r="K4208" s="170">
        <v>45961</v>
      </c>
      <c r="L4208" s="1">
        <v>0</v>
      </c>
      <c r="M4208" s="1">
        <v>45954</v>
      </c>
    </row>
    <row r="4209" spans="1:13" ht="14.4" hidden="1">
      <c r="A4209" t="s">
        <v>250</v>
      </c>
      <c r="B4209" s="1">
        <v>88</v>
      </c>
      <c r="C4209" s="258" t="s">
        <v>8800</v>
      </c>
      <c r="D4209" t="s">
        <v>1224</v>
      </c>
      <c r="F4209"/>
      <c r="G4209">
        <v>0.5</v>
      </c>
      <c r="H4209" s="1">
        <v>60101.68</v>
      </c>
      <c r="I4209"/>
      <c r="J4209" t="s">
        <v>8799</v>
      </c>
      <c r="K4209" s="170">
        <v>45961</v>
      </c>
      <c r="L4209" s="1">
        <v>0</v>
      </c>
      <c r="M4209" s="1">
        <v>45968</v>
      </c>
    </row>
    <row r="4210" spans="1:13" ht="14.4" hidden="1">
      <c r="A4210" t="s">
        <v>250</v>
      </c>
      <c r="B4210" s="1">
        <v>89</v>
      </c>
      <c r="C4210" s="258" t="s">
        <v>8801</v>
      </c>
      <c r="D4210" t="s">
        <v>1224</v>
      </c>
      <c r="E4210" t="s">
        <v>1206</v>
      </c>
      <c r="F4210"/>
      <c r="H4210" s="1">
        <v>975</v>
      </c>
      <c r="I4210"/>
      <c r="J4210" t="s">
        <v>1207</v>
      </c>
      <c r="K4210" s="170">
        <v>45930</v>
      </c>
      <c r="L4210" s="1">
        <v>0</v>
      </c>
      <c r="M4210" s="1">
        <v>45939</v>
      </c>
    </row>
    <row r="4211" spans="1:13" ht="14.4" hidden="1">
      <c r="A4211" t="s">
        <v>250</v>
      </c>
      <c r="B4211" s="1">
        <v>91</v>
      </c>
      <c r="C4211" s="258" t="s">
        <v>8802</v>
      </c>
      <c r="D4211" t="s">
        <v>1224</v>
      </c>
      <c r="F4211"/>
      <c r="H4211" s="1">
        <v>2292374</v>
      </c>
      <c r="I4211"/>
      <c r="J4211" t="s">
        <v>8803</v>
      </c>
      <c r="K4211" s="170">
        <v>45991</v>
      </c>
      <c r="L4211" s="1">
        <v>1993368.6956521741</v>
      </c>
      <c r="M4211" s="1">
        <v>46009</v>
      </c>
    </row>
    <row r="4212" spans="1:13" ht="14.4" hidden="1">
      <c r="A4212" t="s">
        <v>250</v>
      </c>
      <c r="B4212" s="1">
        <v>95</v>
      </c>
      <c r="C4212" s="258" t="s">
        <v>8804</v>
      </c>
      <c r="D4212" t="s">
        <v>1246</v>
      </c>
      <c r="E4212" t="s">
        <v>1169</v>
      </c>
      <c r="F4212">
        <v>476700</v>
      </c>
      <c r="G4212">
        <v>0.1</v>
      </c>
      <c r="H4212" s="1">
        <v>47670</v>
      </c>
      <c r="I4212"/>
      <c r="J4212" t="s">
        <v>8754</v>
      </c>
      <c r="K4212" s="170">
        <v>45869</v>
      </c>
      <c r="L4212" s="1">
        <v>43707.058830000002</v>
      </c>
      <c r="M4212" s="1">
        <v>45883</v>
      </c>
    </row>
    <row r="4213" spans="1:13" ht="14.4" hidden="1">
      <c r="A4213" t="s">
        <v>250</v>
      </c>
      <c r="B4213" s="1">
        <v>96</v>
      </c>
      <c r="C4213" s="258" t="s">
        <v>8805</v>
      </c>
      <c r="D4213" t="s">
        <v>1246</v>
      </c>
      <c r="E4213" t="s">
        <v>558</v>
      </c>
      <c r="F4213"/>
      <c r="G4213">
        <v>0.15</v>
      </c>
      <c r="H4213" s="1">
        <v>71505</v>
      </c>
      <c r="I4213"/>
      <c r="J4213" t="s">
        <v>8756</v>
      </c>
      <c r="K4213" s="170">
        <v>45869</v>
      </c>
      <c r="L4213" s="1">
        <v>65560.588244999992</v>
      </c>
      <c r="M4213" s="1">
        <v>45869</v>
      </c>
    </row>
    <row r="4214" spans="1:13" ht="14.4" hidden="1">
      <c r="A4214" t="s">
        <v>250</v>
      </c>
      <c r="B4214" s="1">
        <v>97</v>
      </c>
      <c r="C4214" s="258" t="s">
        <v>8806</v>
      </c>
      <c r="D4214" t="s">
        <v>1246</v>
      </c>
      <c r="E4214" t="s">
        <v>1175</v>
      </c>
      <c r="F4214"/>
      <c r="G4214">
        <v>0.2</v>
      </c>
      <c r="H4214" s="1">
        <v>95340</v>
      </c>
      <c r="I4214"/>
      <c r="J4214" t="s">
        <v>8758</v>
      </c>
      <c r="K4214" s="170">
        <v>45991</v>
      </c>
      <c r="L4214" s="1">
        <v>87414.117660000004</v>
      </c>
      <c r="M4214" s="1">
        <v>46009</v>
      </c>
    </row>
    <row r="4215" spans="1:13" ht="14.4" hidden="1">
      <c r="A4215" t="s">
        <v>250</v>
      </c>
      <c r="B4215" s="1">
        <v>98</v>
      </c>
      <c r="C4215" s="258" t="s">
        <v>8807</v>
      </c>
      <c r="D4215" t="s">
        <v>1246</v>
      </c>
      <c r="E4215" t="s">
        <v>1178</v>
      </c>
      <c r="F4215"/>
      <c r="G4215">
        <v>0.25</v>
      </c>
      <c r="H4215" s="1">
        <v>119175</v>
      </c>
      <c r="I4215"/>
      <c r="J4215" t="s">
        <v>8758</v>
      </c>
      <c r="K4215" s="170">
        <v>46081</v>
      </c>
      <c r="L4215" s="1">
        <v>109267.647075</v>
      </c>
      <c r="M4215" s="1">
        <v>46080</v>
      </c>
    </row>
    <row r="4216" spans="1:13" ht="14.4" hidden="1">
      <c r="A4216" t="s">
        <v>250</v>
      </c>
      <c r="B4216" s="1">
        <v>99</v>
      </c>
      <c r="C4216" s="258" t="s">
        <v>8808</v>
      </c>
      <c r="D4216" t="s">
        <v>1246</v>
      </c>
      <c r="E4216" t="s">
        <v>1181</v>
      </c>
      <c r="F4216"/>
      <c r="G4216">
        <v>0.1</v>
      </c>
      <c r="H4216" s="1">
        <v>47670</v>
      </c>
      <c r="I4216"/>
      <c r="J4216" t="s">
        <v>8758</v>
      </c>
      <c r="K4216" s="170">
        <v>46081</v>
      </c>
      <c r="L4216" s="1">
        <v>43707.058830000002</v>
      </c>
      <c r="M4216" s="1">
        <v>46085</v>
      </c>
    </row>
    <row r="4217" spans="1:13" ht="14.4" hidden="1">
      <c r="A4217" t="s">
        <v>250</v>
      </c>
      <c r="B4217" s="1">
        <v>100</v>
      </c>
      <c r="C4217" s="258" t="s">
        <v>8809</v>
      </c>
      <c r="D4217" t="s">
        <v>1246</v>
      </c>
      <c r="E4217" t="s">
        <v>1184</v>
      </c>
      <c r="F4217"/>
      <c r="G4217">
        <v>0.1</v>
      </c>
      <c r="H4217" s="1">
        <v>47670</v>
      </c>
      <c r="I4217"/>
      <c r="J4217" t="s">
        <v>8758</v>
      </c>
      <c r="K4217" s="170">
        <v>46081</v>
      </c>
      <c r="L4217" s="1">
        <v>43707.058830000002</v>
      </c>
      <c r="M4217" s="1">
        <v>46090</v>
      </c>
    </row>
    <row r="4218" spans="1:13" ht="14.4" hidden="1">
      <c r="A4218" t="s">
        <v>250</v>
      </c>
      <c r="B4218" s="1">
        <v>101</v>
      </c>
      <c r="C4218" s="258" t="s">
        <v>8810</v>
      </c>
      <c r="D4218" t="s">
        <v>1246</v>
      </c>
      <c r="E4218" t="s">
        <v>1187</v>
      </c>
      <c r="F4218"/>
      <c r="G4218">
        <v>0.05</v>
      </c>
      <c r="H4218" s="1">
        <v>23835</v>
      </c>
      <c r="I4218"/>
      <c r="J4218" t="s">
        <v>8758</v>
      </c>
      <c r="K4218" s="170">
        <v>46081</v>
      </c>
      <c r="L4218" s="1">
        <v>21853.529415000001</v>
      </c>
      <c r="M4218" s="1">
        <v>46090</v>
      </c>
    </row>
    <row r="4219" spans="1:13" ht="14.4" hidden="1">
      <c r="A4219" t="s">
        <v>250</v>
      </c>
      <c r="B4219" s="1">
        <v>102</v>
      </c>
      <c r="C4219" s="258" t="s">
        <v>8811</v>
      </c>
      <c r="D4219" t="s">
        <v>1246</v>
      </c>
      <c r="E4219" t="s">
        <v>1190</v>
      </c>
      <c r="F4219"/>
      <c r="G4219">
        <v>0.05</v>
      </c>
      <c r="H4219" s="1">
        <v>23835</v>
      </c>
      <c r="I4219"/>
      <c r="J4219" t="s">
        <v>8758</v>
      </c>
      <c r="K4219" s="170">
        <v>46081</v>
      </c>
      <c r="L4219" s="1">
        <v>21853.529415000001</v>
      </c>
      <c r="M4219" s="1">
        <v>46113</v>
      </c>
    </row>
    <row r="4220" spans="1:13" ht="14.4" hidden="1">
      <c r="A4220" t="s">
        <v>250</v>
      </c>
      <c r="B4220" s="1">
        <v>111</v>
      </c>
      <c r="C4220" s="258" t="s">
        <v>8812</v>
      </c>
      <c r="D4220" t="s">
        <v>1255</v>
      </c>
      <c r="E4220" t="s">
        <v>1169</v>
      </c>
      <c r="F4220">
        <v>151047.5</v>
      </c>
      <c r="G4220">
        <v>0.1</v>
      </c>
      <c r="H4220" s="1">
        <v>15104.75</v>
      </c>
      <c r="I4220"/>
      <c r="J4220" t="s">
        <v>8754</v>
      </c>
      <c r="K4220" s="170">
        <v>45869</v>
      </c>
      <c r="L4220" s="1">
        <v>6836.0588235000005</v>
      </c>
      <c r="M4220" s="1">
        <v>45883</v>
      </c>
    </row>
    <row r="4221" spans="1:13" ht="14.4" hidden="1">
      <c r="A4221" t="s">
        <v>250</v>
      </c>
      <c r="B4221" s="1">
        <v>112</v>
      </c>
      <c r="C4221" s="258" t="s">
        <v>8813</v>
      </c>
      <c r="D4221" t="s">
        <v>1255</v>
      </c>
      <c r="E4221" t="s">
        <v>558</v>
      </c>
      <c r="F4221"/>
      <c r="G4221">
        <v>0.15</v>
      </c>
      <c r="H4221" s="1">
        <v>22657.125</v>
      </c>
      <c r="I4221"/>
      <c r="J4221" t="s">
        <v>8756</v>
      </c>
      <c r="K4221" s="170">
        <v>45869</v>
      </c>
      <c r="L4221" s="1">
        <v>10254.088235249999</v>
      </c>
      <c r="M4221" s="1">
        <v>45869</v>
      </c>
    </row>
    <row r="4222" spans="1:13" ht="14.4" hidden="1">
      <c r="A4222" t="s">
        <v>250</v>
      </c>
      <c r="B4222" s="1">
        <v>113</v>
      </c>
      <c r="C4222" s="258" t="s">
        <v>8814</v>
      </c>
      <c r="D4222" t="s">
        <v>1255</v>
      </c>
      <c r="F4222"/>
      <c r="H4222" s="1">
        <v>-0.01</v>
      </c>
      <c r="I4222"/>
      <c r="J4222" t="s">
        <v>8756</v>
      </c>
      <c r="K4222" s="170">
        <v>45900</v>
      </c>
      <c r="L4222" s="1">
        <v>0</v>
      </c>
      <c r="M4222" s="1">
        <v>45900</v>
      </c>
    </row>
    <row r="4223" spans="1:13" ht="14.4" hidden="1">
      <c r="A4223" t="s">
        <v>250</v>
      </c>
      <c r="B4223" s="1">
        <v>114</v>
      </c>
      <c r="C4223" s="258" t="s">
        <v>8815</v>
      </c>
      <c r="D4223" t="s">
        <v>1255</v>
      </c>
      <c r="E4223" t="s">
        <v>1175</v>
      </c>
      <c r="F4223"/>
      <c r="G4223">
        <v>0.2</v>
      </c>
      <c r="H4223" s="1">
        <v>30209.5</v>
      </c>
      <c r="I4223"/>
      <c r="J4223" t="s">
        <v>8758</v>
      </c>
      <c r="K4223" s="170">
        <v>45991</v>
      </c>
      <c r="L4223" s="1">
        <v>13672.109457307282</v>
      </c>
      <c r="M4223" s="1">
        <v>46009</v>
      </c>
    </row>
    <row r="4224" spans="1:13" ht="14.4" hidden="1">
      <c r="A4224" t="s">
        <v>250</v>
      </c>
      <c r="B4224" s="1">
        <v>115</v>
      </c>
      <c r="C4224" s="258" t="s">
        <v>8816</v>
      </c>
      <c r="D4224" t="s">
        <v>1255</v>
      </c>
      <c r="F4224"/>
      <c r="H4224" s="1">
        <v>-0.01</v>
      </c>
      <c r="I4224"/>
      <c r="J4224" t="s">
        <v>8758</v>
      </c>
      <c r="K4224" s="170">
        <v>45900</v>
      </c>
      <c r="L4224" s="1">
        <v>0</v>
      </c>
      <c r="M4224" s="1">
        <v>45900</v>
      </c>
    </row>
    <row r="4225" spans="1:14" ht="14.4" hidden="1">
      <c r="A4225" t="s">
        <v>250</v>
      </c>
      <c r="B4225" s="1">
        <v>116</v>
      </c>
      <c r="C4225" s="258" t="s">
        <v>8817</v>
      </c>
      <c r="D4225" t="s">
        <v>1255</v>
      </c>
      <c r="E4225" t="s">
        <v>1178</v>
      </c>
      <c r="F4225"/>
      <c r="G4225">
        <v>0.25</v>
      </c>
      <c r="H4225" s="1">
        <v>37761.875</v>
      </c>
      <c r="I4225"/>
      <c r="J4225" t="s">
        <v>8758</v>
      </c>
      <c r="K4225" s="170">
        <v>46081</v>
      </c>
      <c r="L4225" s="1">
        <v>17090.149321634108</v>
      </c>
      <c r="M4225" s="1">
        <v>46080</v>
      </c>
    </row>
    <row r="4226" spans="1:14" ht="14.4" hidden="1">
      <c r="A4226" t="s">
        <v>250</v>
      </c>
      <c r="B4226" s="1">
        <v>117</v>
      </c>
      <c r="C4226" s="258" t="s">
        <v>8818</v>
      </c>
      <c r="D4226" t="s">
        <v>1255</v>
      </c>
      <c r="E4226" t="s">
        <v>1181</v>
      </c>
      <c r="F4226"/>
      <c r="G4226">
        <v>0.1</v>
      </c>
      <c r="H4226" s="1">
        <v>15104.75</v>
      </c>
      <c r="I4226"/>
      <c r="J4226" t="s">
        <v>8758</v>
      </c>
      <c r="K4226" s="170">
        <v>46081</v>
      </c>
      <c r="L4226" s="1">
        <v>6836.0597286536413</v>
      </c>
      <c r="M4226" s="1">
        <v>46085</v>
      </c>
    </row>
    <row r="4227" spans="1:14" ht="14.4" hidden="1">
      <c r="A4227" t="s">
        <v>250</v>
      </c>
      <c r="B4227" s="1">
        <v>118</v>
      </c>
      <c r="C4227" s="258" t="s">
        <v>8819</v>
      </c>
      <c r="D4227" t="s">
        <v>1255</v>
      </c>
      <c r="E4227" t="s">
        <v>1184</v>
      </c>
      <c r="F4227"/>
      <c r="G4227">
        <v>0.1</v>
      </c>
      <c r="H4227" s="1">
        <v>15104.75</v>
      </c>
      <c r="I4227"/>
      <c r="J4227" t="s">
        <v>8758</v>
      </c>
      <c r="K4227" s="170">
        <v>46081</v>
      </c>
      <c r="L4227" s="1">
        <v>6836.0597286536413</v>
      </c>
      <c r="M4227" s="1">
        <v>46090</v>
      </c>
    </row>
    <row r="4228" spans="1:14" ht="14.4" hidden="1">
      <c r="A4228" t="s">
        <v>250</v>
      </c>
      <c r="B4228" s="1">
        <v>119</v>
      </c>
      <c r="C4228" s="258" t="s">
        <v>8820</v>
      </c>
      <c r="D4228" t="s">
        <v>1255</v>
      </c>
      <c r="E4228" t="s">
        <v>1187</v>
      </c>
      <c r="F4228"/>
      <c r="G4228">
        <v>0.05</v>
      </c>
      <c r="H4228" s="1">
        <v>7552.375</v>
      </c>
      <c r="I4228"/>
      <c r="J4228" t="s">
        <v>8758</v>
      </c>
      <c r="K4228" s="170">
        <v>46081</v>
      </c>
      <c r="L4228" s="1">
        <v>3418.0298643268206</v>
      </c>
      <c r="M4228" s="1">
        <v>46090</v>
      </c>
    </row>
    <row r="4229" spans="1:14" ht="14.4" hidden="1">
      <c r="A4229" t="s">
        <v>250</v>
      </c>
      <c r="B4229" s="1">
        <v>120</v>
      </c>
      <c r="C4229" s="258" t="s">
        <v>8821</v>
      </c>
      <c r="D4229" t="s">
        <v>1255</v>
      </c>
      <c r="E4229" t="s">
        <v>1190</v>
      </c>
      <c r="F4229"/>
      <c r="G4229">
        <v>0.05</v>
      </c>
      <c r="H4229" s="1">
        <v>7552.375</v>
      </c>
      <c r="I4229"/>
      <c r="J4229" t="s">
        <v>8758</v>
      </c>
      <c r="K4229" s="170">
        <v>46081</v>
      </c>
      <c r="L4229" s="1">
        <v>3418.0298643268206</v>
      </c>
      <c r="M4229" s="1">
        <v>46113</v>
      </c>
    </row>
    <row r="4230" spans="1:14" ht="14.4" hidden="1">
      <c r="A4230" t="s">
        <v>250</v>
      </c>
      <c r="B4230" s="1">
        <v>125</v>
      </c>
      <c r="C4230" s="258" t="s">
        <v>8822</v>
      </c>
      <c r="D4230" t="s">
        <v>1264</v>
      </c>
      <c r="E4230" t="s">
        <v>1265</v>
      </c>
      <c r="F4230"/>
      <c r="H4230" s="1">
        <v>11349</v>
      </c>
      <c r="I4230"/>
      <c r="J4230"/>
      <c r="K4230" s="170">
        <v>46081</v>
      </c>
      <c r="L4230" s="1">
        <v>22468.504335258127</v>
      </c>
      <c r="M4230" s="1">
        <v>46081</v>
      </c>
      <c r="N4230" s="1">
        <v>65408.13</v>
      </c>
    </row>
    <row r="4231" spans="1:14" ht="14.4" hidden="1">
      <c r="A4231" t="s">
        <v>250</v>
      </c>
      <c r="B4231" s="1">
        <v>126</v>
      </c>
      <c r="C4231" s="258" t="s">
        <v>8823</v>
      </c>
      <c r="D4231" t="s">
        <v>1264</v>
      </c>
      <c r="E4231" t="s">
        <v>1268</v>
      </c>
      <c r="F4231"/>
      <c r="H4231" s="1">
        <v>10650</v>
      </c>
      <c r="I4231" t="s">
        <v>8824</v>
      </c>
      <c r="J4231" t="s">
        <v>8825</v>
      </c>
      <c r="K4231" s="170">
        <v>45777</v>
      </c>
      <c r="L4231" s="1">
        <v>17839.415657202251</v>
      </c>
      <c r="M4231" s="1">
        <v>45862</v>
      </c>
    </row>
    <row r="4232" spans="1:14" ht="14.4" hidden="1">
      <c r="A4232" t="s">
        <v>250</v>
      </c>
      <c r="B4232" s="1">
        <v>127</v>
      </c>
      <c r="C4232" s="258" t="s">
        <v>8826</v>
      </c>
      <c r="D4232" t="s">
        <v>1264</v>
      </c>
      <c r="E4232" t="s">
        <v>1271</v>
      </c>
      <c r="F4232"/>
      <c r="H4232" s="1">
        <v>35409.129999999997</v>
      </c>
      <c r="I4232" t="s">
        <v>8827</v>
      </c>
      <c r="J4232" t="s">
        <v>8828</v>
      </c>
      <c r="K4232" s="170">
        <v>45961</v>
      </c>
      <c r="L4232" s="1">
        <v>66714.991470210472</v>
      </c>
      <c r="M4232" s="1">
        <v>45954</v>
      </c>
    </row>
    <row r="4233" spans="1:14" ht="14.4" hidden="1">
      <c r="A4233" t="s">
        <v>250</v>
      </c>
      <c r="B4233" s="1">
        <v>128</v>
      </c>
      <c r="C4233" s="258" t="s">
        <v>8829</v>
      </c>
      <c r="D4233" t="s">
        <v>1264</v>
      </c>
      <c r="E4233" t="s">
        <v>3853</v>
      </c>
      <c r="F4233"/>
      <c r="H4233" s="1">
        <v>8000</v>
      </c>
      <c r="I4233"/>
      <c r="J4233"/>
      <c r="K4233" s="170">
        <v>46081</v>
      </c>
      <c r="L4233" s="1">
        <v>3620.6145635796111</v>
      </c>
      <c r="M4233" s="1">
        <v>46081</v>
      </c>
    </row>
    <row r="4234" spans="1:14" ht="14.4" hidden="1">
      <c r="A4234" t="s">
        <v>250</v>
      </c>
      <c r="B4234" s="1">
        <v>134</v>
      </c>
      <c r="C4234" s="258" t="s">
        <v>8830</v>
      </c>
      <c r="D4234" t="s">
        <v>1277</v>
      </c>
      <c r="E4234" t="s">
        <v>1278</v>
      </c>
      <c r="F4234"/>
      <c r="H4234" s="1">
        <v>58003.7235</v>
      </c>
      <c r="I4234"/>
      <c r="J4234"/>
      <c r="K4234" s="170">
        <v>46081</v>
      </c>
      <c r="L4234" s="1">
        <v>62427.395663677111</v>
      </c>
      <c r="M4234" s="1">
        <v>46081</v>
      </c>
      <c r="N4234" s="1">
        <v>247203.72349999999</v>
      </c>
    </row>
    <row r="4235" spans="1:14" ht="14.4" hidden="1">
      <c r="A4235" t="s">
        <v>250</v>
      </c>
      <c r="B4235" s="1">
        <v>135</v>
      </c>
      <c r="C4235" s="258" t="s">
        <v>8831</v>
      </c>
      <c r="D4235" t="s">
        <v>1277</v>
      </c>
      <c r="E4235" t="s">
        <v>1903</v>
      </c>
      <c r="F4235"/>
      <c r="H4235" s="1">
        <v>32000</v>
      </c>
      <c r="I4235"/>
      <c r="J4235"/>
      <c r="K4235" s="170">
        <v>46081</v>
      </c>
      <c r="L4235" s="1">
        <v>34440.490035741714</v>
      </c>
      <c r="M4235" s="1">
        <v>46081</v>
      </c>
    </row>
    <row r="4236" spans="1:14" ht="14.4" hidden="1">
      <c r="A4236" t="s">
        <v>250</v>
      </c>
      <c r="B4236" s="1">
        <v>136</v>
      </c>
      <c r="C4236" s="258" t="s">
        <v>8832</v>
      </c>
      <c r="D4236" t="s">
        <v>1277</v>
      </c>
      <c r="E4236" t="s">
        <v>1905</v>
      </c>
      <c r="F4236"/>
      <c r="H4236" s="1">
        <v>81600</v>
      </c>
      <c r="I4236"/>
      <c r="J4236"/>
      <c r="K4236" s="170">
        <v>46081</v>
      </c>
      <c r="L4236" s="1">
        <v>87823.249591141372</v>
      </c>
      <c r="M4236" s="1">
        <v>46081</v>
      </c>
    </row>
    <row r="4237" spans="1:14" ht="14.4" hidden="1">
      <c r="A4237" t="s">
        <v>250</v>
      </c>
      <c r="B4237" s="1">
        <v>137</v>
      </c>
      <c r="C4237" s="258" t="s">
        <v>8833</v>
      </c>
      <c r="D4237" t="s">
        <v>1277</v>
      </c>
      <c r="E4237" t="s">
        <v>1907</v>
      </c>
      <c r="F4237"/>
      <c r="H4237" s="1">
        <v>41600</v>
      </c>
      <c r="I4237"/>
      <c r="J4237"/>
      <c r="K4237" s="170">
        <v>46081</v>
      </c>
      <c r="L4237" s="1">
        <v>44772.637046464231</v>
      </c>
      <c r="M4237" s="1">
        <v>46081</v>
      </c>
    </row>
    <row r="4238" spans="1:14" ht="14.4" hidden="1">
      <c r="A4238" t="s">
        <v>250</v>
      </c>
      <c r="B4238" s="1">
        <v>138</v>
      </c>
      <c r="C4238" s="258" t="s">
        <v>8834</v>
      </c>
      <c r="D4238" t="s">
        <v>1277</v>
      </c>
      <c r="E4238" t="s">
        <v>1909</v>
      </c>
      <c r="F4238"/>
      <c r="H4238" s="1">
        <v>34000</v>
      </c>
      <c r="I4238"/>
      <c r="J4238"/>
      <c r="K4238" s="170">
        <v>46081</v>
      </c>
      <c r="L4238" s="1">
        <v>36593.02066297557</v>
      </c>
      <c r="M4238" s="1">
        <v>46081</v>
      </c>
    </row>
    <row r="4239" spans="1:14" ht="14.4" hidden="1">
      <c r="A4239" t="s">
        <v>250</v>
      </c>
      <c r="B4239" s="1">
        <v>141</v>
      </c>
      <c r="C4239" s="258" t="s">
        <v>8835</v>
      </c>
      <c r="D4239" t="s">
        <v>1280</v>
      </c>
      <c r="E4239" t="s">
        <v>1281</v>
      </c>
      <c r="F4239"/>
      <c r="H4239" s="1">
        <v>119</v>
      </c>
      <c r="I4239"/>
      <c r="J4239" t="s">
        <v>1604</v>
      </c>
      <c r="K4239" s="170">
        <v>45777</v>
      </c>
      <c r="L4239" s="1">
        <v>154.43339402689452</v>
      </c>
      <c r="M4239" s="1">
        <v>45785</v>
      </c>
      <c r="N4239" s="1">
        <v>3092.0799999999622</v>
      </c>
    </row>
    <row r="4240" spans="1:14" ht="14.4" hidden="1">
      <c r="A4240" t="s">
        <v>250</v>
      </c>
      <c r="B4240" s="1">
        <v>142</v>
      </c>
      <c r="C4240" s="258" t="s">
        <v>8836</v>
      </c>
      <c r="D4240" t="s">
        <v>1280</v>
      </c>
      <c r="E4240" t="s">
        <v>1281</v>
      </c>
      <c r="F4240"/>
      <c r="H4240" s="1">
        <v>199.91999999996273</v>
      </c>
      <c r="I4240"/>
      <c r="J4240" t="s">
        <v>1604</v>
      </c>
      <c r="K4240" s="170">
        <v>45808</v>
      </c>
      <c r="L4240" s="1">
        <v>282.39405266859563</v>
      </c>
      <c r="M4240" s="1">
        <v>45817</v>
      </c>
    </row>
    <row r="4241" spans="1:14" ht="14.4" hidden="1">
      <c r="A4241" t="s">
        <v>250</v>
      </c>
      <c r="B4241" s="1">
        <v>143</v>
      </c>
      <c r="C4241" s="258" t="s">
        <v>8837</v>
      </c>
      <c r="D4241" t="s">
        <v>1280</v>
      </c>
      <c r="E4241" t="s">
        <v>1281</v>
      </c>
      <c r="F4241"/>
      <c r="H4241" s="1">
        <v>0</v>
      </c>
      <c r="I4241"/>
      <c r="J4241" t="s">
        <v>1604</v>
      </c>
      <c r="K4241" s="170">
        <v>45838</v>
      </c>
      <c r="L4241" s="1">
        <v>0</v>
      </c>
      <c r="M4241" s="1">
        <v>45838</v>
      </c>
    </row>
    <row r="4242" spans="1:14" ht="14.4" hidden="1">
      <c r="A4242" t="s">
        <v>250</v>
      </c>
      <c r="B4242" s="1">
        <v>144</v>
      </c>
      <c r="C4242" s="258" t="s">
        <v>8838</v>
      </c>
      <c r="D4242" t="s">
        <v>1280</v>
      </c>
      <c r="E4242" t="s">
        <v>1281</v>
      </c>
      <c r="F4242"/>
      <c r="H4242" s="1">
        <v>233.24</v>
      </c>
      <c r="I4242"/>
      <c r="J4242" t="s">
        <v>1604</v>
      </c>
      <c r="K4242" s="170">
        <v>45869</v>
      </c>
      <c r="L4242" s="1">
        <v>540.89342495598294</v>
      </c>
      <c r="M4242" s="1">
        <v>45876</v>
      </c>
    </row>
    <row r="4243" spans="1:14" ht="14.4" hidden="1">
      <c r="A4243" t="s">
        <v>250</v>
      </c>
      <c r="B4243" s="1">
        <v>145</v>
      </c>
      <c r="C4243" s="258" t="s">
        <v>8839</v>
      </c>
      <c r="D4243" t="s">
        <v>1280</v>
      </c>
      <c r="E4243" t="s">
        <v>1281</v>
      </c>
      <c r="F4243"/>
      <c r="H4243" s="1">
        <v>0</v>
      </c>
      <c r="I4243"/>
      <c r="J4243" t="s">
        <v>1604</v>
      </c>
      <c r="K4243" s="170">
        <v>45900</v>
      </c>
      <c r="L4243" s="1">
        <v>0</v>
      </c>
      <c r="M4243" s="1">
        <v>45900</v>
      </c>
    </row>
    <row r="4244" spans="1:14" ht="14.4" hidden="1">
      <c r="A4244" t="s">
        <v>250</v>
      </c>
      <c r="B4244" s="1">
        <v>146</v>
      </c>
      <c r="C4244" s="258" t="s">
        <v>8840</v>
      </c>
      <c r="D4244" t="s">
        <v>1280</v>
      </c>
      <c r="E4244" t="s">
        <v>1281</v>
      </c>
      <c r="F4244"/>
      <c r="H4244" s="1">
        <v>0</v>
      </c>
      <c r="I4244"/>
      <c r="J4244" t="s">
        <v>1604</v>
      </c>
      <c r="K4244" s="170">
        <v>45930</v>
      </c>
      <c r="L4244" s="1">
        <v>0</v>
      </c>
      <c r="M4244" s="1">
        <v>45930</v>
      </c>
    </row>
    <row r="4245" spans="1:14" ht="14.4" hidden="1">
      <c r="A4245" t="s">
        <v>250</v>
      </c>
      <c r="B4245" s="1">
        <v>147</v>
      </c>
      <c r="C4245" s="258" t="s">
        <v>8841</v>
      </c>
      <c r="D4245" t="s">
        <v>1280</v>
      </c>
      <c r="E4245" t="s">
        <v>1281</v>
      </c>
      <c r="F4245"/>
      <c r="H4245" s="1">
        <v>95.2</v>
      </c>
      <c r="I4245"/>
      <c r="J4245" t="s">
        <v>1604</v>
      </c>
      <c r="K4245" s="170">
        <v>45961</v>
      </c>
      <c r="L4245" s="1">
        <v>295.24</v>
      </c>
      <c r="M4245" s="1">
        <v>45967</v>
      </c>
    </row>
    <row r="4246" spans="1:14" ht="14.4" hidden="1">
      <c r="A4246" t="s">
        <v>250</v>
      </c>
      <c r="B4246" s="1">
        <v>148</v>
      </c>
      <c r="C4246" s="258" t="s">
        <v>8842</v>
      </c>
      <c r="D4246" t="s">
        <v>1280</v>
      </c>
      <c r="E4246" t="s">
        <v>1281</v>
      </c>
      <c r="F4246"/>
      <c r="H4246" s="1">
        <v>0</v>
      </c>
      <c r="I4246"/>
      <c r="J4246" t="s">
        <v>1604</v>
      </c>
      <c r="K4246" s="170">
        <v>45991</v>
      </c>
      <c r="L4246" s="1">
        <v>0</v>
      </c>
      <c r="M4246" s="1">
        <v>45991</v>
      </c>
    </row>
    <row r="4247" spans="1:14" ht="14.4" hidden="1">
      <c r="A4247" t="s">
        <v>250</v>
      </c>
      <c r="B4247" s="1">
        <v>149</v>
      </c>
      <c r="C4247" s="258" t="s">
        <v>8843</v>
      </c>
      <c r="D4247" t="s">
        <v>1280</v>
      </c>
      <c r="E4247" t="s">
        <v>1281</v>
      </c>
      <c r="F4247"/>
      <c r="H4247" s="1">
        <v>104.72</v>
      </c>
      <c r="I4247"/>
      <c r="J4247" t="s">
        <v>1604</v>
      </c>
      <c r="K4247" s="170">
        <v>46022</v>
      </c>
      <c r="L4247" s="1">
        <v>419.6221583868446</v>
      </c>
      <c r="M4247" s="1">
        <v>46030</v>
      </c>
    </row>
    <row r="4248" spans="1:14" ht="14.4" hidden="1">
      <c r="A4248" t="s">
        <v>250</v>
      </c>
      <c r="B4248" s="1">
        <v>150</v>
      </c>
      <c r="C4248" s="258" t="s">
        <v>8844</v>
      </c>
      <c r="D4248" t="s">
        <v>1280</v>
      </c>
      <c r="E4248" t="s">
        <v>1281</v>
      </c>
      <c r="F4248"/>
      <c r="H4248" s="1">
        <v>0</v>
      </c>
      <c r="I4248"/>
      <c r="J4248" t="s">
        <v>1604</v>
      </c>
      <c r="K4248" s="170">
        <v>46053</v>
      </c>
      <c r="L4248" s="1">
        <v>0</v>
      </c>
      <c r="M4248" s="1">
        <v>46058</v>
      </c>
    </row>
    <row r="4249" spans="1:14" ht="14.4" hidden="1">
      <c r="A4249" t="s">
        <v>250</v>
      </c>
      <c r="B4249" s="1">
        <v>151</v>
      </c>
      <c r="C4249" s="258" t="s">
        <v>8845</v>
      </c>
      <c r="D4249" t="s">
        <v>1280</v>
      </c>
      <c r="E4249" t="s">
        <v>1281</v>
      </c>
      <c r="F4249"/>
      <c r="H4249" s="1">
        <v>780</v>
      </c>
      <c r="I4249"/>
      <c r="J4249"/>
      <c r="K4249" s="170">
        <v>46081</v>
      </c>
      <c r="L4249" s="1">
        <v>2337.0904336110598</v>
      </c>
      <c r="M4249" s="1">
        <v>46088</v>
      </c>
    </row>
    <row r="4250" spans="1:14" ht="14.4" hidden="1">
      <c r="A4250" t="s">
        <v>250</v>
      </c>
      <c r="B4250" s="1">
        <v>152</v>
      </c>
      <c r="C4250" s="258" t="s">
        <v>8846</v>
      </c>
      <c r="D4250" t="s">
        <v>1280</v>
      </c>
      <c r="E4250" t="s">
        <v>1281</v>
      </c>
      <c r="F4250"/>
      <c r="H4250" s="1">
        <v>780</v>
      </c>
      <c r="I4250"/>
      <c r="J4250"/>
      <c r="K4250" s="170">
        <v>46112</v>
      </c>
      <c r="L4250" s="1">
        <v>2337.0904336110598</v>
      </c>
      <c r="M4250" s="1">
        <v>46121</v>
      </c>
    </row>
    <row r="4251" spans="1:14" ht="14.4" hidden="1">
      <c r="A4251" t="s">
        <v>250</v>
      </c>
      <c r="B4251" s="1">
        <v>153</v>
      </c>
      <c r="C4251" s="258" t="s">
        <v>8847</v>
      </c>
      <c r="D4251" t="s">
        <v>1280</v>
      </c>
      <c r="E4251" t="s">
        <v>1281</v>
      </c>
      <c r="F4251"/>
      <c r="H4251" s="1">
        <v>780</v>
      </c>
      <c r="I4251"/>
      <c r="J4251"/>
      <c r="K4251" s="170">
        <v>46142</v>
      </c>
      <c r="L4251" s="1">
        <v>2337.0904336110598</v>
      </c>
      <c r="M4251" s="1">
        <v>46149</v>
      </c>
    </row>
    <row r="4252" spans="1:14" ht="14.4" hidden="1">
      <c r="A4252" t="s">
        <v>254</v>
      </c>
      <c r="B4252" s="1">
        <v>6</v>
      </c>
      <c r="C4252" s="258" t="s">
        <v>8848</v>
      </c>
      <c r="D4252" t="s">
        <v>1146</v>
      </c>
      <c r="E4252" t="s">
        <v>8849</v>
      </c>
      <c r="F4252">
        <v>93</v>
      </c>
      <c r="G4252">
        <v>1150.5</v>
      </c>
      <c r="H4252" s="1">
        <v>106996.5</v>
      </c>
      <c r="I4252"/>
      <c r="J4252" t="s">
        <v>8850</v>
      </c>
      <c r="K4252" s="170">
        <v>45930</v>
      </c>
      <c r="L4252" s="1">
        <v>199846.34501225292</v>
      </c>
      <c r="M4252" s="1">
        <v>45989</v>
      </c>
      <c r="N4252" s="1">
        <v>109496.5</v>
      </c>
    </row>
    <row r="4253" spans="1:14" ht="14.4" hidden="1">
      <c r="A4253" t="s">
        <v>254</v>
      </c>
      <c r="B4253" s="1">
        <v>7</v>
      </c>
      <c r="C4253" s="258" t="s">
        <v>8851</v>
      </c>
      <c r="D4253" t="s">
        <v>1146</v>
      </c>
      <c r="F4253"/>
      <c r="H4253" s="1">
        <v>2500</v>
      </c>
      <c r="I4253"/>
      <c r="J4253" t="s">
        <v>8850</v>
      </c>
      <c r="K4253" s="170">
        <v>45930</v>
      </c>
      <c r="L4253" s="1">
        <v>4669.4598657959123</v>
      </c>
      <c r="M4253" s="1">
        <v>45989</v>
      </c>
    </row>
    <row r="4254" spans="1:14" ht="14.4" hidden="1">
      <c r="A4254" t="s">
        <v>254</v>
      </c>
      <c r="B4254" s="1">
        <v>13</v>
      </c>
      <c r="C4254" s="258" t="s">
        <v>8852</v>
      </c>
      <c r="D4254" t="s">
        <v>1157</v>
      </c>
      <c r="E4254" t="s">
        <v>8853</v>
      </c>
      <c r="F4254">
        <v>1</v>
      </c>
      <c r="G4254">
        <v>43606.080000000002</v>
      </c>
      <c r="H4254" s="1">
        <v>45062.94</v>
      </c>
      <c r="I4254"/>
      <c r="J4254" t="s">
        <v>8854</v>
      </c>
      <c r="K4254" s="170">
        <v>45900</v>
      </c>
      <c r="L4254" s="1">
        <v>57926.829268292691</v>
      </c>
      <c r="M4254" s="1">
        <v>45900</v>
      </c>
      <c r="N4254" s="1">
        <v>45062.94</v>
      </c>
    </row>
    <row r="4255" spans="1:14" ht="14.4" hidden="1">
      <c r="A4255" t="s">
        <v>254</v>
      </c>
      <c r="B4255" s="1">
        <v>21</v>
      </c>
      <c r="C4255" s="258" t="s">
        <v>8855</v>
      </c>
      <c r="D4255" t="s">
        <v>1160</v>
      </c>
      <c r="E4255" t="s">
        <v>1161</v>
      </c>
      <c r="F4255"/>
      <c r="H4255" s="1">
        <v>41240.97</v>
      </c>
      <c r="I4255" t="s">
        <v>8856</v>
      </c>
      <c r="J4255" t="s">
        <v>8857</v>
      </c>
      <c r="K4255" s="170">
        <v>45930</v>
      </c>
      <c r="L4255" s="1">
        <v>57389.268292682922</v>
      </c>
      <c r="M4255" s="1">
        <v>45960</v>
      </c>
      <c r="N4255" s="1">
        <v>46570.22</v>
      </c>
    </row>
    <row r="4256" spans="1:14" ht="14.4" hidden="1">
      <c r="A4256" t="s">
        <v>254</v>
      </c>
      <c r="B4256" s="1">
        <v>23</v>
      </c>
      <c r="C4256" s="258" t="s">
        <v>8858</v>
      </c>
      <c r="D4256" t="s">
        <v>1160</v>
      </c>
      <c r="E4256" t="s">
        <v>7645</v>
      </c>
      <c r="F4256"/>
      <c r="H4256" s="1">
        <v>5329.25</v>
      </c>
      <c r="I4256" t="s">
        <v>8859</v>
      </c>
      <c r="J4256" t="s">
        <v>8860</v>
      </c>
      <c r="K4256" s="170">
        <v>45961</v>
      </c>
      <c r="L4256" s="1">
        <v>0</v>
      </c>
      <c r="M4256" s="1">
        <v>45989</v>
      </c>
    </row>
    <row r="4257" spans="1:14" ht="14.4" hidden="1">
      <c r="A4257" t="s">
        <v>254</v>
      </c>
      <c r="B4257" s="1">
        <v>28</v>
      </c>
      <c r="C4257" s="258" t="s">
        <v>8861</v>
      </c>
      <c r="D4257" t="s">
        <v>1165</v>
      </c>
      <c r="E4257" t="s">
        <v>1953</v>
      </c>
      <c r="F4257">
        <v>4000</v>
      </c>
      <c r="G4257">
        <v>14</v>
      </c>
      <c r="H4257" s="1">
        <v>54600</v>
      </c>
      <c r="I4257"/>
      <c r="J4257" t="s">
        <v>8850</v>
      </c>
      <c r="K4257" s="170">
        <v>45930</v>
      </c>
      <c r="L4257" s="1">
        <v>60125.08945277879</v>
      </c>
      <c r="M4257" s="1">
        <v>45989</v>
      </c>
      <c r="N4257" s="1">
        <v>96597</v>
      </c>
    </row>
    <row r="4258" spans="1:14" ht="14.4" hidden="1">
      <c r="A4258" t="s">
        <v>254</v>
      </c>
      <c r="B4258" s="1">
        <v>32</v>
      </c>
      <c r="C4258" s="258" t="s">
        <v>8862</v>
      </c>
      <c r="D4258" t="s">
        <v>1165</v>
      </c>
      <c r="E4258" t="s">
        <v>1169</v>
      </c>
      <c r="F4258">
        <v>41990</v>
      </c>
      <c r="G4258">
        <v>0.1</v>
      </c>
      <c r="H4258" s="1">
        <v>4199</v>
      </c>
      <c r="I4258" t="s">
        <v>8863</v>
      </c>
      <c r="J4258" t="s">
        <v>8864</v>
      </c>
      <c r="K4258" s="170">
        <v>45930</v>
      </c>
      <c r="L4258" s="1">
        <v>4623.9056888684636</v>
      </c>
      <c r="M4258" s="1">
        <v>45918</v>
      </c>
    </row>
    <row r="4259" spans="1:14" ht="14.4" hidden="1">
      <c r="A4259" t="s">
        <v>254</v>
      </c>
      <c r="B4259" s="1">
        <v>33</v>
      </c>
      <c r="C4259" s="258" t="s">
        <v>8865</v>
      </c>
      <c r="D4259" t="s">
        <v>1165</v>
      </c>
      <c r="E4259" t="s">
        <v>558</v>
      </c>
      <c r="F4259"/>
      <c r="G4259">
        <v>0.15</v>
      </c>
      <c r="H4259" s="1">
        <v>6298.5</v>
      </c>
      <c r="I4259"/>
      <c r="J4259" t="s">
        <v>8866</v>
      </c>
      <c r="K4259" s="170">
        <v>45961</v>
      </c>
      <c r="L4259" s="1">
        <v>6935.8585333026958</v>
      </c>
      <c r="M4259" s="1">
        <v>45954</v>
      </c>
    </row>
    <row r="4260" spans="1:14" ht="14.4" hidden="1">
      <c r="A4260" t="s">
        <v>254</v>
      </c>
      <c r="B4260" s="1">
        <v>34</v>
      </c>
      <c r="C4260" s="258" t="s">
        <v>8867</v>
      </c>
      <c r="D4260" t="s">
        <v>1165</v>
      </c>
      <c r="E4260" t="s">
        <v>1175</v>
      </c>
      <c r="F4260"/>
      <c r="G4260">
        <v>0.2</v>
      </c>
      <c r="H4260" s="1">
        <v>8398</v>
      </c>
      <c r="I4260"/>
      <c r="J4260" t="s">
        <v>8868</v>
      </c>
      <c r="K4260" s="170">
        <v>45991</v>
      </c>
      <c r="L4260" s="1">
        <v>9247.8113777369272</v>
      </c>
      <c r="M4260" s="1">
        <v>45995</v>
      </c>
    </row>
    <row r="4261" spans="1:14" ht="14.4" hidden="1">
      <c r="A4261" t="s">
        <v>254</v>
      </c>
      <c r="B4261" s="1">
        <v>35</v>
      </c>
      <c r="C4261" s="258" t="s">
        <v>8869</v>
      </c>
      <c r="D4261" t="s">
        <v>1165</v>
      </c>
      <c r="E4261" t="s">
        <v>1178</v>
      </c>
      <c r="F4261"/>
      <c r="G4261">
        <v>0.25</v>
      </c>
      <c r="H4261" s="1">
        <v>10497.5</v>
      </c>
      <c r="I4261"/>
      <c r="J4261" t="s">
        <v>8870</v>
      </c>
      <c r="K4261" s="170">
        <v>45991</v>
      </c>
      <c r="L4261" s="1">
        <v>11559.764222171159</v>
      </c>
      <c r="M4261" s="1">
        <v>45989</v>
      </c>
    </row>
    <row r="4262" spans="1:14" ht="14.4" hidden="1">
      <c r="A4262" t="s">
        <v>254</v>
      </c>
      <c r="B4262" s="1">
        <v>36</v>
      </c>
      <c r="C4262" s="258" t="s">
        <v>8871</v>
      </c>
      <c r="D4262" t="s">
        <v>1165</v>
      </c>
      <c r="E4262" t="s">
        <v>1181</v>
      </c>
      <c r="F4262"/>
      <c r="G4262">
        <v>0.1</v>
      </c>
      <c r="H4262" s="1">
        <v>4206</v>
      </c>
      <c r="I4262"/>
      <c r="J4262" t="s">
        <v>8872</v>
      </c>
      <c r="K4262" s="170">
        <v>46022</v>
      </c>
      <c r="L4262" s="1">
        <v>4631.2783990413282</v>
      </c>
      <c r="M4262" s="1">
        <v>46065</v>
      </c>
    </row>
    <row r="4263" spans="1:14" ht="14.4" hidden="1">
      <c r="A4263" t="s">
        <v>254</v>
      </c>
      <c r="B4263" s="1">
        <v>37</v>
      </c>
      <c r="C4263" s="258" t="s">
        <v>8873</v>
      </c>
      <c r="D4263" t="s">
        <v>1165</v>
      </c>
      <c r="E4263" t="s">
        <v>1184</v>
      </c>
      <c r="F4263"/>
      <c r="G4263">
        <v>0.1</v>
      </c>
      <c r="H4263" s="1">
        <v>4199</v>
      </c>
      <c r="I4263"/>
      <c r="J4263" t="s">
        <v>8874</v>
      </c>
      <c r="K4263" s="170">
        <v>46022</v>
      </c>
      <c r="L4263" s="1">
        <v>4623.5706128327474</v>
      </c>
      <c r="M4263" s="1">
        <v>46065</v>
      </c>
    </row>
    <row r="4264" spans="1:14" ht="14.4" hidden="1">
      <c r="A4264" t="s">
        <v>254</v>
      </c>
      <c r="B4264" s="1">
        <v>38</v>
      </c>
      <c r="C4264" s="258" t="s">
        <v>8875</v>
      </c>
      <c r="D4264" t="s">
        <v>1165</v>
      </c>
      <c r="E4264" t="s">
        <v>1187</v>
      </c>
      <c r="F4264"/>
      <c r="G4264">
        <v>0.05</v>
      </c>
      <c r="H4264" s="1">
        <v>2099.5</v>
      </c>
      <c r="I4264"/>
      <c r="J4264" t="s">
        <v>8876</v>
      </c>
      <c r="K4264" s="170">
        <v>46022</v>
      </c>
      <c r="L4264" s="1">
        <v>2311.7853064163737</v>
      </c>
      <c r="M4264" s="1">
        <v>46065</v>
      </c>
    </row>
    <row r="4265" spans="1:14" ht="14.4" hidden="1">
      <c r="A4265" t="s">
        <v>254</v>
      </c>
      <c r="B4265" s="1">
        <v>39</v>
      </c>
      <c r="C4265" s="258" t="s">
        <v>8877</v>
      </c>
      <c r="D4265" t="s">
        <v>1165</v>
      </c>
      <c r="E4265" t="s">
        <v>1190</v>
      </c>
      <c r="F4265"/>
      <c r="G4265">
        <v>0.05</v>
      </c>
      <c r="H4265" s="1">
        <v>2099.5</v>
      </c>
      <c r="I4265"/>
      <c r="J4265" t="s">
        <v>8878</v>
      </c>
      <c r="K4265" s="170">
        <v>46022</v>
      </c>
      <c r="L4265" s="1">
        <v>2311.7853064163737</v>
      </c>
      <c r="M4265" s="1">
        <v>46095</v>
      </c>
    </row>
    <row r="4266" spans="1:14" ht="14.4" hidden="1">
      <c r="A4266" t="s">
        <v>254</v>
      </c>
      <c r="B4266" s="1">
        <v>44</v>
      </c>
      <c r="C4266" s="258" t="s">
        <v>8879</v>
      </c>
      <c r="D4266" t="s">
        <v>1193</v>
      </c>
      <c r="E4266" t="s">
        <v>1489</v>
      </c>
      <c r="F4266"/>
      <c r="H4266" s="1">
        <v>8598.34</v>
      </c>
      <c r="I4266"/>
      <c r="J4266" t="s">
        <v>8850</v>
      </c>
      <c r="K4266" s="170">
        <v>45930</v>
      </c>
      <c r="L4266" s="1">
        <v>11738.527606155892</v>
      </c>
      <c r="M4266" s="1">
        <v>45926</v>
      </c>
      <c r="N4266" s="1">
        <v>36624.439999999995</v>
      </c>
    </row>
    <row r="4267" spans="1:14" ht="14.4" hidden="1">
      <c r="A4267" t="s">
        <v>254</v>
      </c>
      <c r="B4267" s="1">
        <v>45</v>
      </c>
      <c r="C4267" s="258" t="s">
        <v>8880</v>
      </c>
      <c r="D4267" t="s">
        <v>1193</v>
      </c>
      <c r="E4267" t="s">
        <v>1196</v>
      </c>
      <c r="F4267"/>
      <c r="H4267" s="1">
        <v>14668</v>
      </c>
      <c r="I4267"/>
      <c r="J4267" t="s">
        <v>8881</v>
      </c>
      <c r="K4267" s="170">
        <v>45900</v>
      </c>
      <c r="L4267" s="1">
        <v>18293.227415197402</v>
      </c>
      <c r="M4267" s="1">
        <v>45930</v>
      </c>
    </row>
    <row r="4268" spans="1:14" ht="14.4" hidden="1">
      <c r="A4268" t="s">
        <v>254</v>
      </c>
      <c r="B4268" s="1">
        <v>46</v>
      </c>
      <c r="C4268" s="258" t="s">
        <v>8882</v>
      </c>
      <c r="D4268" t="s">
        <v>1193</v>
      </c>
      <c r="E4268" t="s">
        <v>1200</v>
      </c>
      <c r="F4268"/>
      <c r="H4268" s="1">
        <v>11169</v>
      </c>
      <c r="I4268"/>
      <c r="J4268" t="s">
        <v>8883</v>
      </c>
      <c r="K4268" s="170">
        <v>45961</v>
      </c>
      <c r="L4268" s="1">
        <v>15248.014713672075</v>
      </c>
      <c r="M4268" s="1">
        <v>45974</v>
      </c>
    </row>
    <row r="4269" spans="1:14" ht="14.4" hidden="1">
      <c r="A4269" t="s">
        <v>254</v>
      </c>
      <c r="B4269" s="1">
        <v>47</v>
      </c>
      <c r="C4269" s="258" t="s">
        <v>8884</v>
      </c>
      <c r="D4269" t="s">
        <v>1193</v>
      </c>
      <c r="E4269" t="s">
        <v>1848</v>
      </c>
      <c r="F4269"/>
      <c r="H4269" s="1">
        <v>975</v>
      </c>
      <c r="I4269"/>
      <c r="J4269" t="s">
        <v>1849</v>
      </c>
      <c r="K4269" s="170">
        <v>45900</v>
      </c>
      <c r="L4269" s="1">
        <v>1215.9733249125622</v>
      </c>
      <c r="M4269" s="1">
        <v>45899</v>
      </c>
    </row>
    <row r="4270" spans="1:14" ht="14.4" hidden="1">
      <c r="A4270" t="s">
        <v>254</v>
      </c>
      <c r="B4270" s="1">
        <v>48</v>
      </c>
      <c r="C4270" s="258" t="s">
        <v>8885</v>
      </c>
      <c r="D4270" t="s">
        <v>1193</v>
      </c>
      <c r="E4270" t="s">
        <v>1851</v>
      </c>
      <c r="F4270"/>
      <c r="H4270" s="1">
        <v>850</v>
      </c>
      <c r="I4270"/>
      <c r="J4270" t="s">
        <v>1852</v>
      </c>
      <c r="K4270" s="170">
        <v>45900</v>
      </c>
      <c r="L4270" s="1">
        <v>1060.0793088981311</v>
      </c>
      <c r="M4270" s="1">
        <v>45899</v>
      </c>
    </row>
    <row r="4271" spans="1:14" ht="14.4" hidden="1">
      <c r="A4271" t="s">
        <v>254</v>
      </c>
      <c r="B4271" s="1">
        <v>49</v>
      </c>
      <c r="C4271" s="258" t="s">
        <v>8886</v>
      </c>
      <c r="D4271" t="s">
        <v>1193</v>
      </c>
      <c r="F4271"/>
      <c r="H4271" s="1">
        <v>-850</v>
      </c>
      <c r="I4271"/>
      <c r="J4271" t="s">
        <v>1854</v>
      </c>
      <c r="K4271" s="170">
        <v>45930</v>
      </c>
      <c r="L4271" s="1">
        <v>-1160.4272993662155</v>
      </c>
      <c r="M4271" s="1">
        <v>45930</v>
      </c>
    </row>
    <row r="4272" spans="1:14" ht="14.4" hidden="1">
      <c r="A4272" t="s">
        <v>254</v>
      </c>
      <c r="B4272" s="1">
        <v>50</v>
      </c>
      <c r="C4272" s="258" t="s">
        <v>8887</v>
      </c>
      <c r="D4272" t="s">
        <v>1193</v>
      </c>
      <c r="E4272" t="s">
        <v>1848</v>
      </c>
      <c r="F4272"/>
      <c r="H4272" s="1">
        <v>1214.0999999999999</v>
      </c>
      <c r="I4272"/>
      <c r="J4272" t="s">
        <v>1856</v>
      </c>
      <c r="K4272" s="170">
        <v>45930</v>
      </c>
      <c r="L4272" s="1">
        <v>1657.4997460712027</v>
      </c>
      <c r="M4272" s="1">
        <v>45910</v>
      </c>
    </row>
    <row r="4273" spans="1:13" ht="14.4" hidden="1">
      <c r="A4273" t="s">
        <v>254</v>
      </c>
      <c r="B4273" s="1">
        <v>53</v>
      </c>
      <c r="C4273" s="258" t="s">
        <v>8888</v>
      </c>
      <c r="D4273" t="s">
        <v>1211</v>
      </c>
      <c r="E4273" t="s">
        <v>1212</v>
      </c>
      <c r="F4273"/>
      <c r="H4273" s="1">
        <v>53803.74</v>
      </c>
      <c r="I4273"/>
      <c r="J4273" t="s">
        <v>8889</v>
      </c>
      <c r="K4273" s="170">
        <v>45900</v>
      </c>
      <c r="L4273" s="1">
        <v>108201.34671586013</v>
      </c>
      <c r="M4273" s="1">
        <v>45930</v>
      </c>
    </row>
    <row r="4274" spans="1:13" ht="14.4" hidden="1">
      <c r="A4274" t="s">
        <v>254</v>
      </c>
      <c r="B4274" s="1">
        <v>58</v>
      </c>
      <c r="C4274" s="258" t="s">
        <v>8890</v>
      </c>
      <c r="D4274" t="s">
        <v>1211</v>
      </c>
      <c r="E4274" t="s">
        <v>1169</v>
      </c>
      <c r="F4274">
        <v>25836</v>
      </c>
      <c r="G4274">
        <v>0.1</v>
      </c>
      <c r="H4274" s="1">
        <v>2583.6000000000004</v>
      </c>
      <c r="I4274" t="s">
        <v>8863</v>
      </c>
      <c r="J4274" t="s">
        <v>8864</v>
      </c>
      <c r="K4274" s="170">
        <v>45930</v>
      </c>
      <c r="L4274" s="1">
        <v>5195.7168660597981</v>
      </c>
      <c r="M4274" s="1">
        <v>45918</v>
      </c>
    </row>
    <row r="4275" spans="1:13" ht="14.4" hidden="1">
      <c r="A4275" t="s">
        <v>254</v>
      </c>
      <c r="B4275" s="1">
        <v>59</v>
      </c>
      <c r="C4275" s="258" t="s">
        <v>8891</v>
      </c>
      <c r="D4275" t="s">
        <v>1211</v>
      </c>
      <c r="E4275" t="s">
        <v>558</v>
      </c>
      <c r="F4275"/>
      <c r="G4275">
        <v>0.15</v>
      </c>
      <c r="H4275" s="1">
        <v>3875.4</v>
      </c>
      <c r="I4275"/>
      <c r="J4275" t="s">
        <v>8866</v>
      </c>
      <c r="K4275" s="170">
        <v>45961</v>
      </c>
      <c r="L4275" s="1">
        <v>7793.5752990896963</v>
      </c>
      <c r="M4275" s="1">
        <v>45954</v>
      </c>
    </row>
    <row r="4276" spans="1:13" ht="14.4" hidden="1">
      <c r="A4276" t="s">
        <v>254</v>
      </c>
      <c r="B4276" s="1">
        <v>60</v>
      </c>
      <c r="C4276" s="258" t="s">
        <v>8892</v>
      </c>
      <c r="D4276" t="s">
        <v>1211</v>
      </c>
      <c r="E4276" t="s">
        <v>1175</v>
      </c>
      <c r="F4276"/>
      <c r="G4276">
        <v>0.2</v>
      </c>
      <c r="H4276" s="1">
        <v>5167.2000000000007</v>
      </c>
      <c r="I4276"/>
      <c r="J4276" t="s">
        <v>8868</v>
      </c>
      <c r="K4276" s="170">
        <v>45991</v>
      </c>
      <c r="L4276" s="1">
        <v>10391.433732119596</v>
      </c>
      <c r="M4276" s="1">
        <v>45995</v>
      </c>
    </row>
    <row r="4277" spans="1:13" ht="14.4" hidden="1">
      <c r="A4277" t="s">
        <v>254</v>
      </c>
      <c r="B4277" s="1">
        <v>61</v>
      </c>
      <c r="C4277" s="258" t="s">
        <v>8893</v>
      </c>
      <c r="D4277" t="s">
        <v>1211</v>
      </c>
      <c r="E4277" t="s">
        <v>1178</v>
      </c>
      <c r="F4277"/>
      <c r="G4277">
        <v>0.25</v>
      </c>
      <c r="H4277" s="1">
        <v>6459</v>
      </c>
      <c r="I4277"/>
      <c r="J4277" t="s">
        <v>8870</v>
      </c>
      <c r="K4277" s="170">
        <v>45991</v>
      </c>
      <c r="L4277" s="1">
        <v>12989.292165149494</v>
      </c>
      <c r="M4277" s="1">
        <v>45989</v>
      </c>
    </row>
    <row r="4278" spans="1:13" ht="14.4" hidden="1">
      <c r="A4278" t="s">
        <v>254</v>
      </c>
      <c r="B4278" s="1">
        <v>62</v>
      </c>
      <c r="C4278" s="258" t="s">
        <v>8894</v>
      </c>
      <c r="D4278" t="s">
        <v>1211</v>
      </c>
      <c r="E4278" t="s">
        <v>1181</v>
      </c>
      <c r="F4278"/>
      <c r="G4278">
        <v>0.1</v>
      </c>
      <c r="H4278" s="1">
        <v>2583.6000000000004</v>
      </c>
      <c r="I4278"/>
      <c r="J4278" t="s">
        <v>8872</v>
      </c>
      <c r="K4278" s="170">
        <v>46022</v>
      </c>
      <c r="L4278" s="1">
        <v>5195.7168660597981</v>
      </c>
      <c r="M4278" s="1">
        <v>46065</v>
      </c>
    </row>
    <row r="4279" spans="1:13" ht="14.4" hidden="1">
      <c r="A4279" t="s">
        <v>254</v>
      </c>
      <c r="B4279" s="1">
        <v>63</v>
      </c>
      <c r="C4279" s="258" t="s">
        <v>8895</v>
      </c>
      <c r="D4279" t="s">
        <v>1211</v>
      </c>
      <c r="E4279" t="s">
        <v>1184</v>
      </c>
      <c r="F4279"/>
      <c r="G4279">
        <v>0.1</v>
      </c>
      <c r="H4279" s="1">
        <v>2583.6000000000004</v>
      </c>
      <c r="I4279"/>
      <c r="J4279" t="s">
        <v>8874</v>
      </c>
      <c r="K4279" s="170">
        <v>46022</v>
      </c>
      <c r="L4279" s="1">
        <v>5195.7168660597981</v>
      </c>
      <c r="M4279" s="1">
        <v>46065</v>
      </c>
    </row>
    <row r="4280" spans="1:13" ht="14.4" hidden="1">
      <c r="A4280" t="s">
        <v>254</v>
      </c>
      <c r="B4280" s="1">
        <v>64</v>
      </c>
      <c r="C4280" s="258" t="s">
        <v>8896</v>
      </c>
      <c r="D4280" t="s">
        <v>1211</v>
      </c>
      <c r="E4280" t="s">
        <v>1187</v>
      </c>
      <c r="F4280"/>
      <c r="G4280">
        <v>0.05</v>
      </c>
      <c r="H4280" s="1">
        <v>1291.8000000000002</v>
      </c>
      <c r="I4280"/>
      <c r="J4280" t="s">
        <v>8876</v>
      </c>
      <c r="K4280" s="170">
        <v>46022</v>
      </c>
      <c r="L4280" s="1">
        <v>2597.8584330298991</v>
      </c>
      <c r="M4280" s="1">
        <v>46065</v>
      </c>
    </row>
    <row r="4281" spans="1:13" ht="14.4" hidden="1">
      <c r="A4281" t="s">
        <v>254</v>
      </c>
      <c r="B4281" s="1">
        <v>65</v>
      </c>
      <c r="C4281" s="258" t="s">
        <v>8897</v>
      </c>
      <c r="D4281" t="s">
        <v>1211</v>
      </c>
      <c r="E4281" t="s">
        <v>1190</v>
      </c>
      <c r="F4281"/>
      <c r="G4281">
        <v>0.05</v>
      </c>
      <c r="H4281" s="1">
        <v>1291.8000000000002</v>
      </c>
      <c r="I4281"/>
      <c r="J4281" t="s">
        <v>8878</v>
      </c>
      <c r="K4281" s="170">
        <v>46022</v>
      </c>
      <c r="L4281" s="1">
        <v>2597.8584330298991</v>
      </c>
      <c r="M4281" s="1">
        <v>46095</v>
      </c>
    </row>
    <row r="4282" spans="1:13" ht="14.4" hidden="1">
      <c r="A4282" t="s">
        <v>254</v>
      </c>
      <c r="B4282" s="1">
        <v>81</v>
      </c>
      <c r="C4282" s="258" t="s">
        <v>8898</v>
      </c>
      <c r="D4282" t="s">
        <v>1224</v>
      </c>
      <c r="E4282" t="s">
        <v>1875</v>
      </c>
      <c r="F4282"/>
      <c r="H4282" s="1">
        <v>3600</v>
      </c>
      <c r="I4282" t="s">
        <v>1876</v>
      </c>
      <c r="J4282" t="s">
        <v>1877</v>
      </c>
      <c r="K4282" s="170">
        <v>45900</v>
      </c>
      <c r="L4282" s="1">
        <v>323.94562605061304</v>
      </c>
      <c r="M4282" s="1">
        <v>45911</v>
      </c>
    </row>
    <row r="4283" spans="1:13" ht="14.4" hidden="1">
      <c r="A4283" t="s">
        <v>254</v>
      </c>
      <c r="B4283" s="1">
        <v>83</v>
      </c>
      <c r="C4283" s="258" t="s">
        <v>8899</v>
      </c>
      <c r="D4283" t="s">
        <v>1224</v>
      </c>
      <c r="E4283" t="s">
        <v>1411</v>
      </c>
      <c r="F4283">
        <v>46345.96</v>
      </c>
      <c r="G4283">
        <v>0.5</v>
      </c>
      <c r="H4283" s="1">
        <v>23172.98</v>
      </c>
      <c r="I4283" t="s">
        <v>8900</v>
      </c>
      <c r="J4283" t="s">
        <v>8901</v>
      </c>
      <c r="K4283" s="170">
        <v>45961</v>
      </c>
      <c r="L4283" s="1">
        <v>2085.218198210649</v>
      </c>
      <c r="M4283" s="1">
        <v>45954</v>
      </c>
    </row>
    <row r="4284" spans="1:13" ht="14.4" hidden="1">
      <c r="A4284" t="s">
        <v>254</v>
      </c>
      <c r="B4284" s="1">
        <v>84</v>
      </c>
      <c r="C4284" s="258" t="s">
        <v>8902</v>
      </c>
      <c r="D4284" t="s">
        <v>1224</v>
      </c>
      <c r="E4284" t="s">
        <v>2423</v>
      </c>
      <c r="F4284"/>
      <c r="G4284">
        <v>0.5</v>
      </c>
      <c r="H4284" s="1">
        <v>23172.98</v>
      </c>
      <c r="I4284"/>
      <c r="J4284" t="s">
        <v>8901</v>
      </c>
      <c r="K4284" s="170">
        <v>45961</v>
      </c>
      <c r="L4284" s="1">
        <v>2085.218198210649</v>
      </c>
      <c r="M4284" s="1">
        <v>46051</v>
      </c>
    </row>
    <row r="4285" spans="1:13" ht="14.4" hidden="1">
      <c r="A4285" t="s">
        <v>254</v>
      </c>
      <c r="B4285" s="1">
        <v>90</v>
      </c>
      <c r="C4285" s="258" t="s">
        <v>8903</v>
      </c>
      <c r="D4285" t="s">
        <v>1246</v>
      </c>
      <c r="E4285" t="s">
        <v>1169</v>
      </c>
      <c r="F4285">
        <v>88732</v>
      </c>
      <c r="G4285">
        <v>0.1</v>
      </c>
      <c r="H4285" s="1">
        <v>8873.2000000000007</v>
      </c>
      <c r="I4285" t="s">
        <v>8863</v>
      </c>
      <c r="J4285" t="s">
        <v>8864</v>
      </c>
      <c r="K4285" s="170">
        <v>45930</v>
      </c>
      <c r="L4285" s="1">
        <v>5364.7058823529414</v>
      </c>
      <c r="M4285" s="1">
        <v>45918</v>
      </c>
    </row>
    <row r="4286" spans="1:13" ht="14.4" hidden="1">
      <c r="A4286" t="s">
        <v>254</v>
      </c>
      <c r="B4286" s="1">
        <v>91</v>
      </c>
      <c r="C4286" s="258" t="s">
        <v>8904</v>
      </c>
      <c r="D4286" t="s">
        <v>1246</v>
      </c>
      <c r="E4286" t="s">
        <v>558</v>
      </c>
      <c r="F4286"/>
      <c r="G4286">
        <v>0.15</v>
      </c>
      <c r="H4286" s="1">
        <v>13309.8</v>
      </c>
      <c r="I4286"/>
      <c r="J4286" t="s">
        <v>8866</v>
      </c>
      <c r="K4286" s="170">
        <v>45961</v>
      </c>
      <c r="L4286" s="1">
        <v>8047.0588235294108</v>
      </c>
      <c r="M4286" s="1">
        <v>45954</v>
      </c>
    </row>
    <row r="4287" spans="1:13" ht="14.4" hidden="1">
      <c r="A4287" t="s">
        <v>254</v>
      </c>
      <c r="B4287" s="1">
        <v>92</v>
      </c>
      <c r="C4287" s="258" t="s">
        <v>8905</v>
      </c>
      <c r="D4287" t="s">
        <v>1246</v>
      </c>
      <c r="E4287" t="s">
        <v>1175</v>
      </c>
      <c r="F4287"/>
      <c r="G4287">
        <v>0.2</v>
      </c>
      <c r="H4287" s="1">
        <v>17746.400000000001</v>
      </c>
      <c r="I4287"/>
      <c r="J4287" t="s">
        <v>8868</v>
      </c>
      <c r="K4287" s="170">
        <v>45991</v>
      </c>
      <c r="L4287" s="1">
        <v>10729.411764705885</v>
      </c>
      <c r="M4287" s="1">
        <v>45995</v>
      </c>
    </row>
    <row r="4288" spans="1:13" ht="14.4" hidden="1">
      <c r="A4288" t="s">
        <v>254</v>
      </c>
      <c r="B4288" s="1">
        <v>93</v>
      </c>
      <c r="C4288" s="258" t="s">
        <v>8906</v>
      </c>
      <c r="D4288" t="s">
        <v>1246</v>
      </c>
      <c r="E4288" t="s">
        <v>1178</v>
      </c>
      <c r="F4288"/>
      <c r="G4288">
        <v>0.25</v>
      </c>
      <c r="H4288" s="1">
        <v>22183</v>
      </c>
      <c r="I4288"/>
      <c r="J4288" t="s">
        <v>8870</v>
      </c>
      <c r="K4288" s="170">
        <v>45991</v>
      </c>
      <c r="L4288" s="1">
        <v>13411.764705882351</v>
      </c>
      <c r="M4288" s="1">
        <v>45989</v>
      </c>
    </row>
    <row r="4289" spans="1:14" ht="14.4" hidden="1">
      <c r="A4289" t="s">
        <v>254</v>
      </c>
      <c r="B4289" s="1">
        <v>94</v>
      </c>
      <c r="C4289" s="258" t="s">
        <v>8907</v>
      </c>
      <c r="D4289" t="s">
        <v>1246</v>
      </c>
      <c r="E4289" t="s">
        <v>1181</v>
      </c>
      <c r="F4289"/>
      <c r="G4289">
        <v>0.1</v>
      </c>
      <c r="H4289" s="1">
        <v>8873.2000000000007</v>
      </c>
      <c r="I4289"/>
      <c r="J4289" t="s">
        <v>8872</v>
      </c>
      <c r="K4289" s="170">
        <v>46081</v>
      </c>
      <c r="L4289" s="1">
        <v>5364.7058823529414</v>
      </c>
      <c r="M4289" s="1">
        <v>46065</v>
      </c>
    </row>
    <row r="4290" spans="1:14" ht="14.4" hidden="1">
      <c r="A4290" t="s">
        <v>254</v>
      </c>
      <c r="B4290" s="1">
        <v>95</v>
      </c>
      <c r="C4290" s="258" t="s">
        <v>8908</v>
      </c>
      <c r="D4290" t="s">
        <v>1246</v>
      </c>
      <c r="E4290" t="s">
        <v>1184</v>
      </c>
      <c r="F4290"/>
      <c r="G4290">
        <v>0.1</v>
      </c>
      <c r="H4290" s="1">
        <v>8873.2000000000007</v>
      </c>
      <c r="I4290"/>
      <c r="J4290" t="s">
        <v>8874</v>
      </c>
      <c r="K4290" s="170">
        <v>46022</v>
      </c>
      <c r="L4290" s="1">
        <v>5364.7058823529414</v>
      </c>
      <c r="M4290" s="1">
        <v>46065</v>
      </c>
    </row>
    <row r="4291" spans="1:14" ht="14.4" hidden="1">
      <c r="A4291" t="s">
        <v>254</v>
      </c>
      <c r="B4291" s="1">
        <v>96</v>
      </c>
      <c r="C4291" s="258" t="s">
        <v>8909</v>
      </c>
      <c r="D4291" t="s">
        <v>1246</v>
      </c>
      <c r="E4291" t="s">
        <v>1187</v>
      </c>
      <c r="F4291"/>
      <c r="G4291">
        <v>0.05</v>
      </c>
      <c r="H4291" s="1">
        <v>4436.6000000000004</v>
      </c>
      <c r="I4291"/>
      <c r="J4291" t="s">
        <v>8876</v>
      </c>
      <c r="K4291" s="170">
        <v>46022</v>
      </c>
      <c r="L4291" s="1">
        <v>2682.3529411764707</v>
      </c>
      <c r="M4291" s="1">
        <v>46065</v>
      </c>
    </row>
    <row r="4292" spans="1:14" ht="14.4" hidden="1">
      <c r="A4292" t="s">
        <v>254</v>
      </c>
      <c r="B4292" s="1">
        <v>97</v>
      </c>
      <c r="C4292" s="258" t="s">
        <v>8910</v>
      </c>
      <c r="D4292" t="s">
        <v>1246</v>
      </c>
      <c r="E4292" t="s">
        <v>1190</v>
      </c>
      <c r="F4292"/>
      <c r="G4292">
        <v>0.05</v>
      </c>
      <c r="H4292" s="1">
        <v>4436.6000000000004</v>
      </c>
      <c r="I4292"/>
      <c r="J4292" t="s">
        <v>8878</v>
      </c>
      <c r="K4292" s="170">
        <v>46022</v>
      </c>
      <c r="L4292" s="1">
        <v>2682.3529411764707</v>
      </c>
      <c r="M4292" s="1">
        <v>46095</v>
      </c>
    </row>
    <row r="4293" spans="1:14" ht="14.4" hidden="1">
      <c r="A4293" t="s">
        <v>254</v>
      </c>
      <c r="B4293" s="1">
        <v>106</v>
      </c>
      <c r="C4293" s="258" t="s">
        <v>8911</v>
      </c>
      <c r="D4293" t="s">
        <v>1255</v>
      </c>
      <c r="E4293" t="s">
        <v>1169</v>
      </c>
      <c r="F4293">
        <v>35568</v>
      </c>
      <c r="G4293">
        <v>0.1</v>
      </c>
      <c r="H4293" s="1">
        <v>3556.8</v>
      </c>
      <c r="I4293" t="s">
        <v>8863</v>
      </c>
      <c r="J4293" t="s">
        <v>8864</v>
      </c>
      <c r="K4293" s="170">
        <v>45930</v>
      </c>
      <c r="L4293" s="1">
        <v>4412.7647058823532</v>
      </c>
      <c r="M4293" s="1">
        <v>45918</v>
      </c>
    </row>
    <row r="4294" spans="1:14" ht="14.4" hidden="1">
      <c r="A4294" t="s">
        <v>254</v>
      </c>
      <c r="B4294" s="1">
        <v>107</v>
      </c>
      <c r="C4294" s="258" t="s">
        <v>8912</v>
      </c>
      <c r="D4294" t="s">
        <v>1255</v>
      </c>
      <c r="E4294" t="s">
        <v>558</v>
      </c>
      <c r="F4294"/>
      <c r="G4294">
        <v>0.15</v>
      </c>
      <c r="H4294" s="1">
        <v>5335.2</v>
      </c>
      <c r="I4294"/>
      <c r="J4294" t="s">
        <v>8866</v>
      </c>
      <c r="K4294" s="170">
        <v>45961</v>
      </c>
      <c r="L4294" s="1">
        <v>6619.1470588235297</v>
      </c>
      <c r="M4294" s="1">
        <v>45954</v>
      </c>
    </row>
    <row r="4295" spans="1:14" ht="14.4" hidden="1">
      <c r="A4295" t="s">
        <v>254</v>
      </c>
      <c r="B4295" s="1">
        <v>108</v>
      </c>
      <c r="C4295" s="258" t="s">
        <v>8913</v>
      </c>
      <c r="D4295" t="s">
        <v>1255</v>
      </c>
      <c r="E4295" t="s">
        <v>1175</v>
      </c>
      <c r="F4295"/>
      <c r="G4295">
        <v>0.2</v>
      </c>
      <c r="H4295" s="1">
        <v>7113.6</v>
      </c>
      <c r="I4295"/>
      <c r="J4295" t="s">
        <v>8868</v>
      </c>
      <c r="K4295" s="170">
        <v>45991</v>
      </c>
      <c r="L4295" s="1">
        <v>8825.5294117647063</v>
      </c>
      <c r="M4295" s="1">
        <v>45995</v>
      </c>
    </row>
    <row r="4296" spans="1:14" ht="14.4" hidden="1">
      <c r="A4296" t="s">
        <v>254</v>
      </c>
      <c r="B4296" s="1">
        <v>109</v>
      </c>
      <c r="C4296" s="258" t="s">
        <v>8914</v>
      </c>
      <c r="D4296" t="s">
        <v>1255</v>
      </c>
      <c r="E4296" t="s">
        <v>1178</v>
      </c>
      <c r="F4296"/>
      <c r="G4296">
        <v>0.25</v>
      </c>
      <c r="H4296" s="1">
        <v>8892</v>
      </c>
      <c r="I4296"/>
      <c r="J4296" t="s">
        <v>8870</v>
      </c>
      <c r="K4296" s="170">
        <v>45991</v>
      </c>
      <c r="L4296" s="1">
        <v>11031.911764705885</v>
      </c>
      <c r="M4296" s="1">
        <v>45989</v>
      </c>
    </row>
    <row r="4297" spans="1:14" ht="14.4" hidden="1">
      <c r="A4297" t="s">
        <v>254</v>
      </c>
      <c r="B4297" s="1">
        <v>110</v>
      </c>
      <c r="C4297" s="258" t="s">
        <v>8915</v>
      </c>
      <c r="D4297" t="s">
        <v>1255</v>
      </c>
      <c r="E4297" t="s">
        <v>1181</v>
      </c>
      <c r="F4297"/>
      <c r="G4297">
        <v>0.1</v>
      </c>
      <c r="H4297" s="1">
        <v>3556.8</v>
      </c>
      <c r="I4297"/>
      <c r="J4297" t="s">
        <v>8872</v>
      </c>
      <c r="K4297" s="170">
        <v>46022</v>
      </c>
      <c r="L4297" s="1">
        <v>4412.7647058823532</v>
      </c>
      <c r="M4297" s="1">
        <v>46065</v>
      </c>
    </row>
    <row r="4298" spans="1:14" ht="14.4" hidden="1">
      <c r="A4298" t="s">
        <v>254</v>
      </c>
      <c r="B4298" s="1">
        <v>111</v>
      </c>
      <c r="C4298" s="258" t="s">
        <v>8916</v>
      </c>
      <c r="D4298" t="s">
        <v>1255</v>
      </c>
      <c r="E4298" t="s">
        <v>1184</v>
      </c>
      <c r="F4298"/>
      <c r="G4298">
        <v>0.1</v>
      </c>
      <c r="H4298" s="1">
        <v>3556.8</v>
      </c>
      <c r="I4298"/>
      <c r="J4298" t="s">
        <v>8874</v>
      </c>
      <c r="K4298" s="170">
        <v>46022</v>
      </c>
      <c r="L4298" s="1">
        <v>4412.7647058823532</v>
      </c>
      <c r="M4298" s="1">
        <v>46065</v>
      </c>
    </row>
    <row r="4299" spans="1:14" ht="14.4" hidden="1">
      <c r="A4299" t="s">
        <v>254</v>
      </c>
      <c r="B4299" s="1">
        <v>112</v>
      </c>
      <c r="C4299" s="258" t="s">
        <v>8917</v>
      </c>
      <c r="D4299" t="s">
        <v>1255</v>
      </c>
      <c r="E4299" t="s">
        <v>1187</v>
      </c>
      <c r="F4299"/>
      <c r="G4299">
        <v>0.05</v>
      </c>
      <c r="H4299" s="1">
        <v>1778.4</v>
      </c>
      <c r="I4299"/>
      <c r="J4299" t="s">
        <v>8876</v>
      </c>
      <c r="K4299" s="170">
        <v>46022</v>
      </c>
      <c r="L4299" s="1">
        <v>2206.3823529411766</v>
      </c>
      <c r="M4299" s="1">
        <v>46065</v>
      </c>
    </row>
    <row r="4300" spans="1:14" ht="14.4" hidden="1">
      <c r="A4300" t="s">
        <v>254</v>
      </c>
      <c r="B4300" s="1">
        <v>113</v>
      </c>
      <c r="C4300" s="258" t="s">
        <v>8918</v>
      </c>
      <c r="D4300" t="s">
        <v>1255</v>
      </c>
      <c r="E4300" t="s">
        <v>1190</v>
      </c>
      <c r="F4300"/>
      <c r="G4300">
        <v>0.05</v>
      </c>
      <c r="H4300" s="1">
        <v>1778.4</v>
      </c>
      <c r="I4300"/>
      <c r="J4300" t="s">
        <v>8878</v>
      </c>
      <c r="K4300" s="170">
        <v>46022</v>
      </c>
      <c r="L4300" s="1">
        <v>2206.3823529411766</v>
      </c>
      <c r="M4300" s="1">
        <v>46095</v>
      </c>
    </row>
    <row r="4301" spans="1:14" ht="14.4" hidden="1">
      <c r="A4301" t="s">
        <v>254</v>
      </c>
      <c r="B4301" s="1">
        <v>118</v>
      </c>
      <c r="C4301" s="258" t="s">
        <v>8919</v>
      </c>
      <c r="D4301" t="s">
        <v>1264</v>
      </c>
      <c r="E4301" t="s">
        <v>1265</v>
      </c>
      <c r="F4301"/>
      <c r="H4301" s="1">
        <v>10500</v>
      </c>
      <c r="I4301"/>
      <c r="J4301" t="s">
        <v>8920</v>
      </c>
      <c r="K4301" s="170">
        <v>46053</v>
      </c>
      <c r="L4301" s="1">
        <v>13185.192502183059</v>
      </c>
      <c r="M4301" s="1">
        <v>46065</v>
      </c>
      <c r="N4301" s="1">
        <v>13690.9</v>
      </c>
    </row>
    <row r="4302" spans="1:14" ht="14.4" hidden="1">
      <c r="A4302" t="s">
        <v>254</v>
      </c>
      <c r="B4302" s="1">
        <v>119</v>
      </c>
      <c r="C4302" s="258" t="s">
        <v>8921</v>
      </c>
      <c r="D4302" t="s">
        <v>1264</v>
      </c>
      <c r="E4302" t="s">
        <v>1268</v>
      </c>
      <c r="F4302"/>
      <c r="H4302" s="1">
        <v>7690.9</v>
      </c>
      <c r="I4302"/>
      <c r="J4302" t="s">
        <v>8922</v>
      </c>
      <c r="K4302" s="170">
        <v>45900</v>
      </c>
      <c r="L4302" s="1">
        <v>11584.168904765686</v>
      </c>
      <c r="M4302" s="1">
        <v>45526</v>
      </c>
    </row>
    <row r="4303" spans="1:14" ht="14.4" hidden="1">
      <c r="A4303" t="s">
        <v>254</v>
      </c>
      <c r="B4303" s="1">
        <v>121</v>
      </c>
      <c r="C4303" s="258" t="s">
        <v>8923</v>
      </c>
      <c r="D4303" t="s">
        <v>1264</v>
      </c>
      <c r="E4303" t="s">
        <v>808</v>
      </c>
      <c r="F4303"/>
      <c r="H4303" s="1">
        <v>6000</v>
      </c>
      <c r="I4303"/>
      <c r="J4303" t="s">
        <v>3047</v>
      </c>
      <c r="K4303" s="170">
        <v>46022</v>
      </c>
      <c r="L4303" s="1">
        <v>9348.288572676036</v>
      </c>
      <c r="M4303" s="1">
        <v>46051</v>
      </c>
    </row>
    <row r="4304" spans="1:14" ht="14.4" hidden="1">
      <c r="A4304" t="s">
        <v>254</v>
      </c>
      <c r="B4304" s="1">
        <v>127</v>
      </c>
      <c r="C4304" s="258" t="s">
        <v>8924</v>
      </c>
      <c r="D4304" t="s">
        <v>1277</v>
      </c>
      <c r="E4304" t="s">
        <v>1278</v>
      </c>
      <c r="F4304"/>
      <c r="H4304" s="1">
        <v>10354.590569768076</v>
      </c>
      <c r="I4304"/>
      <c r="J4304"/>
      <c r="K4304" s="170">
        <v>46081</v>
      </c>
      <c r="L4304" s="1">
        <v>54596.534696146242</v>
      </c>
      <c r="M4304" s="1">
        <v>46112</v>
      </c>
      <c r="N4304" s="1">
        <v>10354.590569768076</v>
      </c>
    </row>
    <row r="4305" spans="1:14" ht="14.4" hidden="1">
      <c r="A4305" t="s">
        <v>254</v>
      </c>
      <c r="B4305" s="1">
        <v>134</v>
      </c>
      <c r="C4305" s="258" t="s">
        <v>8925</v>
      </c>
      <c r="D4305" t="s">
        <v>1280</v>
      </c>
      <c r="E4305" t="s">
        <v>1281</v>
      </c>
      <c r="F4305"/>
      <c r="H4305" s="1">
        <v>304.64</v>
      </c>
      <c r="I4305"/>
      <c r="J4305" t="s">
        <v>1604</v>
      </c>
      <c r="K4305" s="170">
        <v>45900</v>
      </c>
      <c r="L4305" s="1">
        <v>422.56178079607622</v>
      </c>
      <c r="M4305" s="1">
        <v>45905</v>
      </c>
      <c r="N4305" s="1">
        <v>740.16</v>
      </c>
    </row>
    <row r="4306" spans="1:14" ht="14.4" hidden="1">
      <c r="A4306" t="s">
        <v>254</v>
      </c>
      <c r="B4306" s="1">
        <v>135</v>
      </c>
      <c r="C4306" s="258" t="s">
        <v>8926</v>
      </c>
      <c r="D4306" t="s">
        <v>1280</v>
      </c>
      <c r="E4306" t="s">
        <v>1281</v>
      </c>
      <c r="F4306"/>
      <c r="H4306" s="1">
        <v>0</v>
      </c>
      <c r="I4306"/>
      <c r="J4306" t="s">
        <v>1604</v>
      </c>
      <c r="K4306" s="170">
        <v>45930</v>
      </c>
      <c r="L4306" s="1">
        <v>0</v>
      </c>
      <c r="M4306" s="1">
        <v>45930</v>
      </c>
    </row>
    <row r="4307" spans="1:14" ht="14.4" hidden="1">
      <c r="A4307" t="s">
        <v>254</v>
      </c>
      <c r="B4307" s="1">
        <v>136</v>
      </c>
      <c r="C4307" s="258" t="s">
        <v>8927</v>
      </c>
      <c r="D4307" t="s">
        <v>1280</v>
      </c>
      <c r="E4307" t="s">
        <v>1281</v>
      </c>
      <c r="F4307"/>
      <c r="H4307" s="1">
        <v>435.52</v>
      </c>
      <c r="I4307"/>
      <c r="J4307" t="s">
        <v>1604</v>
      </c>
      <c r="K4307" s="170">
        <v>45961</v>
      </c>
      <c r="L4307" s="1">
        <v>202.27</v>
      </c>
      <c r="M4307" s="1">
        <v>45967</v>
      </c>
    </row>
    <row r="4308" spans="1:14" ht="14.4" hidden="1">
      <c r="A4308" t="s">
        <v>254</v>
      </c>
      <c r="B4308" s="1">
        <v>137</v>
      </c>
      <c r="C4308" s="258" t="s">
        <v>8928</v>
      </c>
      <c r="D4308" t="s">
        <v>1280</v>
      </c>
      <c r="E4308" t="s">
        <v>1281</v>
      </c>
      <c r="F4308"/>
      <c r="H4308" s="1">
        <v>0</v>
      </c>
      <c r="I4308"/>
      <c r="J4308" t="s">
        <v>1604</v>
      </c>
      <c r="K4308" s="170">
        <v>45991</v>
      </c>
      <c r="L4308" s="1">
        <v>0</v>
      </c>
      <c r="M4308" s="1">
        <v>45991</v>
      </c>
    </row>
    <row r="4309" spans="1:14" ht="14.4" hidden="1">
      <c r="A4309" t="s">
        <v>254</v>
      </c>
      <c r="B4309" s="1">
        <v>138</v>
      </c>
      <c r="C4309" s="258" t="s">
        <v>8929</v>
      </c>
      <c r="D4309" t="s">
        <v>1280</v>
      </c>
      <c r="E4309" t="s">
        <v>1281</v>
      </c>
      <c r="F4309"/>
      <c r="H4309" s="1">
        <v>0</v>
      </c>
      <c r="I4309"/>
      <c r="J4309" t="s">
        <v>1604</v>
      </c>
      <c r="K4309" s="170">
        <v>46022</v>
      </c>
      <c r="L4309" s="1">
        <v>0</v>
      </c>
      <c r="M4309" s="1">
        <v>46022</v>
      </c>
    </row>
    <row r="4310" spans="1:14" ht="14.4" hidden="1">
      <c r="A4310" t="s">
        <v>254</v>
      </c>
      <c r="B4310" s="1">
        <v>139</v>
      </c>
      <c r="C4310" s="258" t="s">
        <v>8930</v>
      </c>
      <c r="D4310" t="s">
        <v>1280</v>
      </c>
      <c r="E4310" t="s">
        <v>1281</v>
      </c>
      <c r="F4310"/>
      <c r="H4310" s="1">
        <v>0</v>
      </c>
      <c r="I4310"/>
      <c r="J4310" t="s">
        <v>1604</v>
      </c>
      <c r="K4310" s="170">
        <v>46053</v>
      </c>
      <c r="L4310" s="1">
        <v>404.58</v>
      </c>
      <c r="M4310" s="1">
        <v>46058</v>
      </c>
    </row>
    <row r="4311" spans="1:14" ht="14.4" hidden="1">
      <c r="A4311" t="s">
        <v>254</v>
      </c>
      <c r="B4311" s="1">
        <v>148</v>
      </c>
      <c r="C4311" s="258" t="s">
        <v>8931</v>
      </c>
      <c r="D4311" t="s">
        <v>1451</v>
      </c>
      <c r="E4311" t="s">
        <v>8932</v>
      </c>
      <c r="F4311"/>
      <c r="H4311" s="1">
        <v>3985</v>
      </c>
      <c r="I4311" t="s">
        <v>8933</v>
      </c>
      <c r="J4311"/>
      <c r="K4311" s="170">
        <v>46081</v>
      </c>
      <c r="M4311" s="1">
        <v>46081</v>
      </c>
    </row>
    <row r="4312" spans="1:14" ht="14.4" hidden="1">
      <c r="A4312" t="s">
        <v>539</v>
      </c>
      <c r="B4312" s="1">
        <v>71</v>
      </c>
      <c r="C4312" s="258" t="s">
        <v>8934</v>
      </c>
      <c r="D4312" t="s">
        <v>1316</v>
      </c>
      <c r="E4312" t="s">
        <v>8935</v>
      </c>
      <c r="F4312">
        <v>1</v>
      </c>
      <c r="G4312">
        <v>69250</v>
      </c>
      <c r="H4312" s="1">
        <v>69250</v>
      </c>
      <c r="I4312" t="s">
        <v>8936</v>
      </c>
      <c r="J4312"/>
      <c r="K4312" s="170">
        <v>46081</v>
      </c>
      <c r="L4312" s="1">
        <v>95277.814946526822</v>
      </c>
      <c r="M4312" s="1">
        <v>46141</v>
      </c>
    </row>
    <row r="4313" spans="1:14" ht="14.4" hidden="1">
      <c r="A4313" t="s">
        <v>539</v>
      </c>
      <c r="B4313" s="1">
        <v>72</v>
      </c>
      <c r="C4313" s="258" t="s">
        <v>8937</v>
      </c>
      <c r="D4313" t="s">
        <v>1316</v>
      </c>
      <c r="E4313" t="s">
        <v>8938</v>
      </c>
      <c r="F4313">
        <v>8</v>
      </c>
      <c r="G4313">
        <v>38500</v>
      </c>
      <c r="H4313" s="1">
        <v>308000</v>
      </c>
      <c r="I4313"/>
      <c r="J4313"/>
      <c r="K4313" s="170">
        <v>46081</v>
      </c>
      <c r="L4313" s="1">
        <v>423762.7004119893</v>
      </c>
      <c r="M4313" s="1">
        <v>46141</v>
      </c>
    </row>
    <row r="4314" spans="1:14" ht="14.4" hidden="1">
      <c r="A4314" t="s">
        <v>539</v>
      </c>
      <c r="B4314" s="1">
        <v>73</v>
      </c>
      <c r="C4314" s="258" t="s">
        <v>8939</v>
      </c>
      <c r="D4314" t="s">
        <v>1316</v>
      </c>
      <c r="E4314" t="s">
        <v>8940</v>
      </c>
      <c r="F4314">
        <v>2</v>
      </c>
      <c r="G4314">
        <v>3650</v>
      </c>
      <c r="H4314" s="1">
        <v>7300</v>
      </c>
      <c r="I4314"/>
      <c r="J4314"/>
      <c r="K4314" s="170">
        <v>46081</v>
      </c>
      <c r="L4314" s="1">
        <v>10043.726340933512</v>
      </c>
      <c r="M4314" s="1">
        <v>46141</v>
      </c>
    </row>
    <row r="4315" spans="1:14" ht="14.4" hidden="1">
      <c r="A4315" t="s">
        <v>539</v>
      </c>
      <c r="B4315" s="1">
        <v>74</v>
      </c>
      <c r="C4315" s="258" t="s">
        <v>8941</v>
      </c>
      <c r="D4315" t="s">
        <v>1316</v>
      </c>
      <c r="E4315" t="s">
        <v>8942</v>
      </c>
      <c r="F4315">
        <v>1</v>
      </c>
      <c r="G4315">
        <v>57800</v>
      </c>
      <c r="H4315" s="1">
        <v>57800</v>
      </c>
      <c r="I4315"/>
      <c r="J4315"/>
      <c r="K4315" s="170">
        <v>46081</v>
      </c>
      <c r="L4315" s="1">
        <v>79524.298973418772</v>
      </c>
      <c r="M4315" s="1">
        <v>46141</v>
      </c>
    </row>
    <row r="4316" spans="1:14" ht="14.4" hidden="1">
      <c r="A4316" t="s">
        <v>539</v>
      </c>
      <c r="B4316" s="1">
        <v>75</v>
      </c>
      <c r="C4316" s="258" t="s">
        <v>8943</v>
      </c>
      <c r="D4316" t="s">
        <v>1316</v>
      </c>
      <c r="E4316" t="s">
        <v>8944</v>
      </c>
      <c r="F4316">
        <v>1</v>
      </c>
      <c r="G4316">
        <v>29300</v>
      </c>
      <c r="H4316" s="1">
        <v>29300</v>
      </c>
      <c r="I4316"/>
      <c r="J4316"/>
      <c r="K4316" s="170">
        <v>46081</v>
      </c>
      <c r="L4316" s="1">
        <v>40312.490656075606</v>
      </c>
      <c r="M4316" s="1">
        <v>46141</v>
      </c>
    </row>
    <row r="4317" spans="1:14" ht="14.4" hidden="1">
      <c r="A4317" t="s">
        <v>539</v>
      </c>
      <c r="B4317" s="1">
        <v>77</v>
      </c>
      <c r="C4317" s="258" t="s">
        <v>8945</v>
      </c>
      <c r="D4317" t="s">
        <v>1316</v>
      </c>
      <c r="E4317" t="s">
        <v>8946</v>
      </c>
      <c r="F4317">
        <v>61710</v>
      </c>
      <c r="G4317">
        <v>0.5</v>
      </c>
      <c r="H4317" s="1">
        <v>30855</v>
      </c>
      <c r="I4317"/>
      <c r="J4317"/>
      <c r="K4317" s="170">
        <v>46081</v>
      </c>
      <c r="L4317" s="1">
        <v>42451.941951986781</v>
      </c>
      <c r="M4317" s="1">
        <v>46083</v>
      </c>
    </row>
    <row r="4318" spans="1:14" ht="14.4" hidden="1">
      <c r="A4318" t="s">
        <v>539</v>
      </c>
      <c r="B4318" s="1">
        <v>78</v>
      </c>
      <c r="C4318" s="258" t="s">
        <v>8947</v>
      </c>
      <c r="D4318" t="s">
        <v>1316</v>
      </c>
      <c r="E4318" t="s">
        <v>8948</v>
      </c>
      <c r="F4318"/>
      <c r="G4318">
        <v>0.3</v>
      </c>
      <c r="H4318" s="1">
        <v>18513</v>
      </c>
      <c r="I4318"/>
      <c r="J4318"/>
      <c r="K4318" s="170">
        <v>46081</v>
      </c>
      <c r="L4318" s="1">
        <v>25471.165171192071</v>
      </c>
      <c r="M4318" s="1">
        <v>46087</v>
      </c>
    </row>
    <row r="4319" spans="1:14" ht="14.4" hidden="1">
      <c r="A4319" t="s">
        <v>539</v>
      </c>
      <c r="B4319" s="1">
        <v>79</v>
      </c>
      <c r="C4319" s="258" t="s">
        <v>8949</v>
      </c>
      <c r="D4319" t="s">
        <v>1316</v>
      </c>
      <c r="E4319" t="s">
        <v>8950</v>
      </c>
      <c r="F4319"/>
      <c r="G4319">
        <v>0.2</v>
      </c>
      <c r="H4319" s="1">
        <v>12342</v>
      </c>
      <c r="I4319"/>
      <c r="J4319"/>
      <c r="K4319" s="170">
        <v>46112</v>
      </c>
      <c r="L4319" s="1">
        <v>16980.776780794713</v>
      </c>
      <c r="M4319" s="1">
        <v>46117</v>
      </c>
    </row>
    <row r="4320" spans="1:14" ht="14.4" hidden="1">
      <c r="A4320" t="s">
        <v>539</v>
      </c>
      <c r="B4320" s="1">
        <v>82</v>
      </c>
      <c r="C4320" s="258" t="s">
        <v>8951</v>
      </c>
      <c r="D4320" t="s">
        <v>1316</v>
      </c>
      <c r="E4320" t="s">
        <v>8952</v>
      </c>
      <c r="F4320">
        <v>64731.737000000001</v>
      </c>
      <c r="G4320">
        <v>0.5</v>
      </c>
      <c r="H4320" s="1">
        <v>32365.8685</v>
      </c>
      <c r="I4320"/>
      <c r="J4320"/>
      <c r="K4320" s="170">
        <v>46081</v>
      </c>
      <c r="L4320" s="1">
        <v>44530.674794608254</v>
      </c>
      <c r="M4320" s="1">
        <v>46083</v>
      </c>
    </row>
    <row r="4321" spans="1:14" ht="14.4" hidden="1">
      <c r="A4321" t="s">
        <v>539</v>
      </c>
      <c r="B4321" s="1">
        <v>83</v>
      </c>
      <c r="C4321" s="258" t="s">
        <v>8953</v>
      </c>
      <c r="D4321" t="s">
        <v>1316</v>
      </c>
      <c r="E4321" t="s">
        <v>8954</v>
      </c>
      <c r="F4321"/>
      <c r="G4321">
        <v>0.3</v>
      </c>
      <c r="H4321" s="1">
        <v>19419.521100000002</v>
      </c>
      <c r="I4321"/>
      <c r="J4321"/>
      <c r="K4321" s="170">
        <v>46081</v>
      </c>
      <c r="L4321" s="1">
        <v>26718.404876764947</v>
      </c>
      <c r="M4321" s="1">
        <v>46106</v>
      </c>
    </row>
    <row r="4322" spans="1:14" ht="14.4" hidden="1">
      <c r="A4322" t="s">
        <v>539</v>
      </c>
      <c r="B4322" s="1">
        <v>84</v>
      </c>
      <c r="C4322" s="258" t="s">
        <v>8955</v>
      </c>
      <c r="D4322" t="s">
        <v>1316</v>
      </c>
      <c r="E4322" t="s">
        <v>8956</v>
      </c>
      <c r="F4322"/>
      <c r="G4322">
        <v>0.2</v>
      </c>
      <c r="H4322" s="1">
        <v>12946.347400000001</v>
      </c>
      <c r="I4322"/>
      <c r="J4322"/>
      <c r="K4322" s="170">
        <v>46112</v>
      </c>
      <c r="L4322" s="1">
        <v>17812.269917843299</v>
      </c>
      <c r="M4322" s="1">
        <v>46136</v>
      </c>
    </row>
    <row r="4323" spans="1:14" ht="14.4" hidden="1">
      <c r="A4323" t="s">
        <v>539</v>
      </c>
      <c r="B4323" s="1">
        <v>148</v>
      </c>
      <c r="C4323" s="258" t="s">
        <v>8957</v>
      </c>
      <c r="D4323" t="s">
        <v>1277</v>
      </c>
      <c r="E4323" t="s">
        <v>2105</v>
      </c>
      <c r="F4323"/>
      <c r="H4323" s="1">
        <v>10409.51125</v>
      </c>
      <c r="I4323"/>
      <c r="J4323"/>
      <c r="K4323" s="170">
        <v>46112</v>
      </c>
      <c r="M4323" s="1">
        <v>46112</v>
      </c>
      <c r="N4323" s="1">
        <v>10409.51125</v>
      </c>
    </row>
    <row r="4324" spans="1:14" ht="14.4" hidden="1">
      <c r="A4324" t="s">
        <v>539</v>
      </c>
      <c r="B4324" s="1">
        <v>155</v>
      </c>
      <c r="C4324" s="258" t="s">
        <v>8958</v>
      </c>
      <c r="D4324" t="s">
        <v>1280</v>
      </c>
      <c r="E4324" t="s">
        <v>1281</v>
      </c>
      <c r="F4324"/>
      <c r="H4324" s="1">
        <v>291.66666666666669</v>
      </c>
      <c r="I4324"/>
      <c r="J4324"/>
      <c r="K4324" s="170">
        <v>46081</v>
      </c>
      <c r="L4324" s="1">
        <v>324.00000000000006</v>
      </c>
      <c r="M4324" s="1">
        <v>46088</v>
      </c>
      <c r="N4324" s="1">
        <v>875</v>
      </c>
    </row>
    <row r="4325" spans="1:14" ht="14.4" hidden="1">
      <c r="A4325" t="s">
        <v>539</v>
      </c>
      <c r="B4325" s="1">
        <v>156</v>
      </c>
      <c r="C4325" s="258" t="s">
        <v>8959</v>
      </c>
      <c r="D4325" t="s">
        <v>1280</v>
      </c>
      <c r="E4325" t="s">
        <v>1281</v>
      </c>
      <c r="F4325"/>
      <c r="H4325" s="1">
        <v>291.66666666666669</v>
      </c>
      <c r="I4325"/>
      <c r="J4325"/>
      <c r="K4325" s="170">
        <v>46112</v>
      </c>
      <c r="L4325" s="1">
        <v>324.00000000000006</v>
      </c>
      <c r="M4325" s="1">
        <v>46119</v>
      </c>
    </row>
    <row r="4326" spans="1:14" ht="14.4" hidden="1">
      <c r="A4326" t="s">
        <v>539</v>
      </c>
      <c r="B4326" s="1">
        <v>157</v>
      </c>
      <c r="C4326" s="258" t="s">
        <v>8960</v>
      </c>
      <c r="D4326" t="s">
        <v>1280</v>
      </c>
      <c r="E4326" t="s">
        <v>1281</v>
      </c>
      <c r="F4326"/>
      <c r="H4326" s="1">
        <v>291.66666666666669</v>
      </c>
      <c r="I4326"/>
      <c r="J4326"/>
      <c r="K4326" s="170">
        <v>46142</v>
      </c>
      <c r="L4326" s="1">
        <v>324.00000000000006</v>
      </c>
      <c r="M4326" s="1">
        <v>46149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5A6BC-1810-4F1A-A665-EE1C083FAB12}">
  <sheetPr codeName="Sheet8"/>
  <dimension ref="A1:AK1130"/>
  <sheetViews>
    <sheetView workbookViewId="0">
      <selection sqref="A1:F287"/>
    </sheetView>
  </sheetViews>
  <sheetFormatPr defaultRowHeight="14.5"/>
  <cols>
    <col min="1" max="1" width="14" bestFit="1" customWidth="1"/>
    <col min="2" max="2" width="20.453125" bestFit="1" customWidth="1"/>
    <col min="3" max="3" width="13" style="6" bestFit="1" customWidth="1"/>
    <col min="4" max="4" width="18.6328125" style="1" bestFit="1" customWidth="1"/>
    <col min="5" max="5" width="24.453125" bestFit="1" customWidth="1"/>
    <col min="6" max="6" width="27.26953125" style="2" bestFit="1" customWidth="1"/>
    <col min="7" max="7" width="22.453125" style="2" bestFit="1" customWidth="1"/>
    <col min="8" max="8" width="22.54296875" style="2" bestFit="1" customWidth="1"/>
    <col min="9" max="9" width="21" style="2" bestFit="1" customWidth="1"/>
    <col min="10" max="10" width="22.453125" style="2" customWidth="1"/>
    <col min="11" max="11" width="13.453125" style="6" bestFit="1" customWidth="1"/>
    <col min="12" max="12" width="16.54296875" style="1" bestFit="1" customWidth="1"/>
    <col min="13" max="13" width="22.453125" bestFit="1" customWidth="1"/>
    <col min="14" max="14" width="16.1796875" bestFit="1" customWidth="1"/>
    <col min="15" max="15" width="19.54296875" bestFit="1" customWidth="1"/>
    <col min="16" max="16" width="23" bestFit="1" customWidth="1"/>
    <col min="17" max="17" width="8.453125" bestFit="1" customWidth="1"/>
    <col min="18" max="18" width="27" bestFit="1" customWidth="1"/>
    <col min="19" max="19" width="12.54296875" style="6" bestFit="1" customWidth="1"/>
    <col min="20" max="20" width="14.54296875" style="1" bestFit="1" customWidth="1"/>
    <col min="21" max="21" width="16.1796875" bestFit="1" customWidth="1"/>
    <col min="22" max="22" width="19.54296875" style="2" bestFit="1" customWidth="1"/>
    <col min="23" max="23" width="14.54296875" style="2" bestFit="1" customWidth="1"/>
    <col min="24" max="37" width="11.54296875" style="2" bestFit="1" customWidth="1"/>
  </cols>
  <sheetData>
    <row r="1" spans="1:37">
      <c r="A1" t="s">
        <v>494</v>
      </c>
      <c r="B1" t="s">
        <v>8961</v>
      </c>
      <c r="C1" s="6" t="s">
        <v>8962</v>
      </c>
      <c r="D1" s="1" t="s">
        <v>8963</v>
      </c>
      <c r="E1" t="s">
        <v>8964</v>
      </c>
      <c r="F1" s="2" t="s">
        <v>8965</v>
      </c>
      <c r="G1" s="2" t="s">
        <v>8966</v>
      </c>
      <c r="H1" s="2" t="s">
        <v>8967</v>
      </c>
      <c r="I1" s="2" t="s">
        <v>115</v>
      </c>
      <c r="J1"/>
      <c r="K1"/>
      <c r="L1"/>
      <c r="S1"/>
      <c r="T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</row>
    <row r="2" spans="1:37">
      <c r="A2" t="s">
        <v>155</v>
      </c>
      <c r="B2" t="s">
        <v>8968</v>
      </c>
      <c r="C2" s="6">
        <v>0.35</v>
      </c>
      <c r="D2" s="1">
        <v>1149333.6924999999</v>
      </c>
      <c r="E2" t="s">
        <v>8969</v>
      </c>
      <c r="F2" s="171">
        <v>45904</v>
      </c>
      <c r="G2" s="171">
        <v>45905</v>
      </c>
      <c r="H2" s="251"/>
      <c r="I2" s="171" t="b">
        <v>1</v>
      </c>
      <c r="J2"/>
      <c r="K2"/>
      <c r="L2"/>
      <c r="S2"/>
      <c r="T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</row>
    <row r="3" spans="1:37">
      <c r="A3" t="s">
        <v>155</v>
      </c>
      <c r="B3" t="s">
        <v>8970</v>
      </c>
      <c r="C3" s="6">
        <v>0.3</v>
      </c>
      <c r="D3" s="1">
        <v>985143.16500000004</v>
      </c>
      <c r="E3" t="s">
        <v>8971</v>
      </c>
      <c r="F3" s="171">
        <v>45950</v>
      </c>
      <c r="G3" s="171">
        <v>45951</v>
      </c>
      <c r="H3" s="251"/>
      <c r="I3" s="171" t="b">
        <v>1</v>
      </c>
      <c r="J3"/>
      <c r="K3"/>
      <c r="L3"/>
      <c r="S3"/>
      <c r="T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</row>
    <row r="4" spans="1:37">
      <c r="A4" t="s">
        <v>155</v>
      </c>
      <c r="B4" t="s">
        <v>676</v>
      </c>
      <c r="C4" s="6">
        <v>0.2</v>
      </c>
      <c r="D4" s="1">
        <v>656762.11</v>
      </c>
      <c r="E4" t="s">
        <v>8971</v>
      </c>
      <c r="F4" s="171">
        <v>45950</v>
      </c>
      <c r="G4" s="171">
        <v>45971</v>
      </c>
      <c r="H4" s="251"/>
      <c r="I4" s="171" t="b">
        <v>1</v>
      </c>
      <c r="J4"/>
      <c r="K4"/>
      <c r="L4"/>
      <c r="S4"/>
      <c r="T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>
      <c r="A5" t="s">
        <v>155</v>
      </c>
      <c r="B5" t="s">
        <v>169</v>
      </c>
      <c r="C5" s="6">
        <v>0.1</v>
      </c>
      <c r="D5" s="1">
        <v>328381.05499999999</v>
      </c>
      <c r="E5" t="s">
        <v>8972</v>
      </c>
      <c r="F5" s="171">
        <v>46015</v>
      </c>
      <c r="G5" s="171" t="s">
        <v>8973</v>
      </c>
      <c r="H5" s="251"/>
      <c r="I5" s="171" t="b">
        <v>1</v>
      </c>
      <c r="J5"/>
      <c r="K5"/>
      <c r="L5"/>
      <c r="S5"/>
      <c r="T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>
      <c r="A6" t="s">
        <v>155</v>
      </c>
      <c r="B6" t="s">
        <v>41</v>
      </c>
      <c r="C6" s="6">
        <v>0.05</v>
      </c>
      <c r="D6" s="1">
        <v>164190.5275</v>
      </c>
      <c r="F6" s="171"/>
      <c r="G6" s="171">
        <v>46080</v>
      </c>
      <c r="H6" s="251" t="s">
        <v>8974</v>
      </c>
      <c r="I6" s="171" t="b">
        <v>1</v>
      </c>
      <c r="J6"/>
      <c r="K6"/>
      <c r="L6"/>
      <c r="S6"/>
      <c r="T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>
      <c r="A7" t="s">
        <v>155</v>
      </c>
      <c r="B7" t="s">
        <v>8975</v>
      </c>
      <c r="C7" s="6">
        <v>0</v>
      </c>
      <c r="D7" s="1">
        <v>93594.2</v>
      </c>
      <c r="E7" t="s">
        <v>8976</v>
      </c>
      <c r="F7" s="171">
        <v>46015</v>
      </c>
      <c r="G7" s="171" t="s">
        <v>8973</v>
      </c>
      <c r="H7" s="251"/>
      <c r="I7" s="171" t="b">
        <v>1</v>
      </c>
      <c r="J7"/>
      <c r="K7"/>
      <c r="L7"/>
      <c r="S7"/>
      <c r="T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</row>
    <row r="8" spans="1:37">
      <c r="A8" t="s">
        <v>502</v>
      </c>
      <c r="B8" t="s">
        <v>8968</v>
      </c>
      <c r="C8" s="6">
        <v>0.5</v>
      </c>
      <c r="D8" s="1">
        <v>1449887.3270009493</v>
      </c>
      <c r="F8" s="171"/>
      <c r="G8" s="171">
        <v>46083</v>
      </c>
      <c r="H8" s="251"/>
      <c r="I8" s="171" t="b">
        <v>0</v>
      </c>
      <c r="J8"/>
      <c r="K8"/>
      <c r="L8"/>
      <c r="S8"/>
      <c r="T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</row>
    <row r="9" spans="1:37">
      <c r="A9" t="s">
        <v>502</v>
      </c>
      <c r="B9" t="s">
        <v>8970</v>
      </c>
      <c r="C9" s="6">
        <v>0.25</v>
      </c>
      <c r="D9" s="1">
        <v>724943.66350047477</v>
      </c>
      <c r="F9" s="171"/>
      <c r="G9" s="171">
        <v>46142</v>
      </c>
      <c r="H9" s="251"/>
      <c r="I9" s="171" t="b">
        <v>0</v>
      </c>
      <c r="J9"/>
      <c r="K9"/>
      <c r="L9"/>
      <c r="S9"/>
      <c r="T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</row>
    <row r="10" spans="1:37">
      <c r="A10" t="s">
        <v>502</v>
      </c>
      <c r="B10" t="s">
        <v>676</v>
      </c>
      <c r="C10" s="6">
        <v>0.1</v>
      </c>
      <c r="D10" s="1">
        <v>289977.46540018986</v>
      </c>
      <c r="F10" s="171"/>
      <c r="G10" s="171">
        <v>46143</v>
      </c>
      <c r="H10" s="251"/>
      <c r="I10" s="171" t="b">
        <v>0</v>
      </c>
      <c r="J10"/>
      <c r="K10"/>
      <c r="L10"/>
      <c r="S10"/>
      <c r="T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</row>
    <row r="11" spans="1:37">
      <c r="A11" t="s">
        <v>502</v>
      </c>
      <c r="B11" t="s">
        <v>169</v>
      </c>
      <c r="C11" s="6">
        <v>0.1</v>
      </c>
      <c r="D11" s="1">
        <v>289977.46540018986</v>
      </c>
      <c r="F11" s="171"/>
      <c r="G11" s="171">
        <v>46176</v>
      </c>
      <c r="H11" s="251"/>
      <c r="I11" s="171" t="b">
        <v>0</v>
      </c>
      <c r="J11"/>
      <c r="K11"/>
      <c r="L11"/>
      <c r="S11"/>
      <c r="T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>
      <c r="A12" t="s">
        <v>502</v>
      </c>
      <c r="B12" t="s">
        <v>41</v>
      </c>
      <c r="C12" s="6">
        <v>0.05</v>
      </c>
      <c r="D12" s="1">
        <v>144988.73270009493</v>
      </c>
      <c r="F12" s="171"/>
      <c r="G12" s="171">
        <v>46542</v>
      </c>
      <c r="H12" s="251"/>
      <c r="I12" s="171" t="b">
        <v>0</v>
      </c>
      <c r="J12"/>
      <c r="K12"/>
      <c r="L12"/>
      <c r="S12"/>
      <c r="T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>
      <c r="A13" t="s">
        <v>504</v>
      </c>
      <c r="B13" t="s">
        <v>8968</v>
      </c>
      <c r="C13" s="6">
        <v>0.25</v>
      </c>
      <c r="D13" s="1">
        <v>869.56521739130437</v>
      </c>
      <c r="E13" t="s">
        <v>8977</v>
      </c>
      <c r="F13" s="171">
        <v>45989</v>
      </c>
      <c r="G13" s="171">
        <v>45999</v>
      </c>
      <c r="H13" s="251"/>
      <c r="I13" s="171" t="b">
        <v>0</v>
      </c>
      <c r="J13"/>
      <c r="K13"/>
      <c r="L13"/>
      <c r="S13"/>
      <c r="T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>
      <c r="A14" t="s">
        <v>504</v>
      </c>
      <c r="B14" t="s">
        <v>8968</v>
      </c>
      <c r="D14" s="1">
        <v>468949.28358163778</v>
      </c>
      <c r="E14" t="s">
        <v>8977</v>
      </c>
      <c r="F14" s="171">
        <v>45989</v>
      </c>
      <c r="G14" s="171">
        <v>46034</v>
      </c>
      <c r="H14" s="251"/>
      <c r="I14" s="171" t="b">
        <v>0</v>
      </c>
      <c r="J14"/>
      <c r="K14"/>
      <c r="L14"/>
      <c r="S14"/>
      <c r="T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>
      <c r="A15" t="s">
        <v>504</v>
      </c>
      <c r="B15" t="s">
        <v>8970</v>
      </c>
      <c r="C15" s="6">
        <v>0.5</v>
      </c>
      <c r="D15" s="1">
        <v>939637.69759805733</v>
      </c>
      <c r="E15" t="s">
        <v>9301</v>
      </c>
      <c r="F15" s="171">
        <v>46065</v>
      </c>
      <c r="G15" s="171">
        <v>46072</v>
      </c>
      <c r="H15" s="251"/>
      <c r="I15" s="171" t="b">
        <v>0</v>
      </c>
      <c r="J15"/>
      <c r="K15"/>
      <c r="L15"/>
      <c r="S15"/>
      <c r="T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>
      <c r="A16" t="s">
        <v>504</v>
      </c>
      <c r="B16" t="s">
        <v>676</v>
      </c>
      <c r="C16" s="6">
        <v>0.1</v>
      </c>
      <c r="D16" s="1">
        <v>187927.53951961143</v>
      </c>
      <c r="E16" t="s">
        <v>9301</v>
      </c>
      <c r="F16" s="171">
        <v>46065</v>
      </c>
      <c r="G16" s="171">
        <v>46072</v>
      </c>
      <c r="H16" s="251"/>
      <c r="I16" s="171" t="b">
        <v>0</v>
      </c>
      <c r="J16"/>
      <c r="K16"/>
      <c r="L16"/>
      <c r="S16"/>
      <c r="T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>
      <c r="A17" t="s">
        <v>504</v>
      </c>
      <c r="B17" t="s">
        <v>169</v>
      </c>
      <c r="C17" s="6">
        <v>0.1</v>
      </c>
      <c r="D17" s="1">
        <v>187927.53951961148</v>
      </c>
      <c r="F17" s="171"/>
      <c r="G17" s="171">
        <v>46104</v>
      </c>
      <c r="H17" s="251"/>
      <c r="I17" s="171" t="b">
        <v>0</v>
      </c>
      <c r="J17"/>
      <c r="K17"/>
      <c r="L17"/>
      <c r="S17"/>
      <c r="T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>
      <c r="A18" t="s">
        <v>504</v>
      </c>
      <c r="B18" t="s">
        <v>41</v>
      </c>
      <c r="C18" s="6">
        <v>0.05</v>
      </c>
      <c r="D18" s="1">
        <v>93963.769759805742</v>
      </c>
      <c r="F18" s="171"/>
      <c r="G18" s="171">
        <v>46112</v>
      </c>
      <c r="H18" s="251"/>
      <c r="I18" s="171" t="b">
        <v>0</v>
      </c>
      <c r="J18"/>
      <c r="K18"/>
      <c r="L18"/>
      <c r="S18"/>
      <c r="T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>
      <c r="A19" t="s">
        <v>163</v>
      </c>
      <c r="B19" t="s">
        <v>8968</v>
      </c>
      <c r="C19" s="6">
        <v>0.35</v>
      </c>
      <c r="D19" s="1">
        <v>2224372.4708915744</v>
      </c>
      <c r="E19" t="s">
        <v>8978</v>
      </c>
      <c r="F19" s="171">
        <v>45827</v>
      </c>
      <c r="G19" s="171">
        <v>45833</v>
      </c>
      <c r="H19" s="251"/>
      <c r="I19" s="171"/>
      <c r="J19"/>
      <c r="K19"/>
      <c r="L19"/>
      <c r="S19"/>
      <c r="T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>
      <c r="A20" t="s">
        <v>163</v>
      </c>
      <c r="B20" t="s">
        <v>8970</v>
      </c>
      <c r="C20" s="6">
        <v>0.3</v>
      </c>
      <c r="D20" s="1">
        <v>1906604.9750499208</v>
      </c>
      <c r="E20" t="s">
        <v>8979</v>
      </c>
      <c r="F20" s="171">
        <v>45891</v>
      </c>
      <c r="G20" s="171">
        <v>45898</v>
      </c>
      <c r="H20" s="251"/>
      <c r="I20" s="171"/>
      <c r="J20"/>
      <c r="K20"/>
      <c r="L20"/>
      <c r="S20"/>
      <c r="T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>
      <c r="A21" t="s">
        <v>163</v>
      </c>
      <c r="B21" t="s">
        <v>676</v>
      </c>
      <c r="C21" s="6">
        <v>0.2</v>
      </c>
      <c r="D21" s="1">
        <v>1271069.9833666142</v>
      </c>
      <c r="E21" t="s">
        <v>8979</v>
      </c>
      <c r="F21" s="171">
        <v>45891</v>
      </c>
      <c r="G21" s="171">
        <v>45898</v>
      </c>
      <c r="H21" s="251"/>
      <c r="I21" s="171"/>
      <c r="J21"/>
      <c r="K21"/>
      <c r="L21"/>
      <c r="S21"/>
      <c r="T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>
      <c r="A22" t="s">
        <v>163</v>
      </c>
      <c r="B22" t="s">
        <v>169</v>
      </c>
      <c r="C22" s="6">
        <v>0.1</v>
      </c>
      <c r="D22" s="1">
        <v>635534.9916833071</v>
      </c>
      <c r="E22" t="s">
        <v>8980</v>
      </c>
      <c r="F22" s="171">
        <v>45999</v>
      </c>
      <c r="G22" s="171">
        <v>46006</v>
      </c>
      <c r="H22" s="251"/>
      <c r="I22" s="171"/>
      <c r="J22"/>
      <c r="K22"/>
      <c r="L22"/>
      <c r="S22"/>
      <c r="T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>
      <c r="A23" t="s">
        <v>163</v>
      </c>
      <c r="B23" t="s">
        <v>41</v>
      </c>
      <c r="C23" s="6">
        <v>0.05</v>
      </c>
      <c r="D23" s="1">
        <v>317767.49584165355</v>
      </c>
      <c r="E23" t="s">
        <v>8981</v>
      </c>
      <c r="F23" s="171">
        <v>46055</v>
      </c>
      <c r="G23" s="171">
        <v>46069</v>
      </c>
      <c r="H23" s="251"/>
      <c r="I23" s="171"/>
      <c r="J23"/>
      <c r="K23"/>
      <c r="L23"/>
      <c r="S23"/>
      <c r="T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</row>
    <row r="24" spans="1:37">
      <c r="A24" t="s">
        <v>167</v>
      </c>
      <c r="D24" s="1" t="s">
        <v>8982</v>
      </c>
      <c r="E24" t="s">
        <v>8983</v>
      </c>
      <c r="F24" s="171" t="s">
        <v>8984</v>
      </c>
      <c r="G24" s="171" t="s">
        <v>8985</v>
      </c>
      <c r="H24" s="251" t="s">
        <v>8986</v>
      </c>
      <c r="I24" s="171" t="s">
        <v>8987</v>
      </c>
      <c r="J24"/>
      <c r="K24"/>
      <c r="L24"/>
      <c r="S24"/>
      <c r="T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>
      <c r="A25" t="s">
        <v>167</v>
      </c>
      <c r="B25" t="s">
        <v>8988</v>
      </c>
      <c r="D25" s="1">
        <v>3984069.2478407002</v>
      </c>
      <c r="E25" t="s">
        <v>8989</v>
      </c>
      <c r="F25" s="171" t="s">
        <v>8990</v>
      </c>
      <c r="G25" s="171">
        <v>2930458.9460892947</v>
      </c>
      <c r="H25" s="251" t="s">
        <v>8991</v>
      </c>
      <c r="I25" s="171">
        <v>409781.66559800867</v>
      </c>
      <c r="J25" s="6"/>
      <c r="K25" s="1"/>
      <c r="L25"/>
      <c r="S25"/>
      <c r="T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</row>
    <row r="26" spans="1:37">
      <c r="A26" t="s">
        <v>167</v>
      </c>
      <c r="B26" t="s">
        <v>8968</v>
      </c>
      <c r="C26" s="6">
        <v>0.5</v>
      </c>
      <c r="D26" s="1">
        <v>1992034.6239203501</v>
      </c>
      <c r="E26" t="s">
        <v>8992</v>
      </c>
      <c r="F26" s="171">
        <v>45826</v>
      </c>
      <c r="G26" s="171">
        <v>45833</v>
      </c>
      <c r="H26" s="251"/>
      <c r="I26" s="171"/>
      <c r="J26" s="6"/>
      <c r="K26" s="1"/>
      <c r="L26"/>
      <c r="S26"/>
      <c r="T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</row>
    <row r="27" spans="1:37">
      <c r="A27" t="s">
        <v>167</v>
      </c>
      <c r="B27" t="s">
        <v>8970</v>
      </c>
      <c r="C27" s="6">
        <v>0.25</v>
      </c>
      <c r="D27" s="1">
        <v>996017.31196017505</v>
      </c>
      <c r="E27" t="s">
        <v>8993</v>
      </c>
      <c r="F27" s="171">
        <v>45900</v>
      </c>
      <c r="G27" s="171">
        <v>45908</v>
      </c>
      <c r="H27" s="251"/>
      <c r="I27" s="171"/>
      <c r="J27" s="6"/>
      <c r="K27" s="1"/>
      <c r="L27"/>
      <c r="S27"/>
      <c r="T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</row>
    <row r="28" spans="1:37">
      <c r="A28" t="s">
        <v>167</v>
      </c>
      <c r="B28" t="s">
        <v>676</v>
      </c>
      <c r="C28" s="6">
        <v>0.1</v>
      </c>
      <c r="D28" s="1">
        <v>398406.92478407006</v>
      </c>
      <c r="E28" t="s">
        <v>8994</v>
      </c>
      <c r="F28" s="171">
        <v>45869</v>
      </c>
      <c r="G28" s="171">
        <v>45888</v>
      </c>
      <c r="H28" s="251"/>
      <c r="I28" s="171"/>
      <c r="J28" s="6"/>
      <c r="K28" s="1"/>
      <c r="L28"/>
      <c r="S28"/>
      <c r="T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</row>
    <row r="29" spans="1:37">
      <c r="A29" t="s">
        <v>167</v>
      </c>
      <c r="B29" t="s">
        <v>169</v>
      </c>
      <c r="C29" s="6">
        <v>0.1</v>
      </c>
      <c r="D29" s="1">
        <v>398406.92478407006</v>
      </c>
      <c r="E29" t="s">
        <v>8995</v>
      </c>
      <c r="F29" s="171">
        <v>46044</v>
      </c>
      <c r="G29" s="171">
        <v>46064</v>
      </c>
      <c r="H29" s="251" t="s">
        <v>8996</v>
      </c>
      <c r="I29" s="171"/>
      <c r="J29" s="6"/>
      <c r="K29" s="1"/>
      <c r="L29"/>
      <c r="S29"/>
      <c r="T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</row>
    <row r="30" spans="1:37">
      <c r="A30" t="s">
        <v>167</v>
      </c>
      <c r="B30" t="s">
        <v>41</v>
      </c>
      <c r="C30" s="6">
        <v>0.05</v>
      </c>
      <c r="D30" s="1">
        <v>199203.46239203503</v>
      </c>
      <c r="F30" s="171"/>
      <c r="G30" s="171">
        <v>46083</v>
      </c>
      <c r="H30" s="251"/>
      <c r="I30" s="171"/>
      <c r="J30" s="6"/>
      <c r="K30" s="1"/>
      <c r="L30"/>
      <c r="S30"/>
      <c r="T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</row>
    <row r="31" spans="1:37">
      <c r="A31" t="s">
        <v>173</v>
      </c>
      <c r="B31" t="s">
        <v>8968</v>
      </c>
      <c r="C31" s="6">
        <v>0.5</v>
      </c>
      <c r="D31" s="1">
        <v>895970.37</v>
      </c>
      <c r="E31" t="s">
        <v>8997</v>
      </c>
      <c r="F31" s="171">
        <v>45854</v>
      </c>
      <c r="G31" s="171">
        <v>45863</v>
      </c>
      <c r="H31" s="251"/>
      <c r="I31" s="171"/>
      <c r="J31" s="6"/>
      <c r="K31" s="1"/>
      <c r="L31"/>
      <c r="S31"/>
      <c r="T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</row>
    <row r="32" spans="1:37">
      <c r="A32" t="s">
        <v>173</v>
      </c>
      <c r="B32" t="s">
        <v>8970</v>
      </c>
      <c r="C32" s="6">
        <v>0.1</v>
      </c>
      <c r="D32" s="1">
        <v>179194.07400000002</v>
      </c>
      <c r="E32" t="s">
        <v>8998</v>
      </c>
      <c r="F32" s="171">
        <v>45880</v>
      </c>
      <c r="G32" s="171">
        <v>45884</v>
      </c>
      <c r="H32" s="251"/>
      <c r="I32" s="171"/>
      <c r="J32" s="6"/>
      <c r="K32" s="1"/>
      <c r="L32"/>
      <c r="S32"/>
      <c r="T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</row>
    <row r="33" spans="1:37">
      <c r="A33" t="s">
        <v>173</v>
      </c>
      <c r="B33" t="s">
        <v>676</v>
      </c>
      <c r="C33" s="6">
        <v>0.25</v>
      </c>
      <c r="D33" s="1">
        <v>447985.185</v>
      </c>
      <c r="E33" t="s">
        <v>8999</v>
      </c>
      <c r="F33" s="171">
        <v>45887</v>
      </c>
      <c r="G33" s="171">
        <v>45894</v>
      </c>
      <c r="H33" s="251"/>
      <c r="I33" s="171"/>
      <c r="J33" s="6"/>
      <c r="K33" s="1"/>
      <c r="L33"/>
      <c r="S33"/>
      <c r="T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</row>
    <row r="34" spans="1:37">
      <c r="A34" t="s">
        <v>173</v>
      </c>
      <c r="B34" t="s">
        <v>169</v>
      </c>
      <c r="C34" s="6">
        <v>0.1</v>
      </c>
      <c r="D34" s="1">
        <v>179194.07400000002</v>
      </c>
      <c r="E34" t="s">
        <v>9000</v>
      </c>
      <c r="F34" s="171">
        <v>46001</v>
      </c>
      <c r="G34" s="171">
        <v>46006</v>
      </c>
      <c r="H34" s="251"/>
      <c r="I34" s="171"/>
      <c r="J34" s="6"/>
      <c r="K34" s="1"/>
      <c r="L34"/>
      <c r="S34"/>
      <c r="T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</row>
    <row r="35" spans="1:37">
      <c r="A35" t="s">
        <v>173</v>
      </c>
      <c r="B35" t="s">
        <v>41</v>
      </c>
      <c r="C35" s="6">
        <v>0.05</v>
      </c>
      <c r="D35" s="1">
        <v>89597.037000000011</v>
      </c>
      <c r="E35" t="s">
        <v>9001</v>
      </c>
      <c r="F35" s="171">
        <v>46044</v>
      </c>
      <c r="G35" s="171">
        <v>46052</v>
      </c>
      <c r="H35" s="251" t="s">
        <v>9002</v>
      </c>
      <c r="I35" s="171"/>
      <c r="J35" s="6"/>
      <c r="K35" s="1"/>
      <c r="L35"/>
      <c r="S35"/>
      <c r="T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</row>
    <row r="36" spans="1:37">
      <c r="A36" t="s">
        <v>510</v>
      </c>
      <c r="B36" t="s">
        <v>9003</v>
      </c>
      <c r="C36" s="6">
        <v>0.2</v>
      </c>
      <c r="D36" s="1">
        <v>1930000</v>
      </c>
      <c r="E36" t="s">
        <v>9004</v>
      </c>
      <c r="F36" s="171">
        <v>45492</v>
      </c>
      <c r="G36" s="171">
        <v>45499</v>
      </c>
      <c r="H36" s="251"/>
      <c r="I36" s="171"/>
      <c r="J36" s="6"/>
      <c r="K36" s="1"/>
      <c r="L36"/>
      <c r="S36"/>
      <c r="T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</row>
    <row r="37" spans="1:37">
      <c r="A37" t="s">
        <v>510</v>
      </c>
      <c r="B37" t="s">
        <v>9005</v>
      </c>
      <c r="C37" s="6">
        <v>0.55000000000000004</v>
      </c>
      <c r="D37" s="1">
        <v>5307500</v>
      </c>
      <c r="E37" t="s">
        <v>9006</v>
      </c>
      <c r="F37" s="171">
        <v>45579</v>
      </c>
      <c r="G37" s="171">
        <v>45595</v>
      </c>
      <c r="H37" s="251"/>
      <c r="I37" s="171"/>
      <c r="J37" s="6"/>
      <c r="K37" s="1"/>
      <c r="L37"/>
      <c r="S37"/>
      <c r="T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</row>
    <row r="38" spans="1:37">
      <c r="A38" t="s">
        <v>510</v>
      </c>
      <c r="B38" t="s">
        <v>9007</v>
      </c>
      <c r="C38" s="6">
        <v>0.1</v>
      </c>
      <c r="D38" s="1">
        <v>965000</v>
      </c>
      <c r="E38" t="s">
        <v>9008</v>
      </c>
      <c r="F38" s="171">
        <v>45630</v>
      </c>
      <c r="G38" s="171">
        <v>45673</v>
      </c>
      <c r="H38" s="251"/>
      <c r="I38" s="171"/>
      <c r="J38" s="6"/>
      <c r="K38" s="1"/>
      <c r="L38"/>
      <c r="S38"/>
      <c r="T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</row>
    <row r="39" spans="1:37">
      <c r="A39" t="s">
        <v>510</v>
      </c>
      <c r="B39" t="s">
        <v>9009</v>
      </c>
      <c r="C39" s="6">
        <v>0.1</v>
      </c>
      <c r="D39" s="1">
        <v>965000</v>
      </c>
      <c r="E39" t="s">
        <v>9010</v>
      </c>
      <c r="F39" s="171">
        <v>45887</v>
      </c>
      <c r="G39" s="171">
        <v>45898</v>
      </c>
      <c r="H39" s="251"/>
      <c r="I39" s="171"/>
      <c r="J39" s="6"/>
      <c r="K39" s="1"/>
      <c r="L39"/>
      <c r="S39"/>
      <c r="T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</row>
    <row r="40" spans="1:37">
      <c r="A40" t="s">
        <v>510</v>
      </c>
      <c r="B40" t="s">
        <v>9011</v>
      </c>
      <c r="C40" s="6">
        <v>0.05</v>
      </c>
      <c r="D40" s="1">
        <v>482500</v>
      </c>
      <c r="F40" s="171"/>
      <c r="G40" s="171">
        <v>46112</v>
      </c>
      <c r="H40" s="251"/>
      <c r="I40" s="171"/>
      <c r="J40" s="6"/>
      <c r="K40" s="1"/>
      <c r="L40"/>
      <c r="S40"/>
      <c r="T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</row>
    <row r="41" spans="1:37">
      <c r="A41" t="s">
        <v>510</v>
      </c>
      <c r="B41" t="s">
        <v>9012</v>
      </c>
      <c r="C41" s="6">
        <v>0</v>
      </c>
      <c r="D41" s="1">
        <v>75000</v>
      </c>
      <c r="E41" t="s">
        <v>9013</v>
      </c>
      <c r="F41" s="171">
        <v>45841</v>
      </c>
      <c r="G41" s="171">
        <v>45887</v>
      </c>
      <c r="H41" s="251"/>
      <c r="I41" s="171"/>
      <c r="J41" s="6"/>
      <c r="K41" s="1"/>
      <c r="L41"/>
      <c r="S41"/>
      <c r="T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</row>
    <row r="42" spans="1:37">
      <c r="A42" t="s">
        <v>510</v>
      </c>
      <c r="B42" t="s">
        <v>9014</v>
      </c>
      <c r="C42" s="6">
        <v>0</v>
      </c>
      <c r="D42" s="1">
        <v>9366</v>
      </c>
      <c r="E42" t="s">
        <v>9013</v>
      </c>
      <c r="F42" s="171">
        <v>45841</v>
      </c>
      <c r="G42" s="171">
        <v>45887</v>
      </c>
      <c r="H42" s="251"/>
      <c r="I42" s="171"/>
      <c r="J42" s="6"/>
      <c r="K42" s="1"/>
      <c r="L42"/>
      <c r="S42"/>
      <c r="T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</row>
    <row r="43" spans="1:37">
      <c r="A43" t="s">
        <v>175</v>
      </c>
      <c r="B43" t="s">
        <v>6567</v>
      </c>
      <c r="D43" s="1">
        <v>21815.870833333334</v>
      </c>
      <c r="E43" t="s">
        <v>9015</v>
      </c>
      <c r="F43" s="171">
        <v>45796</v>
      </c>
      <c r="G43" s="171">
        <v>45825</v>
      </c>
      <c r="H43" s="251"/>
      <c r="I43" s="171"/>
      <c r="J43" s="6"/>
      <c r="K43" s="1"/>
      <c r="L43"/>
      <c r="S43"/>
      <c r="T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</row>
    <row r="44" spans="1:37">
      <c r="A44" t="s">
        <v>175</v>
      </c>
      <c r="B44" t="s">
        <v>9016</v>
      </c>
      <c r="D44" s="1">
        <v>21815.870833333334</v>
      </c>
      <c r="E44" t="s">
        <v>9015</v>
      </c>
      <c r="F44" s="171">
        <v>45796</v>
      </c>
      <c r="G44" s="171">
        <v>45852</v>
      </c>
      <c r="H44" s="251"/>
      <c r="I44" s="171"/>
      <c r="J44" s="6"/>
      <c r="K44" s="1"/>
      <c r="L44"/>
      <c r="S44"/>
      <c r="T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</row>
    <row r="45" spans="1:37">
      <c r="A45" t="s">
        <v>175</v>
      </c>
      <c r="B45" t="s">
        <v>170</v>
      </c>
      <c r="D45" s="1">
        <v>21815.870833333334</v>
      </c>
      <c r="E45" t="s">
        <v>9015</v>
      </c>
      <c r="F45" s="171">
        <v>45796</v>
      </c>
      <c r="G45" s="171">
        <v>45887</v>
      </c>
      <c r="H45" s="251"/>
      <c r="I45" s="171"/>
      <c r="J45" s="6"/>
      <c r="K45" s="1"/>
      <c r="L45"/>
      <c r="S45"/>
      <c r="T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</row>
    <row r="46" spans="1:37">
      <c r="A46" t="s">
        <v>175</v>
      </c>
      <c r="B46" t="s">
        <v>170</v>
      </c>
      <c r="D46" s="1">
        <v>21815.870833333334</v>
      </c>
      <c r="E46" t="s">
        <v>9015</v>
      </c>
      <c r="F46" s="171">
        <v>45796</v>
      </c>
      <c r="G46" s="171">
        <v>45916</v>
      </c>
      <c r="H46" s="251"/>
      <c r="I46" s="171"/>
      <c r="J46" s="6"/>
      <c r="K46" s="1"/>
      <c r="L46"/>
      <c r="S46"/>
      <c r="T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</row>
    <row r="47" spans="1:37">
      <c r="A47" t="s">
        <v>175</v>
      </c>
      <c r="B47" t="s">
        <v>170</v>
      </c>
      <c r="D47" s="1">
        <v>21815.870833333334</v>
      </c>
      <c r="E47" t="s">
        <v>9015</v>
      </c>
      <c r="F47" s="171">
        <v>45796</v>
      </c>
      <c r="G47" s="171">
        <v>45947</v>
      </c>
      <c r="H47" s="251"/>
      <c r="I47" s="171"/>
      <c r="J47" s="6"/>
      <c r="K47" s="1"/>
      <c r="L47"/>
      <c r="S47"/>
      <c r="T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</row>
    <row r="48" spans="1:37">
      <c r="A48" t="s">
        <v>175</v>
      </c>
      <c r="B48" t="s">
        <v>170</v>
      </c>
      <c r="D48" s="1">
        <v>21815.870833333334</v>
      </c>
      <c r="E48" t="s">
        <v>9015</v>
      </c>
      <c r="F48" s="171">
        <v>45796</v>
      </c>
      <c r="G48" s="171">
        <v>45992</v>
      </c>
      <c r="H48" s="251"/>
      <c r="I48" s="171"/>
      <c r="J48" s="6"/>
      <c r="K48" s="1"/>
      <c r="L48"/>
      <c r="S48"/>
      <c r="T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</row>
    <row r="49" spans="1:37">
      <c r="A49" t="s">
        <v>175</v>
      </c>
      <c r="B49" t="s">
        <v>170</v>
      </c>
      <c r="D49" s="1">
        <v>21815.870833333334</v>
      </c>
      <c r="E49" t="s">
        <v>9015</v>
      </c>
      <c r="F49" s="171">
        <v>45796</v>
      </c>
      <c r="G49" s="171">
        <v>46008</v>
      </c>
      <c r="H49" s="251"/>
      <c r="I49" s="171"/>
      <c r="J49" s="6"/>
      <c r="K49" s="1"/>
      <c r="L49"/>
      <c r="S49"/>
      <c r="T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</row>
    <row r="50" spans="1:37">
      <c r="A50" t="s">
        <v>175</v>
      </c>
      <c r="B50" t="s">
        <v>170</v>
      </c>
      <c r="D50" s="1">
        <v>21815.870833333334</v>
      </c>
      <c r="E50" t="s">
        <v>9015</v>
      </c>
      <c r="F50" s="171">
        <v>45796</v>
      </c>
      <c r="G50" s="171">
        <v>46037</v>
      </c>
      <c r="H50" s="251"/>
      <c r="I50" s="171"/>
      <c r="J50" s="6"/>
      <c r="K50" s="1"/>
      <c r="L50"/>
      <c r="S50"/>
      <c r="T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</row>
    <row r="51" spans="1:37">
      <c r="A51" t="s">
        <v>175</v>
      </c>
      <c r="B51" t="s">
        <v>170</v>
      </c>
      <c r="D51" s="1">
        <v>21815.870833333334</v>
      </c>
      <c r="E51" t="s">
        <v>9015</v>
      </c>
      <c r="F51" s="171">
        <v>45796</v>
      </c>
      <c r="G51" s="171">
        <v>46068</v>
      </c>
      <c r="H51" s="251"/>
      <c r="I51" s="171"/>
      <c r="J51" s="6"/>
      <c r="K51" s="1"/>
      <c r="L51"/>
      <c r="S51"/>
      <c r="T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</row>
    <row r="52" spans="1:37">
      <c r="A52" t="s">
        <v>175</v>
      </c>
      <c r="B52" t="s">
        <v>170</v>
      </c>
      <c r="D52" s="1">
        <v>21815.870833333334</v>
      </c>
      <c r="E52" t="s">
        <v>9015</v>
      </c>
      <c r="F52" s="171">
        <v>45796</v>
      </c>
      <c r="G52" s="171">
        <v>46096</v>
      </c>
      <c r="H52" s="251"/>
      <c r="I52" s="171"/>
      <c r="J52" s="6"/>
      <c r="K52" s="1"/>
      <c r="L52"/>
      <c r="S52"/>
      <c r="T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</row>
    <row r="53" spans="1:37">
      <c r="A53" t="s">
        <v>175</v>
      </c>
      <c r="B53" t="s">
        <v>170</v>
      </c>
      <c r="D53" s="1">
        <v>21815.870833333334</v>
      </c>
      <c r="E53" t="s">
        <v>9015</v>
      </c>
      <c r="F53" s="171">
        <v>45796</v>
      </c>
      <c r="G53" s="171">
        <v>46127</v>
      </c>
      <c r="H53" s="251"/>
      <c r="I53" s="171"/>
      <c r="J53" s="6"/>
      <c r="K53" s="1"/>
      <c r="L53"/>
      <c r="S53"/>
      <c r="T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</row>
    <row r="54" spans="1:37">
      <c r="A54" t="s">
        <v>175</v>
      </c>
      <c r="B54" t="s">
        <v>170</v>
      </c>
      <c r="C54" s="6">
        <v>0</v>
      </c>
      <c r="D54" s="1">
        <v>21815.870833333334</v>
      </c>
      <c r="E54" t="s">
        <v>9015</v>
      </c>
      <c r="F54" s="171">
        <v>45796</v>
      </c>
      <c r="G54" s="171">
        <v>46157</v>
      </c>
      <c r="H54" s="251"/>
      <c r="I54" s="171"/>
      <c r="J54" s="6"/>
      <c r="K54" s="1"/>
      <c r="L54"/>
      <c r="S54"/>
      <c r="T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</row>
    <row r="55" spans="1:37">
      <c r="A55" t="s">
        <v>178</v>
      </c>
      <c r="B55" t="s">
        <v>6567</v>
      </c>
      <c r="C55" s="6">
        <v>0.5</v>
      </c>
      <c r="D55" s="1">
        <v>199239.94</v>
      </c>
      <c r="E55" t="s">
        <v>9017</v>
      </c>
      <c r="F55" s="171">
        <v>45803</v>
      </c>
      <c r="G55" s="171">
        <v>45808</v>
      </c>
      <c r="H55" s="251"/>
      <c r="I55" s="171"/>
      <c r="J55" s="6"/>
      <c r="K55" s="1"/>
      <c r="L55"/>
      <c r="S55"/>
      <c r="T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</row>
    <row r="56" spans="1:37">
      <c r="A56" t="s">
        <v>178</v>
      </c>
      <c r="B56" t="s">
        <v>41</v>
      </c>
      <c r="C56" s="6">
        <v>0.5</v>
      </c>
      <c r="D56" s="1">
        <v>112989.94</v>
      </c>
      <c r="E56" t="s">
        <v>9018</v>
      </c>
      <c r="F56" s="171">
        <v>46058</v>
      </c>
      <c r="G56" s="171">
        <v>46065</v>
      </c>
      <c r="H56" s="251" t="s">
        <v>9019</v>
      </c>
      <c r="I56" s="171"/>
      <c r="J56" s="6"/>
      <c r="K56" s="1"/>
      <c r="L56"/>
      <c r="S56"/>
      <c r="T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</row>
    <row r="57" spans="1:37">
      <c r="A57" t="s">
        <v>178</v>
      </c>
      <c r="B57" t="s">
        <v>2170</v>
      </c>
      <c r="C57" s="6">
        <v>0</v>
      </c>
      <c r="D57" s="1">
        <v>64915.91</v>
      </c>
      <c r="E57" t="s">
        <v>9018</v>
      </c>
      <c r="F57" s="171">
        <v>46058</v>
      </c>
      <c r="G57" s="171">
        <v>46065</v>
      </c>
      <c r="H57" s="251"/>
      <c r="I57" s="171"/>
      <c r="J57" s="6"/>
      <c r="K57" s="1"/>
      <c r="L57"/>
      <c r="S57"/>
      <c r="T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</row>
    <row r="58" spans="1:37">
      <c r="A58" t="s">
        <v>182</v>
      </c>
      <c r="B58" t="s">
        <v>9020</v>
      </c>
      <c r="C58" s="6">
        <v>0.25</v>
      </c>
      <c r="D58" s="1">
        <v>15000000</v>
      </c>
      <c r="E58" t="s">
        <v>9021</v>
      </c>
      <c r="F58" s="171">
        <v>45805</v>
      </c>
      <c r="G58" s="171">
        <v>45828</v>
      </c>
      <c r="H58" s="251"/>
      <c r="I58" s="171"/>
      <c r="J58" s="6"/>
      <c r="K58" s="1"/>
      <c r="L58"/>
      <c r="S58"/>
      <c r="T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</row>
    <row r="59" spans="1:37">
      <c r="A59" t="s">
        <v>182</v>
      </c>
      <c r="B59" t="s">
        <v>9022</v>
      </c>
      <c r="C59" s="6">
        <v>0.15</v>
      </c>
      <c r="D59" s="1">
        <v>8998000</v>
      </c>
      <c r="E59" t="s">
        <v>9023</v>
      </c>
      <c r="F59" s="171">
        <v>45895</v>
      </c>
      <c r="G59" s="171">
        <v>45898</v>
      </c>
      <c r="H59" s="251"/>
      <c r="I59" s="171"/>
      <c r="J59" s="6"/>
      <c r="K59" s="1"/>
      <c r="L59"/>
      <c r="S59"/>
      <c r="T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</row>
    <row r="60" spans="1:37">
      <c r="A60" t="s">
        <v>182</v>
      </c>
      <c r="B60" t="s">
        <v>9024</v>
      </c>
      <c r="C60" s="6">
        <v>0.15</v>
      </c>
      <c r="D60" s="1">
        <v>8999250</v>
      </c>
      <c r="E60" t="s">
        <v>9025</v>
      </c>
      <c r="F60" s="171">
        <v>45912</v>
      </c>
      <c r="G60" s="171">
        <v>45918</v>
      </c>
      <c r="H60" s="251"/>
      <c r="I60" s="171"/>
      <c r="J60" s="6"/>
      <c r="K60" s="1"/>
      <c r="L60"/>
      <c r="S60"/>
      <c r="T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</row>
    <row r="61" spans="1:37">
      <c r="A61" t="s">
        <v>182</v>
      </c>
      <c r="B61" t="s">
        <v>676</v>
      </c>
      <c r="C61" s="6">
        <v>0.3</v>
      </c>
      <c r="D61" s="1">
        <v>17998500</v>
      </c>
      <c r="E61" t="s">
        <v>9026</v>
      </c>
      <c r="F61" s="171">
        <v>45852</v>
      </c>
      <c r="G61" s="171">
        <v>45862</v>
      </c>
      <c r="H61" s="251"/>
      <c r="I61" s="171"/>
      <c r="J61" s="6"/>
      <c r="K61" s="1"/>
      <c r="L61"/>
      <c r="S61"/>
      <c r="T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</row>
    <row r="62" spans="1:37">
      <c r="A62" t="s">
        <v>182</v>
      </c>
      <c r="B62" t="s">
        <v>169</v>
      </c>
      <c r="C62" s="6">
        <v>0.1</v>
      </c>
      <c r="D62" s="1">
        <v>29557.147826086959</v>
      </c>
      <c r="E62" t="s">
        <v>9027</v>
      </c>
      <c r="F62" s="171">
        <v>46055</v>
      </c>
      <c r="G62" s="171">
        <v>46002</v>
      </c>
      <c r="H62" s="251"/>
      <c r="I62" s="171"/>
      <c r="J62" s="6"/>
      <c r="K62" s="1"/>
      <c r="L62"/>
      <c r="S62"/>
      <c r="T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</row>
    <row r="63" spans="1:37">
      <c r="A63" t="s">
        <v>182</v>
      </c>
      <c r="B63" t="s">
        <v>169</v>
      </c>
      <c r="D63" s="1">
        <v>20283.582608695651</v>
      </c>
      <c r="E63" t="s">
        <v>9027</v>
      </c>
      <c r="F63" s="171">
        <v>46055</v>
      </c>
      <c r="G63" s="171">
        <v>46002</v>
      </c>
      <c r="H63" s="251"/>
      <c r="I63" s="171"/>
      <c r="J63" s="6"/>
      <c r="K63" s="1"/>
      <c r="L63"/>
      <c r="S63"/>
      <c r="T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</row>
    <row r="64" spans="1:37">
      <c r="A64" t="s">
        <v>182</v>
      </c>
      <c r="B64" t="s">
        <v>169</v>
      </c>
      <c r="D64" s="1">
        <v>5949659.2695652172</v>
      </c>
      <c r="E64" t="s">
        <v>9027</v>
      </c>
      <c r="F64" s="171">
        <v>46055</v>
      </c>
      <c r="G64" s="171">
        <v>46076</v>
      </c>
      <c r="H64" s="251" t="s">
        <v>9028</v>
      </c>
      <c r="I64" s="171"/>
      <c r="J64" s="6"/>
      <c r="K64" s="1"/>
      <c r="L64"/>
      <c r="S64"/>
      <c r="T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</row>
    <row r="65" spans="1:37">
      <c r="A65" t="s">
        <v>182</v>
      </c>
      <c r="B65" t="s">
        <v>41</v>
      </c>
      <c r="C65" s="6">
        <v>0.05</v>
      </c>
      <c r="D65" s="1">
        <v>2999750</v>
      </c>
      <c r="F65" s="171"/>
      <c r="G65" s="171">
        <v>46137</v>
      </c>
      <c r="H65" s="251"/>
      <c r="I65" s="171"/>
      <c r="J65" s="6"/>
      <c r="K65" s="1"/>
      <c r="L65"/>
      <c r="S65"/>
      <c r="T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</row>
    <row r="66" spans="1:37">
      <c r="A66" t="s">
        <v>184</v>
      </c>
      <c r="D66" s="1" t="s">
        <v>8982</v>
      </c>
      <c r="E66" t="s">
        <v>8983</v>
      </c>
      <c r="F66" s="171" t="s">
        <v>8984</v>
      </c>
      <c r="G66" s="171" t="s">
        <v>8985</v>
      </c>
      <c r="H66" s="251" t="s">
        <v>8986</v>
      </c>
      <c r="I66" s="171" t="s">
        <v>8987</v>
      </c>
      <c r="J66" s="6"/>
      <c r="K66" s="1"/>
      <c r="L66"/>
      <c r="S66"/>
      <c r="T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</row>
    <row r="67" spans="1:37">
      <c r="A67" t="s">
        <v>184</v>
      </c>
      <c r="B67" t="s">
        <v>8988</v>
      </c>
      <c r="D67" s="1">
        <v>2655906.3006630498</v>
      </c>
      <c r="F67" s="171" t="s">
        <v>8990</v>
      </c>
      <c r="G67" s="171">
        <v>2371815.3876553196</v>
      </c>
      <c r="H67" s="251" t="s">
        <v>9029</v>
      </c>
      <c r="I67" s="171">
        <v>141847.22999999998</v>
      </c>
      <c r="J67" s="6"/>
      <c r="K67" s="1"/>
      <c r="L67"/>
      <c r="S67"/>
      <c r="T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</row>
    <row r="68" spans="1:37">
      <c r="A68" t="s">
        <v>184</v>
      </c>
      <c r="B68" t="s">
        <v>6567</v>
      </c>
      <c r="C68" s="6">
        <v>0.2</v>
      </c>
      <c r="D68" s="1">
        <v>531181.26013260998</v>
      </c>
      <c r="E68" t="s">
        <v>9030</v>
      </c>
      <c r="F68" s="171">
        <v>45777</v>
      </c>
      <c r="G68" s="171">
        <v>45777</v>
      </c>
      <c r="H68" s="251"/>
      <c r="I68" s="171"/>
      <c r="J68" s="6"/>
      <c r="K68" s="1"/>
      <c r="L68"/>
      <c r="S68"/>
      <c r="T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</row>
    <row r="69" spans="1:37">
      <c r="A69" t="s">
        <v>184</v>
      </c>
      <c r="B69" t="s">
        <v>8970</v>
      </c>
      <c r="C69" s="6">
        <v>0.2</v>
      </c>
      <c r="D69" s="1">
        <v>531181.26013260998</v>
      </c>
      <c r="E69" t="s">
        <v>9030</v>
      </c>
      <c r="F69" s="171">
        <v>45777</v>
      </c>
      <c r="G69" s="171">
        <v>45842</v>
      </c>
      <c r="H69" s="251"/>
      <c r="I69" s="171"/>
      <c r="J69" s="6"/>
      <c r="K69" s="1"/>
      <c r="L69"/>
      <c r="S69"/>
      <c r="T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</row>
    <row r="70" spans="1:37">
      <c r="A70" t="s">
        <v>184</v>
      </c>
      <c r="B70" t="s">
        <v>676</v>
      </c>
      <c r="C70" s="6">
        <v>0.15</v>
      </c>
      <c r="D70" s="1">
        <v>398385.94509945746</v>
      </c>
      <c r="E70" t="s">
        <v>9030</v>
      </c>
      <c r="F70" s="171">
        <v>45777</v>
      </c>
      <c r="G70" s="171">
        <v>45842</v>
      </c>
      <c r="H70" s="251"/>
      <c r="I70" s="171"/>
      <c r="J70" s="6"/>
      <c r="K70" s="1"/>
      <c r="L70"/>
      <c r="S70"/>
      <c r="T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</row>
    <row r="71" spans="1:37">
      <c r="A71" t="s">
        <v>184</v>
      </c>
      <c r="B71" t="s">
        <v>1181</v>
      </c>
      <c r="C71" s="6">
        <v>0.15</v>
      </c>
      <c r="D71" s="1">
        <v>398385.94509945746</v>
      </c>
      <c r="E71" t="s">
        <v>9030</v>
      </c>
      <c r="F71" s="171">
        <v>45777</v>
      </c>
      <c r="G71" s="171">
        <v>45918</v>
      </c>
      <c r="H71" s="251"/>
      <c r="I71" s="171"/>
      <c r="J71" s="6"/>
      <c r="K71" s="1"/>
      <c r="L71"/>
      <c r="S71"/>
      <c r="T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</row>
    <row r="72" spans="1:37">
      <c r="A72" t="s">
        <v>184</v>
      </c>
      <c r="B72" t="s">
        <v>9031</v>
      </c>
      <c r="C72" s="6">
        <v>0.25</v>
      </c>
      <c r="D72" s="1">
        <v>663976.57516576245</v>
      </c>
      <c r="E72" t="s">
        <v>9030</v>
      </c>
      <c r="F72" s="171">
        <v>45777</v>
      </c>
      <c r="G72" s="171">
        <v>45891</v>
      </c>
      <c r="H72" s="251"/>
      <c r="I72" s="171"/>
      <c r="J72" s="6"/>
      <c r="K72" s="1"/>
      <c r="L72"/>
      <c r="S72"/>
      <c r="T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</row>
    <row r="73" spans="1:37">
      <c r="A73" t="s">
        <v>184</v>
      </c>
      <c r="B73" t="s">
        <v>41</v>
      </c>
      <c r="C73" s="6">
        <v>0.05</v>
      </c>
      <c r="D73" s="1">
        <v>132795.3150331525</v>
      </c>
      <c r="E73" t="s">
        <v>9030</v>
      </c>
      <c r="F73" s="171">
        <v>45777</v>
      </c>
      <c r="G73" s="171">
        <v>45926</v>
      </c>
      <c r="H73" s="251"/>
      <c r="I73" s="171"/>
      <c r="J73" s="6"/>
      <c r="K73" s="1"/>
      <c r="L73"/>
      <c r="S73"/>
      <c r="T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</row>
    <row r="74" spans="1:37">
      <c r="A74" t="s">
        <v>514</v>
      </c>
      <c r="B74" t="s">
        <v>8968</v>
      </c>
      <c r="C74" s="6">
        <v>0.35</v>
      </c>
      <c r="D74" s="1">
        <v>2087964.3732116497</v>
      </c>
      <c r="F74" s="171"/>
      <c r="G74" s="171">
        <v>46104</v>
      </c>
      <c r="H74" s="251"/>
      <c r="I74" s="171"/>
      <c r="J74" s="6"/>
      <c r="K74" s="1"/>
      <c r="L74"/>
      <c r="S74"/>
      <c r="T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</row>
    <row r="75" spans="1:37">
      <c r="A75" t="s">
        <v>514</v>
      </c>
      <c r="B75" t="s">
        <v>8970</v>
      </c>
      <c r="C75" s="6">
        <v>0.3</v>
      </c>
      <c r="D75" s="1">
        <v>1789683.7484671285</v>
      </c>
      <c r="F75" s="171"/>
      <c r="G75" s="171">
        <v>46126</v>
      </c>
      <c r="H75" s="251"/>
      <c r="I75" s="171"/>
      <c r="J75" s="6"/>
      <c r="K75" s="1"/>
      <c r="L75"/>
      <c r="S75"/>
      <c r="T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</row>
    <row r="76" spans="1:37">
      <c r="A76" t="s">
        <v>514</v>
      </c>
      <c r="B76" t="s">
        <v>676</v>
      </c>
      <c r="C76" s="6">
        <v>0.2</v>
      </c>
      <c r="D76" s="1">
        <v>1193122.4989780856</v>
      </c>
      <c r="F76" s="171"/>
      <c r="G76" s="171">
        <v>46127</v>
      </c>
      <c r="H76" s="251"/>
      <c r="I76" s="171"/>
      <c r="J76" s="6"/>
      <c r="K76" s="1"/>
      <c r="L76"/>
      <c r="S76"/>
      <c r="T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</row>
    <row r="77" spans="1:37">
      <c r="A77" t="s">
        <v>514</v>
      </c>
      <c r="B77" t="s">
        <v>169</v>
      </c>
      <c r="C77" s="6">
        <v>0.1</v>
      </c>
      <c r="D77" s="1">
        <v>596561.24948904279</v>
      </c>
      <c r="F77" s="171"/>
      <c r="G77" s="171">
        <v>46197</v>
      </c>
      <c r="H77" s="251"/>
      <c r="I77" s="171"/>
      <c r="J77" s="6"/>
      <c r="K77" s="1"/>
      <c r="L77"/>
      <c r="S77"/>
      <c r="T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</row>
    <row r="78" spans="1:37">
      <c r="A78" t="s">
        <v>514</v>
      </c>
      <c r="B78" t="s">
        <v>41</v>
      </c>
      <c r="C78" s="6">
        <v>0.05</v>
      </c>
      <c r="D78" s="1">
        <v>298280.6247445214</v>
      </c>
      <c r="F78" s="171"/>
      <c r="G78" s="171">
        <v>46563</v>
      </c>
      <c r="H78" s="251"/>
      <c r="I78" s="171"/>
      <c r="J78" s="6"/>
      <c r="K78" s="1"/>
      <c r="L78"/>
      <c r="S78"/>
      <c r="T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</row>
    <row r="79" spans="1:37">
      <c r="A79" t="s">
        <v>187</v>
      </c>
      <c r="D79" s="1" t="s">
        <v>8982</v>
      </c>
      <c r="E79" t="s">
        <v>8983</v>
      </c>
      <c r="F79" s="171" t="s">
        <v>8984</v>
      </c>
      <c r="G79" s="171" t="s">
        <v>8985</v>
      </c>
      <c r="H79" s="251" t="s">
        <v>8986</v>
      </c>
      <c r="I79" s="171" t="s">
        <v>8987</v>
      </c>
      <c r="J79" s="6"/>
      <c r="K79" s="1"/>
      <c r="L79"/>
      <c r="S79"/>
      <c r="T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</row>
    <row r="80" spans="1:37">
      <c r="A80" t="s">
        <v>187</v>
      </c>
      <c r="B80" t="s">
        <v>8988</v>
      </c>
      <c r="D80" s="1">
        <v>3894207.6830902998</v>
      </c>
      <c r="F80" s="171" t="s">
        <v>8990</v>
      </c>
      <c r="G80" s="171">
        <v>3143242.0706183896</v>
      </c>
      <c r="H80" s="251" t="s">
        <v>9032</v>
      </c>
      <c r="I80" s="171">
        <v>582623.23824843217</v>
      </c>
      <c r="J80" s="6"/>
      <c r="K80" s="1"/>
      <c r="L80"/>
      <c r="S80"/>
      <c r="T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</row>
    <row r="81" spans="1:37">
      <c r="A81" t="s">
        <v>187</v>
      </c>
      <c r="B81" t="s">
        <v>6567</v>
      </c>
      <c r="C81" s="6">
        <v>0.2</v>
      </c>
      <c r="D81" s="1">
        <v>778841.53661805997</v>
      </c>
      <c r="E81" t="s">
        <v>9033</v>
      </c>
      <c r="F81" s="171">
        <v>45778</v>
      </c>
      <c r="G81" s="171">
        <v>45777</v>
      </c>
      <c r="H81" s="251"/>
      <c r="I81" s="171"/>
      <c r="J81" s="6"/>
      <c r="K81" s="1"/>
      <c r="L81"/>
      <c r="S81"/>
      <c r="T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</row>
    <row r="82" spans="1:37">
      <c r="A82" t="s">
        <v>187</v>
      </c>
      <c r="B82" t="s">
        <v>8970</v>
      </c>
      <c r="C82" s="6">
        <v>0.2</v>
      </c>
      <c r="D82" s="1">
        <v>778841.53661805997</v>
      </c>
      <c r="E82" t="s">
        <v>9033</v>
      </c>
      <c r="F82" s="171">
        <v>45778</v>
      </c>
      <c r="G82" s="171">
        <v>45828</v>
      </c>
      <c r="H82" s="251"/>
      <c r="I82" s="171"/>
      <c r="J82" s="6"/>
      <c r="K82" s="1"/>
      <c r="L82"/>
      <c r="S82"/>
      <c r="T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</row>
    <row r="83" spans="1:37">
      <c r="A83" t="s">
        <v>187</v>
      </c>
      <c r="B83" t="s">
        <v>676</v>
      </c>
      <c r="C83" s="6">
        <v>0.15</v>
      </c>
      <c r="D83" s="1">
        <v>584131.15246354498</v>
      </c>
      <c r="E83" t="s">
        <v>9033</v>
      </c>
      <c r="F83" s="171">
        <v>45778</v>
      </c>
      <c r="G83" s="171">
        <v>45807</v>
      </c>
      <c r="H83" s="251"/>
      <c r="I83" s="171"/>
      <c r="J83" s="6"/>
      <c r="K83" s="1"/>
      <c r="L83"/>
      <c r="S83"/>
      <c r="T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</row>
    <row r="84" spans="1:37">
      <c r="A84" t="s">
        <v>187</v>
      </c>
      <c r="B84" t="s">
        <v>1181</v>
      </c>
      <c r="C84" s="6">
        <v>0.15</v>
      </c>
      <c r="D84" s="1">
        <v>584131.15246354498</v>
      </c>
      <c r="E84" t="s">
        <v>9033</v>
      </c>
      <c r="F84" s="171">
        <v>45778</v>
      </c>
      <c r="G84" s="171">
        <v>46002</v>
      </c>
      <c r="H84" s="251"/>
      <c r="I84" s="171"/>
      <c r="J84" s="6"/>
      <c r="K84" s="1"/>
      <c r="L84"/>
      <c r="S84"/>
      <c r="T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</row>
    <row r="85" spans="1:37">
      <c r="A85" t="s">
        <v>187</v>
      </c>
      <c r="B85" t="s">
        <v>9031</v>
      </c>
      <c r="C85" s="6">
        <v>0.25</v>
      </c>
      <c r="D85" s="1">
        <v>973551.92077257507</v>
      </c>
      <c r="E85" t="s">
        <v>9033</v>
      </c>
      <c r="F85" s="171">
        <v>45778</v>
      </c>
      <c r="G85" s="171">
        <v>46002</v>
      </c>
      <c r="H85" s="251"/>
      <c r="I85" s="171"/>
      <c r="J85" s="6"/>
      <c r="K85" s="1"/>
      <c r="L85"/>
      <c r="S85"/>
      <c r="T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</row>
    <row r="86" spans="1:37">
      <c r="A86" t="s">
        <v>187</v>
      </c>
      <c r="B86" t="s">
        <v>41</v>
      </c>
      <c r="C86" s="6">
        <v>0.05</v>
      </c>
      <c r="D86" s="1">
        <v>194710.38415451499</v>
      </c>
      <c r="E86" t="s">
        <v>9033</v>
      </c>
      <c r="F86" s="171">
        <v>45778</v>
      </c>
      <c r="G86" s="171">
        <v>46024</v>
      </c>
      <c r="H86" s="251"/>
      <c r="I86" s="171"/>
      <c r="J86" s="6"/>
      <c r="K86" s="1"/>
      <c r="L86"/>
      <c r="S86"/>
      <c r="T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</row>
    <row r="87" spans="1:37">
      <c r="A87" t="s">
        <v>9265</v>
      </c>
      <c r="B87" t="s">
        <v>9302</v>
      </c>
      <c r="D87" s="1">
        <v>6255</v>
      </c>
      <c r="E87" t="s">
        <v>9303</v>
      </c>
      <c r="F87" s="171">
        <v>46003</v>
      </c>
      <c r="G87" s="171">
        <v>46006</v>
      </c>
      <c r="H87" s="251"/>
      <c r="I87" s="171"/>
      <c r="J87" s="6"/>
      <c r="K87" s="1"/>
      <c r="L87"/>
      <c r="S87"/>
      <c r="T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</row>
    <row r="88" spans="1:37">
      <c r="A88" t="s">
        <v>9265</v>
      </c>
      <c r="B88" t="s">
        <v>9304</v>
      </c>
      <c r="D88" s="1">
        <v>6255</v>
      </c>
      <c r="E88" t="s">
        <v>9305</v>
      </c>
      <c r="F88" s="171">
        <v>46034</v>
      </c>
      <c r="G88" s="171">
        <v>46045</v>
      </c>
      <c r="H88" s="251"/>
      <c r="I88" s="171"/>
      <c r="J88" s="6"/>
      <c r="K88" s="1"/>
      <c r="L88"/>
      <c r="S88"/>
      <c r="T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</row>
    <row r="89" spans="1:37">
      <c r="A89" t="s">
        <v>192</v>
      </c>
      <c r="D89" s="1" t="s">
        <v>8982</v>
      </c>
      <c r="E89" t="s">
        <v>8983</v>
      </c>
      <c r="F89" s="171" t="s">
        <v>8984</v>
      </c>
      <c r="G89" s="171" t="s">
        <v>8985</v>
      </c>
      <c r="H89" s="251" t="s">
        <v>8986</v>
      </c>
      <c r="I89" s="171" t="s">
        <v>8987</v>
      </c>
      <c r="J89" s="6"/>
      <c r="K89" s="1"/>
      <c r="L89"/>
      <c r="S89"/>
      <c r="T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</row>
    <row r="90" spans="1:37">
      <c r="A90" t="s">
        <v>192</v>
      </c>
      <c r="B90" t="s">
        <v>8988</v>
      </c>
      <c r="D90" s="1">
        <v>8692848.6100000013</v>
      </c>
      <c r="F90" s="171" t="s">
        <v>8990</v>
      </c>
      <c r="G90" s="171">
        <v>7660876.7787773581</v>
      </c>
      <c r="H90" s="251" t="s">
        <v>9034</v>
      </c>
      <c r="I90" s="171">
        <v>1223352.7776250001</v>
      </c>
      <c r="J90" s="6"/>
      <c r="K90" s="1"/>
      <c r="L90"/>
      <c r="S90"/>
      <c r="T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</row>
    <row r="91" spans="1:37">
      <c r="A91" t="s">
        <v>192</v>
      </c>
      <c r="B91" t="s">
        <v>6567</v>
      </c>
      <c r="C91" s="6">
        <v>0.2</v>
      </c>
      <c r="D91" s="1">
        <v>1738569.7220000001</v>
      </c>
      <c r="E91" t="s">
        <v>9035</v>
      </c>
      <c r="F91" s="171">
        <v>45778</v>
      </c>
      <c r="G91" s="171">
        <v>45777</v>
      </c>
      <c r="H91" s="251"/>
      <c r="I91" s="171"/>
      <c r="J91" s="6"/>
      <c r="K91" s="1"/>
      <c r="L91"/>
      <c r="S91"/>
      <c r="T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</row>
    <row r="92" spans="1:37">
      <c r="A92" t="s">
        <v>192</v>
      </c>
      <c r="B92" t="s">
        <v>8970</v>
      </c>
      <c r="C92" s="6">
        <v>0.2</v>
      </c>
      <c r="D92" s="1">
        <v>1738569.7220000001</v>
      </c>
      <c r="E92" t="s">
        <v>9035</v>
      </c>
      <c r="F92" s="171">
        <v>45778</v>
      </c>
      <c r="G92" s="171">
        <v>45842</v>
      </c>
      <c r="H92" s="251"/>
      <c r="I92" s="171"/>
      <c r="J92" s="6"/>
      <c r="K92" s="1"/>
      <c r="L92"/>
      <c r="S92"/>
      <c r="T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</row>
    <row r="93" spans="1:37">
      <c r="A93" t="s">
        <v>192</v>
      </c>
      <c r="B93" t="s">
        <v>676</v>
      </c>
      <c r="C93" s="6">
        <v>0.15</v>
      </c>
      <c r="D93" s="1">
        <v>1303927.2914999998</v>
      </c>
      <c r="E93" t="s">
        <v>9035</v>
      </c>
      <c r="F93" s="171">
        <v>45778</v>
      </c>
      <c r="G93" s="171">
        <v>45842</v>
      </c>
      <c r="H93" s="251"/>
      <c r="I93" s="171"/>
      <c r="J93" s="6"/>
      <c r="K93" s="1"/>
      <c r="L93"/>
      <c r="S93"/>
      <c r="T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</row>
    <row r="94" spans="1:37">
      <c r="A94" t="s">
        <v>192</v>
      </c>
      <c r="B94" t="s">
        <v>1181</v>
      </c>
      <c r="C94" s="6">
        <v>0.15</v>
      </c>
      <c r="D94" s="1">
        <v>1303927.2914999998</v>
      </c>
      <c r="E94" t="s">
        <v>9035</v>
      </c>
      <c r="F94" s="171">
        <v>45778</v>
      </c>
      <c r="G94" s="171">
        <v>46024</v>
      </c>
      <c r="H94" s="251"/>
      <c r="I94" s="171"/>
      <c r="J94" s="6"/>
      <c r="K94" s="1"/>
      <c r="L94"/>
      <c r="S94"/>
      <c r="T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</row>
    <row r="95" spans="1:37">
      <c r="A95" t="s">
        <v>192</v>
      </c>
      <c r="B95" t="s">
        <v>9031</v>
      </c>
      <c r="C95" s="6">
        <v>0.25</v>
      </c>
      <c r="D95" s="1">
        <v>2173212.1524999999</v>
      </c>
      <c r="E95" t="s">
        <v>9035</v>
      </c>
      <c r="F95" s="171">
        <v>45778</v>
      </c>
      <c r="G95" s="171">
        <v>46024</v>
      </c>
      <c r="H95" s="251"/>
      <c r="I95" s="171"/>
      <c r="J95" s="6"/>
      <c r="K95" s="1"/>
      <c r="L95"/>
      <c r="S95"/>
      <c r="T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</row>
    <row r="96" spans="1:37">
      <c r="A96" t="s">
        <v>192</v>
      </c>
      <c r="B96" t="s">
        <v>41</v>
      </c>
      <c r="C96" s="6">
        <v>0.05</v>
      </c>
      <c r="D96" s="1">
        <v>434642.43050000002</v>
      </c>
      <c r="E96" t="s">
        <v>9035</v>
      </c>
      <c r="F96" s="171">
        <v>45778</v>
      </c>
      <c r="G96" s="171">
        <v>46038</v>
      </c>
      <c r="H96" s="251"/>
      <c r="I96" s="171"/>
      <c r="J96" s="6"/>
      <c r="K96" s="1"/>
      <c r="L96"/>
      <c r="S96"/>
      <c r="T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</row>
    <row r="97" spans="1:37">
      <c r="A97" t="s">
        <v>197</v>
      </c>
      <c r="D97" s="1" t="s">
        <v>8982</v>
      </c>
      <c r="E97" t="s">
        <v>8983</v>
      </c>
      <c r="F97" s="171" t="s">
        <v>8984</v>
      </c>
      <c r="G97" s="171" t="s">
        <v>8985</v>
      </c>
      <c r="H97" s="251" t="s">
        <v>8986</v>
      </c>
      <c r="I97" s="171" t="s">
        <v>8987</v>
      </c>
      <c r="J97" s="6"/>
      <c r="K97" s="1"/>
      <c r="L97"/>
      <c r="S97"/>
      <c r="T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</row>
    <row r="98" spans="1:37">
      <c r="A98" t="s">
        <v>197</v>
      </c>
      <c r="B98" t="s">
        <v>8988</v>
      </c>
      <c r="D98" s="1">
        <v>9566688.92579039</v>
      </c>
      <c r="F98" s="171" t="s">
        <v>8990</v>
      </c>
      <c r="G98" s="171">
        <v>9286734.1241308916</v>
      </c>
      <c r="H98" s="251" t="s">
        <v>9036</v>
      </c>
      <c r="I98" s="171">
        <v>162278.53000000003</v>
      </c>
      <c r="J98" s="6"/>
      <c r="K98" s="1"/>
      <c r="L98"/>
      <c r="S98"/>
      <c r="T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</row>
    <row r="99" spans="1:37">
      <c r="A99" t="s">
        <v>197</v>
      </c>
      <c r="B99" t="s">
        <v>6567</v>
      </c>
      <c r="C99" s="6">
        <v>0.2</v>
      </c>
      <c r="D99" s="1">
        <v>1913337.7851580784</v>
      </c>
      <c r="E99" t="s">
        <v>9037</v>
      </c>
      <c r="F99" s="171">
        <v>45778</v>
      </c>
      <c r="G99" s="171">
        <v>45777</v>
      </c>
      <c r="H99" s="251"/>
      <c r="I99" s="171"/>
      <c r="J99" s="6"/>
      <c r="K99" s="1"/>
      <c r="L99"/>
      <c r="S99"/>
      <c r="T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</row>
    <row r="100" spans="1:37">
      <c r="A100" t="s">
        <v>197</v>
      </c>
      <c r="B100" t="s">
        <v>8970</v>
      </c>
      <c r="C100" s="6">
        <v>0.2</v>
      </c>
      <c r="D100" s="1">
        <v>1913337.7851580784</v>
      </c>
      <c r="E100" t="s">
        <v>9037</v>
      </c>
      <c r="F100" s="171">
        <v>45778</v>
      </c>
      <c r="G100" s="171">
        <v>45828</v>
      </c>
      <c r="H100" s="251"/>
      <c r="I100" s="171"/>
      <c r="J100" s="6"/>
      <c r="K100" s="1"/>
      <c r="L100"/>
      <c r="S100"/>
      <c r="T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</row>
    <row r="101" spans="1:37">
      <c r="A101" t="s">
        <v>197</v>
      </c>
      <c r="B101" t="s">
        <v>676</v>
      </c>
      <c r="C101" s="6">
        <v>0.15</v>
      </c>
      <c r="D101" s="1">
        <v>1435003.3388685584</v>
      </c>
      <c r="E101" t="s">
        <v>9037</v>
      </c>
      <c r="F101" s="171">
        <v>45778</v>
      </c>
      <c r="G101" s="171">
        <v>45814</v>
      </c>
      <c r="H101" s="251"/>
      <c r="I101" s="171"/>
      <c r="J101" s="6"/>
      <c r="K101" s="1"/>
      <c r="L101"/>
      <c r="S101"/>
      <c r="T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</row>
    <row r="102" spans="1:37">
      <c r="A102" t="s">
        <v>197</v>
      </c>
      <c r="B102" t="s">
        <v>1181</v>
      </c>
      <c r="C102" s="6">
        <v>0.15</v>
      </c>
      <c r="D102" s="1">
        <v>1435003.3388685584</v>
      </c>
      <c r="E102" t="s">
        <v>9037</v>
      </c>
      <c r="F102" s="171">
        <v>45778</v>
      </c>
      <c r="G102" s="171">
        <v>45940</v>
      </c>
      <c r="H102" s="251"/>
      <c r="I102" s="171"/>
      <c r="J102" s="6"/>
      <c r="K102" s="1"/>
      <c r="L102"/>
      <c r="S102"/>
      <c r="T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</row>
    <row r="103" spans="1:37">
      <c r="A103" t="s">
        <v>197</v>
      </c>
      <c r="B103" t="s">
        <v>9031</v>
      </c>
      <c r="C103" s="6">
        <v>0.25</v>
      </c>
      <c r="D103" s="1">
        <v>2391672.2314475975</v>
      </c>
      <c r="E103" t="s">
        <v>9037</v>
      </c>
      <c r="F103" s="171">
        <v>45778</v>
      </c>
      <c r="G103" s="171">
        <v>45947</v>
      </c>
      <c r="H103" s="251"/>
      <c r="I103" s="171"/>
      <c r="J103" s="6"/>
      <c r="K103" s="1"/>
      <c r="L103"/>
      <c r="S103"/>
      <c r="T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</row>
    <row r="104" spans="1:37">
      <c r="A104" t="s">
        <v>197</v>
      </c>
      <c r="B104" t="s">
        <v>41</v>
      </c>
      <c r="C104" s="6">
        <v>0.05</v>
      </c>
      <c r="D104" s="1">
        <v>478334.44628951955</v>
      </c>
      <c r="E104" t="s">
        <v>9037</v>
      </c>
      <c r="F104" s="171">
        <v>45778</v>
      </c>
      <c r="G104" s="171">
        <v>45971</v>
      </c>
      <c r="H104" s="251"/>
      <c r="I104" s="171"/>
      <c r="J104" s="6"/>
      <c r="K104" s="1"/>
      <c r="L104"/>
      <c r="S104"/>
      <c r="T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</row>
    <row r="105" spans="1:37">
      <c r="A105" t="s">
        <v>197</v>
      </c>
      <c r="B105" t="s">
        <v>9038</v>
      </c>
      <c r="C105" s="6">
        <v>0</v>
      </c>
      <c r="D105" s="1">
        <v>0</v>
      </c>
      <c r="F105" s="171">
        <v>45961</v>
      </c>
      <c r="G105" s="171">
        <v>45968</v>
      </c>
      <c r="H105" s="251"/>
      <c r="I105" s="171"/>
      <c r="J105" s="6"/>
      <c r="K105" s="1"/>
      <c r="L105"/>
      <c r="S105"/>
      <c r="T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</row>
    <row r="106" spans="1:37">
      <c r="A106" t="s">
        <v>200</v>
      </c>
      <c r="B106" t="s">
        <v>8968</v>
      </c>
      <c r="C106" s="6">
        <v>0.5</v>
      </c>
      <c r="D106" s="1">
        <v>656306.47115797002</v>
      </c>
      <c r="E106" t="s">
        <v>9039</v>
      </c>
      <c r="F106" s="171">
        <v>45931</v>
      </c>
      <c r="G106" s="171">
        <v>45971</v>
      </c>
      <c r="H106" s="251"/>
      <c r="I106" s="171"/>
      <c r="J106" s="6"/>
      <c r="K106" s="1"/>
      <c r="L106"/>
      <c r="S106"/>
      <c r="T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</row>
    <row r="107" spans="1:37">
      <c r="A107" t="s">
        <v>200</v>
      </c>
      <c r="B107" t="s">
        <v>8970</v>
      </c>
      <c r="C107" s="6">
        <v>0.25</v>
      </c>
      <c r="D107" s="1">
        <v>328153.23557898501</v>
      </c>
      <c r="E107" t="s">
        <v>9039</v>
      </c>
      <c r="F107" s="171">
        <v>45931</v>
      </c>
      <c r="G107" s="171">
        <v>45975</v>
      </c>
      <c r="H107" s="251"/>
      <c r="I107" s="171"/>
      <c r="J107" s="6"/>
      <c r="K107" s="1"/>
      <c r="L107"/>
      <c r="S107"/>
      <c r="T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</row>
    <row r="108" spans="1:37">
      <c r="A108" t="s">
        <v>200</v>
      </c>
      <c r="B108" t="s">
        <v>676</v>
      </c>
      <c r="C108" s="6">
        <v>0.1</v>
      </c>
      <c r="D108" s="1">
        <v>131261.29423159402</v>
      </c>
      <c r="E108" t="s">
        <v>9039</v>
      </c>
      <c r="F108" s="171">
        <v>45931</v>
      </c>
      <c r="G108" s="171">
        <v>45975</v>
      </c>
      <c r="H108" s="251"/>
      <c r="I108" s="171"/>
      <c r="J108" s="6"/>
      <c r="K108" s="1"/>
      <c r="L108"/>
      <c r="S108"/>
      <c r="T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</row>
    <row r="109" spans="1:37">
      <c r="A109" t="s">
        <v>200</v>
      </c>
      <c r="B109" t="s">
        <v>169</v>
      </c>
      <c r="C109" s="6">
        <v>0.1</v>
      </c>
      <c r="D109" s="1">
        <v>131261.29423159402</v>
      </c>
      <c r="E109" t="s">
        <v>9039</v>
      </c>
      <c r="F109" s="171">
        <v>45931</v>
      </c>
      <c r="G109" s="171">
        <v>46002</v>
      </c>
      <c r="H109" s="251"/>
      <c r="I109" s="171"/>
      <c r="J109" s="6"/>
      <c r="K109" s="1"/>
      <c r="L109"/>
      <c r="S109"/>
      <c r="T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</row>
    <row r="110" spans="1:37">
      <c r="A110" t="s">
        <v>200</v>
      </c>
      <c r="B110" t="s">
        <v>41</v>
      </c>
      <c r="C110" s="6">
        <v>0.05</v>
      </c>
      <c r="D110" s="1">
        <v>65630.647115797008</v>
      </c>
      <c r="E110" t="s">
        <v>9039</v>
      </c>
      <c r="F110" s="171">
        <v>45931</v>
      </c>
      <c r="G110" s="171">
        <v>46002</v>
      </c>
      <c r="H110" s="251"/>
      <c r="I110" s="171"/>
      <c r="J110" s="6"/>
      <c r="K110" s="1"/>
      <c r="L110"/>
      <c r="S110"/>
      <c r="T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</row>
    <row r="111" spans="1:37">
      <c r="A111" t="s">
        <v>200</v>
      </c>
      <c r="B111" t="s">
        <v>9040</v>
      </c>
      <c r="C111" s="6">
        <v>0</v>
      </c>
      <c r="D111" s="1">
        <v>-20283.584307692301</v>
      </c>
      <c r="E111" t="s">
        <v>9041</v>
      </c>
      <c r="F111" s="171">
        <v>45993</v>
      </c>
      <c r="G111" s="171">
        <v>46002</v>
      </c>
      <c r="H111" s="251"/>
      <c r="I111" s="171"/>
      <c r="J111" s="6"/>
      <c r="K111" s="1"/>
      <c r="L111"/>
      <c r="S111"/>
      <c r="T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</row>
    <row r="112" spans="1:37">
      <c r="A112" t="s">
        <v>203</v>
      </c>
      <c r="B112" t="s">
        <v>8968</v>
      </c>
      <c r="C112" s="6">
        <v>0.5</v>
      </c>
      <c r="D112" s="1">
        <v>513568</v>
      </c>
      <c r="E112" t="s">
        <v>9042</v>
      </c>
      <c r="F112" s="171">
        <v>45867</v>
      </c>
      <c r="G112" s="171">
        <v>45874</v>
      </c>
      <c r="H112" s="251"/>
      <c r="I112" s="171"/>
      <c r="J112" s="6"/>
      <c r="K112" s="1"/>
      <c r="L112"/>
      <c r="S112"/>
      <c r="T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</row>
    <row r="113" spans="1:37">
      <c r="A113" t="s">
        <v>203</v>
      </c>
      <c r="B113" t="s">
        <v>8970</v>
      </c>
      <c r="C113" s="6">
        <v>0.25</v>
      </c>
      <c r="D113" s="1">
        <v>256784</v>
      </c>
      <c r="E113" t="s">
        <v>9043</v>
      </c>
      <c r="F113" s="171">
        <v>45900</v>
      </c>
      <c r="G113" s="171">
        <v>45905</v>
      </c>
      <c r="H113" s="251"/>
      <c r="I113" s="171"/>
      <c r="J113" s="6"/>
      <c r="K113" s="1"/>
      <c r="L113"/>
      <c r="S113"/>
      <c r="T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</row>
    <row r="114" spans="1:37">
      <c r="A114" t="s">
        <v>203</v>
      </c>
      <c r="B114" t="s">
        <v>676</v>
      </c>
      <c r="C114" s="6">
        <v>0.1</v>
      </c>
      <c r="D114" s="1">
        <v>102713.60000000001</v>
      </c>
      <c r="E114" t="s">
        <v>9043</v>
      </c>
      <c r="F114" s="171">
        <v>45900</v>
      </c>
      <c r="G114" s="171">
        <v>45905</v>
      </c>
      <c r="H114" s="251"/>
      <c r="I114" s="171"/>
      <c r="J114" s="6"/>
      <c r="K114" s="1"/>
      <c r="L114"/>
      <c r="S114"/>
      <c r="T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</row>
    <row r="115" spans="1:37">
      <c r="A115" t="s">
        <v>203</v>
      </c>
      <c r="B115" t="s">
        <v>169</v>
      </c>
      <c r="C115" s="6">
        <v>0.1</v>
      </c>
      <c r="D115" s="1">
        <v>102713.60000000001</v>
      </c>
      <c r="E115" t="s">
        <v>9044</v>
      </c>
      <c r="F115" s="171">
        <v>45950</v>
      </c>
      <c r="G115" s="171">
        <v>45979</v>
      </c>
      <c r="H115" s="251"/>
      <c r="I115" s="171"/>
      <c r="J115" s="6"/>
      <c r="K115" s="1"/>
      <c r="L115"/>
      <c r="S115"/>
      <c r="T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</row>
    <row r="116" spans="1:37">
      <c r="A116" t="s">
        <v>203</v>
      </c>
      <c r="B116" t="s">
        <v>41</v>
      </c>
      <c r="C116" s="6">
        <v>0.05</v>
      </c>
      <c r="D116" s="1">
        <v>51356.800000000003</v>
      </c>
      <c r="E116" t="s">
        <v>9045</v>
      </c>
      <c r="F116" s="171">
        <v>45974</v>
      </c>
      <c r="G116" s="171">
        <v>45979</v>
      </c>
      <c r="H116" s="251"/>
      <c r="I116" s="171"/>
      <c r="J116" s="6"/>
      <c r="K116" s="1"/>
      <c r="L116"/>
      <c r="S116"/>
      <c r="T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</row>
    <row r="117" spans="1:37">
      <c r="A117" t="s">
        <v>516</v>
      </c>
      <c r="B117" t="s">
        <v>6567</v>
      </c>
      <c r="C117" s="6">
        <v>0.2</v>
      </c>
      <c r="D117" s="1">
        <v>757346.4</v>
      </c>
      <c r="E117" t="s">
        <v>9046</v>
      </c>
      <c r="F117" s="171">
        <v>45778</v>
      </c>
      <c r="G117" s="171">
        <v>45776</v>
      </c>
      <c r="H117" s="251"/>
      <c r="I117" s="171"/>
      <c r="J117" s="6"/>
      <c r="K117" s="1"/>
      <c r="L117"/>
      <c r="S117"/>
      <c r="T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</row>
    <row r="118" spans="1:37">
      <c r="A118" t="s">
        <v>516</v>
      </c>
      <c r="B118" t="s">
        <v>8970</v>
      </c>
      <c r="C118" s="6">
        <v>0.2</v>
      </c>
      <c r="D118" s="1">
        <v>757346.4</v>
      </c>
      <c r="E118" t="s">
        <v>9046</v>
      </c>
      <c r="F118" s="171">
        <v>45778</v>
      </c>
      <c r="G118" s="171">
        <v>45828</v>
      </c>
      <c r="H118" s="251"/>
      <c r="I118" s="171"/>
      <c r="J118" s="6"/>
      <c r="K118" s="1"/>
      <c r="L118"/>
      <c r="S118"/>
      <c r="T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</row>
    <row r="119" spans="1:37">
      <c r="A119" t="s">
        <v>516</v>
      </c>
      <c r="B119" t="s">
        <v>676</v>
      </c>
      <c r="C119" s="6">
        <v>0.15</v>
      </c>
      <c r="D119" s="1">
        <v>568009.79999999993</v>
      </c>
      <c r="E119" t="s">
        <v>9046</v>
      </c>
      <c r="F119" s="171">
        <v>45778</v>
      </c>
      <c r="G119" s="171">
        <v>45814</v>
      </c>
      <c r="H119" s="251"/>
      <c r="I119" s="171"/>
      <c r="J119" s="6"/>
      <c r="K119" s="1"/>
      <c r="L119"/>
      <c r="S119"/>
      <c r="T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</row>
    <row r="120" spans="1:37">
      <c r="A120" t="s">
        <v>516</v>
      </c>
      <c r="B120" t="s">
        <v>1181</v>
      </c>
      <c r="C120" s="6">
        <v>0.15</v>
      </c>
      <c r="D120" s="1">
        <v>568009.79999999993</v>
      </c>
      <c r="E120" t="s">
        <v>9046</v>
      </c>
      <c r="F120" s="171">
        <v>45778</v>
      </c>
      <c r="G120" s="171">
        <v>45896</v>
      </c>
      <c r="H120" s="251"/>
      <c r="I120" s="171"/>
      <c r="J120" s="6"/>
      <c r="K120" s="1"/>
      <c r="L120"/>
      <c r="S120"/>
      <c r="T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</row>
    <row r="121" spans="1:37">
      <c r="A121" t="s">
        <v>516</v>
      </c>
      <c r="B121" t="s">
        <v>9031</v>
      </c>
      <c r="C121" s="6">
        <v>0.25</v>
      </c>
      <c r="D121" s="1">
        <v>946683</v>
      </c>
      <c r="E121" t="s">
        <v>9046</v>
      </c>
      <c r="F121" s="171">
        <v>45778</v>
      </c>
      <c r="G121" s="171">
        <v>45896</v>
      </c>
      <c r="H121" s="251"/>
      <c r="I121" s="171"/>
      <c r="J121" s="6"/>
      <c r="K121" s="1"/>
      <c r="L121"/>
      <c r="S121"/>
      <c r="T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</row>
    <row r="122" spans="1:37">
      <c r="A122" t="s">
        <v>516</v>
      </c>
      <c r="B122" t="s">
        <v>41</v>
      </c>
      <c r="C122" s="6">
        <v>0.05</v>
      </c>
      <c r="D122" s="1">
        <v>189336.6</v>
      </c>
      <c r="E122" t="s">
        <v>9046</v>
      </c>
      <c r="F122" s="171">
        <v>45778</v>
      </c>
      <c r="G122" s="171">
        <v>45918</v>
      </c>
      <c r="H122" s="251"/>
      <c r="I122" s="171"/>
      <c r="J122" s="6"/>
      <c r="K122" s="1"/>
      <c r="L122"/>
      <c r="S122"/>
      <c r="T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</row>
    <row r="123" spans="1:37">
      <c r="A123" t="s">
        <v>517</v>
      </c>
      <c r="B123" t="s">
        <v>9047</v>
      </c>
      <c r="C123" s="6">
        <v>0.35</v>
      </c>
      <c r="D123" s="1">
        <v>2036575.5235406803</v>
      </c>
      <c r="E123" t="s">
        <v>9048</v>
      </c>
      <c r="F123" s="171">
        <v>45819</v>
      </c>
      <c r="G123" s="171">
        <v>45814</v>
      </c>
      <c r="H123" s="251"/>
      <c r="I123" s="171"/>
      <c r="J123" s="6"/>
      <c r="K123" s="1"/>
      <c r="L123"/>
      <c r="S123"/>
      <c r="T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</row>
    <row r="124" spans="1:37">
      <c r="A124" t="s">
        <v>517</v>
      </c>
      <c r="B124" t="s">
        <v>8970</v>
      </c>
      <c r="C124" s="6">
        <v>0.2</v>
      </c>
      <c r="D124" s="1">
        <v>1163757.4420232461</v>
      </c>
      <c r="E124" t="s">
        <v>9048</v>
      </c>
      <c r="F124" s="171">
        <v>45819</v>
      </c>
      <c r="G124" s="171">
        <v>45855</v>
      </c>
      <c r="H124" s="251"/>
      <c r="I124" s="171"/>
      <c r="J124" s="6"/>
      <c r="K124" s="1"/>
      <c r="L124"/>
      <c r="S124"/>
      <c r="T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</row>
    <row r="125" spans="1:37">
      <c r="A125" t="s">
        <v>517</v>
      </c>
      <c r="B125" t="s">
        <v>676</v>
      </c>
      <c r="C125" s="6">
        <v>0.3</v>
      </c>
      <c r="D125" s="1">
        <v>1745636.1630348689</v>
      </c>
      <c r="E125" t="s">
        <v>9048</v>
      </c>
      <c r="F125" s="171">
        <v>45819</v>
      </c>
      <c r="G125" s="171">
        <v>45855</v>
      </c>
      <c r="H125" s="251"/>
      <c r="I125" s="171"/>
      <c r="J125" s="6"/>
      <c r="K125" s="1"/>
      <c r="L125"/>
      <c r="S125"/>
      <c r="T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</row>
    <row r="126" spans="1:37">
      <c r="A126" t="s">
        <v>517</v>
      </c>
      <c r="B126" t="s">
        <v>169</v>
      </c>
      <c r="C126" s="6">
        <v>0.1</v>
      </c>
      <c r="D126" s="1">
        <v>581878.72101162304</v>
      </c>
      <c r="E126" t="s">
        <v>9048</v>
      </c>
      <c r="F126" s="171">
        <v>45819</v>
      </c>
      <c r="G126" s="171">
        <v>45926</v>
      </c>
      <c r="H126" s="251"/>
      <c r="I126" s="171"/>
      <c r="J126" s="6"/>
      <c r="K126" s="1"/>
      <c r="L126"/>
      <c r="S126"/>
      <c r="T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</row>
    <row r="127" spans="1:37">
      <c r="A127" t="s">
        <v>517</v>
      </c>
      <c r="B127" t="s">
        <v>41</v>
      </c>
      <c r="C127" s="6">
        <v>0.05</v>
      </c>
      <c r="D127" s="1">
        <v>290939.36050581152</v>
      </c>
      <c r="E127" t="s">
        <v>9048</v>
      </c>
      <c r="F127" s="171">
        <v>45819</v>
      </c>
      <c r="G127" s="171">
        <v>45947</v>
      </c>
      <c r="H127" s="251"/>
      <c r="I127" s="171"/>
      <c r="J127" s="6"/>
      <c r="K127" s="1"/>
      <c r="L127"/>
      <c r="S127"/>
      <c r="T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</row>
    <row r="128" spans="1:37">
      <c r="A128" t="s">
        <v>205</v>
      </c>
      <c r="B128" t="s">
        <v>9049</v>
      </c>
      <c r="C128" s="6">
        <v>0.01</v>
      </c>
      <c r="D128" s="1">
        <v>23233.778999999999</v>
      </c>
      <c r="E128" t="s">
        <v>9050</v>
      </c>
      <c r="F128" s="171">
        <v>45961</v>
      </c>
      <c r="G128" s="171">
        <v>45964</v>
      </c>
      <c r="H128" s="251"/>
      <c r="I128" s="171"/>
      <c r="J128" s="6"/>
      <c r="K128" s="1"/>
      <c r="L128"/>
      <c r="S128"/>
      <c r="T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</row>
    <row r="129" spans="1:37">
      <c r="A129" t="s">
        <v>205</v>
      </c>
      <c r="B129" t="s">
        <v>9051</v>
      </c>
      <c r="C129" s="6">
        <v>1.4999999999999999E-2</v>
      </c>
      <c r="D129" s="1">
        <v>34850.6685</v>
      </c>
      <c r="E129" t="s">
        <v>9050</v>
      </c>
      <c r="F129" s="171">
        <v>45961</v>
      </c>
      <c r="G129" s="171">
        <v>45964</v>
      </c>
      <c r="H129" s="251"/>
      <c r="I129" s="171"/>
      <c r="J129" s="6"/>
      <c r="K129" s="1"/>
      <c r="L129"/>
      <c r="S129"/>
      <c r="T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</row>
    <row r="130" spans="1:37">
      <c r="A130" t="s">
        <v>205</v>
      </c>
      <c r="B130" t="s">
        <v>9052</v>
      </c>
      <c r="C130" s="6">
        <v>0.02</v>
      </c>
      <c r="D130" s="1">
        <v>46467.558000000005</v>
      </c>
      <c r="E130" t="s">
        <v>9050</v>
      </c>
      <c r="F130" s="171">
        <v>45961</v>
      </c>
      <c r="G130" s="171">
        <v>45964</v>
      </c>
      <c r="H130" s="251"/>
      <c r="I130" s="171"/>
      <c r="J130" s="6"/>
      <c r="K130" s="1"/>
      <c r="L130"/>
      <c r="S130"/>
      <c r="T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</row>
    <row r="131" spans="1:37">
      <c r="A131" t="s">
        <v>205</v>
      </c>
      <c r="B131" t="s">
        <v>9053</v>
      </c>
      <c r="C131" s="6">
        <v>0.08</v>
      </c>
      <c r="D131" s="1">
        <v>185870.23199999999</v>
      </c>
      <c r="E131" t="s">
        <v>9050</v>
      </c>
      <c r="F131" s="171">
        <v>45961</v>
      </c>
      <c r="G131" s="171">
        <v>45964</v>
      </c>
      <c r="H131" s="251"/>
      <c r="I131" s="171"/>
      <c r="J131" s="6"/>
      <c r="K131" s="1"/>
      <c r="L131"/>
      <c r="S131"/>
      <c r="T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</row>
    <row r="132" spans="1:37">
      <c r="A132" t="s">
        <v>205</v>
      </c>
      <c r="B132" t="s">
        <v>9054</v>
      </c>
      <c r="C132" s="6">
        <v>0.1</v>
      </c>
      <c r="D132" s="1">
        <v>232337.79</v>
      </c>
      <c r="E132" t="s">
        <v>9055</v>
      </c>
      <c r="F132" s="171">
        <v>45971</v>
      </c>
      <c r="G132" s="171">
        <v>45975</v>
      </c>
      <c r="H132" s="251"/>
      <c r="I132" s="171"/>
      <c r="J132" s="6"/>
      <c r="K132" s="1"/>
      <c r="L132"/>
      <c r="S132"/>
      <c r="T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</row>
    <row r="133" spans="1:37">
      <c r="A133" t="s">
        <v>205</v>
      </c>
      <c r="B133" t="s">
        <v>9056</v>
      </c>
      <c r="C133" s="6">
        <v>0.32500000000000001</v>
      </c>
      <c r="D133" s="1">
        <v>755097.81750000012</v>
      </c>
      <c r="E133" t="s">
        <v>9055</v>
      </c>
      <c r="F133" s="171">
        <v>45971</v>
      </c>
      <c r="G133" s="171">
        <v>45975</v>
      </c>
      <c r="H133" s="251"/>
      <c r="I133" s="171"/>
      <c r="J133" s="6"/>
      <c r="K133" s="1"/>
      <c r="L133"/>
      <c r="S133"/>
      <c r="T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</row>
    <row r="134" spans="1:37">
      <c r="A134" t="s">
        <v>205</v>
      </c>
      <c r="B134" t="s">
        <v>9057</v>
      </c>
      <c r="C134" s="6">
        <v>0.26500000000000001</v>
      </c>
      <c r="D134" s="1">
        <v>615695.11</v>
      </c>
      <c r="E134" t="s">
        <v>9055</v>
      </c>
      <c r="F134" s="171">
        <v>45971</v>
      </c>
      <c r="G134" s="171">
        <v>45975</v>
      </c>
      <c r="H134" s="251"/>
      <c r="I134" s="171"/>
      <c r="J134" s="6"/>
      <c r="K134" s="1"/>
      <c r="L134"/>
      <c r="S134"/>
      <c r="T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</row>
    <row r="135" spans="1:37">
      <c r="A135" t="s">
        <v>205</v>
      </c>
      <c r="B135" t="s">
        <v>169</v>
      </c>
      <c r="C135" s="6">
        <v>0.13500000000000001</v>
      </c>
      <c r="D135" s="1">
        <v>348506.685</v>
      </c>
      <c r="E135" t="s">
        <v>9058</v>
      </c>
      <c r="F135" s="171">
        <v>46000</v>
      </c>
      <c r="G135" s="171">
        <v>46001</v>
      </c>
      <c r="H135" s="251"/>
      <c r="I135" s="171"/>
      <c r="J135" s="6"/>
      <c r="K135" s="1"/>
      <c r="L135"/>
      <c r="S135"/>
      <c r="T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</row>
    <row r="136" spans="1:37">
      <c r="A136" t="s">
        <v>205</v>
      </c>
      <c r="B136" t="s">
        <v>9059</v>
      </c>
      <c r="C136" s="6">
        <v>0.05</v>
      </c>
      <c r="D136" s="1">
        <v>129076.55</v>
      </c>
      <c r="F136" s="171"/>
      <c r="G136" s="171">
        <v>46066</v>
      </c>
      <c r="H136" s="251"/>
      <c r="I136" s="171"/>
      <c r="J136" s="6"/>
      <c r="K136" s="1"/>
      <c r="L136"/>
      <c r="S136"/>
      <c r="T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</row>
    <row r="137" spans="1:37">
      <c r="A137" t="s">
        <v>205</v>
      </c>
      <c r="B137" t="s">
        <v>9060</v>
      </c>
      <c r="C137" s="6">
        <v>0</v>
      </c>
      <c r="D137" s="1">
        <v>147700.9094958338</v>
      </c>
      <c r="E137" t="s">
        <v>9058</v>
      </c>
      <c r="F137" s="171">
        <v>46000</v>
      </c>
      <c r="G137" s="171">
        <v>46001</v>
      </c>
      <c r="H137" s="251"/>
      <c r="I137" s="171"/>
      <c r="J137" s="6"/>
      <c r="K137" s="1"/>
      <c r="L137"/>
      <c r="S137"/>
      <c r="T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</row>
    <row r="138" spans="1:37">
      <c r="A138" t="s">
        <v>205</v>
      </c>
      <c r="B138" t="s">
        <v>2138</v>
      </c>
      <c r="C138" s="6">
        <v>0</v>
      </c>
      <c r="D138" s="1">
        <v>62693.86</v>
      </c>
      <c r="F138" s="171"/>
      <c r="G138" s="171">
        <v>46156</v>
      </c>
      <c r="H138" s="251" t="s">
        <v>207</v>
      </c>
      <c r="I138" s="171"/>
      <c r="J138" s="6"/>
      <c r="K138" s="1"/>
      <c r="L138"/>
      <c r="S138"/>
      <c r="T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</row>
    <row r="139" spans="1:37">
      <c r="A139" t="s">
        <v>205</v>
      </c>
      <c r="B139" t="s">
        <v>9061</v>
      </c>
      <c r="C139" s="6">
        <v>0</v>
      </c>
      <c r="D139" s="1">
        <v>23350</v>
      </c>
      <c r="E139" t="s">
        <v>9058</v>
      </c>
      <c r="F139" s="171">
        <v>46000</v>
      </c>
      <c r="G139" s="171">
        <v>46001</v>
      </c>
      <c r="H139" s="251"/>
      <c r="I139" s="171"/>
      <c r="J139" s="6"/>
      <c r="K139" s="1"/>
      <c r="L139"/>
      <c r="S139"/>
      <c r="T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</row>
    <row r="140" spans="1:37">
      <c r="A140" t="s">
        <v>205</v>
      </c>
      <c r="B140" t="s">
        <v>9062</v>
      </c>
      <c r="C140" s="6">
        <v>0</v>
      </c>
      <c r="D140" s="1">
        <v>183223.96</v>
      </c>
      <c r="F140" s="171"/>
      <c r="G140" s="171">
        <v>46066</v>
      </c>
      <c r="H140" s="251"/>
      <c r="I140" s="171"/>
      <c r="J140" s="6"/>
      <c r="K140" s="1"/>
      <c r="L140"/>
      <c r="S140"/>
      <c r="T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</row>
    <row r="141" spans="1:37">
      <c r="A141" t="s">
        <v>205</v>
      </c>
      <c r="B141" t="s">
        <v>9063</v>
      </c>
      <c r="C141" s="6">
        <v>0</v>
      </c>
      <c r="D141" s="1">
        <v>26500</v>
      </c>
      <c r="E141" t="s">
        <v>9058</v>
      </c>
      <c r="F141" s="171">
        <v>46000</v>
      </c>
      <c r="G141" s="171">
        <v>46001</v>
      </c>
      <c r="H141" s="251"/>
      <c r="I141" s="171"/>
      <c r="J141" s="6"/>
      <c r="K141" s="1"/>
      <c r="L141"/>
      <c r="S141"/>
      <c r="T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</row>
    <row r="142" spans="1:37">
      <c r="A142" t="s">
        <v>205</v>
      </c>
      <c r="B142" t="s">
        <v>9064</v>
      </c>
      <c r="C142" s="6">
        <v>0</v>
      </c>
      <c r="D142" s="1">
        <v>5450</v>
      </c>
      <c r="E142" t="s">
        <v>9058</v>
      </c>
      <c r="F142" s="171">
        <v>46000</v>
      </c>
      <c r="G142" s="171">
        <v>46001</v>
      </c>
      <c r="H142" s="251"/>
      <c r="I142" s="171"/>
      <c r="J142" s="6"/>
      <c r="K142" s="1"/>
      <c r="L142"/>
      <c r="S142"/>
      <c r="T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</row>
    <row r="143" spans="1:37">
      <c r="A143" t="s">
        <v>208</v>
      </c>
      <c r="B143" t="s">
        <v>8968</v>
      </c>
      <c r="C143" s="6">
        <v>0.5</v>
      </c>
      <c r="D143" s="1">
        <v>683288.07499999995</v>
      </c>
      <c r="E143" t="s">
        <v>9065</v>
      </c>
      <c r="F143" s="171">
        <v>45912</v>
      </c>
      <c r="G143" s="171">
        <v>45938</v>
      </c>
      <c r="H143" s="251"/>
      <c r="I143" s="171"/>
      <c r="J143" s="6"/>
      <c r="K143" s="1"/>
      <c r="L143"/>
      <c r="S143"/>
      <c r="T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</row>
    <row r="144" spans="1:37">
      <c r="A144" t="s">
        <v>208</v>
      </c>
      <c r="B144" t="s">
        <v>8970</v>
      </c>
      <c r="C144" s="6">
        <v>0.25</v>
      </c>
      <c r="D144" s="1">
        <v>341644.03749999998</v>
      </c>
      <c r="E144" t="s">
        <v>9066</v>
      </c>
      <c r="F144" s="171">
        <v>45961</v>
      </c>
      <c r="G144" s="171">
        <v>45975</v>
      </c>
      <c r="H144" s="251"/>
      <c r="I144" s="171"/>
      <c r="J144" s="6"/>
      <c r="K144" s="1"/>
      <c r="L144"/>
      <c r="S144"/>
      <c r="T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</row>
    <row r="145" spans="1:37">
      <c r="A145" t="s">
        <v>208</v>
      </c>
      <c r="B145" t="s">
        <v>676</v>
      </c>
      <c r="C145" s="6">
        <v>0.1</v>
      </c>
      <c r="D145" s="1">
        <v>136657.61499999999</v>
      </c>
      <c r="E145" t="s">
        <v>9066</v>
      </c>
      <c r="F145" s="171">
        <v>45961</v>
      </c>
      <c r="G145" s="171">
        <v>45975</v>
      </c>
      <c r="H145" s="251"/>
      <c r="I145" s="171"/>
      <c r="J145" s="6"/>
      <c r="K145" s="1"/>
      <c r="L145"/>
      <c r="S145"/>
      <c r="T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</row>
    <row r="146" spans="1:37">
      <c r="A146" t="s">
        <v>208</v>
      </c>
      <c r="B146" t="s">
        <v>169</v>
      </c>
      <c r="C146" s="6">
        <v>0.05</v>
      </c>
      <c r="D146" s="1">
        <v>68328.807499999995</v>
      </c>
      <c r="E146" t="s">
        <v>9067</v>
      </c>
      <c r="F146" s="171">
        <v>45989</v>
      </c>
      <c r="G146" s="171">
        <v>46002</v>
      </c>
      <c r="H146" s="251"/>
      <c r="I146" s="171"/>
      <c r="J146" s="6"/>
      <c r="K146" s="1"/>
      <c r="L146"/>
      <c r="S146"/>
      <c r="T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</row>
    <row r="147" spans="1:37">
      <c r="A147" t="s">
        <v>208</v>
      </c>
      <c r="B147" t="s">
        <v>41</v>
      </c>
      <c r="C147" s="6">
        <v>0.1</v>
      </c>
      <c r="D147" s="1">
        <v>136657.61499999999</v>
      </c>
      <c r="F147" s="171"/>
      <c r="G147" s="171">
        <v>46265</v>
      </c>
      <c r="H147" s="251" t="s">
        <v>9068</v>
      </c>
      <c r="I147" s="171"/>
      <c r="J147" s="6"/>
      <c r="K147" s="1"/>
      <c r="L147"/>
      <c r="S147"/>
      <c r="T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</row>
    <row r="148" spans="1:37">
      <c r="A148" t="s">
        <v>211</v>
      </c>
      <c r="D148" s="1" t="s">
        <v>8982</v>
      </c>
      <c r="E148" t="s">
        <v>8983</v>
      </c>
      <c r="F148" s="171" t="s">
        <v>8984</v>
      </c>
      <c r="G148" s="171" t="s">
        <v>8985</v>
      </c>
      <c r="H148" s="251" t="s">
        <v>8986</v>
      </c>
      <c r="I148" s="171" t="s">
        <v>8987</v>
      </c>
      <c r="J148" s="6"/>
      <c r="K148" s="1"/>
      <c r="L148"/>
      <c r="S148"/>
      <c r="T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</row>
    <row r="149" spans="1:37">
      <c r="A149" t="s">
        <v>211</v>
      </c>
      <c r="B149" t="s">
        <v>8988</v>
      </c>
      <c r="D149" s="1">
        <v>2037106</v>
      </c>
      <c r="F149" s="171" t="s">
        <v>8990</v>
      </c>
      <c r="G149" s="171">
        <v>1497994.1187062231</v>
      </c>
      <c r="H149" s="251" t="s">
        <v>9069</v>
      </c>
      <c r="I149" s="171">
        <v>449374.315</v>
      </c>
      <c r="J149" s="6"/>
      <c r="K149" s="1"/>
      <c r="L149"/>
      <c r="S149"/>
      <c r="T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</row>
    <row r="150" spans="1:37">
      <c r="A150" t="s">
        <v>211</v>
      </c>
      <c r="B150" t="s">
        <v>6567</v>
      </c>
      <c r="C150" s="6">
        <v>0.2</v>
      </c>
      <c r="D150" s="1">
        <v>407421.2</v>
      </c>
      <c r="E150" t="s">
        <v>9070</v>
      </c>
      <c r="F150" s="171">
        <v>45778</v>
      </c>
      <c r="G150" s="171">
        <v>45777</v>
      </c>
      <c r="H150" s="251"/>
      <c r="I150" s="171"/>
      <c r="J150" s="6"/>
      <c r="K150" s="1"/>
      <c r="L150"/>
      <c r="S150"/>
      <c r="T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</row>
    <row r="151" spans="1:37">
      <c r="A151" t="s">
        <v>211</v>
      </c>
      <c r="B151" t="s">
        <v>8970</v>
      </c>
      <c r="C151" s="6">
        <v>0.2</v>
      </c>
      <c r="D151" s="1">
        <v>407421.2</v>
      </c>
      <c r="E151" t="s">
        <v>9070</v>
      </c>
      <c r="F151" s="171">
        <v>45778</v>
      </c>
      <c r="G151" s="171">
        <v>45842</v>
      </c>
      <c r="H151" s="251"/>
      <c r="I151" s="171"/>
      <c r="J151" s="6"/>
      <c r="K151" s="1"/>
      <c r="L151"/>
      <c r="S151"/>
      <c r="T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</row>
    <row r="152" spans="1:37">
      <c r="A152" t="s">
        <v>211</v>
      </c>
      <c r="B152" t="s">
        <v>676</v>
      </c>
      <c r="C152" s="6">
        <v>0.15</v>
      </c>
      <c r="D152" s="1">
        <v>305565.89999999997</v>
      </c>
      <c r="E152" t="s">
        <v>9070</v>
      </c>
      <c r="F152" s="171">
        <v>45778</v>
      </c>
      <c r="G152" s="171">
        <v>45842</v>
      </c>
      <c r="H152" s="251"/>
      <c r="I152" s="171"/>
      <c r="J152" s="6"/>
      <c r="K152" s="1"/>
      <c r="L152"/>
      <c r="S152"/>
      <c r="T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</row>
    <row r="153" spans="1:37">
      <c r="A153" t="s">
        <v>211</v>
      </c>
      <c r="B153" t="s">
        <v>1181</v>
      </c>
      <c r="C153" s="6">
        <v>0.15</v>
      </c>
      <c r="D153" s="1">
        <v>305565.89999999997</v>
      </c>
      <c r="E153" t="s">
        <v>9070</v>
      </c>
      <c r="F153" s="171">
        <v>45778</v>
      </c>
      <c r="G153" s="171">
        <v>45954</v>
      </c>
      <c r="H153" s="251"/>
      <c r="I153" s="171"/>
      <c r="J153" s="6"/>
      <c r="K153" s="1"/>
      <c r="L153"/>
      <c r="S153"/>
      <c r="T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</row>
    <row r="154" spans="1:37">
      <c r="A154" t="s">
        <v>211</v>
      </c>
      <c r="B154" t="s">
        <v>9031</v>
      </c>
      <c r="C154" s="6">
        <v>0.25</v>
      </c>
      <c r="D154" s="1">
        <v>509276.5</v>
      </c>
      <c r="E154" t="s">
        <v>9070</v>
      </c>
      <c r="F154" s="171">
        <v>45778</v>
      </c>
      <c r="G154" s="171">
        <v>45954</v>
      </c>
      <c r="H154" s="251"/>
      <c r="I154" s="171"/>
      <c r="J154" s="6"/>
      <c r="K154" s="1"/>
      <c r="L154"/>
      <c r="S154"/>
      <c r="T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</row>
    <row r="155" spans="1:37">
      <c r="A155" t="s">
        <v>211</v>
      </c>
      <c r="B155" t="s">
        <v>41</v>
      </c>
      <c r="C155" s="6">
        <v>0.05</v>
      </c>
      <c r="D155" s="1">
        <v>101855.3</v>
      </c>
      <c r="E155" t="s">
        <v>9070</v>
      </c>
      <c r="F155" s="171">
        <v>45778</v>
      </c>
      <c r="G155" s="171">
        <v>45975</v>
      </c>
      <c r="H155" s="251"/>
      <c r="I155" s="171"/>
      <c r="J155" s="6"/>
      <c r="K155" s="1"/>
      <c r="L155"/>
      <c r="S155"/>
      <c r="T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</row>
    <row r="156" spans="1:37">
      <c r="A156" t="s">
        <v>213</v>
      </c>
      <c r="D156" s="1" t="s">
        <v>8982</v>
      </c>
      <c r="E156" t="s">
        <v>8983</v>
      </c>
      <c r="F156" s="171" t="s">
        <v>8984</v>
      </c>
      <c r="G156" s="171" t="s">
        <v>8985</v>
      </c>
      <c r="H156" s="251" t="s">
        <v>8986</v>
      </c>
      <c r="I156" s="171" t="s">
        <v>8987</v>
      </c>
      <c r="J156" s="6"/>
      <c r="K156" s="1"/>
      <c r="L156"/>
      <c r="S156"/>
      <c r="T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</row>
    <row r="157" spans="1:37">
      <c r="A157" t="s">
        <v>213</v>
      </c>
      <c r="B157" t="s">
        <v>8988</v>
      </c>
      <c r="D157" s="1">
        <v>8906375</v>
      </c>
      <c r="F157" s="171" t="s">
        <v>8990</v>
      </c>
      <c r="G157" s="171">
        <v>7814255.4140680814</v>
      </c>
      <c r="H157" s="251" t="s">
        <v>9071</v>
      </c>
      <c r="I157" s="171">
        <v>1080651.0674999999</v>
      </c>
      <c r="J157" s="6"/>
      <c r="K157" s="1"/>
      <c r="L157"/>
      <c r="S157"/>
      <c r="T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</row>
    <row r="158" spans="1:37">
      <c r="A158" t="s">
        <v>213</v>
      </c>
      <c r="B158" t="s">
        <v>6567</v>
      </c>
      <c r="C158" s="6">
        <v>0.2</v>
      </c>
      <c r="D158" s="1">
        <v>1781275</v>
      </c>
      <c r="E158" t="s">
        <v>9072</v>
      </c>
      <c r="F158" s="171">
        <v>45778</v>
      </c>
      <c r="G158" s="171">
        <v>45777</v>
      </c>
      <c r="H158" s="251"/>
      <c r="I158" s="171"/>
      <c r="J158" s="6"/>
      <c r="K158" s="1"/>
      <c r="L158"/>
      <c r="S158"/>
      <c r="T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</row>
    <row r="159" spans="1:37">
      <c r="A159" t="s">
        <v>213</v>
      </c>
      <c r="B159" t="s">
        <v>8970</v>
      </c>
      <c r="C159" s="6">
        <v>0.2</v>
      </c>
      <c r="D159" s="1">
        <v>1781275</v>
      </c>
      <c r="E159" t="s">
        <v>9072</v>
      </c>
      <c r="F159" s="171">
        <v>45778</v>
      </c>
      <c r="G159" s="171">
        <v>45842</v>
      </c>
      <c r="H159" s="251"/>
      <c r="I159" s="171"/>
      <c r="J159" s="6"/>
      <c r="K159" s="1"/>
      <c r="L159"/>
      <c r="S159"/>
      <c r="T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</row>
    <row r="160" spans="1:37">
      <c r="A160" t="s">
        <v>213</v>
      </c>
      <c r="B160" t="s">
        <v>676</v>
      </c>
      <c r="C160" s="6">
        <v>0.15</v>
      </c>
      <c r="D160" s="1">
        <v>1335956.25</v>
      </c>
      <c r="E160" t="s">
        <v>9072</v>
      </c>
      <c r="F160" s="171">
        <v>45778</v>
      </c>
      <c r="G160" s="171">
        <v>45828</v>
      </c>
      <c r="H160" s="251"/>
      <c r="I160" s="171"/>
      <c r="J160" s="6"/>
      <c r="K160" s="1"/>
      <c r="L160"/>
      <c r="S160"/>
      <c r="T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</row>
    <row r="161" spans="1:37">
      <c r="A161" t="s">
        <v>213</v>
      </c>
      <c r="B161" t="s">
        <v>1181</v>
      </c>
      <c r="C161" s="6">
        <v>0.15</v>
      </c>
      <c r="D161" s="1">
        <v>1335956.25</v>
      </c>
      <c r="E161" t="s">
        <v>9072</v>
      </c>
      <c r="F161" s="171">
        <v>45778</v>
      </c>
      <c r="G161" s="171">
        <v>45940</v>
      </c>
      <c r="H161" s="251"/>
      <c r="I161" s="171"/>
      <c r="J161" s="6"/>
      <c r="K161" s="1"/>
      <c r="L161"/>
      <c r="S161"/>
      <c r="T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</row>
    <row r="162" spans="1:37">
      <c r="A162" t="s">
        <v>213</v>
      </c>
      <c r="B162" t="s">
        <v>9031</v>
      </c>
      <c r="C162" s="6">
        <v>0.25</v>
      </c>
      <c r="D162" s="1">
        <v>2226593.75</v>
      </c>
      <c r="E162" t="s">
        <v>9072</v>
      </c>
      <c r="F162" s="171">
        <v>45778</v>
      </c>
      <c r="G162" s="171">
        <v>45975</v>
      </c>
      <c r="H162" s="251"/>
      <c r="I162" s="171"/>
      <c r="J162" s="6"/>
      <c r="K162" s="1"/>
      <c r="L162"/>
      <c r="S162"/>
      <c r="T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</row>
    <row r="163" spans="1:37">
      <c r="A163" t="s">
        <v>213</v>
      </c>
      <c r="B163" t="s">
        <v>41</v>
      </c>
      <c r="C163" s="6">
        <v>0.05</v>
      </c>
      <c r="D163" s="1">
        <v>445318.75</v>
      </c>
      <c r="E163" t="s">
        <v>9072</v>
      </c>
      <c r="F163" s="171">
        <v>45778</v>
      </c>
      <c r="G163" s="171">
        <v>45975</v>
      </c>
      <c r="H163" s="251"/>
      <c r="I163" s="171"/>
      <c r="J163" s="6"/>
      <c r="K163" s="1"/>
      <c r="L163"/>
      <c r="S163"/>
      <c r="T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</row>
    <row r="164" spans="1:37">
      <c r="A164" t="s">
        <v>214</v>
      </c>
      <c r="B164" t="s">
        <v>6567</v>
      </c>
      <c r="C164" s="6">
        <v>0.35</v>
      </c>
      <c r="D164" s="1">
        <v>4037445.8078627745</v>
      </c>
      <c r="E164" t="s">
        <v>9073</v>
      </c>
      <c r="F164" s="171">
        <v>45673</v>
      </c>
      <c r="G164" s="171">
        <v>45679</v>
      </c>
      <c r="H164" s="251"/>
      <c r="I164" s="171"/>
      <c r="J164" s="6"/>
      <c r="K164" s="1"/>
      <c r="L164"/>
      <c r="S164"/>
      <c r="T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</row>
    <row r="165" spans="1:37">
      <c r="A165" t="s">
        <v>214</v>
      </c>
      <c r="B165" t="s">
        <v>9074</v>
      </c>
      <c r="C165" s="6">
        <v>0.3</v>
      </c>
      <c r="D165" s="1">
        <v>3460667.8353109499</v>
      </c>
      <c r="E165" t="s">
        <v>9073</v>
      </c>
      <c r="F165" s="171">
        <v>45673</v>
      </c>
      <c r="G165" s="171">
        <v>45695</v>
      </c>
      <c r="H165" s="251"/>
      <c r="I165" s="171"/>
      <c r="J165" s="6"/>
      <c r="K165" s="1"/>
      <c r="L165"/>
      <c r="S165"/>
      <c r="T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</row>
    <row r="166" spans="1:37">
      <c r="A166" t="s">
        <v>214</v>
      </c>
      <c r="B166" t="s">
        <v>9075</v>
      </c>
      <c r="C166" s="6">
        <v>0.2</v>
      </c>
      <c r="D166" s="1">
        <v>2307111.8902073</v>
      </c>
      <c r="E166" t="s">
        <v>9073</v>
      </c>
      <c r="F166" s="171">
        <v>45673</v>
      </c>
      <c r="G166" s="171">
        <v>45679</v>
      </c>
      <c r="H166" s="251"/>
      <c r="I166" s="171"/>
      <c r="J166" s="6"/>
      <c r="K166" s="1"/>
      <c r="L166"/>
      <c r="S166"/>
      <c r="T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</row>
    <row r="167" spans="1:37">
      <c r="A167" t="s">
        <v>214</v>
      </c>
      <c r="B167" t="s">
        <v>9076</v>
      </c>
      <c r="C167" s="6">
        <v>0.1</v>
      </c>
      <c r="D167" s="1">
        <v>1153555.94510365</v>
      </c>
      <c r="E167" t="s">
        <v>9073</v>
      </c>
      <c r="F167" s="171">
        <v>45673</v>
      </c>
      <c r="G167" s="171">
        <v>45789</v>
      </c>
      <c r="H167" s="251"/>
      <c r="I167" s="171"/>
      <c r="J167" s="6"/>
      <c r="K167" s="1"/>
      <c r="L167"/>
      <c r="S167"/>
      <c r="T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</row>
    <row r="168" spans="1:37">
      <c r="A168" t="s">
        <v>214</v>
      </c>
      <c r="B168" t="s">
        <v>41</v>
      </c>
      <c r="C168" s="6">
        <v>0.05</v>
      </c>
      <c r="D168" s="1">
        <v>576777.97255182499</v>
      </c>
      <c r="E168" t="s">
        <v>9073</v>
      </c>
      <c r="F168" s="171">
        <v>45673</v>
      </c>
      <c r="G168" s="171">
        <v>45835</v>
      </c>
      <c r="H168" s="251"/>
      <c r="I168" s="171"/>
      <c r="J168" s="6"/>
      <c r="K168" s="1"/>
      <c r="L168"/>
      <c r="S168"/>
      <c r="T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</row>
    <row r="169" spans="1:37">
      <c r="A169" t="s">
        <v>214</v>
      </c>
      <c r="B169" t="s">
        <v>9077</v>
      </c>
      <c r="C169" s="6">
        <v>0.7</v>
      </c>
      <c r="D169" s="1">
        <v>73118.58</v>
      </c>
      <c r="E169" t="s">
        <v>9078</v>
      </c>
      <c r="F169" s="171">
        <v>45639</v>
      </c>
      <c r="G169" s="171">
        <v>45639</v>
      </c>
      <c r="H169" s="251"/>
      <c r="I169" s="171"/>
      <c r="J169" s="6"/>
      <c r="K169" s="1"/>
      <c r="L169"/>
      <c r="S169"/>
      <c r="T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</row>
    <row r="170" spans="1:37">
      <c r="A170" t="s">
        <v>214</v>
      </c>
      <c r="B170" t="s">
        <v>9077</v>
      </c>
      <c r="D170" s="1">
        <v>76103.02</v>
      </c>
      <c r="E170" t="s">
        <v>9078</v>
      </c>
      <c r="F170" s="171">
        <v>45639</v>
      </c>
      <c r="G170" s="171">
        <v>45701</v>
      </c>
      <c r="H170" s="251"/>
      <c r="I170" s="171"/>
      <c r="J170" s="6"/>
      <c r="K170" s="1"/>
      <c r="L170"/>
      <c r="S170"/>
      <c r="T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</row>
    <row r="171" spans="1:37">
      <c r="A171" t="s">
        <v>214</v>
      </c>
      <c r="B171" t="s">
        <v>9077</v>
      </c>
      <c r="C171" s="6">
        <v>0.3</v>
      </c>
      <c r="D171" s="1">
        <v>44766.48</v>
      </c>
      <c r="E171" t="s">
        <v>9079</v>
      </c>
      <c r="F171" s="171">
        <v>45684</v>
      </c>
      <c r="G171" s="171">
        <v>45701</v>
      </c>
      <c r="H171" s="251"/>
      <c r="I171" s="171"/>
      <c r="J171" s="6"/>
      <c r="K171" s="1"/>
      <c r="L171"/>
      <c r="S171"/>
      <c r="T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</row>
    <row r="172" spans="1:37">
      <c r="A172" t="s">
        <v>524</v>
      </c>
      <c r="D172" s="1" t="s">
        <v>8982</v>
      </c>
      <c r="E172" t="s">
        <v>8983</v>
      </c>
      <c r="F172" s="171" t="s">
        <v>8984</v>
      </c>
      <c r="G172" s="171" t="s">
        <v>8985</v>
      </c>
      <c r="H172" s="251" t="s">
        <v>8986</v>
      </c>
      <c r="I172" s="171" t="s">
        <v>8987</v>
      </c>
      <c r="J172" s="6"/>
      <c r="K172" s="1"/>
      <c r="L172"/>
      <c r="S172"/>
      <c r="T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</row>
    <row r="173" spans="1:37">
      <c r="A173" t="s">
        <v>524</v>
      </c>
      <c r="B173" t="s">
        <v>8988</v>
      </c>
      <c r="D173" s="1">
        <v>1057829.0842355702</v>
      </c>
      <c r="E173" t="s">
        <v>9080</v>
      </c>
      <c r="F173" s="171" t="s">
        <v>8990</v>
      </c>
      <c r="G173" s="171">
        <v>1044632.7291609418</v>
      </c>
      <c r="H173" s="251" t="s">
        <v>9081</v>
      </c>
      <c r="I173" s="171">
        <v>225367.05</v>
      </c>
      <c r="J173" s="6"/>
      <c r="K173" s="1"/>
      <c r="L173"/>
      <c r="S173"/>
      <c r="T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</row>
    <row r="174" spans="1:37">
      <c r="A174" t="s">
        <v>524</v>
      </c>
      <c r="F174" s="171"/>
      <c r="G174" s="171" t="s">
        <v>2048</v>
      </c>
      <c r="H174" s="251"/>
      <c r="I174" s="171"/>
      <c r="J174" s="6"/>
      <c r="K174" s="1"/>
      <c r="L174"/>
      <c r="S174"/>
      <c r="T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</row>
    <row r="175" spans="1:37">
      <c r="A175" t="s">
        <v>524</v>
      </c>
      <c r="B175" t="s">
        <v>9047</v>
      </c>
      <c r="C175" s="6">
        <v>0.5</v>
      </c>
      <c r="D175" s="1">
        <v>522316.36211778503</v>
      </c>
      <c r="E175" t="s">
        <v>9082</v>
      </c>
      <c r="F175" s="171">
        <v>45698</v>
      </c>
      <c r="G175" s="171">
        <v>45720</v>
      </c>
      <c r="H175" s="251"/>
      <c r="I175" s="171"/>
      <c r="J175" s="6"/>
      <c r="K175" s="1"/>
      <c r="L175"/>
      <c r="S175"/>
      <c r="T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</row>
    <row r="176" spans="1:37">
      <c r="A176" t="s">
        <v>524</v>
      </c>
      <c r="B176" t="s">
        <v>8970</v>
      </c>
      <c r="C176" s="6">
        <v>0.1</v>
      </c>
      <c r="D176" s="1">
        <v>104463.27242355701</v>
      </c>
      <c r="E176" t="s">
        <v>9082</v>
      </c>
      <c r="F176" s="171">
        <v>45698</v>
      </c>
      <c r="G176" s="171">
        <v>45720</v>
      </c>
      <c r="H176" s="251"/>
      <c r="I176" s="171"/>
      <c r="J176" s="6"/>
      <c r="K176" s="1"/>
      <c r="L176"/>
      <c r="S176"/>
      <c r="T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</row>
    <row r="177" spans="1:37">
      <c r="A177" t="s">
        <v>524</v>
      </c>
      <c r="B177" t="s">
        <v>676</v>
      </c>
      <c r="C177" s="6">
        <v>0.25</v>
      </c>
      <c r="D177" s="1">
        <v>261158.18105889251</v>
      </c>
      <c r="E177" t="s">
        <v>9082</v>
      </c>
      <c r="F177" s="171">
        <v>45698</v>
      </c>
      <c r="G177" s="171">
        <v>45720</v>
      </c>
      <c r="H177" s="251"/>
      <c r="I177" s="171"/>
      <c r="J177" s="6"/>
      <c r="K177" s="1"/>
      <c r="L177"/>
      <c r="S177"/>
      <c r="T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</row>
    <row r="178" spans="1:37">
      <c r="A178" t="s">
        <v>524</v>
      </c>
      <c r="B178" t="s">
        <v>169</v>
      </c>
      <c r="C178" s="6">
        <v>0.1</v>
      </c>
      <c r="D178" s="1">
        <v>104463.27242355701</v>
      </c>
      <c r="E178" t="s">
        <v>9082</v>
      </c>
      <c r="F178" s="171">
        <v>45698</v>
      </c>
      <c r="G178" s="171">
        <v>45772</v>
      </c>
      <c r="H178" s="251"/>
      <c r="I178" s="171"/>
      <c r="J178" s="6"/>
      <c r="K178" s="1"/>
      <c r="L178"/>
      <c r="S178"/>
      <c r="T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</row>
    <row r="179" spans="1:37">
      <c r="A179" t="s">
        <v>524</v>
      </c>
      <c r="B179" t="s">
        <v>41</v>
      </c>
      <c r="C179" s="6">
        <v>0.05</v>
      </c>
      <c r="D179" s="1">
        <v>52231.636211778503</v>
      </c>
      <c r="E179" t="s">
        <v>9082</v>
      </c>
      <c r="F179" s="171">
        <v>45698</v>
      </c>
      <c r="G179" s="171">
        <v>45814</v>
      </c>
      <c r="H179" s="251"/>
      <c r="I179" s="171"/>
      <c r="J179" s="6"/>
      <c r="K179" s="1"/>
      <c r="L179"/>
      <c r="S179"/>
      <c r="T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</row>
    <row r="180" spans="1:37">
      <c r="A180" t="s">
        <v>524</v>
      </c>
      <c r="B180" t="s">
        <v>9083</v>
      </c>
      <c r="C180" s="6">
        <v>0</v>
      </c>
      <c r="D180" s="1">
        <v>13196.36</v>
      </c>
      <c r="E180" t="s">
        <v>9084</v>
      </c>
      <c r="F180" s="171">
        <v>45958</v>
      </c>
      <c r="G180" s="171">
        <v>45974</v>
      </c>
      <c r="H180" s="251"/>
      <c r="I180" s="171"/>
      <c r="J180" s="6"/>
      <c r="K180" s="1"/>
      <c r="L180"/>
      <c r="S180"/>
      <c r="T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</row>
    <row r="181" spans="1:37">
      <c r="A181" t="s">
        <v>218</v>
      </c>
      <c r="D181" s="1" t="s">
        <v>8982</v>
      </c>
      <c r="E181" t="s">
        <v>8983</v>
      </c>
      <c r="F181" s="171" t="s">
        <v>8984</v>
      </c>
      <c r="G181" s="171" t="s">
        <v>8985</v>
      </c>
      <c r="H181" s="251" t="s">
        <v>8986</v>
      </c>
      <c r="I181" s="171" t="s">
        <v>8987</v>
      </c>
      <c r="J181" s="6"/>
      <c r="K181" s="1"/>
      <c r="L181"/>
      <c r="S181"/>
      <c r="T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</row>
    <row r="182" spans="1:37">
      <c r="A182" t="s">
        <v>218</v>
      </c>
      <c r="B182" t="s">
        <v>8988</v>
      </c>
      <c r="D182" s="1">
        <v>3137319.4266193202</v>
      </c>
      <c r="E182" t="s">
        <v>9085</v>
      </c>
      <c r="F182" s="171" t="s">
        <v>8990</v>
      </c>
      <c r="G182" s="171">
        <v>2283369.5184951075</v>
      </c>
      <c r="H182" s="251" t="s">
        <v>9086</v>
      </c>
      <c r="I182" s="171">
        <v>693300.8</v>
      </c>
      <c r="J182" s="6"/>
      <c r="K182" s="1"/>
      <c r="L182"/>
      <c r="S182"/>
      <c r="T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</row>
    <row r="183" spans="1:37">
      <c r="A183" t="s">
        <v>525</v>
      </c>
      <c r="B183" t="s">
        <v>9087</v>
      </c>
      <c r="C183" s="6">
        <v>3.806694904506553E-2</v>
      </c>
      <c r="D183" s="1">
        <v>5500000</v>
      </c>
      <c r="F183" s="171"/>
      <c r="G183" s="171">
        <v>46081</v>
      </c>
      <c r="H183" s="251"/>
      <c r="I183" s="171"/>
      <c r="J183" s="6"/>
      <c r="K183" s="1"/>
      <c r="L183"/>
      <c r="S183"/>
      <c r="T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</row>
    <row r="184" spans="1:37">
      <c r="A184" t="s">
        <v>525</v>
      </c>
      <c r="B184" t="s">
        <v>9088</v>
      </c>
      <c r="C184" s="6">
        <v>0.10727958367245739</v>
      </c>
      <c r="D184" s="1">
        <v>15500000</v>
      </c>
      <c r="F184" s="171"/>
      <c r="G184" s="171">
        <v>46081</v>
      </c>
      <c r="H184" s="251"/>
      <c r="I184" s="171"/>
      <c r="J184" s="6"/>
      <c r="K184" s="1"/>
      <c r="L184"/>
      <c r="S184"/>
      <c r="T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</row>
    <row r="185" spans="1:37">
      <c r="A185" t="s">
        <v>525</v>
      </c>
      <c r="B185" t="s">
        <v>9089</v>
      </c>
      <c r="C185" s="6">
        <v>2.7685053850956751E-2</v>
      </c>
      <c r="D185" s="1">
        <v>4000000</v>
      </c>
      <c r="F185" s="171"/>
      <c r="G185" s="171">
        <v>46109</v>
      </c>
      <c r="H185" s="251"/>
      <c r="I185" s="171"/>
      <c r="J185" s="6"/>
      <c r="K185" s="1"/>
      <c r="L185"/>
      <c r="S185"/>
      <c r="T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</row>
    <row r="186" spans="1:37">
      <c r="A186" t="s">
        <v>525</v>
      </c>
      <c r="B186" t="s">
        <v>9089</v>
      </c>
      <c r="C186" s="6">
        <v>0.1038189519410878</v>
      </c>
      <c r="D186" s="1">
        <v>15000000</v>
      </c>
      <c r="F186" s="171"/>
      <c r="G186" s="171">
        <v>46137</v>
      </c>
      <c r="H186" s="251"/>
      <c r="I186" s="171"/>
      <c r="J186" s="6"/>
      <c r="K186" s="1"/>
      <c r="L186"/>
      <c r="S186"/>
      <c r="T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</row>
    <row r="187" spans="1:37">
      <c r="A187" t="s">
        <v>525</v>
      </c>
      <c r="B187" t="s">
        <v>9090</v>
      </c>
      <c r="C187" s="6">
        <v>9.6205562132074707E-2</v>
      </c>
      <c r="D187" s="1">
        <v>13900000</v>
      </c>
      <c r="F187" s="171"/>
      <c r="G187" s="171">
        <v>46151</v>
      </c>
      <c r="H187" s="251"/>
      <c r="I187" s="171"/>
      <c r="J187" s="6"/>
      <c r="K187" s="1"/>
      <c r="L187"/>
      <c r="S187"/>
      <c r="T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</row>
    <row r="188" spans="1:37">
      <c r="A188" t="s">
        <v>525</v>
      </c>
      <c r="B188" t="s">
        <v>9091</v>
      </c>
      <c r="C188" s="6">
        <v>0.110740215403827</v>
      </c>
      <c r="D188" s="1">
        <v>16000000</v>
      </c>
      <c r="F188" s="171"/>
      <c r="G188" s="171">
        <v>46172</v>
      </c>
      <c r="H188" s="251"/>
      <c r="I188" s="171"/>
      <c r="J188" s="6"/>
      <c r="K188" s="1"/>
      <c r="L188"/>
      <c r="S188"/>
      <c r="T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</row>
    <row r="189" spans="1:37">
      <c r="A189" t="s">
        <v>525</v>
      </c>
      <c r="B189" t="s">
        <v>9091</v>
      </c>
      <c r="C189" s="6">
        <v>0.110740215403827</v>
      </c>
      <c r="D189" s="1">
        <v>16000000</v>
      </c>
      <c r="F189" s="171"/>
      <c r="G189" s="171">
        <v>46193</v>
      </c>
      <c r="H189" s="251"/>
      <c r="I189" s="171"/>
      <c r="J189" s="6"/>
      <c r="K189" s="1"/>
      <c r="L189"/>
      <c r="S189"/>
      <c r="T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</row>
    <row r="190" spans="1:37">
      <c r="A190" t="s">
        <v>525</v>
      </c>
      <c r="B190" t="s">
        <v>9091</v>
      </c>
      <c r="C190" s="6">
        <v>0.1142008471351966</v>
      </c>
      <c r="D190" s="1">
        <v>16500000</v>
      </c>
      <c r="F190" s="171"/>
      <c r="G190" s="171">
        <v>46207</v>
      </c>
      <c r="H190" s="251"/>
      <c r="I190" s="171"/>
      <c r="J190" s="6"/>
      <c r="K190" s="1"/>
      <c r="L190"/>
      <c r="S190"/>
      <c r="T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</row>
    <row r="191" spans="1:37">
      <c r="A191" t="s">
        <v>525</v>
      </c>
      <c r="B191" t="s">
        <v>9092</v>
      </c>
      <c r="C191" s="6">
        <v>6.2291371164652685E-2</v>
      </c>
      <c r="D191" s="1">
        <v>9000000</v>
      </c>
      <c r="F191" s="171"/>
      <c r="G191" s="171">
        <v>46221</v>
      </c>
      <c r="H191" s="251"/>
      <c r="I191" s="171"/>
      <c r="J191" s="6"/>
      <c r="K191" s="1"/>
      <c r="L191"/>
      <c r="S191"/>
      <c r="T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</row>
    <row r="192" spans="1:37">
      <c r="A192" t="s">
        <v>525</v>
      </c>
      <c r="B192" t="s">
        <v>9093</v>
      </c>
      <c r="C192" s="6">
        <v>4.844884423917431E-2</v>
      </c>
      <c r="D192" s="1">
        <v>7000000</v>
      </c>
      <c r="F192" s="171"/>
      <c r="G192" s="171">
        <v>46235</v>
      </c>
      <c r="H192" s="251"/>
      <c r="I192" s="171"/>
      <c r="J192" s="6"/>
      <c r="K192" s="1"/>
      <c r="L192"/>
      <c r="S192"/>
      <c r="T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</row>
    <row r="193" spans="1:37">
      <c r="A193" t="s">
        <v>525</v>
      </c>
      <c r="B193" t="s">
        <v>9094</v>
      </c>
      <c r="C193" s="6">
        <v>5.1909475970543906E-2</v>
      </c>
      <c r="D193" s="1">
        <v>7500000</v>
      </c>
      <c r="F193" s="171"/>
      <c r="G193" s="171">
        <v>46249</v>
      </c>
      <c r="H193" s="251"/>
      <c r="I193" s="171"/>
      <c r="J193" s="6"/>
      <c r="K193" s="1"/>
      <c r="L193"/>
      <c r="S193"/>
      <c r="T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</row>
    <row r="194" spans="1:37">
      <c r="A194" t="s">
        <v>525</v>
      </c>
      <c r="B194" t="s">
        <v>9094</v>
      </c>
      <c r="C194" s="6">
        <v>3.806694904506553E-2</v>
      </c>
      <c r="D194" s="1">
        <v>5500000</v>
      </c>
      <c r="F194" s="171"/>
      <c r="G194" s="171">
        <v>46263</v>
      </c>
      <c r="H194" s="251"/>
      <c r="I194" s="171"/>
      <c r="J194" s="6"/>
      <c r="K194" s="1"/>
      <c r="L194"/>
      <c r="S194"/>
      <c r="T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</row>
    <row r="195" spans="1:37">
      <c r="A195" t="s">
        <v>525</v>
      </c>
      <c r="B195" t="s">
        <v>188</v>
      </c>
      <c r="C195" s="6">
        <v>7.9594529821500656E-2</v>
      </c>
      <c r="D195" s="1">
        <v>11500000</v>
      </c>
      <c r="F195" s="171"/>
      <c r="G195" s="171">
        <v>46277</v>
      </c>
      <c r="H195" s="251"/>
      <c r="I195" s="171"/>
      <c r="J195" s="6"/>
      <c r="K195" s="1"/>
      <c r="L195"/>
      <c r="S195"/>
      <c r="T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</row>
    <row r="196" spans="1:37">
      <c r="A196" t="s">
        <v>525</v>
      </c>
      <c r="B196" t="s">
        <v>240</v>
      </c>
      <c r="C196" s="6">
        <v>1.038189519410878E-2</v>
      </c>
      <c r="D196" s="1">
        <v>1500000</v>
      </c>
      <c r="F196" s="171"/>
      <c r="G196" s="171">
        <v>46291</v>
      </c>
      <c r="H196" s="251"/>
      <c r="I196" s="171"/>
      <c r="J196" s="6"/>
      <c r="K196" s="1"/>
      <c r="L196"/>
      <c r="S196"/>
      <c r="T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</row>
    <row r="197" spans="1:37">
      <c r="A197" t="s">
        <v>525</v>
      </c>
      <c r="B197" t="s">
        <v>41</v>
      </c>
      <c r="C197" s="6">
        <v>5.695559804612671E-4</v>
      </c>
      <c r="D197" s="1">
        <v>82290.752768983206</v>
      </c>
      <c r="F197" s="171"/>
      <c r="G197" s="171">
        <v>46656</v>
      </c>
      <c r="H197" s="251"/>
      <c r="I197" s="171"/>
      <c r="J197" s="6"/>
      <c r="K197" s="1"/>
      <c r="L197"/>
      <c r="S197"/>
      <c r="T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</row>
    <row r="198" spans="1:37">
      <c r="A198" t="s">
        <v>526</v>
      </c>
      <c r="D198" s="1" t="s">
        <v>8982</v>
      </c>
      <c r="E198" t="s">
        <v>8983</v>
      </c>
      <c r="F198" s="171" t="s">
        <v>8984</v>
      </c>
      <c r="G198" s="171" t="s">
        <v>8985</v>
      </c>
      <c r="H198" s="251" t="s">
        <v>8986</v>
      </c>
      <c r="I198" s="171" t="s">
        <v>8987</v>
      </c>
      <c r="J198" s="6"/>
      <c r="K198" s="1"/>
      <c r="L198"/>
      <c r="S198"/>
      <c r="T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</row>
    <row r="199" spans="1:37">
      <c r="A199" t="s">
        <v>526</v>
      </c>
      <c r="B199" t="s">
        <v>8988</v>
      </c>
      <c r="D199" s="1">
        <v>2566596.30608257</v>
      </c>
      <c r="E199" t="s">
        <v>9095</v>
      </c>
      <c r="F199" s="171" t="s">
        <v>8990</v>
      </c>
      <c r="G199" s="171">
        <v>2566316.4174960563</v>
      </c>
      <c r="H199" s="251" t="s">
        <v>9081</v>
      </c>
      <c r="I199" s="171">
        <v>-7632.42</v>
      </c>
      <c r="J199" s="6"/>
      <c r="K199" s="1"/>
      <c r="L199"/>
      <c r="S199"/>
      <c r="T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</row>
    <row r="200" spans="1:37">
      <c r="A200" t="s">
        <v>526</v>
      </c>
      <c r="B200" t="s">
        <v>8968</v>
      </c>
      <c r="C200" s="6">
        <v>0.5</v>
      </c>
      <c r="D200" s="1">
        <v>1283298.153041285</v>
      </c>
      <c r="E200" t="s">
        <v>9096</v>
      </c>
      <c r="F200" s="171">
        <v>45831</v>
      </c>
      <c r="G200" s="171">
        <v>45833</v>
      </c>
      <c r="H200" s="251"/>
      <c r="I200" s="171"/>
      <c r="J200" s="6"/>
      <c r="K200" s="1"/>
      <c r="L200"/>
      <c r="S200"/>
      <c r="T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</row>
    <row r="201" spans="1:37">
      <c r="A201" t="s">
        <v>526</v>
      </c>
      <c r="B201" t="s">
        <v>8970</v>
      </c>
      <c r="C201" s="6">
        <v>0.1</v>
      </c>
      <c r="D201" s="1">
        <v>256659.63060825705</v>
      </c>
      <c r="E201" t="s">
        <v>9097</v>
      </c>
      <c r="F201" s="171">
        <v>45859</v>
      </c>
      <c r="G201" s="171">
        <v>45863</v>
      </c>
      <c r="H201" s="251"/>
      <c r="I201" s="171"/>
      <c r="J201" s="6"/>
      <c r="K201" s="1"/>
      <c r="L201"/>
      <c r="S201"/>
      <c r="T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</row>
    <row r="202" spans="1:37">
      <c r="A202" t="s">
        <v>526</v>
      </c>
      <c r="B202" t="s">
        <v>676</v>
      </c>
      <c r="C202" s="6">
        <v>0.25</v>
      </c>
      <c r="D202" s="1">
        <v>641649.0765206425</v>
      </c>
      <c r="E202" t="s">
        <v>9097</v>
      </c>
      <c r="F202" s="171">
        <v>45859</v>
      </c>
      <c r="G202" s="171">
        <v>45863</v>
      </c>
      <c r="H202" s="251"/>
      <c r="I202" s="171"/>
      <c r="J202" s="6"/>
      <c r="K202" s="1"/>
      <c r="L202"/>
      <c r="S202"/>
      <c r="T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</row>
    <row r="203" spans="1:37">
      <c r="A203" t="s">
        <v>526</v>
      </c>
      <c r="B203" t="s">
        <v>169</v>
      </c>
      <c r="C203" s="6">
        <v>0.1</v>
      </c>
      <c r="D203" s="1">
        <v>256659.63060825705</v>
      </c>
      <c r="E203" t="s">
        <v>9098</v>
      </c>
      <c r="F203" s="171">
        <v>45919</v>
      </c>
      <c r="G203" s="171">
        <v>45961</v>
      </c>
      <c r="H203" s="251"/>
      <c r="I203" s="171"/>
      <c r="J203" s="6"/>
      <c r="K203" s="1"/>
      <c r="L203"/>
      <c r="S203"/>
      <c r="T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</row>
    <row r="204" spans="1:37">
      <c r="A204" t="s">
        <v>526</v>
      </c>
      <c r="B204" t="s">
        <v>41</v>
      </c>
      <c r="C204" s="6">
        <v>0.05</v>
      </c>
      <c r="D204" s="1">
        <v>128329.81530412853</v>
      </c>
      <c r="E204" t="s">
        <v>9099</v>
      </c>
      <c r="F204" s="171">
        <v>45958</v>
      </c>
      <c r="G204" s="171">
        <v>45986</v>
      </c>
      <c r="H204" s="251"/>
      <c r="I204" s="171"/>
      <c r="J204" s="6"/>
      <c r="K204" s="1"/>
      <c r="L204"/>
      <c r="S204"/>
      <c r="T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</row>
    <row r="205" spans="1:37">
      <c r="A205" t="s">
        <v>219</v>
      </c>
      <c r="D205" s="1" t="s">
        <v>8982</v>
      </c>
      <c r="E205" t="s">
        <v>8983</v>
      </c>
      <c r="F205" s="171" t="s">
        <v>8984</v>
      </c>
      <c r="G205" s="171" t="s">
        <v>8985</v>
      </c>
      <c r="H205" s="251" t="s">
        <v>8986</v>
      </c>
      <c r="I205" s="171" t="s">
        <v>8987</v>
      </c>
      <c r="J205" s="6"/>
      <c r="K205" s="1"/>
      <c r="L205"/>
      <c r="S205"/>
      <c r="T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</row>
    <row r="206" spans="1:37">
      <c r="A206" t="s">
        <v>219</v>
      </c>
      <c r="B206" t="s">
        <v>8988</v>
      </c>
      <c r="D206" s="1">
        <v>3400106</v>
      </c>
      <c r="F206" s="171" t="s">
        <v>8990</v>
      </c>
      <c r="G206" s="171">
        <v>3156976.8544715885</v>
      </c>
      <c r="H206" s="251" t="s">
        <v>9100</v>
      </c>
      <c r="I206" s="171">
        <v>89721.904999999999</v>
      </c>
      <c r="J206" s="6"/>
      <c r="K206" s="1"/>
      <c r="L206"/>
      <c r="S206"/>
      <c r="T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</row>
    <row r="207" spans="1:37">
      <c r="A207" t="s">
        <v>219</v>
      </c>
      <c r="B207" t="s">
        <v>6567</v>
      </c>
      <c r="C207" s="6">
        <v>0.2</v>
      </c>
      <c r="D207" s="1">
        <v>680021.20000000007</v>
      </c>
      <c r="E207" t="s">
        <v>9101</v>
      </c>
      <c r="F207" s="171">
        <v>45778</v>
      </c>
      <c r="G207" s="171">
        <v>45777</v>
      </c>
      <c r="H207" s="251"/>
      <c r="I207" s="171"/>
      <c r="J207" s="6"/>
      <c r="K207" s="1"/>
      <c r="L207"/>
      <c r="S207"/>
      <c r="T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</row>
    <row r="208" spans="1:37">
      <c r="A208" t="s">
        <v>219</v>
      </c>
      <c r="B208" t="s">
        <v>8970</v>
      </c>
      <c r="C208" s="6">
        <v>0.2</v>
      </c>
      <c r="D208" s="1">
        <v>680021.20000000007</v>
      </c>
      <c r="E208" t="s">
        <v>9101</v>
      </c>
      <c r="F208" s="171">
        <v>45778</v>
      </c>
      <c r="G208" s="171">
        <v>45828</v>
      </c>
      <c r="H208" s="251"/>
      <c r="I208" s="171"/>
      <c r="J208" s="6"/>
      <c r="K208" s="1"/>
      <c r="L208"/>
      <c r="S208"/>
      <c r="T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</row>
    <row r="209" spans="1:37">
      <c r="A209" t="s">
        <v>219</v>
      </c>
      <c r="B209" t="s">
        <v>676</v>
      </c>
      <c r="C209" s="6">
        <v>0.15</v>
      </c>
      <c r="D209" s="1">
        <v>510015.9</v>
      </c>
      <c r="E209" t="s">
        <v>9101</v>
      </c>
      <c r="F209" s="171">
        <v>45778</v>
      </c>
      <c r="G209" s="171">
        <v>45807</v>
      </c>
      <c r="H209" s="251"/>
      <c r="I209" s="171"/>
      <c r="J209" s="6"/>
      <c r="K209" s="1"/>
      <c r="L209"/>
      <c r="S209"/>
      <c r="T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</row>
    <row r="210" spans="1:37">
      <c r="A210" t="s">
        <v>219</v>
      </c>
      <c r="B210" t="s">
        <v>1181</v>
      </c>
      <c r="C210" s="6">
        <v>0.15</v>
      </c>
      <c r="D210" s="1">
        <v>510015.9</v>
      </c>
      <c r="E210" t="s">
        <v>9101</v>
      </c>
      <c r="F210" s="171">
        <v>45778</v>
      </c>
      <c r="G210" s="171">
        <v>46024</v>
      </c>
      <c r="H210" s="251"/>
      <c r="I210" s="171"/>
      <c r="J210" s="6"/>
      <c r="K210" s="1"/>
      <c r="L210"/>
      <c r="S210"/>
      <c r="T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</row>
    <row r="211" spans="1:37">
      <c r="A211" t="s">
        <v>219</v>
      </c>
      <c r="B211" t="s">
        <v>9031</v>
      </c>
      <c r="C211" s="6">
        <v>0.25</v>
      </c>
      <c r="D211" s="1">
        <v>850026.5</v>
      </c>
      <c r="E211" t="s">
        <v>9101</v>
      </c>
      <c r="F211" s="171">
        <v>45778</v>
      </c>
      <c r="G211" s="171">
        <v>46024</v>
      </c>
      <c r="H211" s="251"/>
      <c r="I211" s="171"/>
      <c r="J211" s="6"/>
      <c r="K211" s="1"/>
      <c r="L211"/>
      <c r="S211"/>
      <c r="T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</row>
    <row r="212" spans="1:37">
      <c r="A212" t="s">
        <v>219</v>
      </c>
      <c r="B212" t="s">
        <v>41</v>
      </c>
      <c r="C212" s="6">
        <v>0.05</v>
      </c>
      <c r="D212" s="1">
        <v>170005.30000000002</v>
      </c>
      <c r="E212" t="s">
        <v>9101</v>
      </c>
      <c r="F212" s="171">
        <v>45778</v>
      </c>
      <c r="G212" s="171">
        <v>46078</v>
      </c>
      <c r="H212" s="251" t="s">
        <v>198</v>
      </c>
      <c r="I212" s="171"/>
      <c r="J212" s="6"/>
      <c r="K212" s="1"/>
      <c r="L212"/>
      <c r="S212"/>
      <c r="T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</row>
    <row r="213" spans="1:37">
      <c r="A213" t="s">
        <v>527</v>
      </c>
      <c r="B213" t="s">
        <v>8968</v>
      </c>
      <c r="C213" s="6">
        <v>0.4</v>
      </c>
      <c r="D213" s="1">
        <v>1647842.7428508946</v>
      </c>
      <c r="F213" s="171"/>
      <c r="G213" s="171">
        <v>46081</v>
      </c>
      <c r="H213" s="251" t="s">
        <v>9102</v>
      </c>
      <c r="I213" s="171"/>
      <c r="J213" s="6"/>
      <c r="K213" s="1"/>
      <c r="L213"/>
      <c r="S213"/>
      <c r="T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</row>
    <row r="214" spans="1:37">
      <c r="A214" t="s">
        <v>527</v>
      </c>
      <c r="B214" t="s">
        <v>8970</v>
      </c>
      <c r="C214" s="6">
        <v>0.2</v>
      </c>
      <c r="D214" s="1">
        <v>823921.3714254474</v>
      </c>
      <c r="F214" s="171"/>
      <c r="G214" s="171">
        <v>46110</v>
      </c>
      <c r="H214" s="251"/>
      <c r="I214" s="171"/>
      <c r="J214" s="6"/>
      <c r="K214" s="1"/>
      <c r="L214"/>
      <c r="S214"/>
      <c r="T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</row>
    <row r="215" spans="1:37">
      <c r="A215" t="s">
        <v>527</v>
      </c>
      <c r="B215" t="s">
        <v>676</v>
      </c>
      <c r="C215" s="6">
        <v>0.1</v>
      </c>
      <c r="D215" s="1">
        <v>411960.6857127237</v>
      </c>
      <c r="F215" s="171"/>
      <c r="G215" s="171">
        <v>46111</v>
      </c>
      <c r="H215" s="251"/>
      <c r="I215" s="171"/>
      <c r="J215" s="6"/>
      <c r="K215" s="1"/>
      <c r="L215"/>
      <c r="S215"/>
      <c r="T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</row>
    <row r="216" spans="1:37">
      <c r="A216" t="s">
        <v>527</v>
      </c>
      <c r="B216" t="s">
        <v>9103</v>
      </c>
      <c r="C216" s="6">
        <v>0.05</v>
      </c>
      <c r="D216" s="1">
        <v>205980.34285636185</v>
      </c>
      <c r="F216" s="171"/>
      <c r="G216" s="171">
        <v>46111</v>
      </c>
      <c r="H216" s="251"/>
      <c r="I216" s="171"/>
      <c r="J216" s="6"/>
      <c r="K216" s="1"/>
      <c r="L216"/>
      <c r="S216"/>
      <c r="T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</row>
    <row r="217" spans="1:37">
      <c r="A217" t="s">
        <v>527</v>
      </c>
      <c r="B217" t="s">
        <v>9104</v>
      </c>
      <c r="C217" s="6">
        <v>0.4</v>
      </c>
      <c r="D217" s="1">
        <v>1647842.7428508946</v>
      </c>
      <c r="F217" s="171"/>
      <c r="G217" s="171">
        <v>46141</v>
      </c>
      <c r="H217" s="251"/>
      <c r="I217" s="171"/>
      <c r="J217" s="6"/>
      <c r="K217" s="1"/>
      <c r="L217"/>
      <c r="S217"/>
      <c r="T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</row>
    <row r="218" spans="1:37">
      <c r="A218" t="s">
        <v>527</v>
      </c>
      <c r="B218" t="s">
        <v>9105</v>
      </c>
      <c r="C218" s="6">
        <v>2.5000000000000001E-2</v>
      </c>
      <c r="D218" s="1">
        <v>102990.17142818093</v>
      </c>
      <c r="F218" s="171"/>
      <c r="G218" s="171">
        <v>46149</v>
      </c>
      <c r="H218" s="251"/>
      <c r="I218" s="171"/>
      <c r="J218" s="6"/>
      <c r="K218" s="1"/>
      <c r="L218"/>
      <c r="S218"/>
      <c r="T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</row>
    <row r="219" spans="1:37">
      <c r="A219" t="s">
        <v>527</v>
      </c>
      <c r="B219" t="s">
        <v>9106</v>
      </c>
      <c r="C219" s="6">
        <v>0.05</v>
      </c>
      <c r="D219" s="1">
        <v>205980.34285636185</v>
      </c>
      <c r="F219" s="171"/>
      <c r="G219" s="171">
        <v>46169</v>
      </c>
      <c r="H219" s="251"/>
      <c r="I219" s="171"/>
      <c r="J219" s="6"/>
      <c r="K219" s="1"/>
      <c r="L219"/>
      <c r="S219"/>
      <c r="T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</row>
    <row r="220" spans="1:37">
      <c r="A220" t="s">
        <v>527</v>
      </c>
      <c r="B220" t="s">
        <v>9107</v>
      </c>
      <c r="C220" s="6">
        <v>2.5000000000000001E-2</v>
      </c>
      <c r="D220" s="1">
        <v>102990.17142818093</v>
      </c>
      <c r="F220" s="171"/>
      <c r="G220" s="171">
        <v>46169</v>
      </c>
      <c r="H220" s="251"/>
      <c r="I220" s="171"/>
      <c r="J220" s="6"/>
      <c r="K220" s="1"/>
      <c r="L220"/>
      <c r="S220"/>
      <c r="T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</row>
    <row r="221" spans="1:37">
      <c r="A221" t="s">
        <v>223</v>
      </c>
      <c r="D221" s="1" t="s">
        <v>8982</v>
      </c>
      <c r="E221" t="s">
        <v>8983</v>
      </c>
      <c r="F221" s="171" t="s">
        <v>8984</v>
      </c>
      <c r="G221" s="171" t="s">
        <v>8985</v>
      </c>
      <c r="H221" s="251" t="s">
        <v>8986</v>
      </c>
      <c r="I221" s="171" t="s">
        <v>8987</v>
      </c>
      <c r="J221" s="6"/>
      <c r="K221" s="1"/>
      <c r="L221"/>
      <c r="S221"/>
      <c r="T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</row>
    <row r="222" spans="1:37">
      <c r="A222" t="s">
        <v>223</v>
      </c>
      <c r="B222" t="s">
        <v>8988</v>
      </c>
      <c r="D222" s="1">
        <v>4761473.0000000009</v>
      </c>
      <c r="F222" s="171" t="s">
        <v>8990</v>
      </c>
      <c r="G222" s="171">
        <v>4406260.884114176</v>
      </c>
      <c r="H222" s="251" t="s">
        <v>9108</v>
      </c>
      <c r="I222" s="171">
        <v>570508.30250000011</v>
      </c>
      <c r="J222" s="6"/>
      <c r="K222" s="1"/>
      <c r="L222"/>
      <c r="S222"/>
      <c r="T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</row>
    <row r="223" spans="1:37">
      <c r="A223" t="s">
        <v>223</v>
      </c>
      <c r="B223" t="s">
        <v>6567</v>
      </c>
      <c r="C223" s="6">
        <v>0.2</v>
      </c>
      <c r="D223" s="1">
        <v>952294.60000000021</v>
      </c>
      <c r="E223" t="s">
        <v>9109</v>
      </c>
      <c r="F223" s="171">
        <v>45778</v>
      </c>
      <c r="G223" s="171">
        <v>45777</v>
      </c>
      <c r="H223" s="251"/>
      <c r="I223" s="171"/>
      <c r="J223" s="6"/>
      <c r="K223" s="1"/>
      <c r="L223"/>
      <c r="S223"/>
      <c r="T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</row>
    <row r="224" spans="1:37">
      <c r="A224" t="s">
        <v>223</v>
      </c>
      <c r="B224" t="s">
        <v>8970</v>
      </c>
      <c r="C224" s="6">
        <v>0.2</v>
      </c>
      <c r="D224" s="1">
        <v>952294.60000000021</v>
      </c>
      <c r="E224" t="s">
        <v>9109</v>
      </c>
      <c r="F224" s="171">
        <v>45778</v>
      </c>
      <c r="G224" s="171">
        <v>45841</v>
      </c>
      <c r="H224" s="251"/>
      <c r="I224" s="171"/>
      <c r="J224" s="6"/>
      <c r="K224" s="1"/>
      <c r="L224"/>
      <c r="S224"/>
      <c r="T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</row>
    <row r="225" spans="1:37">
      <c r="A225" t="s">
        <v>223</v>
      </c>
      <c r="B225" t="s">
        <v>676</v>
      </c>
      <c r="C225" s="6">
        <v>0.15</v>
      </c>
      <c r="D225" s="1">
        <v>714220.95</v>
      </c>
      <c r="E225" t="s">
        <v>9109</v>
      </c>
      <c r="F225" s="171">
        <v>45778</v>
      </c>
      <c r="G225" s="171">
        <v>45841</v>
      </c>
      <c r="H225" s="251"/>
      <c r="I225" s="171"/>
      <c r="J225" s="6"/>
      <c r="K225" s="1"/>
      <c r="L225"/>
      <c r="S225"/>
      <c r="T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</row>
    <row r="226" spans="1:37">
      <c r="A226" t="s">
        <v>223</v>
      </c>
      <c r="B226" t="s">
        <v>1181</v>
      </c>
      <c r="C226" s="6">
        <v>0.15</v>
      </c>
      <c r="D226" s="1">
        <v>714220.95</v>
      </c>
      <c r="E226" t="s">
        <v>9109</v>
      </c>
      <c r="F226" s="171">
        <v>45778</v>
      </c>
      <c r="G226" s="171">
        <v>46025</v>
      </c>
      <c r="H226" s="251"/>
      <c r="I226" s="171"/>
      <c r="J226" s="6"/>
      <c r="K226" s="1"/>
      <c r="L226"/>
      <c r="S226"/>
      <c r="T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</row>
    <row r="227" spans="1:37">
      <c r="A227" t="s">
        <v>223</v>
      </c>
      <c r="B227" t="s">
        <v>9031</v>
      </c>
      <c r="C227" s="6">
        <v>0.25</v>
      </c>
      <c r="D227" s="1">
        <v>1190368.25</v>
      </c>
      <c r="E227" t="s">
        <v>9109</v>
      </c>
      <c r="F227" s="171">
        <v>45778</v>
      </c>
      <c r="G227" s="171">
        <v>46025</v>
      </c>
      <c r="H227" s="251"/>
      <c r="I227" s="171"/>
      <c r="J227" s="6"/>
      <c r="K227" s="1"/>
      <c r="L227"/>
      <c r="S227"/>
      <c r="T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</row>
    <row r="228" spans="1:37">
      <c r="A228" t="s">
        <v>223</v>
      </c>
      <c r="B228" t="s">
        <v>41</v>
      </c>
      <c r="C228" s="6">
        <v>0.05</v>
      </c>
      <c r="D228" s="1">
        <v>238073.65</v>
      </c>
      <c r="E228" t="s">
        <v>9109</v>
      </c>
      <c r="F228" s="171">
        <v>45778</v>
      </c>
      <c r="G228" s="171">
        <v>46025</v>
      </c>
      <c r="H228" s="251"/>
      <c r="I228" s="171"/>
      <c r="J228" s="6"/>
      <c r="K228" s="1"/>
      <c r="L228"/>
      <c r="S228"/>
      <c r="T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</row>
    <row r="229" spans="1:37">
      <c r="A229" t="s">
        <v>224</v>
      </c>
      <c r="D229" s="1" t="s">
        <v>8982</v>
      </c>
      <c r="E229" t="s">
        <v>8983</v>
      </c>
      <c r="F229" s="171" t="s">
        <v>8984</v>
      </c>
      <c r="G229" s="171" t="s">
        <v>8985</v>
      </c>
      <c r="H229" s="251" t="s">
        <v>8986</v>
      </c>
      <c r="I229" s="171" t="s">
        <v>8987</v>
      </c>
      <c r="J229" s="6"/>
      <c r="K229" s="1"/>
      <c r="L229"/>
      <c r="S229"/>
      <c r="T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</row>
    <row r="230" spans="1:37">
      <c r="A230" t="s">
        <v>224</v>
      </c>
      <c r="B230" t="s">
        <v>8988</v>
      </c>
      <c r="D230" s="1">
        <v>3355439.0000000005</v>
      </c>
      <c r="F230" s="171" t="s">
        <v>8990</v>
      </c>
      <c r="G230" s="171">
        <v>3047401.8198981159</v>
      </c>
      <c r="H230" s="251" t="s">
        <v>9110</v>
      </c>
      <c r="I230" s="171">
        <v>727033.84148041403</v>
      </c>
      <c r="J230" s="6"/>
      <c r="K230" s="1"/>
      <c r="L230"/>
      <c r="S230"/>
      <c r="T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</row>
    <row r="231" spans="1:37">
      <c r="A231" t="s">
        <v>224</v>
      </c>
      <c r="B231" t="s">
        <v>6567</v>
      </c>
      <c r="C231" s="6">
        <v>0.2</v>
      </c>
      <c r="D231" s="1">
        <v>671087.80000000005</v>
      </c>
      <c r="E231" t="s">
        <v>9111</v>
      </c>
      <c r="F231" s="171">
        <v>45778</v>
      </c>
      <c r="G231" s="171">
        <v>45777</v>
      </c>
      <c r="H231" s="251"/>
      <c r="I231" s="171"/>
      <c r="J231" s="6"/>
      <c r="K231" s="1"/>
      <c r="L231"/>
      <c r="S231"/>
      <c r="T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</row>
    <row r="232" spans="1:37">
      <c r="A232" t="s">
        <v>224</v>
      </c>
      <c r="B232" t="s">
        <v>8970</v>
      </c>
      <c r="C232" s="6">
        <v>0.2</v>
      </c>
      <c r="D232" s="1">
        <v>671087.80000000005</v>
      </c>
      <c r="E232" t="s">
        <v>9111</v>
      </c>
      <c r="F232" s="171">
        <v>45778</v>
      </c>
      <c r="G232" s="171">
        <v>45842</v>
      </c>
      <c r="H232" s="251"/>
      <c r="I232" s="171"/>
      <c r="J232" s="6"/>
      <c r="K232" s="1"/>
      <c r="L232"/>
      <c r="S232"/>
      <c r="T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</row>
    <row r="233" spans="1:37">
      <c r="A233" t="s">
        <v>224</v>
      </c>
      <c r="B233" t="s">
        <v>676</v>
      </c>
      <c r="C233" s="6">
        <v>0.15</v>
      </c>
      <c r="D233" s="1">
        <v>503315.85</v>
      </c>
      <c r="E233" t="s">
        <v>9111</v>
      </c>
      <c r="F233" s="171">
        <v>45778</v>
      </c>
      <c r="G233" s="171">
        <v>45828</v>
      </c>
      <c r="H233" s="251"/>
      <c r="I233" s="171"/>
      <c r="J233" s="6"/>
      <c r="K233" s="1"/>
      <c r="L233"/>
      <c r="S233"/>
      <c r="T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</row>
    <row r="234" spans="1:37">
      <c r="A234" t="s">
        <v>224</v>
      </c>
      <c r="B234" t="s">
        <v>1181</v>
      </c>
      <c r="C234" s="6">
        <v>0.15</v>
      </c>
      <c r="D234" s="1">
        <v>503315.85</v>
      </c>
      <c r="E234" t="s">
        <v>9111</v>
      </c>
      <c r="F234" s="171">
        <v>45778</v>
      </c>
      <c r="G234" s="171">
        <v>46070</v>
      </c>
      <c r="H234" s="251"/>
      <c r="I234" s="171"/>
      <c r="J234" s="6"/>
      <c r="K234" s="1"/>
      <c r="L234"/>
      <c r="S234"/>
      <c r="T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</row>
    <row r="235" spans="1:37">
      <c r="A235" t="s">
        <v>224</v>
      </c>
      <c r="B235" t="s">
        <v>9031</v>
      </c>
      <c r="C235" s="6">
        <v>0.25</v>
      </c>
      <c r="D235" s="1">
        <v>838859.75</v>
      </c>
      <c r="E235" t="s">
        <v>9111</v>
      </c>
      <c r="F235" s="171">
        <v>45778</v>
      </c>
      <c r="G235" s="171">
        <v>46070</v>
      </c>
      <c r="H235" s="251"/>
      <c r="I235" s="171"/>
      <c r="J235" s="6"/>
      <c r="K235" s="1"/>
      <c r="L235"/>
      <c r="S235"/>
      <c r="T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</row>
    <row r="236" spans="1:37">
      <c r="A236" t="s">
        <v>224</v>
      </c>
      <c r="B236" t="s">
        <v>41</v>
      </c>
      <c r="C236" s="6">
        <v>0.05</v>
      </c>
      <c r="D236" s="1">
        <v>167771.95000000001</v>
      </c>
      <c r="E236" t="s">
        <v>9111</v>
      </c>
      <c r="F236" s="171">
        <v>45778</v>
      </c>
      <c r="G236" s="171">
        <v>46084</v>
      </c>
      <c r="H236" s="251"/>
      <c r="I236" s="171"/>
      <c r="J236" s="6"/>
      <c r="K236" s="1"/>
      <c r="L236"/>
      <c r="S236"/>
      <c r="T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</row>
    <row r="237" spans="1:37">
      <c r="A237" t="s">
        <v>528</v>
      </c>
      <c r="D237" s="1" t="s">
        <v>8982</v>
      </c>
      <c r="E237" t="s">
        <v>8983</v>
      </c>
      <c r="F237" s="171" t="s">
        <v>8984</v>
      </c>
      <c r="G237" s="171" t="s">
        <v>8985</v>
      </c>
      <c r="H237" s="251" t="s">
        <v>8986</v>
      </c>
      <c r="I237" s="171" t="s">
        <v>8987</v>
      </c>
      <c r="J237" s="6"/>
      <c r="K237" s="1"/>
      <c r="L237"/>
      <c r="S237"/>
      <c r="T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</row>
    <row r="238" spans="1:37">
      <c r="A238" t="s">
        <v>528</v>
      </c>
      <c r="B238" t="s">
        <v>8988</v>
      </c>
      <c r="D238" s="1">
        <v>12392594.042438218</v>
      </c>
      <c r="F238" s="171" t="s">
        <v>8990</v>
      </c>
      <c r="G238" s="171">
        <v>12392594.042438218</v>
      </c>
      <c r="H238" s="251" t="s">
        <v>9112</v>
      </c>
      <c r="I238" s="171">
        <v>1273261.3914130435</v>
      </c>
      <c r="J238" s="6"/>
      <c r="K238" s="1"/>
      <c r="L238"/>
      <c r="S238"/>
      <c r="T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</row>
    <row r="239" spans="1:37">
      <c r="A239" t="s">
        <v>528</v>
      </c>
      <c r="B239" t="s">
        <v>8968</v>
      </c>
      <c r="C239" s="6">
        <v>0.35</v>
      </c>
      <c r="D239" s="1">
        <v>4327420.4423447549</v>
      </c>
      <c r="E239" t="s">
        <v>9113</v>
      </c>
      <c r="F239" s="171">
        <v>45826</v>
      </c>
      <c r="G239" s="171">
        <v>45849</v>
      </c>
      <c r="H239" s="251"/>
      <c r="I239" s="171"/>
      <c r="J239" s="6"/>
      <c r="K239" s="1"/>
      <c r="L239"/>
      <c r="S239"/>
      <c r="T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</row>
    <row r="240" spans="1:37">
      <c r="A240" t="s">
        <v>528</v>
      </c>
      <c r="B240" t="s">
        <v>8970</v>
      </c>
      <c r="C240" s="6">
        <v>0.3</v>
      </c>
      <c r="D240" s="1">
        <v>3709217.5220097895</v>
      </c>
      <c r="E240" t="s">
        <v>9114</v>
      </c>
      <c r="F240" s="171">
        <v>45883</v>
      </c>
      <c r="G240" s="171">
        <v>45897</v>
      </c>
      <c r="H240" s="251"/>
      <c r="I240" s="171"/>
      <c r="J240" s="6"/>
      <c r="K240" s="1"/>
      <c r="L240"/>
      <c r="S240"/>
      <c r="T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</row>
    <row r="241" spans="1:37">
      <c r="A241" t="s">
        <v>528</v>
      </c>
      <c r="B241" t="s">
        <v>676</v>
      </c>
      <c r="C241" s="6">
        <v>0.2</v>
      </c>
      <c r="D241" s="1">
        <v>2472811.68133986</v>
      </c>
      <c r="E241" t="s">
        <v>9114</v>
      </c>
      <c r="F241" s="171">
        <v>45883</v>
      </c>
      <c r="G241" s="171">
        <v>45897</v>
      </c>
      <c r="H241" s="251"/>
      <c r="I241" s="171"/>
      <c r="J241" s="6"/>
      <c r="K241" s="1"/>
      <c r="L241"/>
      <c r="S241"/>
      <c r="T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</row>
    <row r="242" spans="1:37">
      <c r="A242" t="s">
        <v>528</v>
      </c>
      <c r="B242" t="s">
        <v>169</v>
      </c>
      <c r="C242" s="6">
        <v>0.1</v>
      </c>
      <c r="D242" s="1">
        <v>1236405.84066993</v>
      </c>
      <c r="E242" t="s">
        <v>9115</v>
      </c>
      <c r="F242" s="171">
        <v>45958</v>
      </c>
      <c r="G242" s="171">
        <v>45968</v>
      </c>
      <c r="H242" s="251"/>
      <c r="I242" s="171"/>
      <c r="J242" s="6"/>
      <c r="K242" s="1"/>
      <c r="L242"/>
      <c r="S242"/>
      <c r="T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</row>
    <row r="243" spans="1:37">
      <c r="A243" t="s">
        <v>528</v>
      </c>
      <c r="B243" t="s">
        <v>41</v>
      </c>
      <c r="C243" s="6">
        <v>0.05</v>
      </c>
      <c r="D243" s="1">
        <v>618202.92033496499</v>
      </c>
      <c r="E243" t="s">
        <v>9116</v>
      </c>
      <c r="F243" s="171">
        <v>45999</v>
      </c>
      <c r="G243" s="171">
        <v>46031</v>
      </c>
      <c r="H243" s="251"/>
      <c r="I243" s="171"/>
      <c r="J243" s="6"/>
      <c r="K243" s="1"/>
      <c r="L243"/>
      <c r="S243"/>
      <c r="T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</row>
    <row r="244" spans="1:37">
      <c r="A244" t="s">
        <v>528</v>
      </c>
      <c r="B244" t="s">
        <v>9117</v>
      </c>
      <c r="C244" s="6">
        <v>0</v>
      </c>
      <c r="D244" s="1">
        <v>-42222.16426108306</v>
      </c>
      <c r="E244" t="s">
        <v>9116</v>
      </c>
      <c r="F244" s="171">
        <v>45999</v>
      </c>
      <c r="G244" s="171">
        <v>46031</v>
      </c>
      <c r="H244" s="251"/>
      <c r="I244" s="171"/>
      <c r="J244" s="6"/>
      <c r="K244" s="1"/>
      <c r="L244"/>
      <c r="Q244" s="2"/>
      <c r="R244" s="2"/>
      <c r="S244" s="2"/>
      <c r="T244" s="2"/>
      <c r="U244" s="2"/>
      <c r="AE244"/>
      <c r="AF244"/>
      <c r="AG244"/>
      <c r="AH244"/>
      <c r="AI244"/>
      <c r="AJ244"/>
      <c r="AK244"/>
    </row>
    <row r="245" spans="1:37">
      <c r="A245" t="s">
        <v>528</v>
      </c>
      <c r="B245" t="s">
        <v>9118</v>
      </c>
      <c r="C245" s="6">
        <v>0</v>
      </c>
      <c r="D245" s="1">
        <v>70757.8</v>
      </c>
      <c r="E245" t="s">
        <v>9116</v>
      </c>
      <c r="F245" s="171">
        <v>45999</v>
      </c>
      <c r="G245" s="171">
        <v>46031</v>
      </c>
      <c r="H245" s="251"/>
      <c r="I245" s="171"/>
      <c r="J245" s="6"/>
      <c r="K245" s="1"/>
      <c r="L245"/>
      <c r="Q245" s="2"/>
      <c r="R245" s="2"/>
      <c r="S245" s="2"/>
      <c r="T245" s="2"/>
      <c r="U245" s="2"/>
      <c r="AE245"/>
      <c r="AF245"/>
      <c r="AG245"/>
      <c r="AH245"/>
      <c r="AI245"/>
      <c r="AJ245"/>
      <c r="AK245"/>
    </row>
    <row r="246" spans="1:37">
      <c r="A246" t="s">
        <v>529</v>
      </c>
      <c r="B246" t="s">
        <v>9047</v>
      </c>
      <c r="C246" s="6">
        <v>0.35</v>
      </c>
      <c r="D246" s="1">
        <v>2034830.000010164</v>
      </c>
      <c r="E246" t="s">
        <v>9119</v>
      </c>
      <c r="F246" s="171"/>
      <c r="G246" s="171">
        <v>45751</v>
      </c>
      <c r="H246" s="251"/>
      <c r="I246" s="171"/>
      <c r="J246" s="6"/>
      <c r="K246" s="1"/>
      <c r="L246"/>
      <c r="Q246" s="2"/>
      <c r="R246" s="2"/>
      <c r="S246" s="2"/>
      <c r="T246" s="2"/>
      <c r="U246" s="2"/>
      <c r="AE246"/>
      <c r="AF246"/>
      <c r="AG246"/>
      <c r="AH246"/>
      <c r="AI246"/>
      <c r="AJ246"/>
      <c r="AK246"/>
    </row>
    <row r="247" spans="1:37">
      <c r="A247" t="s">
        <v>529</v>
      </c>
      <c r="B247" t="s">
        <v>8970</v>
      </c>
      <c r="C247" s="6">
        <v>0.2</v>
      </c>
      <c r="D247" s="1">
        <v>1162760.000005808</v>
      </c>
      <c r="E247" t="s">
        <v>9119</v>
      </c>
      <c r="F247" s="171"/>
      <c r="G247" s="171">
        <v>45764</v>
      </c>
      <c r="H247" s="251"/>
      <c r="I247" s="171"/>
      <c r="J247" s="6"/>
      <c r="K247" s="1"/>
      <c r="L247"/>
      <c r="Q247" s="2"/>
      <c r="R247" s="2"/>
      <c r="S247" s="2"/>
      <c r="T247" s="2"/>
      <c r="U247" s="2"/>
      <c r="AE247"/>
      <c r="AF247"/>
      <c r="AG247"/>
      <c r="AH247"/>
      <c r="AI247"/>
      <c r="AJ247"/>
      <c r="AK247"/>
    </row>
    <row r="248" spans="1:37">
      <c r="A248" t="s">
        <v>529</v>
      </c>
      <c r="B248" t="s">
        <v>676</v>
      </c>
      <c r="C248" s="6">
        <v>0.3</v>
      </c>
      <c r="D248" s="1">
        <v>1744140.0000087118</v>
      </c>
      <c r="E248" t="s">
        <v>9119</v>
      </c>
      <c r="F248" s="171"/>
      <c r="G248" s="171">
        <v>45735</v>
      </c>
      <c r="H248" s="251"/>
      <c r="I248" s="171"/>
      <c r="J248" s="6"/>
      <c r="K248" s="1"/>
      <c r="L248"/>
      <c r="Q248" s="2"/>
      <c r="R248" s="2"/>
      <c r="S248" s="2"/>
      <c r="T248" s="2"/>
      <c r="U248" s="2"/>
      <c r="AE248"/>
      <c r="AF248"/>
      <c r="AG248"/>
      <c r="AH248"/>
      <c r="AI248"/>
      <c r="AJ248"/>
      <c r="AK248"/>
    </row>
    <row r="249" spans="1:37">
      <c r="A249" t="s">
        <v>529</v>
      </c>
      <c r="B249" t="s">
        <v>169</v>
      </c>
      <c r="C249" s="6">
        <v>0.1</v>
      </c>
      <c r="D249" s="1">
        <v>581380.00000290398</v>
      </c>
      <c r="E249" t="s">
        <v>9119</v>
      </c>
      <c r="F249" s="171"/>
      <c r="G249" s="171">
        <v>45855</v>
      </c>
      <c r="H249" s="251"/>
      <c r="I249" s="171"/>
      <c r="J249" s="6"/>
      <c r="K249" s="1"/>
      <c r="L249"/>
      <c r="Q249" s="2"/>
      <c r="R249" s="2"/>
      <c r="S249" s="2"/>
      <c r="T249" s="2"/>
      <c r="U249" s="2"/>
      <c r="AE249"/>
      <c r="AF249"/>
      <c r="AG249"/>
      <c r="AH249"/>
      <c r="AI249"/>
      <c r="AJ249"/>
      <c r="AK249"/>
    </row>
    <row r="250" spans="1:37">
      <c r="A250" t="s">
        <v>529</v>
      </c>
      <c r="B250" t="s">
        <v>41</v>
      </c>
      <c r="C250" s="6">
        <v>0.05</v>
      </c>
      <c r="D250" s="1">
        <v>290690.00000145199</v>
      </c>
      <c r="E250" t="s">
        <v>9119</v>
      </c>
      <c r="F250" s="171"/>
      <c r="G250" s="171">
        <v>45877</v>
      </c>
      <c r="H250" s="251"/>
      <c r="I250" s="171"/>
      <c r="J250" s="6"/>
      <c r="K250" s="1"/>
      <c r="L250"/>
      <c r="Q250" s="2"/>
      <c r="R250" s="2"/>
      <c r="S250" s="2"/>
      <c r="T250" s="2"/>
      <c r="U250" s="2"/>
      <c r="AE250"/>
      <c r="AF250"/>
      <c r="AG250"/>
      <c r="AH250"/>
      <c r="AI250"/>
      <c r="AJ250"/>
      <c r="AK250"/>
    </row>
    <row r="251" spans="1:37">
      <c r="A251" t="s">
        <v>529</v>
      </c>
      <c r="B251" t="s">
        <v>3319</v>
      </c>
      <c r="C251" s="6">
        <v>0</v>
      </c>
      <c r="D251" s="1">
        <v>38378.26</v>
      </c>
      <c r="E251" t="s">
        <v>9120</v>
      </c>
      <c r="F251" s="171">
        <v>45900</v>
      </c>
      <c r="G251" s="171" t="s">
        <v>9306</v>
      </c>
      <c r="H251" s="251"/>
      <c r="I251" s="171"/>
      <c r="J251" s="6"/>
      <c r="K251" s="1"/>
      <c r="L251"/>
      <c r="R251" s="6"/>
      <c r="S251" s="1"/>
      <c r="T251"/>
      <c r="U251" s="2"/>
      <c r="AK251"/>
    </row>
    <row r="252" spans="1:37">
      <c r="A252" t="s">
        <v>530</v>
      </c>
      <c r="B252" t="s">
        <v>8968</v>
      </c>
      <c r="C252" s="6">
        <v>0.25</v>
      </c>
      <c r="D252" s="1">
        <v>465739.28774587094</v>
      </c>
      <c r="E252" t="s">
        <v>9121</v>
      </c>
      <c r="F252" s="171">
        <v>45974</v>
      </c>
      <c r="G252" s="171">
        <v>45975</v>
      </c>
      <c r="H252" s="251"/>
      <c r="I252" s="171"/>
      <c r="J252" s="6"/>
      <c r="K252" s="1"/>
      <c r="L252"/>
      <c r="R252" s="6"/>
      <c r="S252" s="1"/>
      <c r="T252"/>
      <c r="U252" s="2"/>
      <c r="AK252"/>
    </row>
    <row r="253" spans="1:37">
      <c r="A253" t="s">
        <v>530</v>
      </c>
      <c r="B253" t="s">
        <v>8970</v>
      </c>
      <c r="C253" s="6">
        <v>0.5</v>
      </c>
      <c r="D253" s="1">
        <v>931478.57549174188</v>
      </c>
      <c r="E253" t="s">
        <v>9122</v>
      </c>
      <c r="F253" s="171">
        <v>46058</v>
      </c>
      <c r="G253" s="171">
        <v>46059</v>
      </c>
      <c r="H253" s="251"/>
      <c r="I253" s="171"/>
      <c r="J253" s="6"/>
      <c r="K253" s="1"/>
      <c r="L253"/>
      <c r="R253" s="6"/>
      <c r="S253" s="1"/>
      <c r="T253"/>
      <c r="U253" s="2"/>
      <c r="AK253"/>
    </row>
    <row r="254" spans="1:37">
      <c r="A254" t="s">
        <v>530</v>
      </c>
      <c r="B254" t="s">
        <v>676</v>
      </c>
      <c r="C254" s="6">
        <v>0.1</v>
      </c>
      <c r="D254" s="1">
        <v>186295.71509834839</v>
      </c>
      <c r="E254" t="s">
        <v>9122</v>
      </c>
      <c r="F254" s="171">
        <v>46058</v>
      </c>
      <c r="G254" s="171">
        <v>46059</v>
      </c>
      <c r="H254" s="251"/>
      <c r="I254" s="171"/>
      <c r="J254" s="6"/>
      <c r="K254" s="1"/>
      <c r="L254"/>
      <c r="R254" s="6"/>
      <c r="S254" s="1"/>
      <c r="T254"/>
      <c r="U254" s="2"/>
      <c r="AK254"/>
    </row>
    <row r="255" spans="1:37">
      <c r="A255" t="s">
        <v>530</v>
      </c>
      <c r="B255" t="s">
        <v>169</v>
      </c>
      <c r="C255" s="6">
        <v>0.1</v>
      </c>
      <c r="D255" s="1">
        <v>186295.71509834839</v>
      </c>
      <c r="F255" s="171"/>
      <c r="G255" s="171">
        <v>46101</v>
      </c>
      <c r="H255" s="251"/>
      <c r="I255" s="171"/>
      <c r="J255" s="6"/>
      <c r="K255" s="1"/>
      <c r="L255"/>
      <c r="R255" s="6"/>
      <c r="S255" s="1"/>
      <c r="T255"/>
      <c r="U255" s="2"/>
      <c r="AK255"/>
    </row>
    <row r="256" spans="1:37">
      <c r="A256" t="s">
        <v>530</v>
      </c>
      <c r="B256" t="s">
        <v>41</v>
      </c>
      <c r="C256" s="6">
        <v>0.05</v>
      </c>
      <c r="D256" s="1">
        <v>93147.857549174194</v>
      </c>
      <c r="F256" s="171"/>
      <c r="G256" s="171">
        <v>46108</v>
      </c>
      <c r="H256" s="251"/>
      <c r="I256" s="171"/>
      <c r="J256" s="6"/>
      <c r="K256" s="1"/>
      <c r="L256"/>
      <c r="R256" s="6"/>
      <c r="S256" s="1"/>
      <c r="T256"/>
      <c r="U256" s="2"/>
      <c r="AK256"/>
    </row>
    <row r="257" spans="1:37">
      <c r="A257" t="s">
        <v>531</v>
      </c>
      <c r="B257" t="s">
        <v>8968</v>
      </c>
      <c r="C257" s="6">
        <v>0.35</v>
      </c>
      <c r="D257" s="1">
        <v>1935880.257933601</v>
      </c>
      <c r="E257" t="s">
        <v>9123</v>
      </c>
      <c r="F257" s="171">
        <v>45488</v>
      </c>
      <c r="G257" s="171">
        <v>45490</v>
      </c>
      <c r="H257" s="251"/>
      <c r="I257" s="171"/>
      <c r="J257" s="6"/>
      <c r="K257" s="1"/>
      <c r="L257"/>
      <c r="R257" s="6"/>
      <c r="S257" s="1"/>
      <c r="T257"/>
      <c r="U257" s="2"/>
      <c r="AK257"/>
    </row>
    <row r="258" spans="1:37">
      <c r="A258" t="s">
        <v>531</v>
      </c>
      <c r="B258" t="s">
        <v>676</v>
      </c>
      <c r="C258" s="6">
        <v>0.2</v>
      </c>
      <c r="D258" s="1">
        <v>1106217.2902477719</v>
      </c>
      <c r="E258" t="s">
        <v>9124</v>
      </c>
      <c r="F258" s="171">
        <v>45567</v>
      </c>
      <c r="G258" s="171">
        <v>45573</v>
      </c>
      <c r="H258" s="251"/>
      <c r="I258" s="171"/>
      <c r="J258" s="6"/>
      <c r="K258" s="1"/>
      <c r="L258"/>
      <c r="R258" s="6"/>
      <c r="S258" s="1"/>
      <c r="T258"/>
      <c r="U258" s="2"/>
      <c r="AK258"/>
    </row>
    <row r="259" spans="1:37">
      <c r="A259" t="s">
        <v>531</v>
      </c>
      <c r="B259" t="s">
        <v>8970</v>
      </c>
      <c r="C259" s="6">
        <v>0.3</v>
      </c>
      <c r="D259" s="1">
        <v>1659325.9353716581</v>
      </c>
      <c r="E259" t="s">
        <v>9125</v>
      </c>
      <c r="F259" s="171">
        <v>45638</v>
      </c>
      <c r="G259" s="171">
        <v>45684</v>
      </c>
      <c r="H259" s="251"/>
      <c r="I259" s="171"/>
      <c r="J259" s="6"/>
      <c r="K259" s="1"/>
      <c r="L259"/>
      <c r="R259" s="6"/>
      <c r="S259" s="1"/>
      <c r="T259"/>
      <c r="U259" s="2"/>
      <c r="AK259"/>
    </row>
    <row r="260" spans="1:37">
      <c r="A260" t="s">
        <v>531</v>
      </c>
      <c r="B260" t="s">
        <v>169</v>
      </c>
      <c r="C260" s="6">
        <v>0.1</v>
      </c>
      <c r="D260" s="1">
        <v>553108.64512388606</v>
      </c>
      <c r="E260" t="s">
        <v>9126</v>
      </c>
      <c r="F260" s="171">
        <v>45701</v>
      </c>
      <c r="G260" s="171">
        <v>46080</v>
      </c>
      <c r="H260" s="251"/>
      <c r="I260" s="171"/>
      <c r="J260" s="6"/>
      <c r="K260" s="1"/>
      <c r="L260"/>
      <c r="R260" s="6"/>
      <c r="S260" s="1"/>
      <c r="T260"/>
      <c r="U260" s="2"/>
      <c r="AK260"/>
    </row>
    <row r="261" spans="1:37">
      <c r="A261" t="s">
        <v>531</v>
      </c>
      <c r="B261" t="s">
        <v>41</v>
      </c>
      <c r="C261" s="6">
        <v>0.05</v>
      </c>
      <c r="D261" s="1">
        <v>276554.32256194303</v>
      </c>
      <c r="E261" t="s">
        <v>9127</v>
      </c>
      <c r="F261" s="171">
        <v>45714</v>
      </c>
      <c r="G261" s="171">
        <v>45946</v>
      </c>
      <c r="H261" s="251"/>
      <c r="I261" s="171"/>
      <c r="J261" s="6"/>
      <c r="K261" s="1"/>
      <c r="L261"/>
      <c r="R261" s="6"/>
      <c r="S261" s="1"/>
      <c r="T261"/>
      <c r="U261" s="2"/>
      <c r="AK261"/>
    </row>
    <row r="262" spans="1:37">
      <c r="A262" t="s">
        <v>531</v>
      </c>
      <c r="B262" t="s">
        <v>9062</v>
      </c>
      <c r="C262" s="6">
        <v>0</v>
      </c>
      <c r="D262" s="1">
        <v>120546.32</v>
      </c>
      <c r="E262" t="s">
        <v>9126</v>
      </c>
      <c r="F262" s="171">
        <v>45701</v>
      </c>
      <c r="G262" s="171">
        <v>45709</v>
      </c>
      <c r="H262" s="251"/>
      <c r="I262" s="171"/>
      <c r="J262" s="6"/>
      <c r="K262" s="1"/>
      <c r="L262"/>
      <c r="R262" s="6"/>
      <c r="S262" s="1"/>
      <c r="T262"/>
      <c r="U262" s="2"/>
      <c r="AK262"/>
    </row>
    <row r="263" spans="1:37">
      <c r="A263" t="s">
        <v>531</v>
      </c>
      <c r="B263" t="s">
        <v>9128</v>
      </c>
      <c r="C263" s="6">
        <v>0</v>
      </c>
      <c r="D263" s="1">
        <v>-20909.009999999998</v>
      </c>
      <c r="E263" t="s">
        <v>9129</v>
      </c>
      <c r="F263" s="171">
        <v>46001</v>
      </c>
      <c r="G263" s="171">
        <v>46080</v>
      </c>
      <c r="H263" s="251"/>
      <c r="I263" s="171"/>
      <c r="J263" s="6"/>
      <c r="K263" s="1"/>
      <c r="L263"/>
      <c r="R263" s="6"/>
      <c r="S263" s="1"/>
      <c r="T263"/>
      <c r="U263" s="2"/>
      <c r="AK263"/>
    </row>
    <row r="264" spans="1:37">
      <c r="A264" t="s">
        <v>531</v>
      </c>
      <c r="B264" t="s">
        <v>9128</v>
      </c>
      <c r="D264" s="1">
        <v>-17220.75</v>
      </c>
      <c r="E264" t="s">
        <v>9130</v>
      </c>
      <c r="F264" s="171">
        <v>46045</v>
      </c>
      <c r="G264" s="171">
        <v>46080</v>
      </c>
      <c r="H264" s="251"/>
      <c r="I264" s="171"/>
      <c r="J264" s="6"/>
      <c r="K264" s="1"/>
      <c r="L264"/>
      <c r="R264" s="6"/>
      <c r="S264" s="1"/>
      <c r="T264"/>
      <c r="U264" s="2"/>
      <c r="AK264"/>
    </row>
    <row r="265" spans="1:37">
      <c r="A265" t="s">
        <v>532</v>
      </c>
      <c r="B265" t="s">
        <v>8968</v>
      </c>
      <c r="C265" s="6">
        <v>0.35</v>
      </c>
      <c r="D265" s="1">
        <v>580561.66482684645</v>
      </c>
      <c r="E265" t="s">
        <v>9131</v>
      </c>
      <c r="F265" s="171">
        <v>45488</v>
      </c>
      <c r="G265" s="171">
        <v>45490</v>
      </c>
      <c r="H265" s="251"/>
      <c r="I265" s="171"/>
      <c r="J265" s="6"/>
      <c r="K265" s="1"/>
      <c r="L265"/>
      <c r="R265" s="6"/>
      <c r="S265" s="1"/>
      <c r="T265"/>
      <c r="U265" s="2"/>
      <c r="AK265"/>
    </row>
    <row r="266" spans="1:37">
      <c r="A266" t="s">
        <v>532</v>
      </c>
      <c r="B266" t="s">
        <v>676</v>
      </c>
      <c r="C266" s="6">
        <v>0.25</v>
      </c>
      <c r="D266" s="1">
        <v>414686.90344774752</v>
      </c>
      <c r="E266" t="s">
        <v>9132</v>
      </c>
      <c r="F266" s="171">
        <v>45567</v>
      </c>
      <c r="G266" s="171">
        <v>45574</v>
      </c>
      <c r="H266" s="251"/>
      <c r="I266" s="171"/>
      <c r="J266" s="6"/>
      <c r="K266" s="1"/>
      <c r="L266"/>
      <c r="R266" s="6"/>
      <c r="S266" s="1"/>
      <c r="T266"/>
      <c r="U266" s="2"/>
      <c r="AK266"/>
    </row>
    <row r="267" spans="1:37">
      <c r="A267" t="s">
        <v>532</v>
      </c>
      <c r="B267" t="s">
        <v>8970</v>
      </c>
      <c r="C267" s="6">
        <v>0.25</v>
      </c>
      <c r="D267" s="1">
        <v>414686.90344774752</v>
      </c>
      <c r="E267" t="s">
        <v>9133</v>
      </c>
      <c r="F267" s="171">
        <v>45586</v>
      </c>
      <c r="G267" s="171">
        <v>45624</v>
      </c>
      <c r="H267" s="251"/>
      <c r="I267" s="171"/>
      <c r="J267" s="6"/>
      <c r="K267" s="1"/>
      <c r="L267"/>
      <c r="R267" s="6"/>
      <c r="S267" s="1"/>
      <c r="T267"/>
      <c r="U267" s="2"/>
      <c r="AK267"/>
    </row>
    <row r="268" spans="1:37">
      <c r="A268" t="s">
        <v>532</v>
      </c>
      <c r="B268" t="s">
        <v>169</v>
      </c>
      <c r="C268" s="6">
        <v>0.1</v>
      </c>
      <c r="D268" s="1">
        <v>165874.76137909901</v>
      </c>
      <c r="E268" t="s">
        <v>9134</v>
      </c>
      <c r="F268" s="171">
        <v>45624</v>
      </c>
      <c r="G268" s="171">
        <v>45684</v>
      </c>
      <c r="H268" s="251"/>
      <c r="I268" s="171"/>
      <c r="J268" s="6"/>
      <c r="K268" s="1"/>
      <c r="L268"/>
      <c r="R268" s="6"/>
      <c r="S268" s="1"/>
      <c r="T268"/>
      <c r="U268" s="2"/>
      <c r="AK268"/>
    </row>
    <row r="269" spans="1:37">
      <c r="A269" t="s">
        <v>532</v>
      </c>
      <c r="B269" t="s">
        <v>41</v>
      </c>
      <c r="C269" s="6">
        <v>0.05</v>
      </c>
      <c r="D269" s="1">
        <v>82937.380689549507</v>
      </c>
      <c r="E269" t="s">
        <v>9135</v>
      </c>
      <c r="F269" s="171">
        <v>45714</v>
      </c>
      <c r="G269" s="171">
        <v>45946</v>
      </c>
      <c r="H269" s="251"/>
      <c r="I269" s="171"/>
      <c r="J269" s="6"/>
      <c r="K269" s="1"/>
      <c r="L269"/>
      <c r="R269" s="6"/>
      <c r="S269" s="1"/>
      <c r="T269"/>
      <c r="U269" s="2"/>
      <c r="AK269"/>
    </row>
    <row r="270" spans="1:37">
      <c r="A270" t="s">
        <v>532</v>
      </c>
      <c r="B270" t="s">
        <v>9062</v>
      </c>
      <c r="C270" s="6">
        <v>0</v>
      </c>
      <c r="D270" s="1">
        <v>85610.22</v>
      </c>
      <c r="E270" t="s">
        <v>9134</v>
      </c>
      <c r="F270" s="171">
        <v>45624</v>
      </c>
      <c r="G270" s="171">
        <v>45684</v>
      </c>
      <c r="H270" s="251"/>
      <c r="I270" s="171"/>
      <c r="J270" s="6"/>
      <c r="K270" s="1"/>
      <c r="L270"/>
      <c r="R270" s="6"/>
      <c r="S270" s="1"/>
      <c r="T270"/>
      <c r="U270" s="2"/>
      <c r="AK270"/>
    </row>
    <row r="271" spans="1:37">
      <c r="A271" t="s">
        <v>532</v>
      </c>
      <c r="B271" t="s">
        <v>9136</v>
      </c>
      <c r="C271" s="6">
        <v>0</v>
      </c>
      <c r="D271" s="1">
        <v>-15277.28</v>
      </c>
      <c r="E271" t="s">
        <v>9130</v>
      </c>
      <c r="F271" s="171">
        <v>46045</v>
      </c>
      <c r="G271" s="171">
        <v>46080</v>
      </c>
      <c r="H271" s="251"/>
      <c r="I271" s="171"/>
      <c r="J271" s="6"/>
      <c r="K271" s="1"/>
      <c r="L271"/>
      <c r="R271" s="6"/>
      <c r="S271" s="1"/>
      <c r="T271"/>
      <c r="U271" s="2"/>
      <c r="AK271"/>
    </row>
    <row r="272" spans="1:37">
      <c r="A272" t="s">
        <v>533</v>
      </c>
      <c r="B272" t="s">
        <v>8968</v>
      </c>
      <c r="C272" s="6">
        <v>0.35</v>
      </c>
      <c r="D272" s="1">
        <v>607534.66874409746</v>
      </c>
      <c r="E272" t="s">
        <v>9137</v>
      </c>
      <c r="F272" s="171">
        <v>45488</v>
      </c>
      <c r="G272" s="171">
        <v>45490</v>
      </c>
      <c r="H272" s="251"/>
      <c r="I272" s="171"/>
      <c r="J272" s="6"/>
      <c r="K272" s="1"/>
      <c r="L272"/>
      <c r="R272" s="6"/>
      <c r="S272" s="1"/>
      <c r="T272"/>
      <c r="U272" s="2"/>
      <c r="AK272"/>
    </row>
    <row r="273" spans="1:37">
      <c r="A273" t="s">
        <v>533</v>
      </c>
      <c r="B273" t="s">
        <v>676</v>
      </c>
      <c r="C273" s="6">
        <v>0.25</v>
      </c>
      <c r="D273" s="1">
        <v>433953.33481721248</v>
      </c>
      <c r="E273" t="s">
        <v>9138</v>
      </c>
      <c r="F273" s="171">
        <v>45567</v>
      </c>
      <c r="G273" s="171">
        <v>45573</v>
      </c>
      <c r="H273" s="251"/>
      <c r="I273" s="171"/>
      <c r="J273" s="6"/>
      <c r="K273" s="1"/>
      <c r="L273"/>
      <c r="R273" s="6"/>
      <c r="S273" s="1"/>
      <c r="T273"/>
      <c r="U273" s="2"/>
      <c r="AK273"/>
    </row>
    <row r="274" spans="1:37">
      <c r="A274" t="s">
        <v>533</v>
      </c>
      <c r="B274" t="s">
        <v>8970</v>
      </c>
      <c r="C274" s="6">
        <v>0.25</v>
      </c>
      <c r="D274" s="1">
        <v>433953.33481721248</v>
      </c>
      <c r="E274" t="s">
        <v>9139</v>
      </c>
      <c r="F274" s="171">
        <v>45597</v>
      </c>
      <c r="G274" s="171">
        <v>45604</v>
      </c>
      <c r="H274" s="251"/>
      <c r="I274" s="171"/>
      <c r="J274" s="6"/>
      <c r="K274" s="1"/>
      <c r="L274"/>
      <c r="R274" s="6"/>
      <c r="S274" s="1"/>
      <c r="T274"/>
      <c r="U274" s="2"/>
      <c r="AK274"/>
    </row>
    <row r="275" spans="1:37">
      <c r="A275" t="s">
        <v>533</v>
      </c>
      <c r="B275" t="s">
        <v>169</v>
      </c>
      <c r="C275" s="6">
        <v>0.1</v>
      </c>
      <c r="D275" s="1">
        <v>173581.33392688501</v>
      </c>
      <c r="E275" t="s">
        <v>9140</v>
      </c>
      <c r="F275" s="171">
        <v>45624</v>
      </c>
      <c r="G275" s="171">
        <v>45684</v>
      </c>
      <c r="H275" s="251"/>
      <c r="I275" s="171"/>
      <c r="J275" s="6"/>
      <c r="K275" s="1"/>
      <c r="L275"/>
      <c r="R275" s="6"/>
      <c r="S275" s="1"/>
      <c r="T275"/>
      <c r="U275" s="2"/>
      <c r="AK275"/>
    </row>
    <row r="276" spans="1:37">
      <c r="A276" t="s">
        <v>533</v>
      </c>
      <c r="B276" t="s">
        <v>41</v>
      </c>
      <c r="C276" s="6">
        <v>0.05</v>
      </c>
      <c r="D276" s="1">
        <v>86790.666963442505</v>
      </c>
      <c r="E276" t="s">
        <v>9141</v>
      </c>
      <c r="F276" s="171">
        <v>45714</v>
      </c>
      <c r="G276" s="171">
        <v>45946</v>
      </c>
      <c r="H276" s="251"/>
      <c r="I276" s="171"/>
      <c r="J276" s="6"/>
      <c r="K276" s="1"/>
      <c r="L276"/>
      <c r="R276" s="6"/>
      <c r="S276" s="1"/>
      <c r="T276"/>
      <c r="U276" s="2"/>
      <c r="AK276"/>
    </row>
    <row r="277" spans="1:37">
      <c r="A277" t="s">
        <v>533</v>
      </c>
      <c r="B277" t="s">
        <v>9062</v>
      </c>
      <c r="C277" s="6">
        <v>0</v>
      </c>
      <c r="D277" s="1">
        <v>49914.42</v>
      </c>
      <c r="E277" t="s">
        <v>9140</v>
      </c>
      <c r="F277" s="171">
        <v>45624</v>
      </c>
      <c r="G277" s="171">
        <v>45684</v>
      </c>
      <c r="H277" s="251"/>
      <c r="I277" s="171"/>
      <c r="J277" s="6"/>
      <c r="K277" s="1"/>
      <c r="L277"/>
      <c r="R277" s="6"/>
      <c r="S277" s="1"/>
      <c r="T277"/>
      <c r="U277" s="2"/>
      <c r="AK277"/>
    </row>
    <row r="278" spans="1:37">
      <c r="A278" t="s">
        <v>533</v>
      </c>
      <c r="B278" t="s">
        <v>9136</v>
      </c>
      <c r="C278" s="6">
        <v>0</v>
      </c>
      <c r="D278" s="1">
        <v>-8907.31</v>
      </c>
      <c r="E278" t="s">
        <v>9130</v>
      </c>
      <c r="F278" s="171">
        <v>46045</v>
      </c>
      <c r="G278" s="171">
        <v>46080</v>
      </c>
      <c r="H278" s="251"/>
      <c r="I278" s="171"/>
      <c r="J278" s="6"/>
      <c r="K278" s="1"/>
      <c r="L278"/>
      <c r="R278" s="6"/>
      <c r="S278" s="1"/>
      <c r="T278"/>
      <c r="U278" s="2"/>
      <c r="AK278"/>
    </row>
    <row r="279" spans="1:37">
      <c r="A279" t="s">
        <v>534</v>
      </c>
      <c r="B279" t="s">
        <v>8968</v>
      </c>
      <c r="C279" s="6">
        <v>0.35</v>
      </c>
      <c r="D279" s="1">
        <v>861790.65118575108</v>
      </c>
      <c r="E279" t="s">
        <v>9137</v>
      </c>
      <c r="F279" s="171">
        <v>45488</v>
      </c>
      <c r="G279" s="171">
        <v>45490</v>
      </c>
      <c r="H279" s="251"/>
      <c r="I279" s="171"/>
      <c r="J279" s="6"/>
      <c r="K279" s="1"/>
      <c r="L279"/>
      <c r="R279" s="6"/>
      <c r="S279" s="1"/>
      <c r="T279"/>
      <c r="U279" s="2"/>
      <c r="AK279"/>
    </row>
    <row r="280" spans="1:37">
      <c r="A280" t="s">
        <v>534</v>
      </c>
      <c r="B280" t="s">
        <v>676</v>
      </c>
      <c r="C280" s="6">
        <v>0.25</v>
      </c>
      <c r="D280" s="1">
        <v>615564.75084696501</v>
      </c>
      <c r="E280" t="s">
        <v>9142</v>
      </c>
      <c r="F280" s="171">
        <v>45567</v>
      </c>
      <c r="G280" s="171">
        <v>45574</v>
      </c>
      <c r="H280" s="251"/>
      <c r="I280" s="171"/>
      <c r="J280" s="6"/>
      <c r="K280" s="1"/>
      <c r="L280"/>
      <c r="R280" s="6"/>
      <c r="S280" s="1"/>
      <c r="T280"/>
      <c r="U280" s="2"/>
      <c r="AK280"/>
    </row>
    <row r="281" spans="1:37">
      <c r="A281" t="s">
        <v>534</v>
      </c>
      <c r="B281" t="s">
        <v>8970</v>
      </c>
      <c r="C281" s="6">
        <v>0.25</v>
      </c>
      <c r="D281" s="1">
        <v>615564.75084696501</v>
      </c>
      <c r="E281" t="s">
        <v>9143</v>
      </c>
      <c r="F281" s="171">
        <v>45586</v>
      </c>
      <c r="G281" s="171">
        <v>45624</v>
      </c>
      <c r="H281" s="251"/>
      <c r="I281" s="171"/>
      <c r="J281" s="6"/>
      <c r="K281" s="1"/>
      <c r="L281"/>
      <c r="R281" s="6"/>
      <c r="S281" s="1"/>
      <c r="T281"/>
      <c r="U281" s="2"/>
      <c r="AK281"/>
    </row>
    <row r="282" spans="1:37">
      <c r="A282" t="s">
        <v>534</v>
      </c>
      <c r="B282" t="s">
        <v>169</v>
      </c>
      <c r="C282" s="6">
        <v>0.1</v>
      </c>
      <c r="D282" s="1">
        <v>246225.90033878601</v>
      </c>
      <c r="E282" t="s">
        <v>9144</v>
      </c>
      <c r="F282" s="171">
        <v>45610</v>
      </c>
      <c r="G282" s="171">
        <v>45624</v>
      </c>
      <c r="H282" s="251"/>
      <c r="I282" s="171"/>
      <c r="J282" s="6"/>
      <c r="K282" s="1"/>
      <c r="L282"/>
      <c r="R282" s="6"/>
      <c r="S282" s="1"/>
      <c r="T282"/>
      <c r="U282" s="2"/>
      <c r="AK282"/>
    </row>
    <row r="283" spans="1:37">
      <c r="A283" t="s">
        <v>534</v>
      </c>
      <c r="B283" t="s">
        <v>41</v>
      </c>
      <c r="C283" s="6">
        <v>0.05</v>
      </c>
      <c r="D283" s="1">
        <v>123112.95016939301</v>
      </c>
      <c r="E283" t="s">
        <v>9145</v>
      </c>
      <c r="F283" s="171">
        <v>45714</v>
      </c>
      <c r="G283" s="171">
        <v>45946</v>
      </c>
      <c r="H283" s="251"/>
      <c r="I283" s="171"/>
      <c r="J283" s="6"/>
      <c r="K283" s="1"/>
      <c r="L283"/>
      <c r="R283" s="6"/>
      <c r="S283" s="1"/>
      <c r="T283"/>
      <c r="U283" s="2"/>
      <c r="AK283"/>
    </row>
    <row r="284" spans="1:37">
      <c r="A284" t="s">
        <v>534</v>
      </c>
      <c r="B284" t="s">
        <v>9062</v>
      </c>
      <c r="C284" s="6">
        <v>0</v>
      </c>
      <c r="D284" s="1">
        <v>52281.120000000003</v>
      </c>
      <c r="E284" t="s">
        <v>9145</v>
      </c>
      <c r="F284" s="171">
        <v>45714</v>
      </c>
      <c r="G284" s="171">
        <v>45946</v>
      </c>
      <c r="H284" s="251"/>
      <c r="I284" s="171"/>
      <c r="J284" s="6"/>
      <c r="K284" s="1"/>
      <c r="L284"/>
      <c r="R284" s="6"/>
      <c r="S284" s="1"/>
      <c r="T284"/>
      <c r="U284" s="2"/>
      <c r="AK284"/>
    </row>
    <row r="285" spans="1:37">
      <c r="A285" t="s">
        <v>534</v>
      </c>
      <c r="B285" t="s">
        <v>9146</v>
      </c>
      <c r="C285" s="6">
        <v>0</v>
      </c>
      <c r="D285" s="1">
        <v>-9329.65</v>
      </c>
      <c r="E285" t="s">
        <v>9130</v>
      </c>
      <c r="F285" s="171">
        <v>46045</v>
      </c>
      <c r="G285" s="171">
        <v>46081</v>
      </c>
      <c r="H285" s="251"/>
      <c r="I285" s="171"/>
      <c r="J285" s="6"/>
      <c r="K285" s="1"/>
      <c r="L285"/>
      <c r="R285" s="6"/>
      <c r="S285" s="1"/>
      <c r="T285"/>
      <c r="U285" s="2"/>
      <c r="AK285"/>
    </row>
    <row r="286" spans="1:37">
      <c r="A286" t="s">
        <v>226</v>
      </c>
      <c r="B286" t="s">
        <v>9147</v>
      </c>
      <c r="C286" s="6">
        <v>0.28831061577877193</v>
      </c>
      <c r="D286" s="1">
        <v>3006602.38</v>
      </c>
      <c r="E286" t="s">
        <v>9148</v>
      </c>
      <c r="F286" s="171">
        <v>45958</v>
      </c>
      <c r="G286" s="171">
        <v>45999</v>
      </c>
      <c r="H286" s="251"/>
      <c r="I286" s="171"/>
      <c r="J286" s="6"/>
      <c r="K286" s="1"/>
      <c r="L286"/>
      <c r="R286" s="6"/>
      <c r="S286" s="1"/>
      <c r="T286"/>
      <c r="U286" s="2"/>
      <c r="AK286"/>
    </row>
    <row r="287" spans="1:37">
      <c r="A287" t="s">
        <v>226</v>
      </c>
      <c r="B287" t="s">
        <v>9147</v>
      </c>
      <c r="C287" s="6">
        <v>0.28999999999999998</v>
      </c>
      <c r="D287" s="1">
        <v>3006602.38</v>
      </c>
      <c r="E287" t="s">
        <v>9148</v>
      </c>
      <c r="F287" s="171">
        <v>45958</v>
      </c>
      <c r="G287" s="171">
        <v>45994</v>
      </c>
      <c r="H287" s="251"/>
      <c r="I287" s="171"/>
      <c r="J287" s="6"/>
      <c r="K287" s="1"/>
      <c r="L287"/>
      <c r="R287" s="6"/>
      <c r="S287" s="1"/>
      <c r="T287"/>
      <c r="U287" s="2"/>
      <c r="AK287"/>
    </row>
    <row r="288" spans="1:37">
      <c r="A288" t="s">
        <v>226</v>
      </c>
      <c r="B288" t="s">
        <v>9149</v>
      </c>
      <c r="C288" s="6">
        <v>0.2134153731522509</v>
      </c>
      <c r="D288" s="1">
        <v>2225569</v>
      </c>
      <c r="E288" t="s">
        <v>9150</v>
      </c>
      <c r="F288" s="171">
        <v>46008</v>
      </c>
      <c r="G288" s="171">
        <v>46034</v>
      </c>
      <c r="H288" s="251"/>
      <c r="I288" s="171"/>
      <c r="J288" s="6"/>
      <c r="K288" s="1"/>
      <c r="L288"/>
      <c r="R288" s="6"/>
      <c r="S288" s="1"/>
      <c r="T288"/>
      <c r="U288" s="2"/>
      <c r="AK288"/>
    </row>
    <row r="289" spans="1:37">
      <c r="A289" t="s">
        <v>226</v>
      </c>
      <c r="B289" t="s">
        <v>9151</v>
      </c>
      <c r="C289" s="6">
        <v>0.21</v>
      </c>
      <c r="D289" s="1">
        <v>2189570.59</v>
      </c>
      <c r="F289" s="171"/>
      <c r="G289" s="171">
        <v>46106</v>
      </c>
      <c r="H289" s="251"/>
      <c r="I289" s="171"/>
      <c r="J289" s="6"/>
      <c r="K289" s="1"/>
      <c r="L289"/>
      <c r="R289" s="6"/>
      <c r="S289" s="1"/>
      <c r="T289"/>
      <c r="U289" s="2"/>
      <c r="AK289"/>
    </row>
    <row r="290" spans="1:37">
      <c r="A290" t="s">
        <v>231</v>
      </c>
      <c r="B290" t="s">
        <v>8968</v>
      </c>
      <c r="C290" s="6">
        <v>0.5</v>
      </c>
      <c r="D290" s="1">
        <v>1038718.14</v>
      </c>
      <c r="E290" t="s">
        <v>9152</v>
      </c>
      <c r="F290" s="171">
        <v>45961</v>
      </c>
      <c r="G290" s="171">
        <v>45971</v>
      </c>
      <c r="H290" s="251"/>
      <c r="I290" s="171"/>
      <c r="J290" s="6"/>
      <c r="K290" s="1"/>
      <c r="L290"/>
      <c r="R290" s="6"/>
      <c r="S290" s="1"/>
      <c r="T290"/>
      <c r="U290" s="2"/>
      <c r="AK290"/>
    </row>
    <row r="291" spans="1:37">
      <c r="A291" t="s">
        <v>231</v>
      </c>
      <c r="B291" t="s">
        <v>8970</v>
      </c>
      <c r="C291" s="6">
        <v>0.25</v>
      </c>
      <c r="D291" s="1">
        <v>519359.07</v>
      </c>
      <c r="E291" t="s">
        <v>9152</v>
      </c>
      <c r="F291" s="171">
        <v>45961</v>
      </c>
      <c r="G291" s="171">
        <v>45975</v>
      </c>
      <c r="H291" s="251"/>
      <c r="I291" s="171"/>
      <c r="J291" s="6"/>
      <c r="K291" s="1"/>
      <c r="L291"/>
      <c r="R291" s="6"/>
      <c r="S291" s="1"/>
      <c r="T291"/>
      <c r="U291" s="2"/>
      <c r="AK291"/>
    </row>
    <row r="292" spans="1:37">
      <c r="A292" t="s">
        <v>231</v>
      </c>
      <c r="B292" t="s">
        <v>676</v>
      </c>
      <c r="C292" s="6">
        <v>0.1</v>
      </c>
      <c r="D292" s="1">
        <v>207743.62800000003</v>
      </c>
      <c r="E292" t="s">
        <v>9152</v>
      </c>
      <c r="F292" s="171">
        <v>45961</v>
      </c>
      <c r="G292" s="171">
        <v>45975</v>
      </c>
      <c r="H292" s="251"/>
      <c r="I292" s="171"/>
      <c r="J292" s="6"/>
      <c r="K292" s="1"/>
      <c r="L292"/>
      <c r="R292" s="6"/>
      <c r="S292" s="1"/>
      <c r="T292"/>
      <c r="U292" s="2"/>
      <c r="AK292"/>
    </row>
    <row r="293" spans="1:37">
      <c r="A293" t="s">
        <v>231</v>
      </c>
      <c r="B293" t="s">
        <v>169</v>
      </c>
      <c r="C293" s="6">
        <v>0.1</v>
      </c>
      <c r="D293" s="1">
        <v>207743.62800000003</v>
      </c>
      <c r="E293" t="s">
        <v>9152</v>
      </c>
      <c r="F293" s="171">
        <v>45961</v>
      </c>
      <c r="G293" s="171">
        <v>46002</v>
      </c>
      <c r="H293" s="251"/>
      <c r="I293" s="171"/>
      <c r="J293" s="6"/>
      <c r="K293" s="1"/>
      <c r="L293"/>
      <c r="R293" s="6"/>
      <c r="S293" s="1"/>
      <c r="T293"/>
      <c r="U293" s="2"/>
      <c r="AK293"/>
    </row>
    <row r="294" spans="1:37">
      <c r="A294" t="s">
        <v>231</v>
      </c>
      <c r="B294" t="s">
        <v>41</v>
      </c>
      <c r="C294" s="6">
        <v>0.05</v>
      </c>
      <c r="D294" s="1">
        <v>103871.814</v>
      </c>
      <c r="E294" t="s">
        <v>9152</v>
      </c>
      <c r="F294" s="171">
        <v>45961</v>
      </c>
      <c r="G294" s="171">
        <v>46002</v>
      </c>
      <c r="H294" s="251"/>
      <c r="I294" s="171"/>
      <c r="J294" s="6"/>
      <c r="K294" s="1"/>
      <c r="L294"/>
      <c r="R294" s="6"/>
      <c r="S294" s="1"/>
      <c r="T294"/>
      <c r="U294" s="2"/>
      <c r="AK294"/>
    </row>
    <row r="295" spans="1:37">
      <c r="A295" t="s">
        <v>232</v>
      </c>
      <c r="B295" t="s">
        <v>8968</v>
      </c>
      <c r="C295" s="6">
        <v>0.5</v>
      </c>
      <c r="D295" s="1">
        <v>1017147.8627157952</v>
      </c>
      <c r="E295" t="s">
        <v>9153</v>
      </c>
      <c r="F295" s="171">
        <v>45931</v>
      </c>
      <c r="G295" s="171">
        <v>45972</v>
      </c>
      <c r="H295" s="251"/>
      <c r="I295" s="171"/>
      <c r="J295" s="6"/>
      <c r="K295" s="1"/>
      <c r="L295"/>
      <c r="R295" s="6"/>
      <c r="S295" s="1"/>
      <c r="T295"/>
      <c r="U295" s="2"/>
      <c r="AK295"/>
    </row>
    <row r="296" spans="1:37">
      <c r="A296" t="s">
        <v>232</v>
      </c>
      <c r="B296" t="s">
        <v>8970</v>
      </c>
      <c r="C296" s="6">
        <v>0.25</v>
      </c>
      <c r="D296" s="1">
        <v>508573.93135789753</v>
      </c>
      <c r="E296" t="s">
        <v>9153</v>
      </c>
      <c r="F296" s="171">
        <v>45931</v>
      </c>
      <c r="G296" s="171">
        <v>45975</v>
      </c>
      <c r="H296" s="251"/>
      <c r="I296" s="171"/>
      <c r="J296" s="6"/>
      <c r="K296" s="1"/>
      <c r="L296"/>
      <c r="R296" s="6"/>
      <c r="S296" s="1"/>
      <c r="T296"/>
      <c r="U296" s="2"/>
      <c r="AK296"/>
    </row>
    <row r="297" spans="1:37">
      <c r="A297" t="s">
        <v>232</v>
      </c>
      <c r="B297" t="s">
        <v>676</v>
      </c>
      <c r="C297" s="6">
        <v>0.1</v>
      </c>
      <c r="D297" s="1">
        <v>203429.57254315901</v>
      </c>
      <c r="E297" t="s">
        <v>9153</v>
      </c>
      <c r="F297" s="171">
        <v>45931</v>
      </c>
      <c r="G297" s="171">
        <v>45975</v>
      </c>
      <c r="H297" s="251"/>
      <c r="I297" s="171"/>
      <c r="J297" s="6"/>
      <c r="K297" s="1"/>
      <c r="L297"/>
      <c r="R297" s="6"/>
      <c r="S297" s="1"/>
      <c r="T297"/>
      <c r="U297" s="2"/>
      <c r="AK297"/>
    </row>
    <row r="298" spans="1:37">
      <c r="A298" t="s">
        <v>232</v>
      </c>
      <c r="B298" t="s">
        <v>169</v>
      </c>
      <c r="C298" s="6">
        <v>0.1</v>
      </c>
      <c r="D298" s="1">
        <v>203429.57254315901</v>
      </c>
      <c r="E298" t="s">
        <v>9153</v>
      </c>
      <c r="F298" s="171">
        <v>45931</v>
      </c>
      <c r="G298" s="171">
        <v>46002</v>
      </c>
      <c r="H298" s="251"/>
      <c r="I298" s="171"/>
      <c r="J298" s="6"/>
      <c r="K298" s="1"/>
      <c r="L298"/>
      <c r="R298" s="6"/>
      <c r="S298" s="1"/>
      <c r="T298"/>
      <c r="U298" s="2"/>
      <c r="AK298"/>
    </row>
    <row r="299" spans="1:37">
      <c r="A299" t="s">
        <v>232</v>
      </c>
      <c r="B299" t="s">
        <v>41</v>
      </c>
      <c r="C299" s="6">
        <v>0.05</v>
      </c>
      <c r="D299" s="1">
        <v>101714.78627157952</v>
      </c>
      <c r="E299" t="s">
        <v>9153</v>
      </c>
      <c r="F299" s="171">
        <v>45931</v>
      </c>
      <c r="G299" s="171">
        <v>46002</v>
      </c>
      <c r="H299" s="251"/>
      <c r="I299" s="171"/>
      <c r="J299" s="6"/>
      <c r="K299" s="1"/>
      <c r="L299"/>
      <c r="R299" s="6"/>
      <c r="S299" s="1"/>
      <c r="T299"/>
      <c r="U299" s="2"/>
      <c r="AK299"/>
    </row>
    <row r="300" spans="1:37">
      <c r="A300" t="s">
        <v>232</v>
      </c>
      <c r="B300" t="s">
        <v>9154</v>
      </c>
      <c r="C300" s="6">
        <v>0</v>
      </c>
      <c r="D300" s="1">
        <v>-29557.15</v>
      </c>
      <c r="E300" t="s">
        <v>9155</v>
      </c>
      <c r="F300" s="171">
        <v>45993</v>
      </c>
      <c r="G300" s="171">
        <v>46002</v>
      </c>
      <c r="H300" s="251"/>
      <c r="I300" s="171"/>
      <c r="J300" s="6"/>
      <c r="K300" s="1"/>
      <c r="L300"/>
      <c r="R300" s="6"/>
      <c r="S300" s="1"/>
      <c r="T300"/>
      <c r="U300" s="2"/>
      <c r="AK300"/>
    </row>
    <row r="301" spans="1:37">
      <c r="A301" t="s">
        <v>233</v>
      </c>
      <c r="D301" s="1" t="s">
        <v>8982</v>
      </c>
      <c r="E301" t="s">
        <v>8983</v>
      </c>
      <c r="F301" s="171" t="s">
        <v>8984</v>
      </c>
      <c r="G301" s="171" t="s">
        <v>8985</v>
      </c>
      <c r="H301" s="251" t="s">
        <v>8986</v>
      </c>
      <c r="I301" s="171" t="s">
        <v>8987</v>
      </c>
      <c r="J301" s="6"/>
      <c r="K301" s="1"/>
      <c r="L301"/>
      <c r="R301" s="6"/>
      <c r="S301" s="1"/>
      <c r="T301"/>
      <c r="U301" s="2"/>
      <c r="AK301"/>
    </row>
    <row r="302" spans="1:37">
      <c r="A302" t="s">
        <v>233</v>
      </c>
      <c r="B302" t="s">
        <v>8988</v>
      </c>
      <c r="D302" s="1">
        <v>4662650</v>
      </c>
      <c r="F302" s="171" t="s">
        <v>8990</v>
      </c>
      <c r="G302" s="171">
        <v>4538499.1143148122</v>
      </c>
      <c r="H302" s="251" t="s">
        <v>9081</v>
      </c>
      <c r="I302" s="171">
        <v>592893.72</v>
      </c>
      <c r="J302" s="6"/>
      <c r="K302" s="1"/>
      <c r="L302"/>
      <c r="R302" s="6"/>
      <c r="S302" s="1"/>
      <c r="T302"/>
      <c r="U302" s="2"/>
      <c r="AK302"/>
    </row>
    <row r="303" spans="1:37">
      <c r="A303" t="s">
        <v>233</v>
      </c>
      <c r="B303" t="s">
        <v>6567</v>
      </c>
      <c r="C303" s="6">
        <v>0.2</v>
      </c>
      <c r="D303" s="1">
        <v>932530</v>
      </c>
      <c r="E303" t="s">
        <v>9156</v>
      </c>
      <c r="F303" s="171">
        <v>45778</v>
      </c>
      <c r="G303" s="171">
        <v>45777</v>
      </c>
      <c r="H303" s="251"/>
      <c r="I303" s="171"/>
      <c r="J303" s="6"/>
      <c r="K303" s="1"/>
      <c r="L303"/>
      <c r="R303" s="6"/>
      <c r="S303" s="1"/>
      <c r="T303"/>
      <c r="U303" s="2"/>
      <c r="AK303"/>
    </row>
    <row r="304" spans="1:37">
      <c r="A304" t="s">
        <v>233</v>
      </c>
      <c r="B304" t="s">
        <v>8970</v>
      </c>
      <c r="C304" s="6">
        <v>0.2</v>
      </c>
      <c r="D304" s="1">
        <v>827620.86956521741</v>
      </c>
      <c r="E304" t="s">
        <v>9156</v>
      </c>
      <c r="F304" s="171">
        <v>45778</v>
      </c>
      <c r="G304" s="171">
        <v>45814</v>
      </c>
      <c r="H304" s="251"/>
      <c r="I304" s="171"/>
      <c r="J304" s="6"/>
      <c r="K304" s="1"/>
      <c r="L304"/>
      <c r="R304" s="6"/>
      <c r="S304" s="1"/>
      <c r="T304"/>
      <c r="U304" s="2"/>
      <c r="AK304"/>
    </row>
    <row r="305" spans="1:37">
      <c r="A305" t="s">
        <v>233</v>
      </c>
      <c r="D305" s="1">
        <v>104909.13043478259</v>
      </c>
      <c r="E305" t="s">
        <v>9156</v>
      </c>
      <c r="F305" s="171">
        <v>45778</v>
      </c>
      <c r="G305" s="171">
        <v>45842</v>
      </c>
      <c r="H305" s="251"/>
      <c r="I305" s="171"/>
      <c r="J305" s="6"/>
      <c r="K305" s="1"/>
      <c r="L305"/>
      <c r="R305" s="6"/>
      <c r="S305" s="1"/>
      <c r="T305"/>
      <c r="U305" s="2"/>
      <c r="AK305"/>
    </row>
    <row r="306" spans="1:37">
      <c r="A306" t="s">
        <v>233</v>
      </c>
      <c r="B306" t="s">
        <v>676</v>
      </c>
      <c r="C306" s="6">
        <v>0.15</v>
      </c>
      <c r="D306" s="1">
        <v>699397.5</v>
      </c>
      <c r="E306" t="s">
        <v>9156</v>
      </c>
      <c r="F306" s="171">
        <v>45778</v>
      </c>
      <c r="G306" s="171">
        <v>45807</v>
      </c>
      <c r="H306" s="251"/>
      <c r="I306" s="171"/>
      <c r="J306" s="6"/>
      <c r="K306" s="1"/>
      <c r="L306"/>
      <c r="R306" s="6"/>
      <c r="S306" s="1"/>
      <c r="T306"/>
      <c r="U306" s="2"/>
      <c r="AK306"/>
    </row>
    <row r="307" spans="1:37">
      <c r="A307" t="s">
        <v>233</v>
      </c>
      <c r="B307" t="s">
        <v>1181</v>
      </c>
      <c r="C307" s="6">
        <v>0.15</v>
      </c>
      <c r="D307" s="1">
        <v>699397.5</v>
      </c>
      <c r="E307" t="s">
        <v>9156</v>
      </c>
      <c r="F307" s="171">
        <v>45778</v>
      </c>
      <c r="G307" s="171">
        <v>46071</v>
      </c>
      <c r="H307" s="251"/>
      <c r="I307" s="171"/>
      <c r="J307" s="6"/>
      <c r="K307" s="1"/>
      <c r="L307"/>
      <c r="R307" s="6"/>
      <c r="S307" s="1"/>
      <c r="T307"/>
      <c r="U307" s="2"/>
      <c r="AK307"/>
    </row>
    <row r="308" spans="1:37">
      <c r="A308" t="s">
        <v>233</v>
      </c>
      <c r="B308" t="s">
        <v>9031</v>
      </c>
      <c r="C308" s="6">
        <v>0.25</v>
      </c>
      <c r="D308" s="1">
        <v>1165662.5</v>
      </c>
      <c r="E308" t="s">
        <v>9156</v>
      </c>
      <c r="F308" s="171">
        <v>45778</v>
      </c>
      <c r="G308" s="171">
        <v>46072</v>
      </c>
      <c r="H308" s="251"/>
      <c r="I308" s="171"/>
      <c r="J308" s="6"/>
      <c r="K308" s="1"/>
      <c r="L308"/>
      <c r="R308" s="6"/>
      <c r="S308" s="1"/>
      <c r="T308"/>
      <c r="U308" s="2"/>
      <c r="AK308"/>
    </row>
    <row r="309" spans="1:37">
      <c r="A309" t="s">
        <v>233</v>
      </c>
      <c r="B309" t="s">
        <v>41</v>
      </c>
      <c r="C309" s="6">
        <v>0.05</v>
      </c>
      <c r="D309" s="1">
        <v>233132.5</v>
      </c>
      <c r="E309" t="s">
        <v>9156</v>
      </c>
      <c r="F309" s="171">
        <v>45778</v>
      </c>
      <c r="G309" s="171">
        <v>46083</v>
      </c>
      <c r="H309" s="251"/>
      <c r="I309" s="171"/>
      <c r="J309" s="6"/>
      <c r="K309" s="1"/>
      <c r="L309"/>
      <c r="R309" s="6"/>
      <c r="S309" s="1"/>
      <c r="T309"/>
      <c r="U309" s="2"/>
      <c r="AK309"/>
    </row>
    <row r="310" spans="1:37">
      <c r="A310" t="s">
        <v>237</v>
      </c>
      <c r="B310" t="s">
        <v>9157</v>
      </c>
      <c r="C310" s="6">
        <v>0.28499999835898149</v>
      </c>
      <c r="D310" s="1">
        <v>551182.06999999995</v>
      </c>
      <c r="E310" t="s">
        <v>9158</v>
      </c>
      <c r="F310" s="171" t="s">
        <v>9159</v>
      </c>
      <c r="G310" s="171">
        <v>45989</v>
      </c>
      <c r="H310" s="251"/>
      <c r="I310" s="171"/>
      <c r="J310" s="6"/>
      <c r="K310" s="1"/>
      <c r="L310"/>
      <c r="R310" s="6"/>
      <c r="S310" s="1"/>
      <c r="T310"/>
      <c r="U310" s="2"/>
      <c r="AK310"/>
    </row>
    <row r="311" spans="1:37">
      <c r="A311" t="s">
        <v>237</v>
      </c>
      <c r="B311" t="s">
        <v>9160</v>
      </c>
      <c r="C311" s="6">
        <v>0.190000000538842</v>
      </c>
      <c r="D311" s="1">
        <v>349081.98</v>
      </c>
      <c r="E311" t="s">
        <v>9161</v>
      </c>
      <c r="F311" s="171">
        <v>45989</v>
      </c>
      <c r="G311" s="171">
        <v>46081</v>
      </c>
      <c r="H311" s="251"/>
      <c r="I311" s="171"/>
      <c r="J311" s="6"/>
      <c r="K311" s="1"/>
      <c r="L311"/>
      <c r="R311" s="6"/>
      <c r="S311" s="1"/>
      <c r="T311"/>
      <c r="U311" s="2"/>
      <c r="AK311"/>
    </row>
    <row r="312" spans="1:37">
      <c r="A312" t="s">
        <v>237</v>
      </c>
      <c r="B312" t="s">
        <v>9162</v>
      </c>
      <c r="D312" s="1">
        <v>38786.89</v>
      </c>
      <c r="E312" t="s">
        <v>9163</v>
      </c>
      <c r="F312" s="171">
        <v>46009</v>
      </c>
      <c r="G312" s="171">
        <v>46081</v>
      </c>
      <c r="H312" s="251"/>
      <c r="I312" s="171"/>
      <c r="J312" s="6"/>
      <c r="K312" s="1"/>
      <c r="L312"/>
      <c r="R312" s="6"/>
      <c r="S312" s="1"/>
      <c r="T312"/>
      <c r="U312" s="2"/>
      <c r="AK312"/>
    </row>
    <row r="313" spans="1:37">
      <c r="A313" t="s">
        <v>237</v>
      </c>
      <c r="B313" t="s">
        <v>9164</v>
      </c>
      <c r="C313" s="6">
        <v>0.190000000538842</v>
      </c>
      <c r="D313" s="1">
        <v>116360.66</v>
      </c>
      <c r="E313" t="s">
        <v>9161</v>
      </c>
      <c r="F313" s="171">
        <v>45989</v>
      </c>
      <c r="G313" s="171">
        <v>46081</v>
      </c>
      <c r="H313" s="251"/>
      <c r="I313" s="171"/>
      <c r="J313" s="6"/>
      <c r="K313" s="1"/>
      <c r="L313"/>
      <c r="R313" s="6"/>
      <c r="S313" s="1"/>
      <c r="T313"/>
      <c r="U313" s="2"/>
      <c r="AK313"/>
    </row>
    <row r="314" spans="1:37">
      <c r="A314" t="s">
        <v>237</v>
      </c>
      <c r="B314" t="s">
        <v>9165</v>
      </c>
      <c r="D314" s="1">
        <v>271508.21000000002</v>
      </c>
      <c r="E314" t="s">
        <v>9163</v>
      </c>
      <c r="F314" s="171">
        <v>46009</v>
      </c>
      <c r="G314" s="171">
        <v>46081</v>
      </c>
      <c r="H314" s="251"/>
      <c r="I314" s="171"/>
      <c r="J314" s="6"/>
      <c r="K314" s="1"/>
      <c r="L314"/>
      <c r="R314" s="6"/>
      <c r="S314" s="1"/>
      <c r="T314"/>
      <c r="U314" s="2"/>
      <c r="AK314"/>
    </row>
    <row r="315" spans="1:37">
      <c r="A315" t="s">
        <v>237</v>
      </c>
      <c r="B315" t="s">
        <v>9166</v>
      </c>
      <c r="C315" s="6">
        <v>9.4999997820139598E-2</v>
      </c>
      <c r="D315" s="1">
        <v>183727.35</v>
      </c>
      <c r="E315" t="s">
        <v>9163</v>
      </c>
      <c r="F315" s="171">
        <v>46009</v>
      </c>
      <c r="G315" s="171">
        <v>46081</v>
      </c>
      <c r="H315" s="251"/>
      <c r="I315" s="171"/>
      <c r="J315" s="6"/>
      <c r="K315" s="1"/>
      <c r="L315"/>
      <c r="R315" s="6"/>
      <c r="S315" s="1"/>
      <c r="T315"/>
      <c r="U315" s="2"/>
      <c r="AK315"/>
    </row>
    <row r="316" spans="1:37">
      <c r="A316" t="s">
        <v>237</v>
      </c>
      <c r="B316" t="s">
        <v>9167</v>
      </c>
      <c r="F316" s="171"/>
      <c r="G316" s="171">
        <v>46081</v>
      </c>
      <c r="H316" s="251"/>
      <c r="I316" s="171"/>
      <c r="J316" s="6"/>
      <c r="K316" s="1"/>
      <c r="L316"/>
      <c r="R316" s="6"/>
      <c r="S316" s="1"/>
      <c r="T316"/>
      <c r="U316" s="2"/>
      <c r="AK316"/>
    </row>
    <row r="317" spans="1:37">
      <c r="A317" t="s">
        <v>237</v>
      </c>
      <c r="B317" t="s">
        <v>9168</v>
      </c>
      <c r="C317" s="6">
        <v>4.7499998910069799E-2</v>
      </c>
      <c r="D317" s="1">
        <v>96967.22</v>
      </c>
      <c r="E317" t="s">
        <v>9169</v>
      </c>
      <c r="F317" s="171">
        <v>46044</v>
      </c>
      <c r="G317" s="171">
        <v>46081</v>
      </c>
      <c r="H317" s="251" t="s">
        <v>9170</v>
      </c>
      <c r="I317" s="171"/>
      <c r="J317" s="6"/>
      <c r="K317" s="1"/>
      <c r="L317"/>
      <c r="R317" s="6"/>
      <c r="S317" s="1"/>
      <c r="T317"/>
      <c r="U317" s="2"/>
      <c r="AK317"/>
    </row>
    <row r="318" spans="1:37">
      <c r="A318" t="s">
        <v>237</v>
      </c>
      <c r="B318" t="s">
        <v>9171</v>
      </c>
      <c r="F318" s="171"/>
      <c r="G318" s="171">
        <v>46081</v>
      </c>
      <c r="H318" s="251"/>
      <c r="I318" s="171"/>
      <c r="J318" s="6"/>
      <c r="K318" s="1"/>
      <c r="L318"/>
      <c r="R318" s="6"/>
      <c r="S318" s="1"/>
      <c r="T318"/>
      <c r="U318" s="2"/>
      <c r="AK318"/>
    </row>
    <row r="319" spans="1:37">
      <c r="A319" t="s">
        <v>237</v>
      </c>
      <c r="B319" t="s">
        <v>9172</v>
      </c>
      <c r="C319" s="6">
        <v>0.14250000162877199</v>
      </c>
      <c r="D319" s="1">
        <v>290901.65999999997</v>
      </c>
      <c r="E319" t="s">
        <v>9169</v>
      </c>
      <c r="F319" s="171">
        <v>46044</v>
      </c>
      <c r="G319" s="171">
        <v>46081</v>
      </c>
      <c r="H319" s="251"/>
      <c r="I319" s="171"/>
      <c r="J319" s="6"/>
      <c r="K319" s="1"/>
      <c r="L319"/>
      <c r="R319" s="6"/>
      <c r="S319" s="1"/>
      <c r="T319"/>
      <c r="U319" s="2"/>
      <c r="AK319"/>
    </row>
    <row r="320" spans="1:37">
      <c r="A320" t="s">
        <v>237</v>
      </c>
      <c r="B320" t="s">
        <v>9173</v>
      </c>
      <c r="F320" s="171"/>
      <c r="G320" s="171">
        <v>46081</v>
      </c>
      <c r="H320" s="251"/>
      <c r="I320" s="171"/>
      <c r="J320" s="6"/>
      <c r="K320" s="1"/>
      <c r="L320"/>
      <c r="R320" s="6"/>
      <c r="S320" s="1"/>
      <c r="T320"/>
      <c r="U320" s="2"/>
      <c r="AK320"/>
    </row>
    <row r="321" spans="1:37">
      <c r="A321" t="s">
        <v>237</v>
      </c>
      <c r="B321" t="s">
        <v>9174</v>
      </c>
      <c r="D321" s="1">
        <v>102070.75</v>
      </c>
      <c r="E321" t="s">
        <v>9169</v>
      </c>
      <c r="F321" s="171">
        <v>46044</v>
      </c>
      <c r="G321" s="171">
        <v>46081</v>
      </c>
      <c r="H321" s="251"/>
      <c r="I321" s="171"/>
      <c r="J321" s="6"/>
      <c r="K321" s="1"/>
      <c r="L321"/>
      <c r="R321" s="6"/>
      <c r="S321" s="1"/>
      <c r="T321"/>
      <c r="U321" s="2"/>
      <c r="AK321"/>
    </row>
    <row r="322" spans="1:37">
      <c r="A322" t="s">
        <v>535</v>
      </c>
      <c r="B322" t="s">
        <v>8968</v>
      </c>
      <c r="C322" s="6">
        <v>0.5</v>
      </c>
      <c r="D322" s="1">
        <v>720615.23861657875</v>
      </c>
      <c r="E322" t="s">
        <v>9175</v>
      </c>
      <c r="F322" s="171">
        <v>46036</v>
      </c>
      <c r="G322" s="171">
        <v>46073</v>
      </c>
      <c r="H322" s="251"/>
      <c r="I322" s="171"/>
      <c r="J322" s="6"/>
      <c r="K322" s="1"/>
      <c r="L322"/>
      <c r="R322" s="6"/>
      <c r="S322" s="1"/>
      <c r="T322"/>
      <c r="U322" s="2"/>
      <c r="AK322"/>
    </row>
    <row r="323" spans="1:37">
      <c r="A323" t="s">
        <v>535</v>
      </c>
      <c r="B323" t="s">
        <v>8970</v>
      </c>
      <c r="C323" s="6">
        <v>0.25</v>
      </c>
      <c r="D323" s="1">
        <v>360307.61930828937</v>
      </c>
      <c r="F323" s="171"/>
      <c r="G323" s="171">
        <v>46084</v>
      </c>
      <c r="H323" s="251"/>
      <c r="I323" s="171"/>
      <c r="J323" s="6"/>
      <c r="K323" s="1"/>
      <c r="L323"/>
      <c r="R323" s="6"/>
      <c r="S323" s="1"/>
      <c r="T323"/>
      <c r="U323" s="2"/>
      <c r="AK323"/>
    </row>
    <row r="324" spans="1:37">
      <c r="A324" t="s">
        <v>535</v>
      </c>
      <c r="B324" t="s">
        <v>676</v>
      </c>
      <c r="C324" s="6">
        <v>0.1</v>
      </c>
      <c r="D324" s="1">
        <v>144123.04772331574</v>
      </c>
      <c r="F324" s="171"/>
      <c r="G324" s="171">
        <v>46084</v>
      </c>
      <c r="H324" s="251"/>
      <c r="I324" s="171"/>
      <c r="J324" s="6"/>
      <c r="K324" s="1"/>
      <c r="L324"/>
      <c r="R324" s="6"/>
      <c r="S324" s="1"/>
      <c r="T324"/>
      <c r="U324" s="2"/>
      <c r="AK324"/>
    </row>
    <row r="325" spans="1:37">
      <c r="A325" t="s">
        <v>535</v>
      </c>
      <c r="B325" t="s">
        <v>169</v>
      </c>
      <c r="C325" s="6">
        <v>0.1</v>
      </c>
      <c r="D325" s="1">
        <v>144123.04772331574</v>
      </c>
      <c r="F325" s="171"/>
      <c r="G325" s="171">
        <v>46118</v>
      </c>
      <c r="H325" s="251"/>
      <c r="I325" s="171"/>
      <c r="J325" s="6"/>
      <c r="K325" s="1"/>
      <c r="L325"/>
      <c r="R325" s="6"/>
      <c r="S325" s="1"/>
      <c r="T325"/>
      <c r="U325" s="2"/>
      <c r="AK325"/>
    </row>
    <row r="326" spans="1:37">
      <c r="A326" t="s">
        <v>535</v>
      </c>
      <c r="B326" t="s">
        <v>41</v>
      </c>
      <c r="C326" s="6">
        <v>0.05</v>
      </c>
      <c r="D326" s="1">
        <v>72061.523861657872</v>
      </c>
      <c r="F326" s="171"/>
      <c r="G326" s="171">
        <v>46121</v>
      </c>
      <c r="H326" s="251"/>
      <c r="I326" s="171"/>
      <c r="J326" s="6"/>
      <c r="K326" s="1"/>
      <c r="L326"/>
      <c r="R326" s="6"/>
      <c r="S326" s="1"/>
      <c r="T326"/>
      <c r="U326" s="2"/>
      <c r="AK326"/>
    </row>
    <row r="327" spans="1:37">
      <c r="A327" t="s">
        <v>535</v>
      </c>
      <c r="B327" t="s">
        <v>9176</v>
      </c>
      <c r="C327" s="6">
        <v>0</v>
      </c>
      <c r="D327" s="1">
        <v>-41849.868000000002</v>
      </c>
      <c r="F327" s="171"/>
      <c r="G327" s="171">
        <v>46121</v>
      </c>
      <c r="H327" s="251"/>
      <c r="I327" s="171"/>
      <c r="J327" s="6"/>
      <c r="K327" s="1"/>
      <c r="L327"/>
      <c r="R327" s="6"/>
      <c r="S327" s="1"/>
      <c r="T327"/>
      <c r="U327" s="2"/>
      <c r="AK327"/>
    </row>
    <row r="328" spans="1:37">
      <c r="A328" t="s">
        <v>238</v>
      </c>
      <c r="B328" t="s">
        <v>9177</v>
      </c>
      <c r="C328" s="6">
        <v>0.4</v>
      </c>
      <c r="D328" s="1">
        <v>545952.95273360435</v>
      </c>
      <c r="E328" t="s">
        <v>8998</v>
      </c>
      <c r="F328" s="171">
        <v>45880</v>
      </c>
      <c r="G328" s="171">
        <v>45974</v>
      </c>
      <c r="H328" s="251"/>
      <c r="I328" s="171" t="b">
        <v>1</v>
      </c>
      <c r="J328" s="6"/>
      <c r="K328" s="1"/>
      <c r="L328"/>
      <c r="R328" s="6"/>
      <c r="S328" s="1"/>
      <c r="T328"/>
      <c r="U328" s="2"/>
      <c r="AK328"/>
    </row>
    <row r="329" spans="1:37">
      <c r="A329" t="s">
        <v>238</v>
      </c>
      <c r="B329" t="s">
        <v>9178</v>
      </c>
      <c r="C329" s="6">
        <v>0.4</v>
      </c>
      <c r="D329" s="1">
        <v>545952.95273360435</v>
      </c>
      <c r="E329" t="s">
        <v>9179</v>
      </c>
      <c r="F329" s="171">
        <v>46006</v>
      </c>
      <c r="G329" s="171">
        <v>46069</v>
      </c>
      <c r="H329" s="251" t="s">
        <v>9180</v>
      </c>
      <c r="I329" s="171" t="b">
        <v>0</v>
      </c>
      <c r="J329" s="6"/>
      <c r="K329" s="1"/>
      <c r="L329"/>
      <c r="R329" s="6"/>
      <c r="S329" s="1"/>
      <c r="T329"/>
      <c r="U329" s="2"/>
      <c r="AK329"/>
    </row>
    <row r="330" spans="1:37">
      <c r="A330" t="s">
        <v>238</v>
      </c>
      <c r="B330" t="s">
        <v>9181</v>
      </c>
      <c r="C330" s="6">
        <v>0.2</v>
      </c>
      <c r="D330" s="1">
        <v>272976.47636680218</v>
      </c>
      <c r="F330" s="171"/>
      <c r="G330" s="171">
        <v>46080</v>
      </c>
      <c r="H330" s="251"/>
      <c r="I330" s="171" t="b">
        <v>0</v>
      </c>
      <c r="J330" s="6"/>
      <c r="K330" s="1"/>
      <c r="L330"/>
      <c r="R330" s="6"/>
      <c r="S330" s="1"/>
      <c r="T330"/>
      <c r="U330" s="2"/>
      <c r="AK330"/>
    </row>
    <row r="331" spans="1:37">
      <c r="A331" t="s">
        <v>536</v>
      </c>
      <c r="B331" t="s">
        <v>8968</v>
      </c>
      <c r="C331" s="6">
        <v>0.5</v>
      </c>
      <c r="D331" s="1">
        <v>1359100.0262120978</v>
      </c>
      <c r="F331" s="171"/>
      <c r="G331" s="171">
        <v>46111</v>
      </c>
      <c r="H331" s="251"/>
      <c r="I331" s="171" t="b">
        <v>0</v>
      </c>
      <c r="J331" s="6"/>
      <c r="K331" s="1"/>
      <c r="L331"/>
      <c r="R331" s="6"/>
      <c r="S331" s="1"/>
      <c r="T331"/>
      <c r="U331" s="2"/>
      <c r="AK331"/>
    </row>
    <row r="332" spans="1:37">
      <c r="A332" t="s">
        <v>536</v>
      </c>
      <c r="B332" t="s">
        <v>8970</v>
      </c>
      <c r="C332" s="6">
        <v>0.25</v>
      </c>
      <c r="D332" s="1">
        <v>679550.01310604892</v>
      </c>
      <c r="F332" s="171"/>
      <c r="G332" s="171">
        <v>46113</v>
      </c>
      <c r="H332" s="251"/>
      <c r="I332" s="171" t="b">
        <v>0</v>
      </c>
      <c r="J332" s="6"/>
      <c r="K332" s="1"/>
      <c r="L332"/>
      <c r="R332" s="6"/>
      <c r="S332" s="1"/>
      <c r="T332"/>
      <c r="U332" s="2"/>
      <c r="AK332"/>
    </row>
    <row r="333" spans="1:37">
      <c r="A333" t="s">
        <v>536</v>
      </c>
      <c r="B333" t="s">
        <v>676</v>
      </c>
      <c r="C333" s="6">
        <v>0.1</v>
      </c>
      <c r="D333" s="1">
        <v>271820.00524241955</v>
      </c>
      <c r="F333" s="171"/>
      <c r="G333" s="171">
        <v>46114</v>
      </c>
      <c r="H333" s="251"/>
      <c r="I333" s="171" t="b">
        <v>0</v>
      </c>
      <c r="J333" s="6"/>
      <c r="K333" s="1"/>
      <c r="L333"/>
      <c r="R333" s="6"/>
      <c r="S333" s="1"/>
      <c r="T333"/>
      <c r="U333" s="2"/>
      <c r="AK333"/>
    </row>
    <row r="334" spans="1:37">
      <c r="A334" t="s">
        <v>536</v>
      </c>
      <c r="B334" t="s">
        <v>169</v>
      </c>
      <c r="C334" s="6">
        <v>0.1</v>
      </c>
      <c r="D334" s="1">
        <v>271820.0052424196</v>
      </c>
      <c r="F334" s="171"/>
      <c r="G334" s="171">
        <v>46154</v>
      </c>
      <c r="H334" s="251"/>
      <c r="I334" s="171" t="b">
        <v>0</v>
      </c>
      <c r="J334" s="6"/>
      <c r="K334" s="1"/>
      <c r="L334"/>
      <c r="R334" s="6"/>
      <c r="S334" s="1"/>
      <c r="T334"/>
      <c r="U334" s="2"/>
      <c r="AK334"/>
    </row>
    <row r="335" spans="1:37">
      <c r="A335" t="s">
        <v>536</v>
      </c>
      <c r="B335" t="s">
        <v>41</v>
      </c>
      <c r="C335" s="6">
        <v>0.05</v>
      </c>
      <c r="D335" s="1">
        <v>135910.0026212098</v>
      </c>
      <c r="F335" s="171"/>
      <c r="G335" s="171">
        <v>46520</v>
      </c>
      <c r="H335" s="251"/>
      <c r="I335" s="171" t="b">
        <v>0</v>
      </c>
      <c r="J335" s="6"/>
      <c r="K335" s="1"/>
      <c r="L335"/>
      <c r="R335" s="6"/>
      <c r="S335" s="1"/>
      <c r="T335"/>
      <c r="U335" s="2"/>
      <c r="AK335"/>
    </row>
    <row r="336" spans="1:37">
      <c r="A336" t="s">
        <v>537</v>
      </c>
      <c r="B336" t="s">
        <v>8968</v>
      </c>
      <c r="C336" s="6">
        <v>0.5</v>
      </c>
      <c r="D336" s="1">
        <v>1172917.9482517662</v>
      </c>
      <c r="E336" t="s">
        <v>9182</v>
      </c>
      <c r="F336" s="171">
        <v>45993</v>
      </c>
      <c r="G336" s="171">
        <v>46009</v>
      </c>
      <c r="H336" s="251"/>
      <c r="I336" s="171" t="b">
        <v>0</v>
      </c>
      <c r="J336" s="6"/>
      <c r="K336" s="1"/>
      <c r="L336"/>
      <c r="R336" s="6"/>
      <c r="S336" s="1"/>
      <c r="T336"/>
      <c r="U336" s="2"/>
      <c r="AK336"/>
    </row>
    <row r="337" spans="1:37">
      <c r="A337" t="s">
        <v>537</v>
      </c>
      <c r="B337" t="s">
        <v>8970</v>
      </c>
      <c r="C337" s="6">
        <v>0.25</v>
      </c>
      <c r="D337" s="1">
        <v>586458.97412588308</v>
      </c>
      <c r="E337" t="s">
        <v>9183</v>
      </c>
      <c r="F337" s="171">
        <v>46058</v>
      </c>
      <c r="G337" s="171">
        <v>46079</v>
      </c>
      <c r="H337" s="251"/>
      <c r="I337" s="171" t="b">
        <v>0</v>
      </c>
      <c r="J337" s="6"/>
      <c r="K337" s="1"/>
      <c r="L337"/>
      <c r="R337" s="6"/>
      <c r="S337" s="1"/>
      <c r="T337"/>
      <c r="U337" s="2"/>
      <c r="AK337"/>
    </row>
    <row r="338" spans="1:37">
      <c r="A338" t="s">
        <v>537</v>
      </c>
      <c r="B338" t="s">
        <v>676</v>
      </c>
      <c r="C338" s="6">
        <v>0.1</v>
      </c>
      <c r="D338" s="1">
        <v>234583.58965035324</v>
      </c>
      <c r="E338" t="s">
        <v>9183</v>
      </c>
      <c r="F338" s="171">
        <v>46058</v>
      </c>
      <c r="G338" s="171">
        <v>46079</v>
      </c>
      <c r="H338" s="251"/>
      <c r="I338" s="171" t="b">
        <v>0</v>
      </c>
      <c r="J338" s="6"/>
      <c r="K338" s="1"/>
      <c r="L338"/>
      <c r="R338" s="6"/>
      <c r="S338" s="1"/>
      <c r="T338"/>
      <c r="U338" s="2"/>
      <c r="AK338"/>
    </row>
    <row r="339" spans="1:37">
      <c r="A339" t="s">
        <v>537</v>
      </c>
      <c r="B339" t="s">
        <v>169</v>
      </c>
      <c r="C339" s="6">
        <v>0.1</v>
      </c>
      <c r="D339" s="1">
        <v>234583.58965035324</v>
      </c>
      <c r="F339" s="171"/>
      <c r="G339" s="171">
        <v>46126</v>
      </c>
      <c r="H339" s="251"/>
      <c r="I339" s="171" t="b">
        <v>0</v>
      </c>
      <c r="J339" s="6"/>
      <c r="K339" s="1"/>
      <c r="L339"/>
      <c r="R339" s="6"/>
      <c r="S339" s="1"/>
      <c r="T339"/>
      <c r="U339" s="2"/>
      <c r="AK339"/>
    </row>
    <row r="340" spans="1:37">
      <c r="A340" t="s">
        <v>537</v>
      </c>
      <c r="B340" t="s">
        <v>41</v>
      </c>
      <c r="C340" s="6">
        <v>0.05</v>
      </c>
      <c r="D340" s="1">
        <v>117291.79482517662</v>
      </c>
      <c r="F340" s="171"/>
      <c r="G340" s="171">
        <v>46134</v>
      </c>
      <c r="H340" s="251"/>
      <c r="I340" s="171" t="b">
        <v>0</v>
      </c>
      <c r="J340" s="6"/>
      <c r="K340" s="1"/>
      <c r="L340"/>
      <c r="R340" s="6"/>
      <c r="S340" s="1"/>
      <c r="T340"/>
      <c r="U340" s="2"/>
      <c r="AK340"/>
    </row>
    <row r="341" spans="1:37">
      <c r="A341" t="s">
        <v>242</v>
      </c>
      <c r="B341" t="s">
        <v>9047</v>
      </c>
      <c r="C341" s="6">
        <v>0.35</v>
      </c>
      <c r="D341" s="1">
        <v>2804257.5644435273</v>
      </c>
      <c r="E341" t="s">
        <v>9184</v>
      </c>
      <c r="F341" s="171">
        <v>45609</v>
      </c>
      <c r="G341" s="171">
        <v>45643</v>
      </c>
      <c r="H341" s="251"/>
      <c r="I341" s="171"/>
      <c r="J341" s="6"/>
      <c r="K341" s="1"/>
      <c r="L341"/>
      <c r="R341" s="6"/>
      <c r="S341" s="1"/>
      <c r="T341"/>
      <c r="U341" s="2"/>
      <c r="AK341"/>
    </row>
    <row r="342" spans="1:37">
      <c r="A342" t="s">
        <v>242</v>
      </c>
      <c r="B342" t="s">
        <v>676</v>
      </c>
      <c r="C342" s="6">
        <v>0.2</v>
      </c>
      <c r="D342" s="1">
        <v>1602432.89396773</v>
      </c>
      <c r="E342" t="s">
        <v>9185</v>
      </c>
      <c r="F342" s="171">
        <v>45695</v>
      </c>
      <c r="G342" s="171">
        <v>45702</v>
      </c>
      <c r="H342" s="251" t="s">
        <v>9186</v>
      </c>
      <c r="I342" s="171"/>
      <c r="J342" s="6"/>
      <c r="K342" s="1"/>
      <c r="L342"/>
      <c r="R342" s="6"/>
      <c r="S342" s="1"/>
      <c r="T342"/>
      <c r="U342" s="2"/>
      <c r="AK342"/>
    </row>
    <row r="343" spans="1:37">
      <c r="A343" t="s">
        <v>242</v>
      </c>
      <c r="B343" t="s">
        <v>8970</v>
      </c>
      <c r="C343" s="6">
        <v>0.3</v>
      </c>
      <c r="D343" s="1">
        <v>2403649.340951595</v>
      </c>
      <c r="E343" t="s">
        <v>9187</v>
      </c>
      <c r="F343" s="171">
        <v>45687</v>
      </c>
      <c r="G343" s="171">
        <v>45693</v>
      </c>
      <c r="H343" s="251" t="s">
        <v>9178</v>
      </c>
      <c r="I343" s="171"/>
      <c r="J343" s="6"/>
      <c r="K343" s="1"/>
      <c r="L343"/>
      <c r="R343" s="6"/>
      <c r="S343" s="1"/>
      <c r="T343"/>
      <c r="U343" s="2"/>
      <c r="AK343"/>
    </row>
    <row r="344" spans="1:37">
      <c r="A344" t="s">
        <v>242</v>
      </c>
      <c r="B344" t="s">
        <v>169</v>
      </c>
      <c r="C344" s="6">
        <v>0.1</v>
      </c>
      <c r="D344" s="1">
        <v>801216.446983865</v>
      </c>
      <c r="E344" t="s">
        <v>9188</v>
      </c>
      <c r="F344" s="171">
        <v>45715</v>
      </c>
      <c r="G344" s="171">
        <v>45772</v>
      </c>
      <c r="H344" s="251" t="s">
        <v>9189</v>
      </c>
      <c r="I344" s="171"/>
      <c r="J344" s="6"/>
      <c r="K344" s="1"/>
      <c r="L344"/>
      <c r="R344" s="6"/>
      <c r="S344" s="1"/>
      <c r="T344"/>
      <c r="U344" s="2"/>
      <c r="AK344"/>
    </row>
    <row r="345" spans="1:37">
      <c r="A345" t="s">
        <v>242</v>
      </c>
      <c r="B345" t="s">
        <v>9190</v>
      </c>
      <c r="C345" s="6">
        <v>2.5000000000000001E-2</v>
      </c>
      <c r="D345" s="1">
        <v>200304.11174596625</v>
      </c>
      <c r="E345" t="s">
        <v>9188</v>
      </c>
      <c r="F345" s="171">
        <v>45715</v>
      </c>
      <c r="G345" s="171">
        <v>46081</v>
      </c>
      <c r="H345" s="251" t="s">
        <v>9191</v>
      </c>
      <c r="I345" s="171"/>
      <c r="J345" s="6"/>
      <c r="K345" s="1"/>
      <c r="L345"/>
      <c r="R345" s="6"/>
      <c r="S345" s="1"/>
      <c r="T345"/>
      <c r="U345" s="2"/>
      <c r="AK345"/>
    </row>
    <row r="346" spans="1:37">
      <c r="A346" t="s">
        <v>242</v>
      </c>
      <c r="B346" t="s">
        <v>9190</v>
      </c>
      <c r="C346" s="6">
        <v>2.5000000000000001E-2</v>
      </c>
      <c r="D346" s="1">
        <v>200304.11174596625</v>
      </c>
      <c r="E346" t="s">
        <v>9188</v>
      </c>
      <c r="F346" s="171">
        <v>45715</v>
      </c>
      <c r="G346" s="171">
        <v>46265</v>
      </c>
      <c r="H346" s="251"/>
      <c r="I346" s="171"/>
      <c r="J346" s="6"/>
      <c r="K346" s="1"/>
      <c r="L346"/>
      <c r="R346" s="6"/>
      <c r="S346" s="1"/>
      <c r="T346"/>
      <c r="U346" s="2"/>
      <c r="AK346"/>
    </row>
    <row r="347" spans="1:37">
      <c r="A347" t="s">
        <v>242</v>
      </c>
      <c r="B347" t="s">
        <v>9047</v>
      </c>
      <c r="C347" s="6">
        <v>0.35</v>
      </c>
      <c r="D347" s="1">
        <v>2804257.5644435273</v>
      </c>
      <c r="E347" t="s">
        <v>9192</v>
      </c>
      <c r="F347" s="171">
        <v>45609</v>
      </c>
      <c r="G347" s="171">
        <v>45643</v>
      </c>
      <c r="H347" s="251"/>
      <c r="I347" s="171"/>
      <c r="J347" s="6"/>
      <c r="K347" s="1"/>
      <c r="L347"/>
      <c r="R347" s="6"/>
      <c r="S347" s="1"/>
      <c r="T347"/>
      <c r="U347" s="2"/>
      <c r="AK347"/>
    </row>
    <row r="348" spans="1:37">
      <c r="A348" t="s">
        <v>242</v>
      </c>
      <c r="B348" t="s">
        <v>676</v>
      </c>
      <c r="C348" s="6">
        <v>0.2</v>
      </c>
      <c r="D348" s="1">
        <v>1602432.89396773</v>
      </c>
      <c r="E348" t="s">
        <v>9193</v>
      </c>
      <c r="F348" s="171">
        <v>45695</v>
      </c>
      <c r="G348" s="171">
        <v>45702</v>
      </c>
      <c r="H348" s="251" t="s">
        <v>9186</v>
      </c>
      <c r="I348" s="171"/>
      <c r="J348" s="6"/>
      <c r="K348" s="1"/>
      <c r="L348"/>
      <c r="R348" s="6"/>
      <c r="S348" s="1"/>
      <c r="T348"/>
      <c r="U348" s="2"/>
      <c r="AK348"/>
    </row>
    <row r="349" spans="1:37">
      <c r="A349" t="s">
        <v>242</v>
      </c>
      <c r="B349" t="s">
        <v>8970</v>
      </c>
      <c r="C349" s="6">
        <v>0.3</v>
      </c>
      <c r="D349" s="1">
        <v>2403649.340951595</v>
      </c>
      <c r="E349" t="s">
        <v>9194</v>
      </c>
      <c r="F349" s="171">
        <v>45687</v>
      </c>
      <c r="G349" s="171">
        <v>45693</v>
      </c>
      <c r="H349" s="251" t="s">
        <v>9178</v>
      </c>
      <c r="I349" s="171"/>
      <c r="J349" s="6"/>
      <c r="K349" s="1"/>
      <c r="L349"/>
      <c r="R349" s="6"/>
      <c r="S349" s="1"/>
      <c r="T349"/>
      <c r="U349" s="2"/>
      <c r="AK349"/>
    </row>
    <row r="350" spans="1:37">
      <c r="A350" t="s">
        <v>242</v>
      </c>
      <c r="B350" t="s">
        <v>169</v>
      </c>
      <c r="C350" s="6">
        <v>0.1</v>
      </c>
      <c r="D350" s="1">
        <v>801216.446983865</v>
      </c>
      <c r="E350" t="s">
        <v>9195</v>
      </c>
      <c r="F350" s="171">
        <v>45715</v>
      </c>
      <c r="G350" s="171">
        <v>45964</v>
      </c>
      <c r="H350" s="251" t="s">
        <v>9189</v>
      </c>
      <c r="I350" s="171"/>
      <c r="J350" s="6"/>
      <c r="K350" s="1"/>
      <c r="L350"/>
      <c r="R350" s="6"/>
      <c r="S350" s="1"/>
      <c r="T350"/>
      <c r="U350" s="2"/>
      <c r="AK350"/>
    </row>
    <row r="351" spans="1:37">
      <c r="A351" t="s">
        <v>242</v>
      </c>
      <c r="B351" t="s">
        <v>41</v>
      </c>
      <c r="C351" s="6">
        <v>2.5000000000000001E-2</v>
      </c>
      <c r="D351" s="1">
        <v>200304.11174596625</v>
      </c>
      <c r="E351" t="s">
        <v>9195</v>
      </c>
      <c r="F351" s="171">
        <v>45715</v>
      </c>
      <c r="G351" s="171">
        <v>46081</v>
      </c>
      <c r="H351" s="251" t="s">
        <v>9191</v>
      </c>
      <c r="I351" s="171"/>
      <c r="J351" s="6"/>
      <c r="K351" s="1"/>
      <c r="L351"/>
      <c r="R351" s="6"/>
      <c r="S351" s="1"/>
      <c r="T351"/>
      <c r="U351" s="2"/>
      <c r="AK351"/>
    </row>
    <row r="352" spans="1:37">
      <c r="A352" t="s">
        <v>242</v>
      </c>
      <c r="B352" t="s">
        <v>9190</v>
      </c>
      <c r="C352" s="6">
        <v>2.5000000000000001E-2</v>
      </c>
      <c r="D352" s="1">
        <v>200304.11174596625</v>
      </c>
      <c r="E352" t="s">
        <v>9195</v>
      </c>
      <c r="F352" s="171">
        <v>45715</v>
      </c>
      <c r="G352" s="171">
        <v>46265</v>
      </c>
      <c r="H352" s="251"/>
      <c r="I352" s="171"/>
      <c r="J352" s="6"/>
      <c r="K352" s="1"/>
      <c r="L352"/>
      <c r="R352" s="6"/>
      <c r="S352" s="1"/>
      <c r="T352"/>
      <c r="U352" s="2"/>
      <c r="AK352"/>
    </row>
    <row r="353" spans="1:37">
      <c r="A353" t="s">
        <v>244</v>
      </c>
      <c r="B353" t="s">
        <v>9047</v>
      </c>
      <c r="C353" s="6">
        <v>0.35</v>
      </c>
      <c r="D353" s="1">
        <v>1357586.8040037064</v>
      </c>
      <c r="E353" t="s">
        <v>9196</v>
      </c>
      <c r="F353" s="171">
        <v>45609</v>
      </c>
      <c r="G353" s="171">
        <v>45643</v>
      </c>
      <c r="H353" s="251"/>
      <c r="I353" s="171"/>
      <c r="J353" s="6"/>
      <c r="K353" s="1"/>
      <c r="L353"/>
      <c r="R353" s="6"/>
      <c r="S353" s="1"/>
      <c r="T353"/>
      <c r="U353" s="2"/>
      <c r="AK353"/>
    </row>
    <row r="354" spans="1:37">
      <c r="A354" t="s">
        <v>244</v>
      </c>
      <c r="B354" t="s">
        <v>676</v>
      </c>
      <c r="C354" s="6">
        <v>0.2</v>
      </c>
      <c r="D354" s="1">
        <v>775763.8880021181</v>
      </c>
      <c r="E354" t="s">
        <v>9197</v>
      </c>
      <c r="F354" s="171">
        <v>45695</v>
      </c>
      <c r="G354" s="171">
        <v>45702</v>
      </c>
      <c r="H354" s="251" t="s">
        <v>9178</v>
      </c>
      <c r="I354" s="171"/>
      <c r="J354" s="6"/>
      <c r="K354" s="1"/>
      <c r="L354"/>
      <c r="R354" s="6"/>
      <c r="S354" s="1"/>
      <c r="T354"/>
      <c r="U354" s="2"/>
      <c r="AK354"/>
    </row>
    <row r="355" spans="1:37">
      <c r="A355" t="s">
        <v>244</v>
      </c>
      <c r="B355" t="s">
        <v>8970</v>
      </c>
      <c r="C355" s="6">
        <v>0.3</v>
      </c>
      <c r="D355" s="1">
        <v>1163645.8320031769</v>
      </c>
      <c r="E355" t="s">
        <v>9197</v>
      </c>
      <c r="F355" s="171">
        <v>45695</v>
      </c>
      <c r="G355" s="171">
        <v>45702</v>
      </c>
      <c r="H355" s="251" t="s">
        <v>9186</v>
      </c>
      <c r="I355" s="171"/>
      <c r="J355" s="6"/>
      <c r="K355" s="1"/>
      <c r="L355"/>
      <c r="R355" s="6"/>
      <c r="S355" s="1"/>
      <c r="T355"/>
      <c r="U355" s="2"/>
      <c r="AK355"/>
    </row>
    <row r="356" spans="1:37">
      <c r="A356" t="s">
        <v>244</v>
      </c>
      <c r="B356" t="s">
        <v>169</v>
      </c>
      <c r="C356" s="6">
        <v>0.1</v>
      </c>
      <c r="D356" s="1">
        <v>387881.94400105905</v>
      </c>
      <c r="E356" t="s">
        <v>9198</v>
      </c>
      <c r="F356" s="171">
        <v>45714</v>
      </c>
      <c r="G356" s="171">
        <v>45736</v>
      </c>
      <c r="H356" s="251" t="s">
        <v>9189</v>
      </c>
      <c r="I356" s="171"/>
      <c r="J356" s="6"/>
      <c r="K356" s="1"/>
      <c r="L356"/>
      <c r="R356" s="6"/>
      <c r="S356" s="1"/>
      <c r="T356"/>
      <c r="U356" s="2"/>
      <c r="AK356"/>
    </row>
    <row r="357" spans="1:37">
      <c r="A357" t="s">
        <v>244</v>
      </c>
      <c r="B357" t="s">
        <v>41</v>
      </c>
      <c r="C357" s="6">
        <v>0.05</v>
      </c>
      <c r="D357" s="1">
        <v>193940.97200052952</v>
      </c>
      <c r="E357" t="s">
        <v>9198</v>
      </c>
      <c r="F357" s="171">
        <v>45714</v>
      </c>
      <c r="G357" s="171">
        <v>46265</v>
      </c>
      <c r="H357" s="251" t="s">
        <v>9199</v>
      </c>
      <c r="I357" s="171"/>
      <c r="J357" s="6"/>
      <c r="K357" s="1"/>
      <c r="L357"/>
      <c r="R357" s="6"/>
      <c r="S357" s="1"/>
      <c r="T357"/>
      <c r="U357" s="2"/>
      <c r="AK357"/>
    </row>
    <row r="358" spans="1:37">
      <c r="A358" t="s">
        <v>246</v>
      </c>
      <c r="D358" s="1" t="s">
        <v>8982</v>
      </c>
      <c r="E358" t="s">
        <v>8983</v>
      </c>
      <c r="F358" s="171" t="s">
        <v>8984</v>
      </c>
      <c r="G358" s="171" t="s">
        <v>8985</v>
      </c>
      <c r="H358" s="251" t="s">
        <v>8986</v>
      </c>
      <c r="I358" s="171" t="s">
        <v>8987</v>
      </c>
      <c r="J358" s="6"/>
      <c r="K358" s="1"/>
      <c r="L358"/>
      <c r="R358" s="6"/>
      <c r="S358" s="1"/>
      <c r="T358"/>
      <c r="U358" s="2"/>
      <c r="AK358"/>
    </row>
    <row r="359" spans="1:37">
      <c r="A359" t="s">
        <v>246</v>
      </c>
      <c r="B359" t="s">
        <v>8988</v>
      </c>
      <c r="D359" s="1">
        <v>2696545</v>
      </c>
      <c r="F359" s="171" t="s">
        <v>8990</v>
      </c>
      <c r="G359" s="171">
        <v>2012394.0351389912</v>
      </c>
      <c r="H359" s="251" t="s">
        <v>9200</v>
      </c>
      <c r="I359" s="171">
        <v>882807.85250000004</v>
      </c>
      <c r="J359" s="6"/>
      <c r="K359" s="1"/>
      <c r="L359"/>
      <c r="R359" s="6"/>
      <c r="S359" s="1"/>
      <c r="T359"/>
      <c r="U359" s="2"/>
      <c r="AK359"/>
    </row>
    <row r="360" spans="1:37">
      <c r="A360" t="s">
        <v>246</v>
      </c>
      <c r="B360" t="s">
        <v>6567</v>
      </c>
      <c r="C360" s="6">
        <v>0.2</v>
      </c>
      <c r="D360" s="1">
        <v>539309</v>
      </c>
      <c r="E360" t="s">
        <v>9201</v>
      </c>
      <c r="F360" s="171">
        <v>45778</v>
      </c>
      <c r="G360" s="171">
        <v>45777</v>
      </c>
      <c r="H360" s="251"/>
      <c r="I360" s="171"/>
      <c r="J360" s="6"/>
      <c r="K360" s="1"/>
      <c r="L360"/>
      <c r="R360" s="6"/>
      <c r="S360" s="1"/>
      <c r="T360"/>
      <c r="U360" s="2"/>
      <c r="AK360"/>
    </row>
    <row r="361" spans="1:37">
      <c r="A361" t="s">
        <v>246</v>
      </c>
      <c r="B361" t="s">
        <v>8970</v>
      </c>
      <c r="C361" s="6">
        <v>0.2</v>
      </c>
      <c r="D361" s="1">
        <v>539309</v>
      </c>
      <c r="E361" t="s">
        <v>9201</v>
      </c>
      <c r="F361" s="171">
        <v>45778</v>
      </c>
      <c r="G361" s="171">
        <v>45828</v>
      </c>
      <c r="H361" s="251"/>
      <c r="I361" s="171"/>
      <c r="J361" s="6"/>
      <c r="K361" s="1"/>
      <c r="L361"/>
      <c r="R361" s="6"/>
      <c r="S361" s="1"/>
      <c r="T361"/>
      <c r="U361" s="2"/>
      <c r="AK361"/>
    </row>
    <row r="362" spans="1:37">
      <c r="A362" t="s">
        <v>246</v>
      </c>
      <c r="B362" t="s">
        <v>676</v>
      </c>
      <c r="C362" s="6">
        <v>0.15</v>
      </c>
      <c r="D362" s="1">
        <v>404481.75</v>
      </c>
      <c r="E362" t="s">
        <v>9201</v>
      </c>
      <c r="F362" s="171">
        <v>45778</v>
      </c>
      <c r="G362" s="171">
        <v>45828</v>
      </c>
      <c r="H362" s="251"/>
      <c r="I362" s="171"/>
      <c r="J362" s="6"/>
      <c r="K362" s="1"/>
      <c r="L362"/>
      <c r="R362" s="6"/>
      <c r="S362" s="1"/>
      <c r="T362"/>
      <c r="U362" s="2"/>
      <c r="AK362"/>
    </row>
    <row r="363" spans="1:37">
      <c r="A363" t="s">
        <v>246</v>
      </c>
      <c r="B363" t="s">
        <v>1181</v>
      </c>
      <c r="C363" s="6">
        <v>0.15</v>
      </c>
      <c r="D363" s="1">
        <v>404481.75</v>
      </c>
      <c r="E363" t="s">
        <v>9201</v>
      </c>
      <c r="F363" s="171">
        <v>45778</v>
      </c>
      <c r="G363" s="171">
        <v>46077</v>
      </c>
      <c r="H363" s="251" t="s">
        <v>9202</v>
      </c>
      <c r="I363" s="171"/>
      <c r="J363" s="6"/>
      <c r="K363" s="1"/>
      <c r="L363"/>
      <c r="R363" s="6"/>
      <c r="S363" s="1"/>
      <c r="T363"/>
      <c r="U363" s="2"/>
      <c r="AK363"/>
    </row>
    <row r="364" spans="1:37">
      <c r="A364" t="s">
        <v>246</v>
      </c>
      <c r="B364" t="s">
        <v>9031</v>
      </c>
      <c r="C364" s="6">
        <v>0.25</v>
      </c>
      <c r="D364" s="1">
        <v>674136.25</v>
      </c>
      <c r="E364" t="s">
        <v>9201</v>
      </c>
      <c r="F364" s="171">
        <v>45778</v>
      </c>
      <c r="G364" s="171">
        <v>46080</v>
      </c>
      <c r="H364" s="251"/>
      <c r="I364" s="171"/>
      <c r="J364" s="6"/>
      <c r="K364" s="1"/>
      <c r="L364"/>
      <c r="R364" s="6"/>
      <c r="S364" s="1"/>
      <c r="T364"/>
      <c r="U364" s="2"/>
      <c r="AK364"/>
    </row>
    <row r="365" spans="1:37">
      <c r="A365" t="s">
        <v>246</v>
      </c>
      <c r="B365" t="s">
        <v>41</v>
      </c>
      <c r="C365" s="6">
        <v>0.05</v>
      </c>
      <c r="D365" s="1">
        <v>134827.25</v>
      </c>
      <c r="E365" t="s">
        <v>9201</v>
      </c>
      <c r="F365" s="171">
        <v>45778</v>
      </c>
      <c r="G365" s="171">
        <v>46090</v>
      </c>
      <c r="H365" s="251"/>
      <c r="I365" s="171"/>
      <c r="J365" s="6"/>
      <c r="K365" s="1"/>
      <c r="L365"/>
      <c r="R365" s="6"/>
      <c r="S365" s="1"/>
      <c r="T365"/>
      <c r="U365" s="2"/>
      <c r="AK365"/>
    </row>
    <row r="366" spans="1:37">
      <c r="A366" t="s">
        <v>248</v>
      </c>
      <c r="D366" s="1" t="s">
        <v>8982</v>
      </c>
      <c r="E366" t="s">
        <v>8983</v>
      </c>
      <c r="F366" s="171" t="s">
        <v>8984</v>
      </c>
      <c r="G366" s="171" t="s">
        <v>8985</v>
      </c>
      <c r="H366" s="251" t="s">
        <v>8986</v>
      </c>
      <c r="I366" s="171" t="s">
        <v>8987</v>
      </c>
      <c r="J366" s="6"/>
      <c r="K366" s="1"/>
      <c r="L366"/>
      <c r="R366" s="6"/>
      <c r="S366" s="1"/>
      <c r="T366"/>
      <c r="U366" s="2"/>
      <c r="AK366"/>
    </row>
    <row r="367" spans="1:37">
      <c r="A367" t="s">
        <v>248</v>
      </c>
      <c r="B367" t="s">
        <v>8988</v>
      </c>
      <c r="D367" s="1">
        <v>8155733.5000000019</v>
      </c>
      <c r="F367" s="171" t="s">
        <v>8990</v>
      </c>
      <c r="G367" s="171">
        <v>7908674.9326411923</v>
      </c>
      <c r="H367" s="251" t="s">
        <v>9203</v>
      </c>
      <c r="I367" s="171">
        <v>250689.05051048408</v>
      </c>
      <c r="J367" s="6"/>
      <c r="K367" s="1"/>
      <c r="L367"/>
      <c r="R367" s="6"/>
      <c r="S367" s="1"/>
      <c r="T367"/>
      <c r="U367" s="2"/>
      <c r="AK367"/>
    </row>
    <row r="368" spans="1:37">
      <c r="A368" t="s">
        <v>248</v>
      </c>
      <c r="B368" t="s">
        <v>6567</v>
      </c>
      <c r="C368" s="6">
        <v>0.2</v>
      </c>
      <c r="D368" s="1">
        <v>1629479.2000000002</v>
      </c>
      <c r="E368" t="s">
        <v>9204</v>
      </c>
      <c r="F368" s="171">
        <v>45778</v>
      </c>
      <c r="G368" s="171">
        <v>45777</v>
      </c>
      <c r="H368" s="251"/>
      <c r="I368" s="171"/>
      <c r="J368" s="6"/>
      <c r="K368" s="1"/>
      <c r="L368"/>
      <c r="R368" s="6"/>
      <c r="S368" s="1"/>
      <c r="T368"/>
      <c r="U368" s="2"/>
      <c r="AK368"/>
    </row>
    <row r="369" spans="1:37">
      <c r="A369" t="s">
        <v>248</v>
      </c>
      <c r="B369" t="s">
        <v>8970</v>
      </c>
      <c r="C369" s="6">
        <v>0.2</v>
      </c>
      <c r="D369" s="1">
        <v>1629479.2000000002</v>
      </c>
      <c r="E369" t="s">
        <v>9204</v>
      </c>
      <c r="F369" s="171">
        <v>45778</v>
      </c>
      <c r="G369" s="171">
        <v>45821</v>
      </c>
      <c r="H369" s="251"/>
      <c r="I369" s="171"/>
      <c r="J369" s="6"/>
      <c r="K369" s="1"/>
      <c r="L369"/>
      <c r="R369" s="6"/>
      <c r="S369" s="1"/>
      <c r="T369"/>
      <c r="U369" s="2"/>
      <c r="AK369"/>
    </row>
    <row r="370" spans="1:37">
      <c r="A370" t="s">
        <v>248</v>
      </c>
      <c r="B370" t="s">
        <v>676</v>
      </c>
      <c r="C370" s="6">
        <v>0.15</v>
      </c>
      <c r="D370" s="1">
        <v>1222109.3999999999</v>
      </c>
      <c r="E370" t="s">
        <v>9204</v>
      </c>
      <c r="F370" s="171">
        <v>45778</v>
      </c>
      <c r="G370" s="171">
        <v>45821</v>
      </c>
      <c r="H370" s="251"/>
      <c r="I370" s="171"/>
      <c r="J370" s="6"/>
      <c r="K370" s="1"/>
      <c r="L370"/>
      <c r="R370" s="6"/>
      <c r="S370" s="1"/>
      <c r="T370"/>
      <c r="U370" s="2"/>
      <c r="AK370"/>
    </row>
    <row r="371" spans="1:37">
      <c r="A371" t="s">
        <v>248</v>
      </c>
      <c r="B371" t="s">
        <v>1181</v>
      </c>
      <c r="C371" s="6">
        <v>0.15</v>
      </c>
      <c r="D371" s="1">
        <v>1222109.3999999999</v>
      </c>
      <c r="E371" t="s">
        <v>9204</v>
      </c>
      <c r="F371" s="171">
        <v>45778</v>
      </c>
      <c r="G371" s="171">
        <v>45947</v>
      </c>
      <c r="H371" s="251"/>
      <c r="I371" s="171"/>
      <c r="J371" s="6"/>
      <c r="K371" s="1"/>
      <c r="L371"/>
      <c r="R371" s="6"/>
      <c r="S371" s="1"/>
      <c r="T371"/>
      <c r="U371" s="2"/>
      <c r="AK371"/>
    </row>
    <row r="372" spans="1:37">
      <c r="A372" t="s">
        <v>248</v>
      </c>
      <c r="B372" t="s">
        <v>9031</v>
      </c>
      <c r="C372" s="6">
        <v>0.25</v>
      </c>
      <c r="D372" s="1">
        <v>2036849</v>
      </c>
      <c r="E372" t="s">
        <v>9204</v>
      </c>
      <c r="F372" s="171">
        <v>45778</v>
      </c>
      <c r="G372" s="171">
        <v>45954</v>
      </c>
      <c r="H372" s="251"/>
      <c r="I372" s="171"/>
      <c r="J372" s="6"/>
      <c r="K372" s="1"/>
      <c r="L372"/>
      <c r="R372" s="6"/>
      <c r="S372" s="1"/>
      <c r="T372"/>
      <c r="U372" s="2"/>
      <c r="AK372"/>
    </row>
    <row r="373" spans="1:37">
      <c r="A373" t="s">
        <v>248</v>
      </c>
      <c r="B373" t="s">
        <v>41</v>
      </c>
      <c r="C373" s="6">
        <v>0.05</v>
      </c>
      <c r="D373" s="1">
        <v>407369.8000000001</v>
      </c>
      <c r="E373" t="s">
        <v>9204</v>
      </c>
      <c r="F373" s="171">
        <v>45778</v>
      </c>
      <c r="G373" s="171">
        <v>45954</v>
      </c>
      <c r="H373" s="251"/>
      <c r="I373" s="171"/>
      <c r="J373" s="6"/>
      <c r="K373" s="1"/>
      <c r="L373"/>
      <c r="R373" s="6"/>
      <c r="S373" s="1"/>
      <c r="T373"/>
      <c r="U373" s="2"/>
      <c r="AK373"/>
    </row>
    <row r="374" spans="1:37">
      <c r="A374" t="s">
        <v>248</v>
      </c>
      <c r="B374" t="s">
        <v>9205</v>
      </c>
      <c r="C374" s="6">
        <v>0</v>
      </c>
      <c r="D374" s="1">
        <v>8337.5</v>
      </c>
      <c r="E374" t="s">
        <v>9206</v>
      </c>
      <c r="F374" s="171">
        <v>45876</v>
      </c>
      <c r="G374" s="171">
        <v>45877</v>
      </c>
      <c r="H374" s="251"/>
      <c r="I374" s="171"/>
      <c r="J374" s="6"/>
      <c r="K374" s="1"/>
      <c r="L374"/>
      <c r="R374" s="6"/>
      <c r="S374" s="1"/>
      <c r="T374"/>
      <c r="U374" s="2"/>
      <c r="AK374"/>
    </row>
    <row r="375" spans="1:37">
      <c r="A375" t="s">
        <v>250</v>
      </c>
      <c r="D375" s="1" t="s">
        <v>8982</v>
      </c>
      <c r="E375" t="s">
        <v>8983</v>
      </c>
      <c r="F375" s="171" t="s">
        <v>8984</v>
      </c>
      <c r="G375" s="171" t="s">
        <v>8985</v>
      </c>
      <c r="H375" s="251" t="s">
        <v>8986</v>
      </c>
      <c r="I375" s="171" t="s">
        <v>8987</v>
      </c>
      <c r="J375" s="6"/>
      <c r="K375" s="1"/>
      <c r="L375"/>
      <c r="R375" s="6"/>
      <c r="S375" s="1"/>
      <c r="T375"/>
      <c r="U375" s="2"/>
      <c r="AK375"/>
    </row>
    <row r="376" spans="1:37">
      <c r="A376" t="s">
        <v>250</v>
      </c>
      <c r="B376" t="s">
        <v>8988</v>
      </c>
      <c r="D376" s="1">
        <v>8633666.5756521747</v>
      </c>
      <c r="F376" s="171" t="s">
        <v>8990</v>
      </c>
      <c r="G376" s="171">
        <v>5845601.4059818555</v>
      </c>
      <c r="H376" s="251" t="s">
        <v>9207</v>
      </c>
      <c r="I376" s="171">
        <v>3355190.1984999999</v>
      </c>
      <c r="J376" s="6"/>
      <c r="K376" s="1"/>
      <c r="L376"/>
      <c r="R376" s="6"/>
      <c r="S376" s="1"/>
      <c r="T376"/>
      <c r="U376" s="2"/>
      <c r="AK376"/>
    </row>
    <row r="377" spans="1:37">
      <c r="A377" t="s">
        <v>250</v>
      </c>
      <c r="B377" t="s">
        <v>6567</v>
      </c>
      <c r="C377" s="6">
        <v>0.35</v>
      </c>
      <c r="D377" s="1">
        <v>2324104.2579999999</v>
      </c>
      <c r="E377" t="s">
        <v>9208</v>
      </c>
      <c r="F377" s="171">
        <v>45771</v>
      </c>
      <c r="G377" s="171">
        <v>45772</v>
      </c>
      <c r="H377" s="251"/>
      <c r="I377" s="171"/>
      <c r="J377" s="6"/>
      <c r="K377" s="1"/>
      <c r="L377"/>
      <c r="R377" s="6"/>
      <c r="S377" s="1"/>
      <c r="T377"/>
      <c r="U377" s="2"/>
      <c r="AK377"/>
    </row>
    <row r="378" spans="1:37">
      <c r="A378" t="s">
        <v>250</v>
      </c>
      <c r="B378" t="s">
        <v>8970</v>
      </c>
      <c r="C378" s="6">
        <v>0.3</v>
      </c>
      <c r="D378" s="1">
        <v>1992089.3640000001</v>
      </c>
      <c r="E378" t="s">
        <v>9208</v>
      </c>
      <c r="F378" s="171">
        <v>45771</v>
      </c>
      <c r="G378" s="171">
        <v>45975</v>
      </c>
      <c r="H378" s="251"/>
      <c r="I378" s="171"/>
      <c r="J378" s="6"/>
      <c r="K378" s="1"/>
      <c r="L378"/>
      <c r="R378" s="6"/>
      <c r="S378" s="1"/>
      <c r="T378"/>
      <c r="U378" s="2"/>
      <c r="AK378"/>
    </row>
    <row r="379" spans="1:37">
      <c r="A379" t="s">
        <v>250</v>
      </c>
      <c r="B379" t="s">
        <v>676</v>
      </c>
      <c r="C379" s="6">
        <v>0.2</v>
      </c>
      <c r="D379" s="1">
        <v>1328059.5759999999</v>
      </c>
      <c r="E379" t="s">
        <v>9208</v>
      </c>
      <c r="F379" s="171">
        <v>45771</v>
      </c>
      <c r="G379" s="171">
        <v>45877</v>
      </c>
      <c r="H379" s="251"/>
      <c r="I379" s="171"/>
      <c r="J379" s="6"/>
      <c r="K379" s="1"/>
      <c r="L379"/>
      <c r="R379" s="6"/>
      <c r="S379" s="1"/>
      <c r="T379"/>
      <c r="U379" s="2"/>
      <c r="AK379"/>
    </row>
    <row r="380" spans="1:37">
      <c r="A380" t="s">
        <v>250</v>
      </c>
      <c r="B380" t="s">
        <v>2478</v>
      </c>
      <c r="C380" s="6">
        <v>0.1</v>
      </c>
      <c r="D380" s="1">
        <v>664029.78800000006</v>
      </c>
      <c r="E380" t="s">
        <v>9208</v>
      </c>
      <c r="F380" s="171">
        <v>45771</v>
      </c>
      <c r="G380" s="171">
        <v>45975</v>
      </c>
      <c r="H380" s="251"/>
      <c r="I380" s="171"/>
      <c r="J380" s="6"/>
      <c r="K380" s="1"/>
      <c r="L380"/>
      <c r="R380" s="6"/>
      <c r="S380" s="1"/>
      <c r="T380"/>
      <c r="U380" s="2"/>
      <c r="AK380"/>
    </row>
    <row r="381" spans="1:37">
      <c r="A381" t="s">
        <v>250</v>
      </c>
      <c r="B381" t="s">
        <v>1181</v>
      </c>
      <c r="C381" s="6">
        <v>0.05</v>
      </c>
      <c r="D381" s="1">
        <v>332014.89400000003</v>
      </c>
      <c r="E381" t="s">
        <v>9208</v>
      </c>
      <c r="F381" s="171">
        <v>45771</v>
      </c>
      <c r="G381" s="171">
        <v>45975</v>
      </c>
      <c r="H381" s="251"/>
      <c r="I381" s="171"/>
      <c r="J381" s="6"/>
      <c r="K381" s="1"/>
      <c r="L381"/>
      <c r="R381" s="6"/>
      <c r="S381" s="1"/>
      <c r="T381"/>
      <c r="U381" s="2"/>
      <c r="AK381"/>
    </row>
    <row r="382" spans="1:37">
      <c r="A382" t="s">
        <v>250</v>
      </c>
      <c r="B382" t="s">
        <v>9209</v>
      </c>
      <c r="C382" s="6">
        <v>0</v>
      </c>
      <c r="D382" s="1">
        <v>1993368.6956521741</v>
      </c>
      <c r="E382" t="s">
        <v>9210</v>
      </c>
      <c r="F382" s="171">
        <v>45985</v>
      </c>
      <c r="G382" s="171">
        <v>46009</v>
      </c>
      <c r="H382" s="251"/>
      <c r="I382" s="171"/>
      <c r="J382" s="6"/>
      <c r="K382" s="1"/>
      <c r="L382"/>
      <c r="R382" s="6"/>
      <c r="S382" s="1"/>
      <c r="T382"/>
      <c r="U382" s="2"/>
      <c r="AK382"/>
    </row>
    <row r="383" spans="1:37">
      <c r="A383" t="s">
        <v>254</v>
      </c>
      <c r="D383" s="1" t="s">
        <v>8982</v>
      </c>
      <c r="E383" t="s">
        <v>8983</v>
      </c>
      <c r="F383" s="171" t="s">
        <v>8984</v>
      </c>
      <c r="G383" s="171" t="s">
        <v>8985</v>
      </c>
      <c r="H383" s="251" t="s">
        <v>8986</v>
      </c>
      <c r="I383" s="171" t="s">
        <v>8987</v>
      </c>
      <c r="J383" s="6"/>
      <c r="K383" s="1"/>
      <c r="L383"/>
      <c r="R383" s="6"/>
      <c r="S383" s="1"/>
      <c r="T383"/>
      <c r="U383" s="2"/>
      <c r="AK383"/>
    </row>
    <row r="384" spans="1:37">
      <c r="A384" t="s">
        <v>254</v>
      </c>
      <c r="B384" t="s">
        <v>8988</v>
      </c>
      <c r="D384" s="1">
        <v>828367.24558144587</v>
      </c>
      <c r="E384" t="s">
        <v>9211</v>
      </c>
      <c r="F384" s="171" t="s">
        <v>8990</v>
      </c>
      <c r="G384" s="171">
        <v>199028.13234477324</v>
      </c>
      <c r="H384" s="251" t="s">
        <v>9212</v>
      </c>
      <c r="I384" s="171">
        <v>500552.230569768</v>
      </c>
      <c r="J384" s="6"/>
      <c r="K384" s="1"/>
      <c r="L384"/>
      <c r="R384" s="6"/>
      <c r="S384" s="1"/>
      <c r="T384"/>
      <c r="U384" s="2"/>
      <c r="AK384"/>
    </row>
    <row r="385" spans="1:37">
      <c r="A385" t="s">
        <v>254</v>
      </c>
      <c r="B385" t="s">
        <v>8968</v>
      </c>
      <c r="C385" s="6">
        <v>0.5</v>
      </c>
      <c r="D385" s="1">
        <v>414183.62279072293</v>
      </c>
      <c r="E385" t="s">
        <v>9213</v>
      </c>
      <c r="F385" s="171">
        <v>45882</v>
      </c>
      <c r="G385" s="171">
        <v>45884</v>
      </c>
      <c r="H385" s="251"/>
      <c r="I385" s="171"/>
      <c r="J385" s="6"/>
      <c r="K385" s="1"/>
      <c r="L385"/>
      <c r="R385" s="6"/>
      <c r="S385" s="1"/>
      <c r="T385"/>
      <c r="U385" s="2"/>
      <c r="AK385"/>
    </row>
    <row r="386" spans="1:37">
      <c r="A386" t="s">
        <v>254</v>
      </c>
      <c r="B386" t="s">
        <v>8970</v>
      </c>
      <c r="C386" s="6">
        <v>0.1</v>
      </c>
      <c r="D386" s="1">
        <v>82836.724558144604</v>
      </c>
      <c r="E386" t="s">
        <v>9214</v>
      </c>
      <c r="F386" s="171">
        <v>45968</v>
      </c>
      <c r="G386" s="171">
        <v>45986</v>
      </c>
      <c r="H386" s="251"/>
      <c r="I386" s="171"/>
      <c r="J386" s="6"/>
      <c r="K386" s="1"/>
      <c r="L386"/>
      <c r="R386" s="6"/>
      <c r="S386" s="1"/>
      <c r="T386"/>
      <c r="U386" s="2"/>
      <c r="AK386"/>
    </row>
    <row r="387" spans="1:37">
      <c r="A387" t="s">
        <v>254</v>
      </c>
      <c r="B387" t="s">
        <v>676</v>
      </c>
      <c r="C387" s="6">
        <v>0.25</v>
      </c>
      <c r="D387" s="1">
        <v>207091.8113953615</v>
      </c>
      <c r="E387" t="s">
        <v>9214</v>
      </c>
      <c r="F387" s="171">
        <v>45968</v>
      </c>
      <c r="G387" s="171">
        <v>45986</v>
      </c>
      <c r="H387" s="251"/>
      <c r="I387" s="171"/>
      <c r="J387" s="6"/>
      <c r="K387" s="1"/>
      <c r="L387"/>
      <c r="R387" s="6"/>
      <c r="S387" s="1"/>
      <c r="T387"/>
      <c r="U387" s="2"/>
      <c r="AK387"/>
    </row>
    <row r="388" spans="1:37">
      <c r="A388" t="s">
        <v>254</v>
      </c>
      <c r="B388" t="s">
        <v>169</v>
      </c>
      <c r="C388" s="6">
        <v>0.1</v>
      </c>
      <c r="D388" s="1">
        <v>82836.724558144604</v>
      </c>
      <c r="E388" t="s">
        <v>9215</v>
      </c>
      <c r="F388" s="171">
        <v>46038</v>
      </c>
      <c r="G388" s="171">
        <v>46052</v>
      </c>
      <c r="H388" s="251"/>
      <c r="I388" s="171"/>
      <c r="J388" s="6"/>
      <c r="K388" s="1"/>
      <c r="L388"/>
      <c r="R388" s="6"/>
      <c r="S388" s="1"/>
      <c r="T388"/>
      <c r="U388" s="2"/>
      <c r="AK388"/>
    </row>
    <row r="389" spans="1:37">
      <c r="A389" t="s">
        <v>254</v>
      </c>
      <c r="B389" t="s">
        <v>41</v>
      </c>
      <c r="C389" s="6">
        <v>0.05</v>
      </c>
      <c r="D389" s="1">
        <v>41418.362279072302</v>
      </c>
      <c r="F389" s="171"/>
      <c r="G389" s="171">
        <v>46069</v>
      </c>
      <c r="H389" s="251"/>
      <c r="I389" s="171"/>
      <c r="J389" s="6"/>
      <c r="K389" s="1"/>
      <c r="L389"/>
      <c r="R389" s="6"/>
      <c r="S389" s="1"/>
      <c r="T389"/>
      <c r="U389" s="2"/>
      <c r="AK389"/>
    </row>
    <row r="390" spans="1:37">
      <c r="A390" t="s">
        <v>539</v>
      </c>
      <c r="B390" t="s">
        <v>8968</v>
      </c>
      <c r="C390" s="6">
        <v>0.2</v>
      </c>
      <c r="D390" s="1">
        <v>164771.69740887135</v>
      </c>
      <c r="E390" t="s">
        <v>9216</v>
      </c>
      <c r="F390" s="171">
        <v>46003</v>
      </c>
      <c r="G390" s="171">
        <v>46020</v>
      </c>
      <c r="H390" s="251"/>
      <c r="I390" s="171" t="b">
        <v>0</v>
      </c>
      <c r="J390" s="6"/>
      <c r="K390" s="1"/>
      <c r="L390"/>
      <c r="R390" s="6"/>
      <c r="S390" s="1"/>
      <c r="T390"/>
      <c r="U390" s="2"/>
      <c r="AK390"/>
    </row>
    <row r="391" spans="1:37">
      <c r="A391" t="s">
        <v>539</v>
      </c>
      <c r="B391" t="s">
        <v>41</v>
      </c>
      <c r="C391" s="6">
        <v>0.8</v>
      </c>
      <c r="D391" s="1">
        <v>659086.78963548539</v>
      </c>
      <c r="F391" s="171"/>
      <c r="G391" s="171">
        <v>46088</v>
      </c>
      <c r="H391" s="251"/>
      <c r="I391" s="171" t="b">
        <v>0</v>
      </c>
      <c r="J391" s="6"/>
      <c r="K391" s="1"/>
      <c r="L391"/>
      <c r="R391" s="6"/>
      <c r="S391" s="1"/>
      <c r="T391"/>
      <c r="U391" s="2"/>
      <c r="AK391"/>
    </row>
    <row r="392" spans="1:37">
      <c r="J392" s="6"/>
      <c r="K392" s="1"/>
      <c r="L392"/>
      <c r="R392" s="6"/>
      <c r="S392" s="1"/>
      <c r="T392"/>
      <c r="U392" s="2"/>
      <c r="AK392"/>
    </row>
    <row r="393" spans="1:37">
      <c r="J393" s="6"/>
      <c r="K393" s="1"/>
      <c r="L393"/>
      <c r="R393" s="6"/>
      <c r="S393" s="1"/>
      <c r="T393"/>
      <c r="U393" s="2"/>
      <c r="AK393"/>
    </row>
    <row r="394" spans="1:37">
      <c r="J394" s="6"/>
      <c r="K394" s="1"/>
      <c r="L394"/>
      <c r="R394" s="6"/>
      <c r="S394" s="1"/>
      <c r="T394"/>
      <c r="U394" s="2"/>
      <c r="AK394"/>
    </row>
    <row r="395" spans="1:37">
      <c r="J395" s="6"/>
      <c r="K395" s="1"/>
      <c r="L395"/>
      <c r="R395" s="6"/>
      <c r="S395" s="1"/>
      <c r="T395"/>
      <c r="U395" s="2"/>
      <c r="AK395"/>
    </row>
    <row r="396" spans="1:37">
      <c r="J396" s="6"/>
      <c r="K396" s="1"/>
      <c r="L396"/>
      <c r="R396" s="6"/>
      <c r="S396" s="1"/>
      <c r="T396"/>
      <c r="U396" s="2"/>
      <c r="AK396"/>
    </row>
    <row r="397" spans="1:37">
      <c r="J397" s="6"/>
      <c r="K397" s="1"/>
      <c r="L397"/>
      <c r="R397" s="6"/>
      <c r="S397" s="1"/>
      <c r="T397"/>
      <c r="U397" s="2"/>
      <c r="AK397"/>
    </row>
    <row r="398" spans="1:37">
      <c r="J398" s="6"/>
      <c r="K398" s="1"/>
      <c r="L398"/>
      <c r="R398" s="6"/>
      <c r="S398" s="1"/>
      <c r="T398"/>
      <c r="U398" s="2"/>
      <c r="AK398"/>
    </row>
    <row r="399" spans="1:37">
      <c r="J399" s="6"/>
      <c r="K399" s="1"/>
      <c r="L399"/>
      <c r="R399" s="6"/>
      <c r="S399" s="1"/>
      <c r="T399"/>
      <c r="U399" s="2"/>
      <c r="AK399"/>
    </row>
    <row r="400" spans="1:37">
      <c r="J400" s="6"/>
      <c r="K400" s="1"/>
      <c r="L400"/>
      <c r="R400" s="6"/>
      <c r="S400" s="1"/>
      <c r="T400"/>
      <c r="U400" s="2"/>
      <c r="AK400"/>
    </row>
    <row r="401" spans="10:37">
      <c r="J401" s="6"/>
      <c r="K401" s="1"/>
      <c r="L401"/>
      <c r="R401" s="6"/>
      <c r="S401" s="1"/>
      <c r="T401"/>
      <c r="U401" s="2"/>
      <c r="AK401"/>
    </row>
    <row r="402" spans="10:37">
      <c r="J402" s="6"/>
      <c r="K402" s="1"/>
      <c r="L402"/>
      <c r="R402" s="6"/>
      <c r="S402" s="1"/>
      <c r="T402"/>
      <c r="U402" s="2"/>
      <c r="AK402"/>
    </row>
    <row r="403" spans="10:37">
      <c r="J403" s="6"/>
      <c r="K403" s="1"/>
      <c r="L403"/>
      <c r="R403" s="6"/>
      <c r="S403" s="1"/>
      <c r="T403"/>
      <c r="U403" s="2"/>
      <c r="AK403"/>
    </row>
    <row r="404" spans="10:37">
      <c r="J404" s="6"/>
      <c r="K404" s="1"/>
      <c r="L404"/>
      <c r="R404" s="6"/>
      <c r="S404" s="1"/>
      <c r="T404"/>
      <c r="U404" s="2"/>
      <c r="AK404"/>
    </row>
    <row r="405" spans="10:37">
      <c r="J405" s="6"/>
      <c r="K405" s="1"/>
      <c r="L405"/>
      <c r="R405" s="6"/>
      <c r="S405" s="1"/>
      <c r="T405"/>
      <c r="U405" s="2"/>
      <c r="AK405"/>
    </row>
    <row r="406" spans="10:37">
      <c r="J406" s="6"/>
      <c r="K406" s="1"/>
      <c r="L406"/>
      <c r="R406" s="6"/>
      <c r="S406" s="1"/>
      <c r="T406"/>
      <c r="U406" s="2"/>
      <c r="AK406"/>
    </row>
    <row r="407" spans="10:37">
      <c r="J407" s="6"/>
      <c r="K407" s="1"/>
      <c r="L407"/>
      <c r="R407" s="6"/>
      <c r="S407" s="1"/>
      <c r="T407"/>
      <c r="U407" s="2"/>
      <c r="AK407"/>
    </row>
    <row r="408" spans="10:37">
      <c r="J408" s="6"/>
      <c r="K408" s="1"/>
      <c r="L408"/>
      <c r="R408" s="6"/>
      <c r="S408" s="1"/>
      <c r="T408"/>
      <c r="U408" s="2"/>
      <c r="AK408"/>
    </row>
    <row r="409" spans="10:37">
      <c r="J409" s="6"/>
      <c r="K409" s="1"/>
      <c r="L409"/>
      <c r="R409" s="6"/>
      <c r="S409" s="1"/>
      <c r="T409"/>
      <c r="U409" s="2"/>
      <c r="AK409"/>
    </row>
    <row r="410" spans="10:37">
      <c r="J410" s="6"/>
      <c r="K410" s="1"/>
      <c r="L410"/>
      <c r="R410" s="6"/>
      <c r="S410" s="1"/>
      <c r="T410"/>
      <c r="U410" s="2"/>
      <c r="AK410"/>
    </row>
    <row r="411" spans="10:37">
      <c r="J411" s="6"/>
      <c r="K411" s="1"/>
      <c r="L411"/>
      <c r="R411" s="6"/>
      <c r="S411" s="1"/>
      <c r="T411"/>
      <c r="U411" s="2"/>
      <c r="AK411"/>
    </row>
    <row r="412" spans="10:37">
      <c r="J412" s="6"/>
      <c r="K412" s="1"/>
      <c r="L412"/>
      <c r="R412" s="6"/>
      <c r="S412" s="1"/>
      <c r="T412"/>
      <c r="U412" s="2"/>
      <c r="AK412"/>
    </row>
    <row r="413" spans="10:37">
      <c r="J413" s="6"/>
      <c r="K413" s="1"/>
      <c r="L413"/>
      <c r="R413" s="6"/>
      <c r="S413" s="1"/>
      <c r="T413"/>
      <c r="U413" s="2"/>
      <c r="AK413"/>
    </row>
    <row r="414" spans="10:37">
      <c r="J414" s="6"/>
      <c r="K414" s="1"/>
      <c r="L414"/>
      <c r="R414" s="6"/>
      <c r="S414" s="1"/>
      <c r="T414"/>
      <c r="U414" s="2"/>
      <c r="AK414"/>
    </row>
    <row r="415" spans="10:37">
      <c r="J415" s="6"/>
      <c r="K415" s="1"/>
      <c r="L415"/>
      <c r="R415" s="6"/>
      <c r="S415" s="1"/>
      <c r="T415"/>
      <c r="U415" s="2"/>
      <c r="AK415"/>
    </row>
    <row r="416" spans="10:37">
      <c r="J416" s="6"/>
      <c r="K416" s="1"/>
      <c r="L416"/>
      <c r="R416" s="6"/>
      <c r="S416" s="1"/>
      <c r="T416"/>
      <c r="U416" s="2"/>
      <c r="AK416"/>
    </row>
    <row r="417" spans="10:37">
      <c r="J417" s="6"/>
      <c r="K417" s="1"/>
      <c r="L417"/>
      <c r="R417" s="6"/>
      <c r="S417" s="1"/>
      <c r="T417"/>
      <c r="U417" s="2"/>
      <c r="AK417"/>
    </row>
    <row r="418" spans="10:37">
      <c r="J418" s="6"/>
      <c r="K418" s="1"/>
      <c r="L418"/>
      <c r="R418" s="6"/>
      <c r="S418" s="1"/>
      <c r="T418"/>
      <c r="U418" s="2"/>
      <c r="AK418"/>
    </row>
    <row r="419" spans="10:37">
      <c r="J419" s="6"/>
      <c r="K419" s="1"/>
      <c r="L419"/>
      <c r="R419" s="6"/>
      <c r="S419" s="1"/>
      <c r="T419"/>
      <c r="U419" s="2"/>
      <c r="AK419"/>
    </row>
    <row r="420" spans="10:37">
      <c r="J420" s="6"/>
      <c r="K420" s="1"/>
      <c r="L420"/>
      <c r="R420" s="6"/>
      <c r="S420" s="1"/>
      <c r="T420"/>
      <c r="U420" s="2"/>
      <c r="AK420"/>
    </row>
    <row r="421" spans="10:37">
      <c r="J421" s="6"/>
      <c r="K421" s="1"/>
      <c r="L421"/>
      <c r="R421" s="6"/>
      <c r="S421" s="1"/>
      <c r="T421"/>
      <c r="U421" s="2"/>
      <c r="AK421"/>
    </row>
    <row r="422" spans="10:37">
      <c r="J422" s="6"/>
      <c r="K422" s="1"/>
      <c r="L422"/>
      <c r="R422" s="6"/>
      <c r="S422" s="1"/>
      <c r="T422"/>
      <c r="U422" s="2"/>
      <c r="AK422"/>
    </row>
    <row r="423" spans="10:37">
      <c r="J423" s="6"/>
      <c r="K423" s="1"/>
      <c r="L423"/>
      <c r="R423" s="6"/>
      <c r="S423" s="1"/>
      <c r="T423"/>
      <c r="U423" s="2"/>
      <c r="AK423"/>
    </row>
    <row r="424" spans="10:37">
      <c r="J424" s="6"/>
      <c r="K424" s="1"/>
      <c r="L424"/>
      <c r="R424" s="6"/>
      <c r="S424" s="1"/>
      <c r="T424"/>
      <c r="U424" s="2"/>
      <c r="AK424"/>
    </row>
    <row r="425" spans="10:37">
      <c r="J425" s="6"/>
      <c r="K425" s="1"/>
      <c r="L425"/>
      <c r="R425" s="6"/>
      <c r="S425" s="1"/>
      <c r="T425"/>
      <c r="U425" s="2"/>
      <c r="AK425"/>
    </row>
    <row r="426" spans="10:37">
      <c r="J426" s="6"/>
      <c r="K426" s="1"/>
      <c r="L426"/>
      <c r="R426" s="6"/>
      <c r="S426" s="1"/>
      <c r="T426"/>
      <c r="U426" s="2"/>
      <c r="AK426"/>
    </row>
    <row r="427" spans="10:37">
      <c r="J427" s="6"/>
      <c r="K427" s="1"/>
      <c r="L427"/>
      <c r="R427" s="6"/>
      <c r="S427" s="1"/>
      <c r="T427"/>
      <c r="U427" s="2"/>
      <c r="AK427"/>
    </row>
    <row r="428" spans="10:37">
      <c r="J428" s="6"/>
      <c r="K428" s="1"/>
      <c r="L428"/>
      <c r="R428" s="6"/>
      <c r="S428" s="1"/>
      <c r="T428"/>
      <c r="U428" s="2"/>
      <c r="AK428"/>
    </row>
    <row r="429" spans="10:37">
      <c r="J429" s="6"/>
      <c r="K429" s="1"/>
      <c r="L429"/>
      <c r="R429" s="6"/>
      <c r="S429" s="1"/>
      <c r="T429"/>
      <c r="U429" s="2"/>
      <c r="AK429"/>
    </row>
    <row r="430" spans="10:37">
      <c r="J430" s="6"/>
      <c r="K430" s="1"/>
      <c r="L430"/>
      <c r="R430" s="6"/>
      <c r="S430" s="1"/>
      <c r="T430"/>
      <c r="U430" s="2"/>
      <c r="AK430"/>
    </row>
    <row r="431" spans="10:37">
      <c r="J431" s="6"/>
      <c r="K431" s="1"/>
      <c r="L431"/>
      <c r="R431" s="6"/>
      <c r="S431" s="1"/>
      <c r="T431"/>
      <c r="U431" s="2"/>
      <c r="AK431"/>
    </row>
    <row r="432" spans="10:37">
      <c r="J432" s="6"/>
      <c r="K432" s="1"/>
      <c r="L432"/>
      <c r="R432" s="6"/>
      <c r="S432" s="1"/>
      <c r="T432"/>
      <c r="U432" s="2"/>
      <c r="AK432"/>
    </row>
    <row r="433" spans="10:37">
      <c r="J433" s="6"/>
      <c r="K433" s="1"/>
      <c r="L433"/>
      <c r="R433" s="6"/>
      <c r="S433" s="1"/>
      <c r="T433"/>
      <c r="U433" s="2"/>
      <c r="AK433"/>
    </row>
    <row r="434" spans="10:37">
      <c r="J434" s="6"/>
      <c r="K434" s="1"/>
      <c r="L434"/>
      <c r="R434" s="6"/>
      <c r="S434" s="1"/>
      <c r="T434"/>
      <c r="U434" s="2"/>
      <c r="AK434"/>
    </row>
    <row r="435" spans="10:37">
      <c r="J435" s="6"/>
      <c r="K435" s="1"/>
      <c r="L435"/>
      <c r="R435" s="6"/>
      <c r="S435" s="1"/>
      <c r="T435"/>
      <c r="U435" s="2"/>
      <c r="AK435"/>
    </row>
    <row r="436" spans="10:37">
      <c r="J436" s="6"/>
      <c r="K436" s="1"/>
      <c r="L436"/>
      <c r="R436" s="6"/>
      <c r="S436" s="1"/>
      <c r="T436"/>
      <c r="U436" s="2"/>
      <c r="AK436"/>
    </row>
    <row r="437" spans="10:37">
      <c r="J437" s="6"/>
      <c r="K437" s="1"/>
      <c r="L437"/>
      <c r="R437" s="6"/>
      <c r="S437" s="1"/>
      <c r="T437"/>
      <c r="U437" s="2"/>
      <c r="AK437"/>
    </row>
    <row r="438" spans="10:37">
      <c r="J438" s="6"/>
      <c r="K438" s="1"/>
      <c r="L438"/>
      <c r="R438" s="6"/>
      <c r="S438" s="1"/>
      <c r="T438"/>
      <c r="U438" s="2"/>
      <c r="AK438"/>
    </row>
    <row r="439" spans="10:37">
      <c r="J439" s="6"/>
      <c r="K439" s="1"/>
      <c r="L439"/>
      <c r="R439" s="6"/>
      <c r="S439" s="1"/>
      <c r="T439"/>
      <c r="U439" s="2"/>
      <c r="AK439"/>
    </row>
    <row r="440" spans="10:37">
      <c r="J440" s="6"/>
      <c r="K440" s="1"/>
      <c r="L440"/>
      <c r="R440" s="6"/>
      <c r="S440" s="1"/>
      <c r="T440"/>
      <c r="U440" s="2"/>
      <c r="AK440"/>
    </row>
    <row r="441" spans="10:37">
      <c r="J441" s="6"/>
      <c r="K441" s="1"/>
      <c r="L441"/>
      <c r="R441" s="6"/>
      <c r="S441" s="1"/>
      <c r="T441"/>
      <c r="U441" s="2"/>
      <c r="AK441"/>
    </row>
    <row r="442" spans="10:37">
      <c r="J442" s="6"/>
      <c r="K442" s="1"/>
      <c r="L442"/>
      <c r="R442" s="6"/>
      <c r="S442" s="1"/>
      <c r="T442"/>
      <c r="U442" s="2"/>
      <c r="AK442"/>
    </row>
    <row r="443" spans="10:37">
      <c r="J443" s="6"/>
      <c r="K443" s="1"/>
      <c r="L443"/>
      <c r="R443" s="6"/>
      <c r="S443" s="1"/>
      <c r="T443"/>
      <c r="U443" s="2"/>
      <c r="AK443"/>
    </row>
    <row r="444" spans="10:37">
      <c r="J444" s="6"/>
      <c r="K444" s="1"/>
      <c r="L444"/>
      <c r="R444" s="6"/>
      <c r="S444" s="1"/>
      <c r="T444"/>
      <c r="U444" s="2"/>
      <c r="AK444"/>
    </row>
    <row r="445" spans="10:37">
      <c r="J445" s="6"/>
      <c r="K445" s="1"/>
      <c r="L445"/>
      <c r="R445" s="6"/>
      <c r="S445" s="1"/>
      <c r="T445"/>
      <c r="U445" s="2"/>
      <c r="AK445"/>
    </row>
    <row r="446" spans="10:37">
      <c r="J446" s="6"/>
      <c r="K446" s="1"/>
      <c r="L446"/>
      <c r="R446" s="6"/>
      <c r="S446" s="1"/>
      <c r="T446"/>
      <c r="U446" s="2"/>
      <c r="AK446"/>
    </row>
    <row r="447" spans="10:37">
      <c r="J447" s="6"/>
      <c r="K447" s="1"/>
      <c r="L447"/>
      <c r="R447" s="6"/>
      <c r="S447" s="1"/>
      <c r="T447"/>
      <c r="U447" s="2"/>
      <c r="AK447"/>
    </row>
    <row r="448" spans="10:37">
      <c r="J448" s="6"/>
      <c r="K448" s="1"/>
      <c r="L448"/>
      <c r="R448" s="6"/>
      <c r="S448" s="1"/>
      <c r="T448"/>
      <c r="U448" s="2"/>
      <c r="AK448"/>
    </row>
    <row r="449" spans="10:37">
      <c r="J449" s="6"/>
      <c r="K449" s="1"/>
      <c r="L449"/>
      <c r="R449" s="6"/>
      <c r="S449" s="1"/>
      <c r="T449"/>
      <c r="U449" s="2"/>
      <c r="AK449"/>
    </row>
    <row r="450" spans="10:37">
      <c r="J450" s="6"/>
      <c r="K450" s="1"/>
      <c r="L450"/>
      <c r="R450" s="6"/>
      <c r="S450" s="1"/>
      <c r="T450"/>
      <c r="U450" s="2"/>
      <c r="AK450"/>
    </row>
    <row r="451" spans="10:37">
      <c r="J451" s="6"/>
      <c r="K451" s="1"/>
      <c r="L451"/>
      <c r="R451" s="6"/>
      <c r="S451" s="1"/>
      <c r="T451"/>
      <c r="U451" s="2"/>
      <c r="AK451"/>
    </row>
    <row r="452" spans="10:37">
      <c r="J452" s="6"/>
      <c r="K452" s="1"/>
      <c r="L452"/>
      <c r="R452" s="6"/>
      <c r="S452" s="1"/>
      <c r="T452"/>
      <c r="U452" s="2"/>
      <c r="AK452"/>
    </row>
    <row r="453" spans="10:37">
      <c r="J453" s="6"/>
      <c r="K453" s="1"/>
      <c r="L453"/>
      <c r="R453" s="6"/>
      <c r="S453" s="1"/>
      <c r="T453"/>
      <c r="U453" s="2"/>
      <c r="AK453"/>
    </row>
    <row r="454" spans="10:37">
      <c r="J454" s="6"/>
      <c r="K454" s="1"/>
      <c r="L454"/>
      <c r="R454" s="6"/>
      <c r="S454" s="1"/>
      <c r="T454"/>
      <c r="U454" s="2"/>
      <c r="AK454"/>
    </row>
    <row r="455" spans="10:37">
      <c r="J455" s="6"/>
      <c r="K455" s="1"/>
      <c r="L455"/>
      <c r="R455" s="6"/>
      <c r="S455" s="1"/>
      <c r="T455"/>
      <c r="U455" s="2"/>
      <c r="AK455"/>
    </row>
    <row r="456" spans="10:37">
      <c r="J456" s="6"/>
      <c r="K456" s="1"/>
      <c r="L456"/>
      <c r="R456" s="6"/>
      <c r="S456" s="1"/>
      <c r="T456"/>
      <c r="U456" s="2"/>
      <c r="AK456"/>
    </row>
    <row r="457" spans="10:37">
      <c r="J457" s="6"/>
      <c r="K457" s="1"/>
      <c r="L457"/>
      <c r="R457" s="6"/>
      <c r="S457" s="1"/>
      <c r="T457"/>
      <c r="U457" s="2"/>
      <c r="AK457"/>
    </row>
    <row r="458" spans="10:37">
      <c r="J458" s="6"/>
      <c r="K458" s="1"/>
      <c r="L458"/>
      <c r="R458" s="6"/>
      <c r="S458" s="1"/>
      <c r="T458"/>
      <c r="U458" s="2"/>
      <c r="AK458"/>
    </row>
    <row r="459" spans="10:37">
      <c r="J459" s="6"/>
      <c r="K459" s="1"/>
      <c r="L459"/>
      <c r="R459" s="6"/>
      <c r="S459" s="1"/>
      <c r="T459"/>
      <c r="U459" s="2"/>
      <c r="AK459"/>
    </row>
    <row r="460" spans="10:37">
      <c r="J460" s="6"/>
      <c r="K460" s="1"/>
      <c r="L460"/>
      <c r="R460" s="6"/>
      <c r="S460" s="1"/>
      <c r="T460"/>
      <c r="U460" s="2"/>
      <c r="AK460"/>
    </row>
    <row r="461" spans="10:37">
      <c r="J461" s="6"/>
      <c r="K461" s="1"/>
      <c r="L461"/>
      <c r="R461" s="6"/>
      <c r="S461" s="1"/>
      <c r="T461"/>
      <c r="U461" s="2"/>
      <c r="AK461"/>
    </row>
    <row r="462" spans="10:37">
      <c r="J462" s="6"/>
      <c r="K462" s="1"/>
      <c r="L462"/>
      <c r="R462" s="6"/>
      <c r="S462" s="1"/>
      <c r="T462"/>
      <c r="U462" s="2"/>
      <c r="AK462"/>
    </row>
    <row r="463" spans="10:37">
      <c r="J463" s="6"/>
      <c r="K463" s="1"/>
      <c r="L463"/>
      <c r="R463" s="6"/>
      <c r="S463" s="1"/>
      <c r="T463"/>
      <c r="U463" s="2"/>
      <c r="AK463"/>
    </row>
    <row r="464" spans="10:37">
      <c r="J464" s="6"/>
      <c r="K464" s="1"/>
      <c r="L464"/>
      <c r="R464" s="6"/>
      <c r="S464" s="1"/>
      <c r="T464"/>
      <c r="U464" s="2"/>
      <c r="AK464"/>
    </row>
    <row r="465" spans="10:37">
      <c r="J465" s="6"/>
      <c r="K465" s="1"/>
      <c r="L465"/>
      <c r="R465" s="6"/>
      <c r="S465" s="1"/>
      <c r="T465"/>
      <c r="U465" s="2"/>
      <c r="AK465"/>
    </row>
    <row r="466" spans="10:37">
      <c r="J466" s="6"/>
      <c r="K466" s="1"/>
      <c r="L466"/>
      <c r="R466" s="6"/>
      <c r="S466" s="1"/>
      <c r="T466"/>
      <c r="U466" s="2"/>
      <c r="AK466"/>
    </row>
    <row r="467" spans="10:37">
      <c r="J467" s="6"/>
      <c r="K467" s="1"/>
      <c r="L467"/>
      <c r="R467" s="6"/>
      <c r="S467" s="1"/>
      <c r="T467"/>
      <c r="U467" s="2"/>
      <c r="AK467"/>
    </row>
    <row r="468" spans="10:37">
      <c r="J468" s="6"/>
      <c r="K468" s="1"/>
      <c r="L468"/>
      <c r="R468" s="6"/>
      <c r="S468" s="1"/>
      <c r="T468"/>
      <c r="U468" s="2"/>
      <c r="AK468"/>
    </row>
    <row r="469" spans="10:37">
      <c r="J469" s="6"/>
      <c r="K469" s="1"/>
      <c r="L469"/>
      <c r="R469" s="6"/>
      <c r="S469" s="1"/>
      <c r="T469"/>
      <c r="U469" s="2"/>
      <c r="AK469"/>
    </row>
    <row r="470" spans="10:37">
      <c r="J470" s="6"/>
      <c r="K470" s="1"/>
      <c r="L470"/>
      <c r="R470" s="6"/>
      <c r="S470" s="1"/>
      <c r="T470"/>
      <c r="U470" s="2"/>
      <c r="AK470"/>
    </row>
    <row r="471" spans="10:37">
      <c r="J471" s="6"/>
      <c r="K471" s="1"/>
      <c r="L471"/>
      <c r="R471" s="6"/>
      <c r="S471" s="1"/>
      <c r="T471"/>
      <c r="U471" s="2"/>
      <c r="AK471"/>
    </row>
    <row r="472" spans="10:37">
      <c r="J472" s="6"/>
      <c r="K472" s="1"/>
      <c r="L472"/>
      <c r="R472" s="6"/>
      <c r="S472" s="1"/>
      <c r="T472"/>
      <c r="U472" s="2"/>
      <c r="AK472"/>
    </row>
    <row r="473" spans="10:37">
      <c r="J473" s="6"/>
      <c r="K473" s="1"/>
      <c r="L473"/>
      <c r="R473" s="6"/>
      <c r="S473" s="1"/>
      <c r="T473"/>
      <c r="U473" s="2"/>
      <c r="AK473"/>
    </row>
    <row r="474" spans="10:37">
      <c r="J474" s="6"/>
      <c r="K474" s="1"/>
      <c r="L474"/>
      <c r="R474" s="6"/>
      <c r="S474" s="1"/>
      <c r="T474"/>
      <c r="U474" s="2"/>
      <c r="AK474"/>
    </row>
    <row r="475" spans="10:37">
      <c r="J475" s="6"/>
      <c r="K475" s="1"/>
      <c r="L475"/>
      <c r="R475" s="6"/>
      <c r="S475" s="1"/>
      <c r="T475"/>
      <c r="U475" s="2"/>
      <c r="AK475"/>
    </row>
    <row r="476" spans="10:37">
      <c r="J476" s="6"/>
      <c r="K476" s="1"/>
      <c r="L476"/>
      <c r="R476" s="6"/>
      <c r="S476" s="1"/>
      <c r="T476"/>
      <c r="U476" s="2"/>
      <c r="AK476"/>
    </row>
    <row r="477" spans="10:37">
      <c r="J477" s="6"/>
      <c r="K477" s="1"/>
      <c r="L477"/>
      <c r="R477" s="6"/>
      <c r="S477" s="1"/>
      <c r="T477"/>
      <c r="U477" s="2"/>
      <c r="AK477"/>
    </row>
    <row r="478" spans="10:37">
      <c r="J478" s="6"/>
      <c r="K478" s="1"/>
      <c r="L478"/>
      <c r="R478" s="6"/>
      <c r="S478" s="1"/>
      <c r="T478"/>
      <c r="U478" s="2"/>
      <c r="AK478"/>
    </row>
    <row r="479" spans="10:37">
      <c r="J479" s="6"/>
      <c r="K479" s="1"/>
      <c r="L479"/>
      <c r="R479" s="6"/>
      <c r="S479" s="1"/>
      <c r="T479"/>
      <c r="U479" s="2"/>
      <c r="AK479"/>
    </row>
    <row r="480" spans="10:37">
      <c r="J480" s="6"/>
      <c r="K480" s="1"/>
      <c r="L480"/>
      <c r="R480" s="6"/>
      <c r="S480" s="1"/>
      <c r="T480"/>
      <c r="U480" s="2"/>
      <c r="AK480"/>
    </row>
    <row r="481" spans="10:37">
      <c r="J481" s="6"/>
      <c r="K481" s="1"/>
      <c r="L481"/>
      <c r="R481" s="6"/>
      <c r="S481" s="1"/>
      <c r="T481"/>
      <c r="U481" s="2"/>
      <c r="AK481"/>
    </row>
    <row r="482" spans="10:37">
      <c r="J482" s="6"/>
      <c r="K482" s="1"/>
      <c r="L482"/>
      <c r="R482" s="6"/>
      <c r="S482" s="1"/>
      <c r="T482"/>
      <c r="U482" s="2"/>
      <c r="AK482"/>
    </row>
    <row r="483" spans="10:37">
      <c r="J483" s="6"/>
      <c r="K483" s="1"/>
      <c r="L483"/>
      <c r="R483" s="6"/>
      <c r="S483" s="1"/>
      <c r="T483"/>
      <c r="U483" s="2"/>
      <c r="AK483"/>
    </row>
    <row r="484" spans="10:37">
      <c r="J484" s="6"/>
      <c r="K484" s="1"/>
      <c r="L484"/>
      <c r="R484" s="6"/>
      <c r="S484" s="1"/>
      <c r="T484"/>
      <c r="U484" s="2"/>
      <c r="AK484"/>
    </row>
    <row r="485" spans="10:37">
      <c r="J485" s="6"/>
      <c r="K485" s="1"/>
      <c r="L485"/>
      <c r="R485" s="6"/>
      <c r="S485" s="1"/>
      <c r="T485"/>
      <c r="U485" s="2"/>
      <c r="AK485"/>
    </row>
    <row r="486" spans="10:37">
      <c r="J486" s="6"/>
      <c r="K486" s="1"/>
      <c r="L486"/>
      <c r="R486" s="6"/>
      <c r="S486" s="1"/>
      <c r="T486"/>
      <c r="U486" s="2"/>
      <c r="AK486"/>
    </row>
    <row r="487" spans="10:37">
      <c r="J487" s="6"/>
      <c r="K487" s="1"/>
      <c r="L487"/>
      <c r="R487" s="6"/>
      <c r="S487" s="1"/>
      <c r="T487"/>
      <c r="U487" s="2"/>
      <c r="AK487"/>
    </row>
    <row r="488" spans="10:37">
      <c r="J488" s="6"/>
      <c r="K488" s="1"/>
      <c r="L488"/>
      <c r="R488" s="6"/>
      <c r="S488" s="1"/>
      <c r="T488"/>
      <c r="U488" s="2"/>
      <c r="AK488"/>
    </row>
    <row r="489" spans="10:37">
      <c r="J489" s="6"/>
      <c r="K489" s="1"/>
      <c r="L489"/>
      <c r="R489" s="6"/>
      <c r="S489" s="1"/>
      <c r="T489"/>
      <c r="U489" s="2"/>
      <c r="AK489"/>
    </row>
    <row r="490" spans="10:37">
      <c r="J490" s="6"/>
      <c r="K490" s="1"/>
      <c r="L490"/>
      <c r="R490" s="6"/>
      <c r="S490" s="1"/>
      <c r="T490"/>
      <c r="U490" s="2"/>
      <c r="AK490"/>
    </row>
    <row r="491" spans="10:37">
      <c r="J491" s="6"/>
      <c r="K491" s="1"/>
      <c r="L491"/>
      <c r="R491" s="6"/>
      <c r="S491" s="1"/>
      <c r="T491"/>
      <c r="U491" s="2"/>
      <c r="AK491"/>
    </row>
    <row r="492" spans="10:37">
      <c r="J492" s="6"/>
      <c r="K492" s="1"/>
      <c r="L492"/>
      <c r="R492" s="6"/>
      <c r="S492" s="1"/>
      <c r="T492"/>
      <c r="U492" s="2"/>
      <c r="AK492"/>
    </row>
    <row r="493" spans="10:37">
      <c r="J493" s="6"/>
      <c r="K493" s="1"/>
      <c r="L493"/>
      <c r="R493" s="6"/>
      <c r="S493" s="1"/>
      <c r="T493"/>
      <c r="U493" s="2"/>
      <c r="AK493"/>
    </row>
    <row r="494" spans="10:37">
      <c r="J494" s="6"/>
      <c r="K494" s="1"/>
      <c r="L494"/>
      <c r="R494" s="6"/>
      <c r="S494" s="1"/>
      <c r="T494"/>
      <c r="U494" s="2"/>
      <c r="AK494"/>
    </row>
    <row r="495" spans="10:37">
      <c r="J495" s="6"/>
      <c r="K495" s="1"/>
      <c r="L495"/>
      <c r="R495" s="6"/>
      <c r="S495" s="1"/>
      <c r="T495"/>
      <c r="U495" s="2"/>
      <c r="AK495"/>
    </row>
    <row r="496" spans="10:37">
      <c r="J496" s="6"/>
      <c r="K496" s="1"/>
      <c r="L496"/>
      <c r="R496" s="6"/>
      <c r="S496" s="1"/>
      <c r="T496"/>
      <c r="U496" s="2"/>
      <c r="AK496"/>
    </row>
    <row r="497" spans="10:37">
      <c r="J497" s="6"/>
      <c r="K497" s="1"/>
      <c r="L497"/>
      <c r="R497" s="6"/>
      <c r="S497" s="1"/>
      <c r="T497"/>
      <c r="U497" s="2"/>
      <c r="AK497"/>
    </row>
    <row r="498" spans="10:37">
      <c r="J498" s="6"/>
      <c r="K498" s="1"/>
      <c r="L498"/>
      <c r="R498" s="6"/>
      <c r="S498" s="1"/>
      <c r="T498"/>
      <c r="U498" s="2"/>
      <c r="AK498"/>
    </row>
    <row r="499" spans="10:37">
      <c r="J499" s="6"/>
      <c r="K499" s="1"/>
      <c r="L499"/>
      <c r="R499" s="6"/>
      <c r="S499" s="1"/>
      <c r="T499"/>
      <c r="U499" s="2"/>
      <c r="AK499"/>
    </row>
    <row r="500" spans="10:37">
      <c r="J500" s="6"/>
      <c r="K500" s="1"/>
      <c r="L500"/>
      <c r="R500" s="6"/>
      <c r="S500" s="1"/>
      <c r="T500"/>
      <c r="U500" s="2"/>
      <c r="AK500"/>
    </row>
    <row r="501" spans="10:37">
      <c r="J501" s="6"/>
      <c r="K501" s="1"/>
      <c r="L501"/>
      <c r="R501" s="6"/>
      <c r="S501" s="1"/>
      <c r="T501"/>
      <c r="U501" s="2"/>
      <c r="AK501"/>
    </row>
    <row r="502" spans="10:37">
      <c r="J502" s="6"/>
      <c r="K502" s="1"/>
      <c r="L502"/>
      <c r="R502" s="6"/>
      <c r="S502" s="1"/>
      <c r="T502"/>
      <c r="U502" s="2"/>
      <c r="AK502"/>
    </row>
    <row r="503" spans="10:37">
      <c r="J503" s="6"/>
      <c r="K503" s="1"/>
      <c r="L503"/>
      <c r="R503" s="6"/>
      <c r="S503" s="1"/>
      <c r="T503"/>
      <c r="U503" s="2"/>
      <c r="AK503"/>
    </row>
    <row r="504" spans="10:37">
      <c r="J504" s="6"/>
      <c r="K504" s="1"/>
      <c r="L504"/>
      <c r="R504" s="6"/>
      <c r="S504" s="1"/>
      <c r="T504"/>
      <c r="U504" s="2"/>
      <c r="AK504"/>
    </row>
    <row r="505" spans="10:37">
      <c r="J505" s="6"/>
      <c r="K505" s="1"/>
      <c r="L505"/>
      <c r="R505" s="6"/>
      <c r="S505" s="1"/>
      <c r="T505"/>
      <c r="U505" s="2"/>
      <c r="AK505"/>
    </row>
    <row r="506" spans="10:37">
      <c r="J506" s="6"/>
      <c r="K506" s="1"/>
      <c r="L506"/>
      <c r="R506" s="6"/>
      <c r="S506" s="1"/>
      <c r="T506"/>
      <c r="U506" s="2"/>
      <c r="AK506"/>
    </row>
    <row r="507" spans="10:37">
      <c r="J507" s="6"/>
      <c r="K507" s="1"/>
      <c r="L507"/>
      <c r="R507" s="6"/>
      <c r="S507" s="1"/>
      <c r="T507"/>
      <c r="U507" s="2"/>
      <c r="AK507"/>
    </row>
    <row r="508" spans="10:37">
      <c r="J508" s="6"/>
      <c r="K508" s="1"/>
      <c r="L508"/>
      <c r="R508" s="6"/>
      <c r="S508" s="1"/>
      <c r="T508"/>
      <c r="U508" s="2"/>
      <c r="AK508"/>
    </row>
    <row r="509" spans="10:37">
      <c r="J509" s="6"/>
      <c r="K509" s="1"/>
      <c r="L509"/>
      <c r="R509" s="6"/>
      <c r="S509" s="1"/>
      <c r="T509"/>
      <c r="U509" s="2"/>
      <c r="AK509"/>
    </row>
    <row r="510" spans="10:37">
      <c r="J510" s="6"/>
      <c r="K510" s="1"/>
      <c r="L510"/>
      <c r="R510" s="6"/>
      <c r="S510" s="1"/>
      <c r="T510"/>
      <c r="U510" s="2"/>
      <c r="AK510"/>
    </row>
    <row r="511" spans="10:37">
      <c r="J511" s="6"/>
      <c r="K511" s="1"/>
      <c r="L511"/>
      <c r="R511" s="6"/>
      <c r="S511" s="1"/>
      <c r="T511"/>
      <c r="U511" s="2"/>
      <c r="AK511"/>
    </row>
    <row r="512" spans="10:37">
      <c r="J512" s="6"/>
      <c r="K512" s="1"/>
      <c r="L512"/>
      <c r="R512" s="6"/>
      <c r="S512" s="1"/>
      <c r="T512"/>
      <c r="U512" s="2"/>
      <c r="AK512"/>
    </row>
    <row r="513" spans="10:37">
      <c r="J513" s="6"/>
      <c r="K513" s="1"/>
      <c r="L513"/>
      <c r="R513" s="6"/>
      <c r="S513" s="1"/>
      <c r="T513"/>
      <c r="U513" s="2"/>
      <c r="AK513"/>
    </row>
    <row r="514" spans="10:37">
      <c r="J514" s="6"/>
      <c r="K514" s="1"/>
      <c r="L514"/>
      <c r="R514" s="6"/>
      <c r="S514" s="1"/>
      <c r="T514"/>
      <c r="U514" s="2"/>
      <c r="AK514"/>
    </row>
    <row r="515" spans="10:37">
      <c r="J515" s="6"/>
      <c r="K515" s="1"/>
      <c r="L515"/>
      <c r="R515" s="6"/>
      <c r="S515" s="1"/>
      <c r="T515"/>
      <c r="U515" s="2"/>
      <c r="AK515"/>
    </row>
    <row r="516" spans="10:37">
      <c r="J516" s="6"/>
      <c r="K516" s="1"/>
      <c r="L516"/>
      <c r="R516" s="6"/>
      <c r="S516" s="1"/>
      <c r="T516"/>
      <c r="U516" s="2"/>
      <c r="AK516"/>
    </row>
    <row r="517" spans="10:37">
      <c r="J517" s="6"/>
      <c r="K517" s="1"/>
      <c r="L517"/>
      <c r="R517" s="6"/>
      <c r="S517" s="1"/>
      <c r="T517"/>
      <c r="U517" s="2"/>
      <c r="AK517"/>
    </row>
    <row r="518" spans="10:37">
      <c r="J518" s="6"/>
      <c r="K518" s="1"/>
      <c r="L518"/>
      <c r="R518" s="6"/>
      <c r="S518" s="1"/>
      <c r="T518"/>
      <c r="U518" s="2"/>
      <c r="AK518"/>
    </row>
    <row r="519" spans="10:37">
      <c r="J519" s="6"/>
      <c r="K519" s="1"/>
      <c r="L519"/>
      <c r="R519" s="6"/>
      <c r="S519" s="1"/>
      <c r="T519"/>
      <c r="U519" s="2"/>
      <c r="AK519"/>
    </row>
    <row r="520" spans="10:37">
      <c r="J520" s="6"/>
      <c r="K520" s="1"/>
      <c r="L520"/>
      <c r="R520" s="6"/>
      <c r="S520" s="1"/>
      <c r="T520"/>
      <c r="U520" s="2"/>
      <c r="AK520"/>
    </row>
    <row r="521" spans="10:37">
      <c r="J521" s="6"/>
      <c r="K521" s="1"/>
      <c r="L521"/>
      <c r="R521" s="6"/>
      <c r="S521" s="1"/>
      <c r="T521"/>
      <c r="U521" s="2"/>
      <c r="AK521"/>
    </row>
    <row r="522" spans="10:37">
      <c r="J522" s="6"/>
      <c r="K522" s="1"/>
      <c r="L522"/>
      <c r="R522" s="6"/>
      <c r="S522" s="1"/>
      <c r="T522"/>
      <c r="U522" s="2"/>
      <c r="AK522"/>
    </row>
    <row r="523" spans="10:37">
      <c r="J523" s="6"/>
      <c r="K523" s="1"/>
      <c r="L523"/>
      <c r="R523" s="6"/>
      <c r="S523" s="1"/>
      <c r="T523"/>
      <c r="U523" s="2"/>
      <c r="AK523"/>
    </row>
    <row r="524" spans="10:37">
      <c r="J524" s="6"/>
      <c r="K524" s="1"/>
      <c r="L524"/>
      <c r="R524" s="6"/>
      <c r="S524" s="1"/>
      <c r="T524"/>
      <c r="U524" s="2"/>
      <c r="AK524"/>
    </row>
    <row r="525" spans="10:37">
      <c r="J525" s="6"/>
      <c r="K525" s="1"/>
      <c r="L525"/>
      <c r="R525" s="6"/>
      <c r="S525" s="1"/>
      <c r="T525"/>
      <c r="U525" s="2"/>
      <c r="AK525"/>
    </row>
    <row r="526" spans="10:37">
      <c r="J526" s="6"/>
      <c r="K526" s="1"/>
      <c r="L526"/>
      <c r="R526" s="6"/>
      <c r="S526" s="1"/>
      <c r="T526"/>
      <c r="U526" s="2"/>
      <c r="AK526"/>
    </row>
    <row r="527" spans="10:37">
      <c r="J527" s="6"/>
      <c r="K527" s="1"/>
      <c r="L527"/>
      <c r="R527" s="6"/>
      <c r="S527" s="1"/>
      <c r="T527"/>
      <c r="U527" s="2"/>
      <c r="AK527"/>
    </row>
    <row r="528" spans="10:37">
      <c r="J528" s="6"/>
      <c r="K528" s="1"/>
      <c r="L528"/>
      <c r="R528" s="6"/>
      <c r="S528" s="1"/>
      <c r="T528"/>
      <c r="U528" s="2"/>
      <c r="AK528"/>
    </row>
    <row r="529" spans="10:37">
      <c r="J529" s="6"/>
      <c r="K529" s="1"/>
      <c r="L529"/>
      <c r="R529" s="6"/>
      <c r="S529" s="1"/>
      <c r="T529"/>
      <c r="U529" s="2"/>
      <c r="AK529"/>
    </row>
    <row r="530" spans="10:37">
      <c r="J530" s="6"/>
      <c r="K530" s="1"/>
      <c r="L530"/>
      <c r="R530" s="6"/>
      <c r="S530" s="1"/>
      <c r="T530"/>
      <c r="U530" s="2"/>
      <c r="AK530"/>
    </row>
    <row r="531" spans="10:37">
      <c r="J531" s="6"/>
      <c r="K531" s="1"/>
      <c r="L531"/>
      <c r="R531" s="6"/>
      <c r="S531" s="1"/>
      <c r="T531"/>
      <c r="U531" s="2"/>
      <c r="AK531"/>
    </row>
    <row r="532" spans="10:37">
      <c r="J532" s="6"/>
      <c r="K532" s="1"/>
      <c r="L532"/>
      <c r="R532" s="6"/>
      <c r="S532" s="1"/>
      <c r="T532"/>
      <c r="U532" s="2"/>
      <c r="AK532"/>
    </row>
    <row r="533" spans="10:37">
      <c r="J533" s="6"/>
      <c r="K533" s="1"/>
      <c r="L533"/>
      <c r="R533" s="6"/>
      <c r="S533" s="1"/>
      <c r="T533"/>
      <c r="U533" s="2"/>
      <c r="AK533"/>
    </row>
    <row r="534" spans="10:37">
      <c r="J534" s="6"/>
      <c r="K534" s="1"/>
      <c r="L534"/>
      <c r="R534" s="6"/>
      <c r="S534" s="1"/>
      <c r="T534"/>
      <c r="U534" s="2"/>
      <c r="AK534"/>
    </row>
    <row r="535" spans="10:37">
      <c r="J535" s="6"/>
      <c r="K535" s="1"/>
      <c r="L535"/>
      <c r="R535" s="6"/>
      <c r="S535" s="1"/>
      <c r="T535"/>
      <c r="U535" s="2"/>
      <c r="AK535"/>
    </row>
    <row r="536" spans="10:37">
      <c r="J536" s="6"/>
      <c r="K536" s="1"/>
      <c r="L536"/>
      <c r="R536" s="6"/>
      <c r="S536" s="1"/>
      <c r="T536"/>
      <c r="U536" s="2"/>
      <c r="AK536"/>
    </row>
    <row r="537" spans="10:37">
      <c r="J537" s="6"/>
      <c r="K537" s="1"/>
      <c r="L537"/>
      <c r="R537" s="6"/>
      <c r="S537" s="1"/>
      <c r="T537"/>
      <c r="U537" s="2"/>
      <c r="AK537"/>
    </row>
    <row r="538" spans="10:37">
      <c r="J538" s="6"/>
      <c r="K538" s="1"/>
      <c r="L538"/>
      <c r="R538" s="6"/>
      <c r="S538" s="1"/>
      <c r="T538"/>
      <c r="U538" s="2"/>
      <c r="AK538"/>
    </row>
    <row r="539" spans="10:37">
      <c r="J539" s="6"/>
      <c r="K539" s="1"/>
      <c r="L539"/>
      <c r="R539" s="6"/>
      <c r="S539" s="1"/>
      <c r="T539"/>
      <c r="U539" s="2"/>
      <c r="AK539"/>
    </row>
    <row r="540" spans="10:37">
      <c r="J540" s="6"/>
      <c r="K540" s="1"/>
      <c r="L540"/>
      <c r="R540" s="6"/>
      <c r="S540" s="1"/>
      <c r="T540"/>
      <c r="U540" s="2"/>
      <c r="AK540"/>
    </row>
    <row r="541" spans="10:37">
      <c r="J541" s="6"/>
      <c r="K541" s="1"/>
      <c r="L541"/>
      <c r="R541" s="6"/>
      <c r="S541" s="1"/>
      <c r="T541"/>
      <c r="U541" s="2"/>
      <c r="AK541"/>
    </row>
    <row r="542" spans="10:37">
      <c r="J542" s="6"/>
      <c r="K542" s="1"/>
      <c r="L542"/>
      <c r="R542" s="6"/>
      <c r="S542" s="1"/>
      <c r="T542"/>
      <c r="U542" s="2"/>
      <c r="AK542"/>
    </row>
    <row r="543" spans="10:37">
      <c r="J543" s="6"/>
      <c r="K543" s="1"/>
      <c r="L543"/>
      <c r="R543" s="6"/>
      <c r="S543" s="1"/>
      <c r="T543"/>
      <c r="U543" s="2"/>
      <c r="AK543"/>
    </row>
    <row r="544" spans="10:37">
      <c r="J544" s="6"/>
      <c r="K544" s="1"/>
      <c r="L544"/>
      <c r="R544" s="6"/>
      <c r="S544" s="1"/>
      <c r="T544"/>
      <c r="U544" s="2"/>
      <c r="AK544"/>
    </row>
    <row r="545" spans="10:37">
      <c r="J545" s="6"/>
      <c r="K545" s="1"/>
      <c r="L545"/>
      <c r="R545" s="6"/>
      <c r="S545" s="1"/>
      <c r="T545"/>
      <c r="U545" s="2"/>
      <c r="AK545"/>
    </row>
    <row r="546" spans="10:37">
      <c r="J546" s="6"/>
      <c r="K546" s="1"/>
      <c r="L546"/>
      <c r="R546" s="6"/>
      <c r="S546" s="1"/>
      <c r="T546"/>
      <c r="U546" s="2"/>
      <c r="AK546"/>
    </row>
    <row r="547" spans="10:37">
      <c r="J547" s="6"/>
      <c r="K547" s="1"/>
      <c r="L547"/>
      <c r="R547" s="6"/>
      <c r="S547" s="1"/>
      <c r="T547"/>
      <c r="U547" s="2"/>
      <c r="AK547"/>
    </row>
    <row r="548" spans="10:37">
      <c r="J548" s="6"/>
      <c r="K548" s="1"/>
      <c r="L548"/>
      <c r="R548" s="6"/>
      <c r="S548" s="1"/>
      <c r="T548"/>
      <c r="U548" s="2"/>
      <c r="AK548"/>
    </row>
    <row r="549" spans="10:37">
      <c r="J549" s="6"/>
      <c r="K549" s="1"/>
      <c r="L549"/>
      <c r="R549" s="6"/>
      <c r="S549" s="1"/>
      <c r="T549"/>
      <c r="U549" s="2"/>
      <c r="AK549"/>
    </row>
    <row r="550" spans="10:37">
      <c r="J550" s="6"/>
      <c r="K550" s="1"/>
      <c r="L550"/>
      <c r="R550" s="6"/>
      <c r="S550" s="1"/>
      <c r="T550"/>
      <c r="U550" s="2"/>
      <c r="AK550"/>
    </row>
    <row r="551" spans="10:37">
      <c r="J551" s="6"/>
      <c r="K551" s="1"/>
      <c r="L551"/>
      <c r="R551" s="6"/>
      <c r="S551" s="1"/>
      <c r="T551"/>
      <c r="U551" s="2"/>
      <c r="AK551"/>
    </row>
    <row r="552" spans="10:37">
      <c r="J552" s="6"/>
      <c r="K552" s="1"/>
      <c r="L552"/>
      <c r="R552" s="6"/>
      <c r="S552" s="1"/>
      <c r="T552"/>
      <c r="U552" s="2"/>
      <c r="AK552"/>
    </row>
    <row r="553" spans="10:37">
      <c r="J553" s="6"/>
      <c r="K553" s="1"/>
      <c r="L553"/>
      <c r="R553" s="6"/>
      <c r="S553" s="1"/>
      <c r="T553"/>
      <c r="U553" s="2"/>
      <c r="AK553"/>
    </row>
    <row r="554" spans="10:37">
      <c r="J554" s="6"/>
      <c r="K554" s="1"/>
      <c r="L554"/>
      <c r="R554" s="6"/>
      <c r="S554" s="1"/>
      <c r="T554"/>
      <c r="U554" s="2"/>
      <c r="AK554"/>
    </row>
    <row r="555" spans="10:37">
      <c r="J555" s="6"/>
      <c r="K555" s="1"/>
      <c r="L555"/>
      <c r="R555" s="6"/>
      <c r="S555" s="1"/>
      <c r="T555"/>
      <c r="U555" s="2"/>
      <c r="AK555"/>
    </row>
    <row r="556" spans="10:37">
      <c r="J556" s="6"/>
      <c r="K556" s="1"/>
      <c r="L556"/>
      <c r="R556" s="6"/>
      <c r="S556" s="1"/>
      <c r="T556"/>
      <c r="U556" s="2"/>
      <c r="AK556"/>
    </row>
    <row r="557" spans="10:37">
      <c r="J557" s="6"/>
      <c r="K557" s="1"/>
      <c r="L557"/>
      <c r="R557" s="6"/>
      <c r="S557" s="1"/>
      <c r="T557"/>
      <c r="U557" s="2"/>
      <c r="AK557"/>
    </row>
    <row r="558" spans="10:37">
      <c r="J558" s="6"/>
      <c r="K558" s="1"/>
      <c r="L558"/>
      <c r="R558" s="6"/>
      <c r="S558" s="1"/>
      <c r="T558"/>
      <c r="U558" s="2"/>
      <c r="AK558"/>
    </row>
    <row r="559" spans="10:37">
      <c r="J559" s="6"/>
      <c r="K559" s="1"/>
      <c r="L559"/>
      <c r="R559" s="6"/>
      <c r="S559" s="1"/>
      <c r="T559"/>
      <c r="U559" s="2"/>
      <c r="AK559"/>
    </row>
    <row r="560" spans="10:37">
      <c r="J560" s="6"/>
      <c r="K560" s="1"/>
      <c r="L560"/>
      <c r="R560" s="6"/>
      <c r="S560" s="1"/>
      <c r="T560"/>
      <c r="U560" s="2"/>
      <c r="AK560"/>
    </row>
    <row r="561" spans="10:37">
      <c r="J561" s="6"/>
      <c r="K561" s="1"/>
      <c r="L561"/>
      <c r="R561" s="6"/>
      <c r="S561" s="1"/>
      <c r="T561"/>
      <c r="U561" s="2"/>
      <c r="AK561"/>
    </row>
    <row r="562" spans="10:37">
      <c r="J562" s="6"/>
      <c r="K562" s="1"/>
      <c r="L562"/>
      <c r="R562" s="6"/>
      <c r="S562" s="1"/>
      <c r="T562"/>
      <c r="U562" s="2"/>
      <c r="AK562"/>
    </row>
    <row r="563" spans="10:37">
      <c r="J563" s="6"/>
      <c r="K563" s="1"/>
      <c r="L563"/>
      <c r="R563" s="6"/>
      <c r="S563" s="1"/>
      <c r="T563"/>
      <c r="U563" s="2"/>
      <c r="AK563"/>
    </row>
    <row r="564" spans="10:37">
      <c r="J564" s="6"/>
      <c r="K564" s="1"/>
      <c r="L564"/>
      <c r="R564" s="6"/>
      <c r="S564" s="1"/>
      <c r="T564"/>
      <c r="U564" s="2"/>
      <c r="AK564"/>
    </row>
    <row r="565" spans="10:37">
      <c r="J565" s="6"/>
      <c r="K565" s="1"/>
      <c r="L565"/>
      <c r="R565" s="6"/>
      <c r="S565" s="1"/>
      <c r="T565"/>
      <c r="U565" s="2"/>
      <c r="AK565"/>
    </row>
    <row r="566" spans="10:37">
      <c r="J566" s="6"/>
      <c r="K566" s="1"/>
      <c r="L566"/>
      <c r="R566" s="6"/>
      <c r="S566" s="1"/>
      <c r="T566"/>
      <c r="U566" s="2"/>
      <c r="AK566"/>
    </row>
    <row r="567" spans="10:37">
      <c r="J567" s="6"/>
      <c r="K567" s="1"/>
      <c r="L567"/>
      <c r="R567" s="6"/>
      <c r="S567" s="1"/>
      <c r="T567"/>
      <c r="U567" s="2"/>
      <c r="AK567"/>
    </row>
    <row r="568" spans="10:37">
      <c r="J568" s="6"/>
      <c r="K568" s="1"/>
      <c r="L568"/>
      <c r="R568" s="6"/>
      <c r="S568" s="1"/>
      <c r="T568"/>
      <c r="U568" s="2"/>
      <c r="AK568"/>
    </row>
    <row r="569" spans="10:37">
      <c r="J569" s="6"/>
      <c r="K569" s="1"/>
      <c r="L569"/>
      <c r="R569" s="6"/>
      <c r="S569" s="1"/>
      <c r="T569"/>
      <c r="U569" s="2"/>
      <c r="AK569"/>
    </row>
    <row r="570" spans="10:37">
      <c r="J570" s="6"/>
      <c r="K570" s="1"/>
      <c r="L570"/>
      <c r="R570" s="6"/>
      <c r="S570" s="1"/>
      <c r="T570"/>
      <c r="U570" s="2"/>
      <c r="AK570"/>
    </row>
    <row r="571" spans="10:37">
      <c r="J571" s="6"/>
      <c r="K571" s="1"/>
      <c r="L571"/>
      <c r="R571" s="6"/>
      <c r="S571" s="1"/>
      <c r="T571"/>
      <c r="U571" s="2"/>
      <c r="AK571"/>
    </row>
    <row r="572" spans="10:37">
      <c r="J572" s="6"/>
      <c r="K572" s="1"/>
      <c r="L572"/>
      <c r="R572" s="6"/>
      <c r="S572" s="1"/>
      <c r="T572"/>
      <c r="U572" s="2"/>
      <c r="AK572"/>
    </row>
    <row r="573" spans="10:37">
      <c r="J573" s="6"/>
      <c r="K573" s="1"/>
      <c r="L573"/>
      <c r="R573" s="6"/>
      <c r="S573" s="1"/>
      <c r="T573"/>
      <c r="U573" s="2"/>
      <c r="AK573"/>
    </row>
    <row r="574" spans="10:37">
      <c r="J574" s="6"/>
      <c r="K574" s="1"/>
      <c r="L574"/>
      <c r="R574" s="6"/>
      <c r="S574" s="1"/>
      <c r="T574"/>
      <c r="U574" s="2"/>
      <c r="AK574"/>
    </row>
    <row r="575" spans="10:37">
      <c r="J575" s="6"/>
      <c r="K575" s="1"/>
      <c r="L575"/>
      <c r="R575" s="6"/>
      <c r="S575" s="1"/>
      <c r="T575"/>
      <c r="U575" s="2"/>
      <c r="AK575"/>
    </row>
    <row r="576" spans="10:37">
      <c r="J576" s="6"/>
      <c r="K576" s="1"/>
      <c r="L576"/>
      <c r="R576" s="6"/>
      <c r="S576" s="1"/>
      <c r="T576"/>
      <c r="U576" s="2"/>
      <c r="AK576"/>
    </row>
    <row r="577" spans="10:37">
      <c r="J577" s="6"/>
      <c r="K577" s="1"/>
      <c r="L577"/>
      <c r="R577" s="6"/>
      <c r="S577" s="1"/>
      <c r="T577"/>
      <c r="U577" s="2"/>
      <c r="AK577"/>
    </row>
    <row r="578" spans="10:37">
      <c r="J578" s="6"/>
      <c r="K578" s="1"/>
      <c r="L578"/>
      <c r="R578" s="6"/>
      <c r="S578" s="1"/>
      <c r="T578"/>
      <c r="U578" s="2"/>
      <c r="AK578"/>
    </row>
    <row r="579" spans="10:37">
      <c r="J579" s="6"/>
      <c r="K579" s="1"/>
      <c r="L579"/>
      <c r="R579" s="6"/>
      <c r="S579" s="1"/>
      <c r="T579"/>
      <c r="U579" s="2"/>
      <c r="AK579"/>
    </row>
    <row r="580" spans="10:37">
      <c r="J580" s="6"/>
      <c r="K580" s="1"/>
      <c r="L580"/>
      <c r="R580" s="6"/>
      <c r="S580" s="1"/>
      <c r="T580"/>
      <c r="U580" s="2"/>
      <c r="AK580"/>
    </row>
    <row r="581" spans="10:37">
      <c r="J581" s="6"/>
      <c r="K581" s="1"/>
      <c r="L581"/>
      <c r="R581" s="6"/>
      <c r="S581" s="1"/>
      <c r="T581"/>
      <c r="U581" s="2"/>
      <c r="AK581"/>
    </row>
    <row r="582" spans="10:37">
      <c r="J582" s="6"/>
      <c r="K582" s="1"/>
      <c r="L582"/>
      <c r="R582" s="6"/>
      <c r="S582" s="1"/>
      <c r="T582"/>
      <c r="U582" s="2"/>
      <c r="AK582"/>
    </row>
    <row r="583" spans="10:37">
      <c r="J583" s="6"/>
      <c r="K583" s="1"/>
      <c r="L583"/>
      <c r="R583" s="6"/>
      <c r="S583" s="1"/>
      <c r="T583"/>
      <c r="U583" s="2"/>
      <c r="AK583"/>
    </row>
    <row r="584" spans="10:37">
      <c r="J584" s="6"/>
      <c r="K584" s="1"/>
      <c r="L584"/>
      <c r="R584" s="6"/>
      <c r="S584" s="1"/>
      <c r="T584"/>
      <c r="U584" s="2"/>
      <c r="AK584"/>
    </row>
    <row r="585" spans="10:37">
      <c r="J585" s="6"/>
      <c r="K585" s="1"/>
      <c r="L585"/>
      <c r="R585" s="6"/>
      <c r="S585" s="1"/>
      <c r="T585"/>
      <c r="U585" s="2"/>
      <c r="AK585"/>
    </row>
    <row r="586" spans="10:37">
      <c r="J586" s="6"/>
      <c r="K586" s="1"/>
      <c r="L586"/>
      <c r="R586" s="6"/>
      <c r="S586" s="1"/>
      <c r="T586"/>
      <c r="U586" s="2"/>
      <c r="AK586"/>
    </row>
    <row r="587" spans="10:37">
      <c r="J587" s="6"/>
      <c r="K587" s="1"/>
      <c r="L587"/>
      <c r="R587" s="6"/>
      <c r="S587" s="1"/>
      <c r="T587"/>
      <c r="U587" s="2"/>
      <c r="AK587"/>
    </row>
    <row r="588" spans="10:37">
      <c r="J588" s="6"/>
      <c r="K588" s="1"/>
      <c r="L588"/>
      <c r="R588" s="6"/>
      <c r="S588" s="1"/>
      <c r="T588"/>
      <c r="U588" s="2"/>
      <c r="AK588"/>
    </row>
    <row r="589" spans="10:37">
      <c r="J589" s="6"/>
      <c r="K589" s="1"/>
      <c r="L589"/>
      <c r="R589" s="6"/>
      <c r="S589" s="1"/>
      <c r="T589"/>
      <c r="U589" s="2"/>
      <c r="AK589"/>
    </row>
    <row r="590" spans="10:37">
      <c r="J590" s="6"/>
      <c r="K590" s="1"/>
      <c r="L590"/>
      <c r="R590" s="6"/>
      <c r="S590" s="1"/>
      <c r="T590"/>
      <c r="U590" s="2"/>
      <c r="AK590"/>
    </row>
    <row r="591" spans="10:37">
      <c r="J591" s="6"/>
      <c r="K591" s="1"/>
      <c r="L591"/>
      <c r="R591" s="6"/>
      <c r="S591" s="1"/>
      <c r="T591"/>
      <c r="U591" s="2"/>
      <c r="AK591"/>
    </row>
    <row r="592" spans="10:37">
      <c r="J592" s="6"/>
      <c r="K592" s="1"/>
      <c r="L592"/>
      <c r="R592" s="6"/>
      <c r="S592" s="1"/>
      <c r="T592"/>
      <c r="U592" s="2"/>
      <c r="AK592"/>
    </row>
    <row r="593" spans="10:37">
      <c r="J593" s="6"/>
      <c r="K593" s="1"/>
      <c r="L593"/>
      <c r="R593" s="6"/>
      <c r="S593" s="1"/>
      <c r="T593"/>
      <c r="U593" s="2"/>
      <c r="AK593"/>
    </row>
    <row r="594" spans="10:37">
      <c r="J594" s="6"/>
      <c r="K594" s="1"/>
      <c r="L594"/>
      <c r="R594" s="6"/>
      <c r="S594" s="1"/>
      <c r="T594"/>
      <c r="U594" s="2"/>
      <c r="AK594"/>
    </row>
    <row r="595" spans="10:37">
      <c r="J595" s="6"/>
      <c r="K595" s="1"/>
      <c r="L595"/>
      <c r="R595" s="6"/>
      <c r="S595" s="1"/>
      <c r="T595"/>
      <c r="U595" s="2"/>
      <c r="AK595"/>
    </row>
    <row r="596" spans="10:37">
      <c r="J596" s="6"/>
      <c r="K596" s="1"/>
      <c r="L596"/>
      <c r="R596" s="6"/>
      <c r="S596" s="1"/>
      <c r="T596"/>
      <c r="U596" s="2"/>
      <c r="AK596"/>
    </row>
    <row r="597" spans="10:37">
      <c r="J597" s="6"/>
      <c r="K597" s="1"/>
      <c r="L597"/>
      <c r="R597" s="6"/>
      <c r="S597" s="1"/>
      <c r="T597"/>
      <c r="U597" s="2"/>
      <c r="AK597"/>
    </row>
    <row r="598" spans="10:37">
      <c r="J598" s="6"/>
      <c r="K598" s="1"/>
      <c r="L598"/>
      <c r="R598" s="6"/>
      <c r="S598" s="1"/>
      <c r="T598"/>
      <c r="U598" s="2"/>
      <c r="AK598"/>
    </row>
    <row r="599" spans="10:37">
      <c r="J599" s="6"/>
      <c r="K599" s="1"/>
      <c r="L599"/>
      <c r="R599" s="6"/>
      <c r="S599" s="1"/>
      <c r="T599"/>
      <c r="U599" s="2"/>
      <c r="AK599"/>
    </row>
    <row r="600" spans="10:37">
      <c r="J600" s="6"/>
      <c r="K600" s="1"/>
      <c r="L600"/>
      <c r="R600" s="6"/>
      <c r="S600" s="1"/>
      <c r="T600"/>
      <c r="U600" s="2"/>
      <c r="AK600"/>
    </row>
    <row r="601" spans="10:37">
      <c r="J601" s="6"/>
      <c r="K601" s="1"/>
      <c r="L601"/>
      <c r="R601" s="6"/>
      <c r="S601" s="1"/>
      <c r="T601"/>
      <c r="U601" s="2"/>
      <c r="AK601"/>
    </row>
    <row r="602" spans="10:37">
      <c r="J602" s="6"/>
      <c r="K602" s="1"/>
      <c r="L602"/>
      <c r="R602" s="6"/>
      <c r="S602" s="1"/>
      <c r="T602"/>
      <c r="U602" s="2"/>
      <c r="AK602"/>
    </row>
    <row r="603" spans="10:37">
      <c r="J603" s="6"/>
      <c r="K603" s="1"/>
      <c r="L603"/>
      <c r="R603" s="6"/>
      <c r="S603" s="1"/>
      <c r="T603"/>
      <c r="U603" s="2"/>
      <c r="AK603"/>
    </row>
    <row r="604" spans="10:37">
      <c r="J604" s="6"/>
      <c r="K604" s="1"/>
      <c r="L604"/>
      <c r="R604" s="6"/>
      <c r="S604" s="1"/>
      <c r="T604"/>
      <c r="U604" s="2"/>
      <c r="AK604"/>
    </row>
    <row r="605" spans="10:37">
      <c r="J605" s="6"/>
      <c r="K605" s="1"/>
      <c r="L605"/>
      <c r="R605" s="6"/>
      <c r="S605" s="1"/>
      <c r="T605"/>
      <c r="U605" s="2"/>
      <c r="AK605"/>
    </row>
    <row r="606" spans="10:37">
      <c r="J606" s="6"/>
      <c r="K606" s="1"/>
      <c r="L606"/>
      <c r="R606" s="6"/>
      <c r="S606" s="1"/>
      <c r="T606"/>
      <c r="U606" s="2"/>
      <c r="AK606"/>
    </row>
    <row r="607" spans="10:37">
      <c r="J607" s="6"/>
      <c r="K607" s="1"/>
      <c r="L607"/>
      <c r="R607" s="6"/>
      <c r="S607" s="1"/>
      <c r="T607"/>
      <c r="U607" s="2"/>
      <c r="AK607"/>
    </row>
    <row r="608" spans="10:37">
      <c r="J608" s="6"/>
      <c r="K608" s="1"/>
      <c r="L608"/>
      <c r="R608" s="6"/>
      <c r="S608" s="1"/>
      <c r="T608"/>
      <c r="U608" s="2"/>
      <c r="AK608"/>
    </row>
    <row r="609" spans="10:37">
      <c r="J609" s="6"/>
      <c r="K609" s="1"/>
      <c r="L609"/>
      <c r="R609" s="6"/>
      <c r="S609" s="1"/>
      <c r="T609"/>
      <c r="U609" s="2"/>
      <c r="AK609"/>
    </row>
    <row r="610" spans="10:37">
      <c r="J610" s="6"/>
      <c r="K610" s="1"/>
      <c r="L610"/>
      <c r="R610" s="6"/>
      <c r="S610" s="1"/>
      <c r="T610"/>
      <c r="U610" s="2"/>
      <c r="AK610"/>
    </row>
    <row r="611" spans="10:37">
      <c r="J611" s="6"/>
      <c r="K611" s="1"/>
      <c r="L611"/>
      <c r="R611" s="6"/>
      <c r="S611" s="1"/>
      <c r="T611"/>
      <c r="U611" s="2"/>
      <c r="AK611"/>
    </row>
    <row r="612" spans="10:37">
      <c r="J612" s="6"/>
      <c r="K612" s="1"/>
      <c r="L612"/>
      <c r="R612" s="6"/>
      <c r="S612" s="1"/>
      <c r="T612"/>
      <c r="U612" s="2"/>
      <c r="AK612"/>
    </row>
    <row r="613" spans="10:37">
      <c r="J613" s="6"/>
      <c r="K613" s="1"/>
      <c r="L613"/>
      <c r="R613" s="6"/>
      <c r="S613" s="1"/>
      <c r="T613"/>
      <c r="U613" s="2"/>
      <c r="AK613"/>
    </row>
    <row r="614" spans="10:37">
      <c r="J614" s="6"/>
      <c r="K614" s="1"/>
      <c r="L614"/>
      <c r="R614" s="6"/>
      <c r="S614" s="1"/>
      <c r="T614"/>
      <c r="U614" s="2"/>
      <c r="AK614"/>
    </row>
    <row r="615" spans="10:37">
      <c r="J615" s="6"/>
      <c r="K615" s="1"/>
      <c r="L615"/>
      <c r="R615" s="6"/>
      <c r="S615" s="1"/>
      <c r="T615"/>
      <c r="U615" s="2"/>
      <c r="AK615"/>
    </row>
    <row r="616" spans="10:37">
      <c r="J616" s="6"/>
      <c r="K616" s="1"/>
      <c r="L616"/>
      <c r="R616" s="6"/>
      <c r="S616" s="1"/>
      <c r="T616"/>
      <c r="U616" s="2"/>
      <c r="AK616"/>
    </row>
    <row r="617" spans="10:37">
      <c r="J617" s="6"/>
      <c r="K617" s="1"/>
      <c r="L617"/>
      <c r="R617" s="6"/>
      <c r="S617" s="1"/>
      <c r="T617"/>
      <c r="U617" s="2"/>
      <c r="AK617"/>
    </row>
    <row r="618" spans="10:37">
      <c r="J618" s="6"/>
      <c r="K618" s="1"/>
      <c r="L618"/>
      <c r="R618" s="6"/>
      <c r="S618" s="1"/>
      <c r="T618"/>
      <c r="U618" s="2"/>
      <c r="AK618"/>
    </row>
    <row r="619" spans="10:37">
      <c r="J619" s="6"/>
      <c r="K619" s="1"/>
      <c r="L619"/>
      <c r="R619" s="6"/>
      <c r="S619" s="1"/>
      <c r="T619"/>
      <c r="U619" s="2"/>
      <c r="AK619"/>
    </row>
    <row r="620" spans="10:37">
      <c r="J620" s="6"/>
      <c r="K620" s="1"/>
      <c r="L620"/>
      <c r="R620" s="6"/>
      <c r="S620" s="1"/>
      <c r="T620"/>
      <c r="U620" s="2"/>
      <c r="AK620"/>
    </row>
    <row r="621" spans="10:37">
      <c r="J621" s="6"/>
      <c r="K621" s="1"/>
      <c r="L621"/>
      <c r="R621" s="6"/>
      <c r="S621" s="1"/>
      <c r="T621"/>
      <c r="U621" s="2"/>
      <c r="AK621"/>
    </row>
    <row r="622" spans="10:37">
      <c r="J622" s="6"/>
      <c r="K622" s="1"/>
      <c r="L622"/>
      <c r="R622" s="6"/>
      <c r="S622" s="1"/>
      <c r="T622"/>
      <c r="U622" s="2"/>
      <c r="AK622"/>
    </row>
    <row r="623" spans="10:37">
      <c r="J623" s="6"/>
      <c r="K623" s="1"/>
      <c r="L623"/>
      <c r="R623" s="6"/>
      <c r="S623" s="1"/>
      <c r="T623"/>
      <c r="U623" s="2"/>
      <c r="AK623"/>
    </row>
    <row r="624" spans="10:37">
      <c r="J624" s="6"/>
      <c r="K624" s="1"/>
      <c r="L624"/>
      <c r="R624" s="6"/>
      <c r="S624" s="1"/>
      <c r="T624"/>
      <c r="U624" s="2"/>
      <c r="AK624"/>
    </row>
    <row r="625" spans="10:37">
      <c r="J625" s="6"/>
      <c r="K625" s="1"/>
      <c r="L625"/>
      <c r="R625" s="6"/>
      <c r="S625" s="1"/>
      <c r="T625"/>
      <c r="U625" s="2"/>
      <c r="AK625"/>
    </row>
    <row r="626" spans="10:37">
      <c r="J626" s="6"/>
      <c r="K626" s="1"/>
      <c r="L626"/>
      <c r="R626" s="6"/>
      <c r="S626" s="1"/>
      <c r="T626"/>
      <c r="U626" s="2"/>
      <c r="AK626"/>
    </row>
    <row r="627" spans="10:37">
      <c r="J627" s="6"/>
      <c r="K627" s="1"/>
      <c r="L627"/>
      <c r="R627" s="6"/>
      <c r="S627" s="1"/>
      <c r="T627"/>
      <c r="U627" s="2"/>
      <c r="AK627"/>
    </row>
    <row r="628" spans="10:37">
      <c r="J628" s="6"/>
      <c r="K628" s="1"/>
      <c r="L628"/>
      <c r="R628" s="6"/>
      <c r="S628" s="1"/>
      <c r="T628"/>
      <c r="U628" s="2"/>
      <c r="AK628"/>
    </row>
    <row r="629" spans="10:37">
      <c r="J629" s="6"/>
      <c r="K629" s="1"/>
      <c r="L629"/>
      <c r="R629" s="6"/>
      <c r="S629" s="1"/>
      <c r="T629"/>
      <c r="U629" s="2"/>
      <c r="AK629"/>
    </row>
    <row r="630" spans="10:37">
      <c r="J630" s="6"/>
      <c r="K630" s="1"/>
      <c r="L630"/>
      <c r="R630" s="6"/>
      <c r="S630" s="1"/>
      <c r="T630"/>
      <c r="U630" s="2"/>
      <c r="AK630"/>
    </row>
    <row r="631" spans="10:37">
      <c r="J631" s="6"/>
      <c r="K631" s="1"/>
      <c r="L631"/>
      <c r="R631" s="6"/>
      <c r="S631" s="1"/>
      <c r="T631"/>
      <c r="U631" s="2"/>
      <c r="AK631"/>
    </row>
    <row r="632" spans="10:37">
      <c r="J632" s="6"/>
      <c r="K632" s="1"/>
      <c r="L632"/>
      <c r="R632" s="6"/>
      <c r="S632" s="1"/>
      <c r="T632"/>
      <c r="U632" s="2"/>
      <c r="AK632"/>
    </row>
    <row r="633" spans="10:37">
      <c r="J633" s="6"/>
      <c r="K633" s="1"/>
      <c r="L633"/>
      <c r="R633" s="6"/>
      <c r="S633" s="1"/>
      <c r="T633"/>
      <c r="U633" s="2"/>
      <c r="AK633"/>
    </row>
    <row r="634" spans="10:37">
      <c r="J634" s="6"/>
      <c r="K634" s="1"/>
      <c r="L634"/>
      <c r="R634" s="6"/>
      <c r="S634" s="1"/>
      <c r="T634"/>
      <c r="U634" s="2"/>
      <c r="AK634"/>
    </row>
    <row r="635" spans="10:37">
      <c r="J635" s="6"/>
      <c r="K635" s="1"/>
      <c r="L635"/>
      <c r="R635" s="6"/>
      <c r="S635" s="1"/>
      <c r="T635"/>
      <c r="U635" s="2"/>
      <c r="AK635"/>
    </row>
    <row r="636" spans="10:37">
      <c r="J636" s="6"/>
      <c r="K636" s="1"/>
      <c r="L636"/>
      <c r="R636" s="6"/>
      <c r="S636" s="1"/>
      <c r="T636"/>
      <c r="U636" s="2"/>
      <c r="AK636"/>
    </row>
    <row r="637" spans="10:37">
      <c r="J637" s="6"/>
      <c r="K637" s="1"/>
      <c r="L637"/>
      <c r="R637" s="6"/>
      <c r="S637" s="1"/>
      <c r="T637"/>
      <c r="U637" s="2"/>
      <c r="AK637"/>
    </row>
    <row r="638" spans="10:37">
      <c r="J638" s="6"/>
      <c r="K638" s="1"/>
      <c r="L638"/>
      <c r="R638" s="6"/>
      <c r="S638" s="1"/>
      <c r="T638"/>
      <c r="U638" s="2"/>
      <c r="AK638"/>
    </row>
    <row r="639" spans="10:37">
      <c r="J639" s="6"/>
      <c r="K639" s="1"/>
      <c r="L639"/>
      <c r="R639" s="6"/>
      <c r="S639" s="1"/>
      <c r="T639"/>
      <c r="U639" s="2"/>
      <c r="AK639"/>
    </row>
    <row r="640" spans="10:37">
      <c r="J640" s="6"/>
      <c r="K640" s="1"/>
      <c r="L640"/>
      <c r="R640" s="6"/>
      <c r="S640" s="1"/>
      <c r="T640"/>
      <c r="U640" s="2"/>
      <c r="AK640"/>
    </row>
    <row r="641" spans="10:37">
      <c r="J641" s="6"/>
      <c r="K641" s="1"/>
      <c r="L641"/>
      <c r="R641" s="6"/>
      <c r="S641" s="1"/>
      <c r="T641"/>
      <c r="U641" s="2"/>
      <c r="AK641"/>
    </row>
    <row r="642" spans="10:37">
      <c r="J642" s="6"/>
      <c r="K642" s="1"/>
      <c r="L642"/>
      <c r="R642" s="6"/>
      <c r="S642" s="1"/>
      <c r="T642"/>
      <c r="U642" s="2"/>
      <c r="AK642"/>
    </row>
    <row r="643" spans="10:37">
      <c r="J643" s="6"/>
      <c r="K643" s="1"/>
      <c r="L643"/>
      <c r="R643" s="6"/>
      <c r="S643" s="1"/>
      <c r="T643"/>
      <c r="U643" s="2"/>
      <c r="AK643"/>
    </row>
    <row r="644" spans="10:37">
      <c r="J644" s="6"/>
      <c r="K644" s="1"/>
      <c r="L644"/>
      <c r="R644" s="6"/>
      <c r="S644" s="1"/>
      <c r="T644"/>
      <c r="U644" s="2"/>
      <c r="AK644"/>
    </row>
    <row r="645" spans="10:37">
      <c r="J645" s="6"/>
      <c r="K645" s="1"/>
      <c r="L645"/>
      <c r="R645" s="6"/>
      <c r="S645" s="1"/>
      <c r="T645"/>
      <c r="U645" s="2"/>
      <c r="AK645"/>
    </row>
    <row r="646" spans="10:37">
      <c r="J646" s="6"/>
      <c r="K646" s="1"/>
      <c r="L646"/>
      <c r="R646" s="6"/>
      <c r="S646" s="1"/>
      <c r="T646"/>
      <c r="U646" s="2"/>
      <c r="AK646"/>
    </row>
    <row r="647" spans="10:37">
      <c r="J647" s="6"/>
      <c r="K647" s="1"/>
      <c r="L647"/>
      <c r="R647" s="6"/>
      <c r="S647" s="1"/>
      <c r="T647"/>
      <c r="U647" s="2"/>
      <c r="AK647"/>
    </row>
    <row r="648" spans="10:37">
      <c r="J648" s="6"/>
      <c r="K648" s="1"/>
      <c r="L648"/>
      <c r="R648" s="6"/>
      <c r="S648" s="1"/>
      <c r="T648"/>
      <c r="U648" s="2"/>
      <c r="AK648"/>
    </row>
    <row r="649" spans="10:37">
      <c r="J649" s="6"/>
      <c r="K649" s="1"/>
      <c r="L649"/>
      <c r="R649" s="6"/>
      <c r="S649" s="1"/>
      <c r="T649"/>
      <c r="U649" s="2"/>
      <c r="AK649"/>
    </row>
    <row r="650" spans="10:37">
      <c r="J650" s="6"/>
      <c r="K650" s="1"/>
      <c r="L650"/>
      <c r="R650" s="6"/>
      <c r="S650" s="1"/>
      <c r="T650"/>
      <c r="U650" s="2"/>
      <c r="AK650"/>
    </row>
    <row r="651" spans="10:37">
      <c r="J651" s="6"/>
      <c r="K651" s="1"/>
      <c r="L651"/>
      <c r="R651" s="6"/>
      <c r="S651" s="1"/>
      <c r="T651"/>
      <c r="U651" s="2"/>
      <c r="AK651"/>
    </row>
    <row r="652" spans="10:37">
      <c r="J652" s="6"/>
      <c r="K652" s="1"/>
      <c r="L652"/>
      <c r="R652" s="6"/>
      <c r="S652" s="1"/>
      <c r="T652"/>
      <c r="U652" s="2"/>
      <c r="AK652"/>
    </row>
    <row r="653" spans="10:37">
      <c r="J653" s="6"/>
      <c r="K653" s="1"/>
      <c r="L653"/>
      <c r="R653" s="6"/>
      <c r="S653" s="1"/>
      <c r="T653"/>
      <c r="U653" s="2"/>
      <c r="AK653"/>
    </row>
    <row r="654" spans="10:37">
      <c r="J654" s="6"/>
      <c r="K654" s="1"/>
      <c r="L654"/>
      <c r="R654" s="6"/>
      <c r="S654" s="1"/>
      <c r="T654"/>
      <c r="U654" s="2"/>
      <c r="AK654"/>
    </row>
    <row r="655" spans="10:37">
      <c r="J655" s="6"/>
      <c r="K655" s="1"/>
      <c r="L655"/>
      <c r="R655" s="6"/>
      <c r="S655" s="1"/>
      <c r="T655"/>
      <c r="U655" s="2"/>
      <c r="AK655"/>
    </row>
    <row r="656" spans="10:37">
      <c r="J656" s="6"/>
      <c r="K656" s="1"/>
      <c r="L656"/>
      <c r="R656" s="6"/>
      <c r="S656" s="1"/>
      <c r="T656"/>
      <c r="U656" s="2"/>
      <c r="AK656"/>
    </row>
    <row r="657" spans="10:37">
      <c r="J657" s="6"/>
      <c r="K657" s="1"/>
      <c r="L657"/>
      <c r="R657" s="6"/>
      <c r="S657" s="1"/>
      <c r="T657"/>
      <c r="U657" s="2"/>
      <c r="AK657"/>
    </row>
    <row r="658" spans="10:37">
      <c r="J658" s="6"/>
      <c r="K658" s="1"/>
      <c r="L658"/>
      <c r="R658" s="6"/>
      <c r="S658" s="1"/>
      <c r="T658"/>
      <c r="U658" s="2"/>
      <c r="AK658"/>
    </row>
    <row r="659" spans="10:37">
      <c r="J659" s="6"/>
      <c r="K659" s="1"/>
      <c r="L659"/>
      <c r="R659" s="6"/>
      <c r="S659" s="1"/>
      <c r="T659"/>
      <c r="U659" s="2"/>
      <c r="AK659"/>
    </row>
    <row r="660" spans="10:37">
      <c r="J660" s="6"/>
      <c r="K660" s="1"/>
      <c r="L660"/>
      <c r="R660" s="6"/>
      <c r="S660" s="1"/>
      <c r="T660"/>
      <c r="U660" s="2"/>
      <c r="AK660"/>
    </row>
    <row r="661" spans="10:37">
      <c r="J661" s="6"/>
      <c r="K661" s="1"/>
      <c r="L661"/>
      <c r="R661" s="6"/>
      <c r="S661" s="1"/>
      <c r="T661"/>
      <c r="U661" s="2"/>
      <c r="AK661"/>
    </row>
    <row r="662" spans="10:37">
      <c r="J662" s="6"/>
      <c r="K662" s="1"/>
      <c r="L662"/>
      <c r="R662" s="6"/>
      <c r="S662" s="1"/>
      <c r="T662"/>
      <c r="U662" s="2"/>
      <c r="AK662"/>
    </row>
    <row r="663" spans="10:37">
      <c r="J663" s="6"/>
      <c r="K663" s="1"/>
      <c r="L663"/>
      <c r="R663" s="6"/>
      <c r="S663" s="1"/>
      <c r="T663"/>
      <c r="U663" s="2"/>
      <c r="AK663"/>
    </row>
    <row r="664" spans="10:37">
      <c r="J664" s="6"/>
      <c r="K664" s="1"/>
      <c r="L664"/>
      <c r="R664" s="6"/>
      <c r="S664" s="1"/>
      <c r="T664"/>
      <c r="U664" s="2"/>
      <c r="AK664"/>
    </row>
    <row r="665" spans="10:37">
      <c r="J665" s="6"/>
      <c r="K665" s="1"/>
      <c r="L665"/>
      <c r="R665" s="6"/>
      <c r="S665" s="1"/>
      <c r="T665"/>
      <c r="U665" s="2"/>
      <c r="AK665"/>
    </row>
    <row r="666" spans="10:37">
      <c r="J666" s="6"/>
      <c r="K666" s="1"/>
      <c r="L666"/>
      <c r="R666" s="6"/>
      <c r="S666" s="1"/>
      <c r="T666"/>
      <c r="U666" s="2"/>
      <c r="AK666"/>
    </row>
    <row r="667" spans="10:37">
      <c r="J667" s="6"/>
      <c r="K667" s="1"/>
      <c r="L667"/>
      <c r="R667" s="6"/>
      <c r="S667" s="1"/>
      <c r="T667"/>
      <c r="U667" s="2"/>
      <c r="AK667"/>
    </row>
    <row r="668" spans="10:37">
      <c r="J668" s="6"/>
      <c r="K668" s="1"/>
      <c r="L668"/>
      <c r="R668" s="6"/>
      <c r="S668" s="1"/>
      <c r="T668"/>
      <c r="U668" s="2"/>
      <c r="AK668"/>
    </row>
    <row r="669" spans="10:37">
      <c r="J669" s="6"/>
      <c r="K669" s="1"/>
      <c r="L669"/>
      <c r="R669" s="6"/>
      <c r="S669" s="1"/>
      <c r="T669"/>
      <c r="U669" s="2"/>
      <c r="AK669"/>
    </row>
    <row r="670" spans="10:37">
      <c r="J670" s="6"/>
      <c r="K670" s="1"/>
      <c r="L670"/>
      <c r="R670" s="6"/>
      <c r="S670" s="1"/>
      <c r="T670"/>
      <c r="U670" s="2"/>
      <c r="AK670"/>
    </row>
    <row r="671" spans="10:37">
      <c r="J671" s="6"/>
      <c r="K671" s="1"/>
      <c r="L671"/>
      <c r="R671" s="6"/>
      <c r="S671" s="1"/>
      <c r="T671"/>
      <c r="U671" s="2"/>
      <c r="AK671"/>
    </row>
    <row r="672" spans="10:37">
      <c r="J672" s="6"/>
      <c r="K672" s="1"/>
      <c r="L672"/>
      <c r="R672" s="6"/>
      <c r="S672" s="1"/>
      <c r="T672"/>
      <c r="U672" s="2"/>
      <c r="AK672"/>
    </row>
    <row r="673" spans="10:37">
      <c r="J673" s="6"/>
      <c r="K673" s="1"/>
      <c r="L673"/>
      <c r="R673" s="6"/>
      <c r="S673" s="1"/>
      <c r="T673"/>
      <c r="U673" s="2"/>
      <c r="AK673"/>
    </row>
    <row r="674" spans="10:37">
      <c r="J674" s="6"/>
      <c r="K674" s="1"/>
      <c r="L674"/>
      <c r="R674" s="6"/>
      <c r="S674" s="1"/>
      <c r="T674"/>
      <c r="U674" s="2"/>
      <c r="AK674"/>
    </row>
    <row r="675" spans="10:37">
      <c r="J675" s="6"/>
      <c r="K675" s="1"/>
      <c r="L675"/>
      <c r="R675" s="6"/>
      <c r="S675" s="1"/>
      <c r="T675"/>
      <c r="U675" s="2"/>
      <c r="AK675"/>
    </row>
    <row r="676" spans="10:37">
      <c r="J676" s="6"/>
      <c r="K676" s="1"/>
      <c r="L676"/>
      <c r="R676" s="6"/>
      <c r="S676" s="1"/>
      <c r="T676"/>
      <c r="U676" s="2"/>
      <c r="AK676"/>
    </row>
    <row r="677" spans="10:37">
      <c r="J677" s="6"/>
      <c r="K677" s="1"/>
      <c r="L677"/>
      <c r="R677" s="6"/>
      <c r="S677" s="1"/>
      <c r="T677"/>
      <c r="U677" s="2"/>
      <c r="AK677"/>
    </row>
    <row r="678" spans="10:37">
      <c r="J678" s="6"/>
      <c r="K678" s="1"/>
      <c r="L678"/>
      <c r="R678" s="6"/>
      <c r="S678" s="1"/>
      <c r="T678"/>
      <c r="U678" s="2"/>
      <c r="AK678"/>
    </row>
    <row r="679" spans="10:37">
      <c r="J679" s="6"/>
      <c r="K679" s="1"/>
      <c r="L679"/>
      <c r="R679" s="6"/>
      <c r="S679" s="1"/>
      <c r="T679"/>
      <c r="U679" s="2"/>
      <c r="AK679"/>
    </row>
    <row r="680" spans="10:37">
      <c r="J680" s="6"/>
      <c r="K680" s="1"/>
      <c r="L680"/>
      <c r="R680" s="6"/>
      <c r="S680" s="1"/>
      <c r="T680"/>
      <c r="U680" s="2"/>
      <c r="AK680"/>
    </row>
    <row r="681" spans="10:37">
      <c r="J681" s="6"/>
      <c r="K681" s="1"/>
      <c r="L681"/>
      <c r="R681" s="6"/>
      <c r="S681" s="1"/>
      <c r="T681"/>
      <c r="U681" s="2"/>
      <c r="AK681"/>
    </row>
    <row r="682" spans="10:37">
      <c r="J682" s="6"/>
      <c r="K682" s="1"/>
      <c r="L682"/>
      <c r="R682" s="6"/>
      <c r="S682" s="1"/>
      <c r="T682"/>
      <c r="U682" s="2"/>
      <c r="AK682"/>
    </row>
    <row r="683" spans="10:37">
      <c r="J683" s="6"/>
      <c r="K683" s="1"/>
      <c r="L683"/>
      <c r="R683" s="6"/>
      <c r="S683" s="1"/>
      <c r="T683"/>
      <c r="U683" s="2"/>
      <c r="AK683"/>
    </row>
    <row r="684" spans="10:37">
      <c r="J684" s="6"/>
      <c r="K684" s="1"/>
      <c r="L684"/>
      <c r="R684" s="6"/>
      <c r="S684" s="1"/>
      <c r="T684"/>
      <c r="U684" s="2"/>
      <c r="AK684"/>
    </row>
    <row r="685" spans="10:37">
      <c r="J685" s="6"/>
      <c r="K685" s="1"/>
      <c r="L685"/>
      <c r="R685" s="6"/>
      <c r="S685" s="1"/>
      <c r="T685"/>
      <c r="U685" s="2"/>
      <c r="AK685"/>
    </row>
    <row r="686" spans="10:37">
      <c r="J686" s="6"/>
      <c r="K686" s="1"/>
      <c r="L686"/>
      <c r="R686" s="6"/>
      <c r="S686" s="1"/>
      <c r="T686"/>
      <c r="U686" s="2"/>
      <c r="AK686"/>
    </row>
    <row r="687" spans="10:37">
      <c r="J687" s="6"/>
      <c r="K687" s="1"/>
      <c r="L687"/>
      <c r="R687" s="6"/>
      <c r="S687" s="1"/>
      <c r="T687"/>
      <c r="U687" s="2"/>
      <c r="AK687"/>
    </row>
    <row r="688" spans="10:37">
      <c r="J688" s="6"/>
      <c r="K688" s="1"/>
      <c r="L688"/>
      <c r="R688" s="6"/>
      <c r="S688" s="1"/>
      <c r="T688"/>
      <c r="U688" s="2"/>
      <c r="AK688"/>
    </row>
    <row r="689" spans="10:37">
      <c r="J689" s="6"/>
      <c r="K689" s="1"/>
      <c r="L689"/>
      <c r="R689" s="6"/>
      <c r="S689" s="1"/>
      <c r="T689"/>
      <c r="U689" s="2"/>
      <c r="AK689"/>
    </row>
    <row r="690" spans="10:37">
      <c r="J690" s="6"/>
      <c r="K690" s="1"/>
      <c r="L690"/>
      <c r="R690" s="6"/>
      <c r="S690" s="1"/>
      <c r="T690"/>
      <c r="U690" s="2"/>
      <c r="AK690"/>
    </row>
    <row r="691" spans="10:37">
      <c r="J691" s="6"/>
      <c r="K691" s="1"/>
      <c r="L691"/>
      <c r="R691" s="6"/>
      <c r="S691" s="1"/>
      <c r="T691"/>
      <c r="U691" s="2"/>
      <c r="AK691"/>
    </row>
    <row r="692" spans="10:37">
      <c r="J692" s="6"/>
      <c r="K692" s="1"/>
      <c r="L692"/>
      <c r="R692" s="6"/>
      <c r="S692" s="1"/>
      <c r="T692"/>
      <c r="U692" s="2"/>
      <c r="AK692"/>
    </row>
    <row r="693" spans="10:37">
      <c r="J693" s="6"/>
      <c r="K693" s="1"/>
      <c r="L693"/>
      <c r="R693" s="6"/>
      <c r="S693" s="1"/>
      <c r="T693"/>
      <c r="U693" s="2"/>
      <c r="AK693"/>
    </row>
    <row r="694" spans="10:37">
      <c r="J694" s="6"/>
      <c r="K694" s="1"/>
      <c r="L694"/>
      <c r="R694" s="6"/>
      <c r="S694" s="1"/>
      <c r="T694"/>
      <c r="U694" s="2"/>
      <c r="AK694"/>
    </row>
    <row r="695" spans="10:37">
      <c r="J695" s="6"/>
      <c r="K695" s="1"/>
      <c r="L695"/>
      <c r="R695" s="6"/>
      <c r="S695" s="1"/>
      <c r="T695"/>
      <c r="U695" s="2"/>
      <c r="AK695"/>
    </row>
    <row r="696" spans="10:37">
      <c r="J696" s="6"/>
      <c r="K696" s="1"/>
      <c r="L696"/>
      <c r="R696" s="6"/>
      <c r="S696" s="1"/>
      <c r="T696"/>
      <c r="U696" s="2"/>
      <c r="AK696"/>
    </row>
    <row r="697" spans="10:37">
      <c r="J697" s="6"/>
      <c r="K697" s="1"/>
      <c r="L697"/>
      <c r="R697" s="6"/>
      <c r="S697" s="1"/>
      <c r="T697"/>
      <c r="U697" s="2"/>
      <c r="AK697"/>
    </row>
    <row r="698" spans="10:37">
      <c r="J698" s="6"/>
      <c r="K698" s="1"/>
      <c r="L698"/>
      <c r="R698" s="6"/>
      <c r="S698" s="1"/>
      <c r="T698"/>
      <c r="U698" s="2"/>
      <c r="AK698"/>
    </row>
    <row r="699" spans="10:37">
      <c r="J699" s="6"/>
      <c r="K699" s="1"/>
      <c r="L699"/>
      <c r="R699" s="6"/>
      <c r="S699" s="1"/>
      <c r="T699"/>
      <c r="U699" s="2"/>
      <c r="AK699"/>
    </row>
    <row r="700" spans="10:37">
      <c r="J700" s="6"/>
      <c r="K700" s="1"/>
      <c r="L700"/>
      <c r="R700" s="6"/>
      <c r="S700" s="1"/>
      <c r="T700"/>
      <c r="U700" s="2"/>
      <c r="AK700"/>
    </row>
    <row r="701" spans="10:37">
      <c r="J701" s="6"/>
      <c r="K701" s="1"/>
      <c r="L701"/>
      <c r="R701" s="6"/>
      <c r="S701" s="1"/>
      <c r="T701"/>
      <c r="U701" s="2"/>
      <c r="AK701"/>
    </row>
    <row r="702" spans="10:37">
      <c r="J702" s="6"/>
      <c r="K702" s="1"/>
      <c r="L702"/>
      <c r="R702" s="6"/>
      <c r="S702" s="1"/>
      <c r="T702"/>
      <c r="U702" s="2"/>
      <c r="AK702"/>
    </row>
    <row r="703" spans="10:37">
      <c r="J703" s="6"/>
      <c r="K703" s="1"/>
      <c r="L703"/>
      <c r="R703" s="6"/>
      <c r="S703" s="1"/>
      <c r="T703"/>
      <c r="U703" s="2"/>
      <c r="AK703"/>
    </row>
    <row r="704" spans="10:37">
      <c r="J704" s="6"/>
      <c r="K704" s="1"/>
      <c r="L704"/>
      <c r="R704" s="6"/>
      <c r="S704" s="1"/>
      <c r="T704"/>
      <c r="U704" s="2"/>
      <c r="AK704"/>
    </row>
    <row r="705" spans="10:37">
      <c r="J705" s="6"/>
      <c r="K705" s="1"/>
      <c r="L705"/>
      <c r="R705" s="6"/>
      <c r="S705" s="1"/>
      <c r="T705"/>
      <c r="U705" s="2"/>
      <c r="AK705"/>
    </row>
    <row r="706" spans="10:37">
      <c r="J706" s="6"/>
      <c r="K706" s="1"/>
      <c r="L706"/>
      <c r="R706" s="6"/>
      <c r="S706" s="1"/>
      <c r="T706"/>
      <c r="U706" s="2"/>
      <c r="AK706"/>
    </row>
    <row r="707" spans="10:37">
      <c r="J707" s="6"/>
      <c r="K707" s="1"/>
      <c r="L707"/>
      <c r="R707" s="6"/>
      <c r="S707" s="1"/>
      <c r="T707"/>
      <c r="U707" s="2"/>
      <c r="AK707"/>
    </row>
    <row r="708" spans="10:37">
      <c r="J708" s="6"/>
      <c r="K708" s="1"/>
      <c r="L708"/>
      <c r="R708" s="6"/>
      <c r="S708" s="1"/>
      <c r="T708"/>
      <c r="U708" s="2"/>
      <c r="AK708"/>
    </row>
    <row r="709" spans="10:37">
      <c r="J709" s="6"/>
      <c r="K709" s="1"/>
      <c r="L709"/>
      <c r="R709" s="6"/>
      <c r="S709" s="1"/>
      <c r="T709"/>
      <c r="U709" s="2"/>
      <c r="AK709"/>
    </row>
    <row r="710" spans="10:37">
      <c r="J710" s="6"/>
      <c r="K710" s="1"/>
      <c r="L710"/>
      <c r="R710" s="6"/>
      <c r="S710" s="1"/>
      <c r="T710"/>
      <c r="U710" s="2"/>
      <c r="AK710"/>
    </row>
    <row r="711" spans="10:37">
      <c r="J711" s="6"/>
      <c r="K711" s="1"/>
      <c r="L711"/>
      <c r="R711" s="6"/>
      <c r="S711" s="1"/>
      <c r="T711"/>
      <c r="U711" s="2"/>
      <c r="AK711"/>
    </row>
    <row r="712" spans="10:37">
      <c r="J712" s="6"/>
      <c r="K712" s="1"/>
      <c r="L712"/>
      <c r="R712" s="6"/>
      <c r="S712" s="1"/>
      <c r="T712"/>
      <c r="U712" s="2"/>
      <c r="AK712"/>
    </row>
    <row r="713" spans="10:37">
      <c r="J713" s="6"/>
      <c r="K713" s="1"/>
      <c r="L713"/>
      <c r="R713" s="6"/>
      <c r="S713" s="1"/>
      <c r="T713"/>
      <c r="U713" s="2"/>
      <c r="AK713"/>
    </row>
    <row r="714" spans="10:37">
      <c r="J714" s="6"/>
      <c r="K714" s="1"/>
      <c r="L714"/>
      <c r="R714" s="6"/>
      <c r="S714" s="1"/>
      <c r="T714"/>
      <c r="U714" s="2"/>
      <c r="AK714"/>
    </row>
    <row r="715" spans="10:37">
      <c r="J715" s="6"/>
      <c r="K715" s="1"/>
      <c r="L715"/>
      <c r="R715" s="6"/>
      <c r="S715" s="1"/>
      <c r="T715"/>
      <c r="U715" s="2"/>
      <c r="AK715"/>
    </row>
    <row r="716" spans="10:37">
      <c r="J716" s="6"/>
      <c r="K716" s="1"/>
      <c r="L716"/>
      <c r="R716" s="6"/>
      <c r="S716" s="1"/>
      <c r="T716"/>
      <c r="U716" s="2"/>
      <c r="AK716"/>
    </row>
    <row r="717" spans="10:37">
      <c r="J717" s="6"/>
      <c r="K717" s="1"/>
      <c r="L717"/>
      <c r="R717" s="6"/>
      <c r="S717" s="1"/>
      <c r="T717"/>
      <c r="U717" s="2"/>
      <c r="AK717"/>
    </row>
    <row r="718" spans="10:37">
      <c r="J718" s="6"/>
      <c r="K718" s="1"/>
      <c r="L718"/>
      <c r="R718" s="6"/>
      <c r="S718" s="1"/>
      <c r="T718"/>
      <c r="U718" s="2"/>
      <c r="AK718"/>
    </row>
    <row r="719" spans="10:37">
      <c r="J719" s="6"/>
      <c r="K719" s="1"/>
      <c r="L719"/>
      <c r="R719" s="6"/>
      <c r="S719" s="1"/>
      <c r="T719"/>
      <c r="U719" s="2"/>
      <c r="AK719"/>
    </row>
    <row r="720" spans="10:37">
      <c r="J720" s="6"/>
      <c r="K720" s="1"/>
      <c r="L720"/>
      <c r="R720" s="6"/>
      <c r="S720" s="1"/>
      <c r="T720"/>
      <c r="U720" s="2"/>
      <c r="AK720"/>
    </row>
    <row r="721" spans="10:37">
      <c r="J721" s="6"/>
      <c r="K721" s="1"/>
      <c r="L721"/>
      <c r="R721" s="6"/>
      <c r="S721" s="1"/>
      <c r="T721"/>
      <c r="U721" s="2"/>
      <c r="AK721"/>
    </row>
    <row r="722" spans="10:37">
      <c r="J722" s="6"/>
      <c r="K722" s="1"/>
      <c r="L722"/>
      <c r="R722" s="6"/>
      <c r="S722" s="1"/>
      <c r="T722"/>
      <c r="U722" s="2"/>
      <c r="AK722"/>
    </row>
    <row r="723" spans="10:37">
      <c r="J723" s="6"/>
      <c r="K723" s="1"/>
      <c r="L723"/>
      <c r="R723" s="6"/>
      <c r="S723" s="1"/>
      <c r="T723"/>
      <c r="U723" s="2"/>
      <c r="AK723"/>
    </row>
    <row r="724" spans="10:37">
      <c r="J724" s="6"/>
      <c r="K724" s="1"/>
      <c r="L724"/>
      <c r="R724" s="6"/>
      <c r="S724" s="1"/>
      <c r="T724"/>
      <c r="U724" s="2"/>
      <c r="AK724"/>
    </row>
    <row r="725" spans="10:37">
      <c r="J725" s="6"/>
      <c r="K725" s="1"/>
      <c r="L725"/>
      <c r="R725" s="6"/>
      <c r="S725" s="1"/>
      <c r="T725"/>
      <c r="U725" s="2"/>
      <c r="AK725"/>
    </row>
    <row r="726" spans="10:37">
      <c r="J726" s="6"/>
      <c r="K726" s="1"/>
      <c r="L726"/>
      <c r="R726" s="6"/>
      <c r="S726" s="1"/>
      <c r="T726"/>
      <c r="U726" s="2"/>
      <c r="AK726"/>
    </row>
    <row r="727" spans="10:37">
      <c r="J727" s="6"/>
      <c r="K727" s="1"/>
      <c r="L727"/>
      <c r="R727" s="6"/>
      <c r="S727" s="1"/>
      <c r="T727"/>
      <c r="U727" s="2"/>
      <c r="AK727"/>
    </row>
    <row r="728" spans="10:37">
      <c r="J728" s="6"/>
      <c r="K728" s="1"/>
      <c r="L728"/>
      <c r="R728" s="6"/>
      <c r="S728" s="1"/>
      <c r="T728"/>
      <c r="U728" s="2"/>
      <c r="AK728"/>
    </row>
    <row r="729" spans="10:37">
      <c r="J729" s="6"/>
      <c r="K729" s="1"/>
      <c r="L729"/>
      <c r="R729" s="6"/>
      <c r="S729" s="1"/>
      <c r="T729"/>
      <c r="U729" s="2"/>
      <c r="AK729"/>
    </row>
    <row r="730" spans="10:37">
      <c r="J730" s="6"/>
      <c r="K730" s="1"/>
      <c r="L730"/>
      <c r="R730" s="6"/>
      <c r="S730" s="1"/>
      <c r="T730"/>
      <c r="U730" s="2"/>
      <c r="AK730"/>
    </row>
    <row r="731" spans="10:37">
      <c r="J731" s="6"/>
      <c r="K731" s="1"/>
      <c r="L731"/>
      <c r="R731" s="6"/>
      <c r="S731" s="1"/>
      <c r="T731"/>
      <c r="U731" s="2"/>
      <c r="AK731"/>
    </row>
    <row r="732" spans="10:37">
      <c r="J732" s="6"/>
      <c r="K732" s="1"/>
      <c r="L732"/>
      <c r="R732" s="6"/>
      <c r="S732" s="1"/>
      <c r="T732"/>
      <c r="U732" s="2"/>
      <c r="AK732"/>
    </row>
    <row r="733" spans="10:37">
      <c r="J733" s="6"/>
      <c r="K733" s="1"/>
      <c r="L733"/>
      <c r="R733" s="6"/>
      <c r="S733" s="1"/>
      <c r="T733"/>
      <c r="U733" s="2"/>
      <c r="AK733"/>
    </row>
    <row r="734" spans="10:37">
      <c r="J734" s="6"/>
      <c r="K734" s="1"/>
      <c r="L734"/>
      <c r="R734" s="6"/>
      <c r="S734" s="1"/>
      <c r="T734"/>
      <c r="U734" s="2"/>
      <c r="AK734"/>
    </row>
    <row r="735" spans="10:37">
      <c r="J735" s="6"/>
      <c r="K735" s="1"/>
      <c r="L735"/>
      <c r="R735" s="6"/>
      <c r="S735" s="1"/>
      <c r="T735"/>
      <c r="U735" s="2"/>
      <c r="AK735"/>
    </row>
    <row r="736" spans="10:37">
      <c r="J736" s="6"/>
      <c r="K736" s="1"/>
      <c r="L736"/>
      <c r="R736" s="6"/>
      <c r="S736" s="1"/>
      <c r="T736"/>
      <c r="U736" s="2"/>
      <c r="AK736"/>
    </row>
    <row r="737" spans="10:37">
      <c r="J737" s="6"/>
      <c r="K737" s="1"/>
      <c r="L737"/>
      <c r="R737" s="6"/>
      <c r="S737" s="1"/>
      <c r="T737"/>
      <c r="U737" s="2"/>
      <c r="AK737"/>
    </row>
    <row r="738" spans="10:37">
      <c r="J738" s="6"/>
      <c r="K738" s="1"/>
      <c r="L738"/>
      <c r="R738" s="6"/>
      <c r="S738" s="1"/>
      <c r="T738"/>
      <c r="U738" s="2"/>
      <c r="AK738"/>
    </row>
    <row r="739" spans="10:37">
      <c r="J739" s="6"/>
      <c r="K739" s="1"/>
      <c r="L739"/>
      <c r="R739" s="6"/>
      <c r="S739" s="1"/>
      <c r="T739"/>
      <c r="U739" s="2"/>
      <c r="AK739"/>
    </row>
    <row r="740" spans="10:37">
      <c r="J740" s="6"/>
      <c r="K740" s="1"/>
      <c r="L740"/>
      <c r="R740" s="6"/>
      <c r="S740" s="1"/>
      <c r="T740"/>
      <c r="U740" s="2"/>
      <c r="AK740"/>
    </row>
    <row r="741" spans="10:37">
      <c r="J741" s="6"/>
      <c r="K741" s="1"/>
      <c r="L741"/>
      <c r="R741" s="6"/>
      <c r="S741" s="1"/>
      <c r="T741"/>
      <c r="U741" s="2"/>
      <c r="AK741"/>
    </row>
    <row r="742" spans="10:37">
      <c r="J742" s="6"/>
      <c r="K742" s="1"/>
      <c r="L742"/>
      <c r="R742" s="6"/>
      <c r="S742" s="1"/>
      <c r="T742"/>
      <c r="U742" s="2"/>
      <c r="AK742"/>
    </row>
    <row r="743" spans="10:37">
      <c r="J743" s="6"/>
      <c r="K743" s="1"/>
      <c r="L743"/>
      <c r="R743" s="6"/>
      <c r="S743" s="1"/>
      <c r="T743"/>
      <c r="U743" s="2"/>
      <c r="AK743"/>
    </row>
    <row r="744" spans="10:37">
      <c r="J744" s="6"/>
      <c r="K744" s="1"/>
      <c r="L744"/>
      <c r="R744" s="6"/>
      <c r="S744" s="1"/>
      <c r="T744"/>
      <c r="U744" s="2"/>
      <c r="AK744"/>
    </row>
    <row r="745" spans="10:37">
      <c r="J745" s="6"/>
      <c r="K745" s="1"/>
      <c r="L745"/>
      <c r="R745" s="6"/>
      <c r="S745" s="1"/>
      <c r="T745"/>
      <c r="U745" s="2"/>
      <c r="AK745"/>
    </row>
    <row r="746" spans="10:37">
      <c r="J746" s="6"/>
      <c r="K746" s="1"/>
      <c r="L746"/>
      <c r="R746" s="6"/>
      <c r="S746" s="1"/>
      <c r="T746"/>
      <c r="U746" s="2"/>
      <c r="AK746"/>
    </row>
    <row r="747" spans="10:37">
      <c r="J747" s="6"/>
      <c r="K747" s="1"/>
      <c r="L747"/>
      <c r="R747" s="6"/>
      <c r="S747" s="1"/>
      <c r="T747"/>
      <c r="U747" s="2"/>
      <c r="AK747"/>
    </row>
    <row r="748" spans="10:37">
      <c r="J748" s="6"/>
      <c r="K748" s="1"/>
      <c r="L748"/>
      <c r="R748" s="6"/>
      <c r="S748" s="1"/>
      <c r="T748"/>
      <c r="U748" s="2"/>
      <c r="AK748"/>
    </row>
    <row r="749" spans="10:37">
      <c r="J749" s="6"/>
      <c r="K749" s="1"/>
      <c r="L749"/>
      <c r="R749" s="6"/>
      <c r="S749" s="1"/>
      <c r="T749"/>
      <c r="U749" s="2"/>
      <c r="AK749"/>
    </row>
    <row r="750" spans="10:37">
      <c r="J750" s="6"/>
      <c r="K750" s="1"/>
      <c r="L750"/>
      <c r="R750" s="6"/>
      <c r="S750" s="1"/>
      <c r="T750"/>
      <c r="U750" s="2"/>
      <c r="AK750"/>
    </row>
    <row r="751" spans="10:37">
      <c r="J751" s="6"/>
      <c r="K751" s="1"/>
      <c r="L751"/>
      <c r="R751" s="6"/>
      <c r="S751" s="1"/>
      <c r="T751"/>
      <c r="U751" s="2"/>
      <c r="AK751"/>
    </row>
    <row r="752" spans="10:37">
      <c r="J752" s="6"/>
      <c r="K752" s="1"/>
      <c r="L752"/>
      <c r="R752" s="6"/>
      <c r="S752" s="1"/>
      <c r="T752"/>
      <c r="U752" s="2"/>
      <c r="AK752"/>
    </row>
    <row r="753" spans="10:37">
      <c r="J753" s="6"/>
      <c r="K753" s="1"/>
      <c r="L753"/>
      <c r="R753" s="6"/>
      <c r="S753" s="1"/>
      <c r="T753"/>
      <c r="U753" s="2"/>
      <c r="AK753"/>
    </row>
    <row r="754" spans="10:37">
      <c r="J754" s="6"/>
      <c r="K754" s="1"/>
      <c r="L754"/>
      <c r="R754" s="6"/>
      <c r="S754" s="1"/>
      <c r="T754"/>
      <c r="U754" s="2"/>
      <c r="AK754"/>
    </row>
    <row r="755" spans="10:37">
      <c r="J755" s="6"/>
      <c r="K755" s="1"/>
      <c r="L755"/>
      <c r="R755" s="6"/>
      <c r="S755" s="1"/>
      <c r="T755"/>
      <c r="U755" s="2"/>
      <c r="AK755"/>
    </row>
    <row r="756" spans="10:37">
      <c r="J756" s="6"/>
      <c r="K756" s="1"/>
      <c r="L756"/>
      <c r="R756" s="6"/>
      <c r="S756" s="1"/>
      <c r="T756"/>
      <c r="U756" s="2"/>
      <c r="AK756"/>
    </row>
    <row r="757" spans="10:37">
      <c r="J757" s="6"/>
      <c r="K757" s="1"/>
      <c r="L757"/>
      <c r="R757" s="6"/>
      <c r="S757" s="1"/>
      <c r="T757"/>
      <c r="U757" s="2"/>
      <c r="AK757"/>
    </row>
    <row r="758" spans="10:37">
      <c r="J758" s="6"/>
      <c r="K758" s="1"/>
      <c r="L758"/>
      <c r="R758" s="6"/>
      <c r="S758" s="1"/>
      <c r="T758"/>
      <c r="U758" s="2"/>
      <c r="AK758"/>
    </row>
    <row r="759" spans="10:37">
      <c r="J759" s="6"/>
      <c r="K759" s="1"/>
      <c r="L759"/>
      <c r="R759" s="6"/>
      <c r="S759" s="1"/>
      <c r="T759"/>
      <c r="U759" s="2"/>
      <c r="AK759"/>
    </row>
    <row r="760" spans="10:37">
      <c r="J760" s="6"/>
      <c r="K760" s="1"/>
      <c r="L760"/>
      <c r="R760" s="6"/>
      <c r="S760" s="1"/>
      <c r="T760"/>
      <c r="U760" s="2"/>
      <c r="AK760"/>
    </row>
    <row r="761" spans="10:37">
      <c r="J761" s="6"/>
      <c r="K761" s="1"/>
      <c r="L761"/>
      <c r="R761" s="6"/>
      <c r="S761" s="1"/>
      <c r="T761"/>
      <c r="U761" s="2"/>
      <c r="AK761"/>
    </row>
    <row r="762" spans="10:37">
      <c r="J762" s="6"/>
      <c r="K762" s="1"/>
      <c r="L762"/>
      <c r="R762" s="6"/>
      <c r="S762" s="1"/>
      <c r="T762"/>
      <c r="U762" s="2"/>
      <c r="AK762"/>
    </row>
    <row r="763" spans="10:37">
      <c r="J763" s="6"/>
      <c r="K763" s="1"/>
      <c r="L763"/>
      <c r="R763" s="6"/>
      <c r="S763" s="1"/>
      <c r="T763"/>
      <c r="U763" s="2"/>
      <c r="AK763"/>
    </row>
    <row r="764" spans="10:37">
      <c r="J764" s="6"/>
      <c r="K764" s="1"/>
      <c r="L764"/>
      <c r="R764" s="6"/>
      <c r="S764" s="1"/>
      <c r="T764"/>
      <c r="U764" s="2"/>
      <c r="AK764"/>
    </row>
    <row r="765" spans="10:37">
      <c r="J765" s="6"/>
      <c r="K765" s="1"/>
      <c r="L765"/>
      <c r="R765" s="6"/>
      <c r="S765" s="1"/>
      <c r="T765"/>
      <c r="U765" s="2"/>
      <c r="AK765"/>
    </row>
    <row r="766" spans="10:37">
      <c r="J766" s="6"/>
      <c r="K766" s="1"/>
      <c r="L766"/>
      <c r="R766" s="6"/>
      <c r="S766" s="1"/>
      <c r="T766"/>
      <c r="U766" s="2"/>
      <c r="AK766"/>
    </row>
    <row r="767" spans="10:37">
      <c r="J767" s="6"/>
      <c r="K767" s="1"/>
      <c r="L767"/>
      <c r="R767" s="6"/>
      <c r="S767" s="1"/>
      <c r="T767"/>
      <c r="U767" s="2"/>
      <c r="AK767"/>
    </row>
    <row r="768" spans="10:37">
      <c r="J768" s="6"/>
      <c r="K768" s="1"/>
      <c r="L768"/>
      <c r="R768" s="6"/>
      <c r="S768" s="1"/>
      <c r="T768"/>
      <c r="U768" s="2"/>
      <c r="AK768"/>
    </row>
    <row r="769" spans="10:37">
      <c r="J769" s="6"/>
      <c r="K769" s="1"/>
      <c r="L769"/>
      <c r="R769" s="6"/>
      <c r="S769" s="1"/>
      <c r="T769"/>
      <c r="U769" s="2"/>
      <c r="AK769"/>
    </row>
    <row r="770" spans="10:37">
      <c r="J770" s="6"/>
      <c r="K770" s="1"/>
      <c r="L770"/>
      <c r="R770" s="6"/>
      <c r="S770" s="1"/>
      <c r="T770"/>
      <c r="U770" s="2"/>
      <c r="AK770"/>
    </row>
    <row r="771" spans="10:37">
      <c r="J771" s="6"/>
      <c r="K771" s="1"/>
      <c r="L771"/>
      <c r="R771" s="6"/>
      <c r="S771" s="1"/>
      <c r="T771"/>
      <c r="U771" s="2"/>
      <c r="AK771"/>
    </row>
    <row r="772" spans="10:37">
      <c r="J772" s="6"/>
      <c r="K772" s="1"/>
      <c r="L772"/>
      <c r="R772" s="6"/>
      <c r="S772" s="1"/>
      <c r="T772"/>
      <c r="U772" s="2"/>
      <c r="AK772"/>
    </row>
    <row r="773" spans="10:37">
      <c r="J773" s="6"/>
      <c r="K773" s="1"/>
      <c r="L773"/>
      <c r="R773" s="6"/>
      <c r="S773" s="1"/>
      <c r="T773"/>
      <c r="U773" s="2"/>
      <c r="AK773"/>
    </row>
    <row r="774" spans="10:37">
      <c r="J774" s="6"/>
      <c r="K774" s="1"/>
      <c r="L774"/>
      <c r="R774" s="6"/>
      <c r="S774" s="1"/>
      <c r="T774"/>
      <c r="U774" s="2"/>
      <c r="AK774"/>
    </row>
    <row r="775" spans="10:37">
      <c r="J775" s="6"/>
      <c r="K775" s="1"/>
      <c r="L775"/>
      <c r="R775" s="6"/>
      <c r="S775" s="1"/>
      <c r="T775"/>
      <c r="U775" s="2"/>
      <c r="AK775"/>
    </row>
    <row r="776" spans="10:37">
      <c r="J776" s="6"/>
      <c r="K776" s="1"/>
      <c r="L776"/>
      <c r="R776" s="6"/>
      <c r="S776" s="1"/>
      <c r="T776"/>
      <c r="U776" s="2"/>
      <c r="AK776"/>
    </row>
    <row r="777" spans="10:37">
      <c r="J777" s="6"/>
      <c r="K777" s="1"/>
      <c r="L777"/>
      <c r="R777" s="6"/>
      <c r="S777" s="1"/>
      <c r="T777"/>
      <c r="U777" s="2"/>
      <c r="AK777"/>
    </row>
    <row r="778" spans="10:37">
      <c r="J778" s="6"/>
      <c r="K778" s="1"/>
      <c r="L778"/>
      <c r="R778" s="6"/>
      <c r="S778" s="1"/>
      <c r="T778"/>
      <c r="U778" s="2"/>
      <c r="AK778"/>
    </row>
    <row r="779" spans="10:37">
      <c r="J779" s="6"/>
      <c r="K779" s="1"/>
      <c r="L779"/>
      <c r="R779" s="6"/>
      <c r="S779" s="1"/>
      <c r="T779"/>
      <c r="U779" s="2"/>
      <c r="AK779"/>
    </row>
    <row r="780" spans="10:37">
      <c r="J780" s="6"/>
      <c r="K780" s="1"/>
      <c r="L780"/>
      <c r="R780" s="6"/>
      <c r="S780" s="1"/>
      <c r="T780"/>
      <c r="U780" s="2"/>
      <c r="AK780"/>
    </row>
    <row r="781" spans="10:37">
      <c r="J781" s="6"/>
      <c r="K781" s="1"/>
      <c r="L781"/>
      <c r="R781" s="6"/>
      <c r="S781" s="1"/>
      <c r="T781"/>
      <c r="U781" s="2"/>
      <c r="AK781"/>
    </row>
    <row r="782" spans="10:37">
      <c r="J782" s="6"/>
      <c r="K782" s="1"/>
      <c r="L782"/>
      <c r="R782" s="6"/>
      <c r="S782" s="1"/>
      <c r="T782"/>
      <c r="U782" s="2"/>
      <c r="AK782"/>
    </row>
    <row r="783" spans="10:37">
      <c r="J783" s="6"/>
      <c r="K783" s="1"/>
      <c r="L783"/>
      <c r="R783" s="6"/>
      <c r="S783" s="1"/>
      <c r="T783"/>
      <c r="U783" s="2"/>
      <c r="AK783"/>
    </row>
    <row r="784" spans="10:37">
      <c r="J784" s="6"/>
      <c r="K784" s="1"/>
      <c r="L784"/>
      <c r="R784" s="6"/>
      <c r="S784" s="1"/>
      <c r="T784"/>
      <c r="U784" s="2"/>
      <c r="AK784"/>
    </row>
    <row r="785" spans="10:37">
      <c r="J785" s="6"/>
      <c r="K785" s="1"/>
      <c r="L785"/>
      <c r="R785" s="6"/>
      <c r="S785" s="1"/>
      <c r="T785"/>
      <c r="U785" s="2"/>
      <c r="AK785"/>
    </row>
    <row r="786" spans="10:37">
      <c r="J786" s="6"/>
      <c r="K786" s="1"/>
      <c r="L786"/>
      <c r="R786" s="6"/>
      <c r="S786" s="1"/>
      <c r="T786"/>
      <c r="U786" s="2"/>
      <c r="AK786"/>
    </row>
    <row r="787" spans="10:37">
      <c r="J787" s="6"/>
      <c r="K787" s="1"/>
      <c r="L787"/>
      <c r="R787" s="6"/>
      <c r="S787" s="1"/>
      <c r="T787"/>
      <c r="U787" s="2"/>
      <c r="AK787"/>
    </row>
    <row r="788" spans="10:37">
      <c r="J788" s="6"/>
      <c r="K788" s="1"/>
      <c r="L788"/>
      <c r="R788" s="6"/>
      <c r="S788" s="1"/>
      <c r="T788"/>
      <c r="U788" s="2"/>
      <c r="AK788"/>
    </row>
    <row r="789" spans="10:37">
      <c r="J789" s="6"/>
      <c r="K789" s="1"/>
      <c r="L789"/>
      <c r="R789" s="6"/>
      <c r="S789" s="1"/>
      <c r="T789"/>
      <c r="U789" s="2"/>
      <c r="AK789"/>
    </row>
    <row r="790" spans="10:37">
      <c r="J790" s="6"/>
      <c r="K790" s="1"/>
      <c r="L790"/>
      <c r="R790" s="6"/>
      <c r="S790" s="1"/>
      <c r="T790"/>
      <c r="U790" s="2"/>
      <c r="AK790"/>
    </row>
    <row r="791" spans="10:37">
      <c r="J791" s="6"/>
      <c r="K791" s="1"/>
      <c r="L791"/>
      <c r="R791" s="6"/>
      <c r="S791" s="1"/>
      <c r="T791"/>
      <c r="U791" s="2"/>
      <c r="AK791"/>
    </row>
    <row r="792" spans="10:37">
      <c r="J792" s="6"/>
      <c r="K792" s="1"/>
      <c r="L792"/>
      <c r="R792" s="6"/>
      <c r="S792" s="1"/>
      <c r="T792"/>
      <c r="U792" s="2"/>
      <c r="AK792"/>
    </row>
    <row r="793" spans="10:37">
      <c r="J793" s="6"/>
      <c r="K793" s="1"/>
      <c r="L793"/>
      <c r="R793" s="6"/>
      <c r="S793" s="1"/>
      <c r="T793"/>
      <c r="U793" s="2"/>
      <c r="AK793"/>
    </row>
    <row r="794" spans="10:37">
      <c r="J794" s="6"/>
      <c r="K794" s="1"/>
      <c r="L794"/>
      <c r="R794" s="6"/>
      <c r="S794" s="1"/>
      <c r="T794"/>
      <c r="U794" s="2"/>
      <c r="AK794"/>
    </row>
    <row r="795" spans="10:37">
      <c r="J795" s="6"/>
      <c r="K795" s="1"/>
      <c r="L795"/>
      <c r="R795" s="6"/>
      <c r="S795" s="1"/>
      <c r="T795"/>
      <c r="U795" s="2"/>
      <c r="AK795"/>
    </row>
    <row r="796" spans="10:37">
      <c r="J796" s="6"/>
      <c r="K796" s="1"/>
      <c r="L796"/>
      <c r="R796" s="6"/>
      <c r="S796" s="1"/>
      <c r="T796"/>
      <c r="U796" s="2"/>
      <c r="AK796"/>
    </row>
    <row r="797" spans="10:37">
      <c r="J797" s="6"/>
      <c r="K797" s="1"/>
      <c r="L797"/>
      <c r="R797" s="6"/>
      <c r="S797" s="1"/>
      <c r="T797"/>
      <c r="U797" s="2"/>
      <c r="AK797"/>
    </row>
    <row r="798" spans="10:37">
      <c r="J798" s="6"/>
      <c r="K798" s="1"/>
      <c r="L798"/>
      <c r="R798" s="6"/>
      <c r="S798" s="1"/>
      <c r="T798"/>
      <c r="U798" s="2"/>
      <c r="AK798"/>
    </row>
    <row r="799" spans="10:37">
      <c r="J799" s="6"/>
      <c r="K799" s="1"/>
      <c r="L799"/>
      <c r="R799" s="6"/>
      <c r="S799" s="1"/>
      <c r="T799"/>
      <c r="U799" s="2"/>
      <c r="AK799"/>
    </row>
    <row r="800" spans="10:37">
      <c r="J800" s="6"/>
      <c r="K800" s="1"/>
      <c r="L800"/>
      <c r="R800" s="6"/>
      <c r="S800" s="1"/>
      <c r="T800"/>
      <c r="U800" s="2"/>
      <c r="AK800"/>
    </row>
    <row r="801" spans="10:37">
      <c r="J801" s="6"/>
      <c r="K801" s="1"/>
      <c r="L801"/>
      <c r="R801" s="6"/>
      <c r="S801" s="1"/>
      <c r="T801"/>
      <c r="U801" s="2"/>
      <c r="AK801"/>
    </row>
    <row r="802" spans="10:37">
      <c r="J802" s="6"/>
      <c r="K802" s="1"/>
      <c r="L802"/>
      <c r="R802" s="6"/>
      <c r="S802" s="1"/>
      <c r="T802"/>
      <c r="U802" s="2"/>
      <c r="AK802"/>
    </row>
    <row r="803" spans="10:37">
      <c r="J803" s="6"/>
      <c r="K803" s="1"/>
      <c r="L803"/>
      <c r="R803" s="6"/>
      <c r="S803" s="1"/>
      <c r="T803"/>
      <c r="U803" s="2"/>
      <c r="AK803"/>
    </row>
    <row r="804" spans="10:37">
      <c r="J804" s="6"/>
      <c r="K804" s="1"/>
      <c r="L804"/>
      <c r="R804" s="6"/>
      <c r="S804" s="1"/>
      <c r="T804"/>
      <c r="U804" s="2"/>
      <c r="AK804"/>
    </row>
    <row r="805" spans="10:37">
      <c r="J805" s="6"/>
      <c r="K805" s="1"/>
      <c r="L805"/>
      <c r="R805" s="6"/>
      <c r="S805" s="1"/>
      <c r="T805"/>
      <c r="U805" s="2"/>
      <c r="AK805"/>
    </row>
    <row r="806" spans="10:37">
      <c r="J806" s="6"/>
      <c r="K806" s="1"/>
      <c r="L806"/>
      <c r="R806" s="6"/>
      <c r="S806" s="1"/>
      <c r="T806"/>
      <c r="U806" s="2"/>
      <c r="AK806"/>
    </row>
    <row r="807" spans="10:37">
      <c r="J807" s="6"/>
      <c r="K807" s="1"/>
      <c r="L807"/>
      <c r="R807" s="6"/>
      <c r="S807" s="1"/>
      <c r="T807"/>
      <c r="U807" s="2"/>
      <c r="AK807"/>
    </row>
    <row r="808" spans="10:37">
      <c r="J808" s="6"/>
      <c r="K808" s="1"/>
      <c r="L808"/>
      <c r="R808" s="6"/>
      <c r="S808" s="1"/>
      <c r="T808"/>
      <c r="U808" s="2"/>
      <c r="AK808"/>
    </row>
    <row r="809" spans="10:37">
      <c r="J809" s="6"/>
      <c r="K809" s="1"/>
      <c r="L809"/>
      <c r="R809" s="6"/>
      <c r="S809" s="1"/>
      <c r="T809"/>
      <c r="U809" s="2"/>
      <c r="AK809"/>
    </row>
    <row r="810" spans="10:37">
      <c r="J810" s="6"/>
      <c r="K810" s="1"/>
      <c r="L810"/>
      <c r="R810" s="6"/>
      <c r="S810" s="1"/>
      <c r="T810"/>
      <c r="U810" s="2"/>
      <c r="AK810"/>
    </row>
    <row r="811" spans="10:37">
      <c r="J811" s="6"/>
      <c r="K811" s="1"/>
      <c r="L811"/>
      <c r="R811" s="6"/>
      <c r="S811" s="1"/>
      <c r="T811"/>
      <c r="U811" s="2"/>
      <c r="AK811"/>
    </row>
    <row r="812" spans="10:37">
      <c r="J812" s="6"/>
      <c r="K812" s="1"/>
      <c r="L812"/>
      <c r="R812" s="6"/>
      <c r="S812" s="1"/>
      <c r="T812"/>
      <c r="U812" s="2"/>
      <c r="AK812"/>
    </row>
    <row r="813" spans="10:37">
      <c r="J813" s="6"/>
      <c r="K813" s="1"/>
      <c r="L813"/>
      <c r="R813" s="6"/>
      <c r="S813" s="1"/>
      <c r="T813"/>
      <c r="U813" s="2"/>
      <c r="AK813"/>
    </row>
    <row r="814" spans="10:37">
      <c r="J814" s="6"/>
      <c r="K814" s="1"/>
      <c r="L814"/>
      <c r="R814" s="6"/>
      <c r="S814" s="1"/>
      <c r="T814"/>
      <c r="U814" s="2"/>
      <c r="AK814"/>
    </row>
    <row r="815" spans="10:37">
      <c r="J815" s="6"/>
      <c r="K815" s="1"/>
      <c r="L815"/>
      <c r="R815" s="6"/>
      <c r="S815" s="1"/>
      <c r="T815"/>
      <c r="U815" s="2"/>
      <c r="AK815"/>
    </row>
    <row r="816" spans="10:37">
      <c r="J816" s="6"/>
      <c r="K816" s="1"/>
      <c r="L816"/>
      <c r="R816" s="6"/>
      <c r="S816" s="1"/>
      <c r="T816"/>
      <c r="U816" s="2"/>
      <c r="AK816"/>
    </row>
    <row r="817" spans="10:37">
      <c r="J817" s="6"/>
      <c r="K817" s="1"/>
      <c r="L817"/>
      <c r="R817" s="6"/>
      <c r="S817" s="1"/>
      <c r="T817"/>
      <c r="U817" s="2"/>
      <c r="AK817"/>
    </row>
    <row r="818" spans="10:37">
      <c r="J818" s="6"/>
      <c r="K818" s="1"/>
      <c r="L818"/>
      <c r="R818" s="6"/>
      <c r="S818" s="1"/>
      <c r="T818"/>
      <c r="U818" s="2"/>
      <c r="AK818"/>
    </row>
    <row r="819" spans="10:37">
      <c r="J819" s="6"/>
      <c r="K819" s="1"/>
      <c r="L819"/>
      <c r="R819" s="6"/>
      <c r="S819" s="1"/>
      <c r="T819"/>
      <c r="U819" s="2"/>
      <c r="AK819"/>
    </row>
    <row r="820" spans="10:37">
      <c r="J820" s="6"/>
      <c r="K820" s="1"/>
      <c r="L820"/>
      <c r="R820" s="6"/>
      <c r="S820" s="1"/>
      <c r="T820"/>
      <c r="U820" s="2"/>
      <c r="AK820"/>
    </row>
    <row r="821" spans="10:37">
      <c r="J821" s="6"/>
      <c r="K821" s="1"/>
      <c r="L821"/>
      <c r="R821" s="6"/>
      <c r="S821" s="1"/>
      <c r="T821"/>
      <c r="U821" s="2"/>
      <c r="AK821"/>
    </row>
    <row r="822" spans="10:37">
      <c r="J822" s="6"/>
      <c r="K822" s="1"/>
      <c r="L822"/>
      <c r="R822" s="6"/>
      <c r="S822" s="1"/>
      <c r="T822"/>
      <c r="U822" s="2"/>
      <c r="AK822"/>
    </row>
    <row r="823" spans="10:37">
      <c r="J823" s="6"/>
      <c r="K823" s="1"/>
      <c r="L823"/>
      <c r="R823" s="6"/>
      <c r="S823" s="1"/>
      <c r="T823"/>
      <c r="U823" s="2"/>
      <c r="AK823"/>
    </row>
    <row r="824" spans="10:37">
      <c r="J824" s="6"/>
      <c r="K824" s="1"/>
      <c r="L824"/>
      <c r="R824" s="6"/>
      <c r="S824" s="1"/>
      <c r="T824"/>
      <c r="U824" s="2"/>
      <c r="AK824"/>
    </row>
    <row r="825" spans="10:37">
      <c r="J825" s="6"/>
      <c r="K825" s="1"/>
      <c r="L825"/>
      <c r="R825" s="6"/>
      <c r="S825" s="1"/>
      <c r="T825"/>
      <c r="U825" s="2"/>
      <c r="AK825"/>
    </row>
    <row r="826" spans="10:37">
      <c r="J826" s="6"/>
      <c r="K826" s="1"/>
      <c r="L826"/>
      <c r="R826" s="6"/>
      <c r="S826" s="1"/>
      <c r="T826"/>
      <c r="U826" s="2"/>
      <c r="AK826"/>
    </row>
    <row r="827" spans="10:37">
      <c r="J827" s="6"/>
      <c r="K827" s="1"/>
      <c r="L827"/>
      <c r="R827" s="6"/>
      <c r="S827" s="1"/>
      <c r="T827"/>
      <c r="U827" s="2"/>
      <c r="AK827"/>
    </row>
    <row r="828" spans="10:37">
      <c r="J828" s="6"/>
      <c r="K828" s="1"/>
      <c r="L828"/>
      <c r="R828" s="6"/>
      <c r="S828" s="1"/>
      <c r="T828"/>
      <c r="U828" s="2"/>
      <c r="AK828"/>
    </row>
    <row r="829" spans="10:37">
      <c r="J829" s="6"/>
      <c r="K829" s="1"/>
      <c r="L829"/>
      <c r="R829" s="6"/>
      <c r="S829" s="1"/>
      <c r="T829"/>
      <c r="U829" s="2"/>
      <c r="AK829"/>
    </row>
    <row r="830" spans="10:37">
      <c r="J830" s="6"/>
      <c r="K830" s="1"/>
      <c r="L830"/>
      <c r="R830" s="6"/>
      <c r="S830" s="1"/>
      <c r="T830"/>
      <c r="U830" s="2"/>
      <c r="AK830"/>
    </row>
    <row r="831" spans="10:37">
      <c r="J831" s="6"/>
      <c r="K831" s="1"/>
      <c r="L831"/>
      <c r="R831" s="6"/>
      <c r="S831" s="1"/>
      <c r="T831"/>
      <c r="U831" s="2"/>
      <c r="AK831"/>
    </row>
    <row r="832" spans="10:37">
      <c r="J832" s="6"/>
      <c r="K832" s="1"/>
      <c r="L832"/>
      <c r="R832" s="6"/>
      <c r="S832" s="1"/>
      <c r="T832"/>
      <c r="U832" s="2"/>
      <c r="AK832"/>
    </row>
    <row r="833" spans="10:37">
      <c r="J833" s="6"/>
      <c r="K833" s="1"/>
      <c r="L833"/>
      <c r="R833" s="6"/>
      <c r="S833" s="1"/>
      <c r="T833"/>
      <c r="U833" s="2"/>
      <c r="AK833"/>
    </row>
    <row r="834" spans="10:37">
      <c r="J834" s="6"/>
      <c r="K834" s="1"/>
      <c r="L834"/>
      <c r="R834" s="6"/>
      <c r="S834" s="1"/>
      <c r="T834"/>
      <c r="U834" s="2"/>
      <c r="AK834"/>
    </row>
    <row r="835" spans="10:37">
      <c r="J835" s="6"/>
      <c r="K835" s="1"/>
      <c r="L835"/>
      <c r="R835" s="6"/>
      <c r="S835" s="1"/>
      <c r="T835"/>
      <c r="U835" s="2"/>
      <c r="AK835"/>
    </row>
    <row r="836" spans="10:37">
      <c r="J836" s="6"/>
      <c r="K836" s="1"/>
      <c r="L836"/>
      <c r="R836" s="6"/>
      <c r="S836" s="1"/>
      <c r="T836"/>
      <c r="U836" s="2"/>
      <c r="AK836"/>
    </row>
    <row r="837" spans="10:37">
      <c r="J837" s="6"/>
      <c r="K837" s="1"/>
      <c r="L837"/>
      <c r="R837" s="6"/>
      <c r="S837" s="1"/>
      <c r="T837"/>
      <c r="U837" s="2"/>
      <c r="AK837"/>
    </row>
    <row r="838" spans="10:37">
      <c r="J838" s="6"/>
      <c r="K838" s="1"/>
      <c r="L838"/>
      <c r="R838" s="6"/>
      <c r="S838" s="1"/>
      <c r="T838"/>
      <c r="U838" s="2"/>
      <c r="AK838"/>
    </row>
    <row r="839" spans="10:37">
      <c r="J839" s="6"/>
      <c r="K839" s="1"/>
      <c r="L839"/>
      <c r="R839" s="6"/>
      <c r="S839" s="1"/>
      <c r="T839"/>
      <c r="U839" s="2"/>
      <c r="AK839"/>
    </row>
    <row r="840" spans="10:37">
      <c r="J840" s="6"/>
      <c r="K840" s="1"/>
      <c r="L840"/>
      <c r="R840" s="6"/>
      <c r="S840" s="1"/>
      <c r="T840"/>
      <c r="U840" s="2"/>
      <c r="AK840"/>
    </row>
    <row r="841" spans="10:37">
      <c r="J841" s="6"/>
      <c r="K841" s="1"/>
      <c r="L841"/>
      <c r="R841" s="6"/>
      <c r="S841" s="1"/>
      <c r="T841"/>
      <c r="U841" s="2"/>
      <c r="AK841"/>
    </row>
    <row r="842" spans="10:37">
      <c r="J842" s="6"/>
      <c r="K842" s="1"/>
      <c r="L842"/>
      <c r="R842" s="6"/>
      <c r="S842" s="1"/>
      <c r="T842"/>
      <c r="U842" s="2"/>
      <c r="AK842"/>
    </row>
    <row r="843" spans="10:37">
      <c r="J843" s="6"/>
      <c r="K843" s="1"/>
      <c r="L843"/>
      <c r="R843" s="6"/>
      <c r="S843" s="1"/>
      <c r="T843"/>
      <c r="U843" s="2"/>
      <c r="AK843"/>
    </row>
    <row r="844" spans="10:37">
      <c r="J844" s="6"/>
      <c r="K844" s="1"/>
      <c r="L844"/>
      <c r="R844" s="6"/>
      <c r="S844" s="1"/>
      <c r="T844"/>
      <c r="U844" s="2"/>
      <c r="AK844"/>
    </row>
    <row r="845" spans="10:37">
      <c r="J845" s="6"/>
      <c r="K845" s="1"/>
      <c r="L845"/>
      <c r="R845" s="6"/>
      <c r="S845" s="1"/>
      <c r="T845"/>
      <c r="U845" s="2"/>
      <c r="AK845"/>
    </row>
    <row r="846" spans="10:37">
      <c r="J846" s="6"/>
      <c r="K846" s="1"/>
      <c r="L846"/>
      <c r="R846" s="6"/>
      <c r="S846" s="1"/>
      <c r="T846"/>
      <c r="U846" s="2"/>
      <c r="AK846"/>
    </row>
    <row r="847" spans="10:37">
      <c r="J847" s="6"/>
      <c r="K847" s="1"/>
      <c r="L847"/>
      <c r="R847" s="6"/>
      <c r="S847" s="1"/>
      <c r="T847"/>
      <c r="U847" s="2"/>
      <c r="AK847"/>
    </row>
    <row r="848" spans="10:37">
      <c r="J848" s="6"/>
      <c r="K848" s="1"/>
      <c r="L848"/>
      <c r="R848" s="6"/>
      <c r="S848" s="1"/>
      <c r="T848"/>
      <c r="U848" s="2"/>
      <c r="AK848"/>
    </row>
    <row r="849" spans="10:37">
      <c r="J849" s="6"/>
      <c r="K849" s="1"/>
      <c r="L849"/>
      <c r="R849" s="6"/>
      <c r="S849" s="1"/>
      <c r="T849"/>
      <c r="U849" s="2"/>
      <c r="AK849"/>
    </row>
    <row r="850" spans="10:37">
      <c r="J850" s="6"/>
      <c r="K850" s="1"/>
      <c r="L850"/>
      <c r="R850" s="6"/>
      <c r="S850" s="1"/>
      <c r="T850"/>
      <c r="U850" s="2"/>
      <c r="AK850"/>
    </row>
    <row r="851" spans="10:37">
      <c r="J851" s="6"/>
      <c r="K851" s="1"/>
      <c r="L851"/>
      <c r="R851" s="6"/>
      <c r="S851" s="1"/>
      <c r="T851"/>
      <c r="U851" s="2"/>
      <c r="AK851"/>
    </row>
    <row r="852" spans="10:37">
      <c r="J852" s="6"/>
      <c r="K852" s="1"/>
      <c r="L852"/>
      <c r="R852" s="6"/>
      <c r="S852" s="1"/>
      <c r="T852"/>
      <c r="U852" s="2"/>
      <c r="AK852"/>
    </row>
    <row r="853" spans="10:37">
      <c r="J853" s="6"/>
      <c r="K853" s="1"/>
      <c r="L853"/>
      <c r="R853" s="6"/>
      <c r="S853" s="1"/>
      <c r="T853"/>
      <c r="U853" s="2"/>
      <c r="AK853"/>
    </row>
    <row r="854" spans="10:37">
      <c r="J854" s="6"/>
      <c r="K854" s="1"/>
      <c r="L854"/>
      <c r="R854" s="6"/>
      <c r="S854" s="1"/>
      <c r="T854"/>
      <c r="U854" s="2"/>
      <c r="AK854"/>
    </row>
    <row r="855" spans="10:37">
      <c r="J855" s="6"/>
      <c r="K855" s="1"/>
      <c r="L855"/>
      <c r="R855" s="6"/>
      <c r="S855" s="1"/>
      <c r="T855"/>
      <c r="U855" s="2"/>
      <c r="AK855"/>
    </row>
    <row r="856" spans="10:37">
      <c r="J856" s="6"/>
      <c r="K856" s="1"/>
      <c r="L856"/>
      <c r="R856" s="6"/>
      <c r="S856" s="1"/>
      <c r="T856"/>
      <c r="U856" s="2"/>
      <c r="AK856"/>
    </row>
    <row r="857" spans="10:37">
      <c r="J857" s="6"/>
      <c r="K857" s="1"/>
      <c r="L857"/>
      <c r="R857" s="6"/>
      <c r="S857" s="1"/>
      <c r="T857"/>
      <c r="U857" s="2"/>
      <c r="AK857"/>
    </row>
    <row r="858" spans="10:37">
      <c r="J858" s="6"/>
      <c r="K858" s="1"/>
      <c r="L858"/>
      <c r="R858" s="6"/>
      <c r="S858" s="1"/>
      <c r="T858"/>
      <c r="U858" s="2"/>
      <c r="AK858"/>
    </row>
    <row r="859" spans="10:37">
      <c r="J859" s="6"/>
      <c r="K859" s="1"/>
      <c r="L859"/>
      <c r="R859" s="6"/>
      <c r="S859" s="1"/>
      <c r="T859"/>
      <c r="U859" s="2"/>
      <c r="AK859"/>
    </row>
    <row r="860" spans="10:37">
      <c r="J860" s="6"/>
      <c r="K860" s="1"/>
      <c r="L860"/>
      <c r="R860" s="6"/>
      <c r="S860" s="1"/>
      <c r="T860"/>
      <c r="U860" s="2"/>
      <c r="AK860"/>
    </row>
    <row r="861" spans="10:37">
      <c r="J861" s="6"/>
      <c r="K861" s="1"/>
      <c r="L861"/>
      <c r="R861" s="6"/>
      <c r="S861" s="1"/>
      <c r="T861"/>
      <c r="U861" s="2"/>
      <c r="AK861"/>
    </row>
    <row r="862" spans="10:37">
      <c r="J862" s="6"/>
      <c r="K862" s="1"/>
      <c r="L862"/>
      <c r="R862" s="6"/>
      <c r="S862" s="1"/>
      <c r="T862"/>
      <c r="U862" s="2"/>
      <c r="AK862"/>
    </row>
    <row r="863" spans="10:37">
      <c r="J863" s="6"/>
      <c r="K863" s="1"/>
      <c r="L863"/>
      <c r="R863" s="6"/>
      <c r="S863" s="1"/>
      <c r="T863"/>
      <c r="U863" s="2"/>
      <c r="AK863"/>
    </row>
    <row r="864" spans="10:37">
      <c r="J864" s="6"/>
      <c r="K864" s="1"/>
      <c r="L864"/>
      <c r="R864" s="6"/>
      <c r="S864" s="1"/>
      <c r="T864"/>
      <c r="U864" s="2"/>
      <c r="AK864"/>
    </row>
    <row r="865" spans="10:37">
      <c r="J865" s="6"/>
      <c r="K865" s="1"/>
      <c r="L865"/>
      <c r="R865" s="6"/>
      <c r="S865" s="1"/>
      <c r="T865"/>
      <c r="U865" s="2"/>
      <c r="AK865"/>
    </row>
    <row r="866" spans="10:37">
      <c r="J866" s="6"/>
      <c r="K866" s="1"/>
      <c r="L866"/>
      <c r="R866" s="6"/>
      <c r="S866" s="1"/>
      <c r="T866"/>
      <c r="U866" s="2"/>
      <c r="AK866"/>
    </row>
    <row r="867" spans="10:37">
      <c r="J867" s="6"/>
      <c r="K867" s="1"/>
      <c r="L867"/>
      <c r="R867" s="6"/>
      <c r="S867" s="1"/>
      <c r="T867"/>
      <c r="U867" s="2"/>
      <c r="AK867"/>
    </row>
    <row r="868" spans="10:37">
      <c r="J868" s="6"/>
      <c r="K868" s="1"/>
      <c r="L868"/>
      <c r="R868" s="6"/>
      <c r="S868" s="1"/>
      <c r="T868"/>
      <c r="U868" s="2"/>
      <c r="AK868"/>
    </row>
    <row r="869" spans="10:37">
      <c r="J869" s="6"/>
      <c r="K869" s="1"/>
      <c r="L869"/>
      <c r="R869" s="6"/>
      <c r="S869" s="1"/>
      <c r="T869"/>
      <c r="U869" s="2"/>
      <c r="AK869"/>
    </row>
    <row r="870" spans="10:37">
      <c r="J870" s="6"/>
      <c r="K870" s="1"/>
      <c r="L870"/>
      <c r="R870" s="6"/>
      <c r="S870" s="1"/>
      <c r="T870"/>
      <c r="U870" s="2"/>
      <c r="AK870"/>
    </row>
    <row r="871" spans="10:37">
      <c r="J871" s="6"/>
      <c r="K871" s="1"/>
      <c r="L871"/>
      <c r="R871" s="6"/>
      <c r="S871" s="1"/>
      <c r="T871"/>
      <c r="U871" s="2"/>
      <c r="AK871"/>
    </row>
    <row r="872" spans="10:37">
      <c r="J872" s="6"/>
      <c r="K872" s="1"/>
      <c r="L872"/>
      <c r="R872" s="6"/>
      <c r="S872" s="1"/>
      <c r="T872"/>
      <c r="U872" s="2"/>
      <c r="AK872"/>
    </row>
    <row r="873" spans="10:37">
      <c r="J873" s="6"/>
      <c r="K873" s="1"/>
      <c r="L873"/>
      <c r="R873" s="6"/>
      <c r="S873" s="1"/>
      <c r="T873"/>
      <c r="U873" s="2"/>
      <c r="AK873"/>
    </row>
    <row r="874" spans="10:37">
      <c r="J874" s="6"/>
      <c r="K874" s="1"/>
      <c r="L874"/>
      <c r="R874" s="6"/>
      <c r="S874" s="1"/>
      <c r="T874"/>
      <c r="U874" s="2"/>
      <c r="AK874"/>
    </row>
    <row r="875" spans="10:37">
      <c r="J875" s="6"/>
      <c r="K875" s="1"/>
      <c r="L875"/>
      <c r="R875" s="6"/>
      <c r="S875" s="1"/>
      <c r="T875"/>
      <c r="U875" s="2"/>
      <c r="AK875"/>
    </row>
    <row r="876" spans="10:37">
      <c r="J876" s="6"/>
      <c r="K876" s="1"/>
      <c r="L876"/>
      <c r="R876" s="6"/>
      <c r="S876" s="1"/>
      <c r="T876"/>
      <c r="U876" s="2"/>
      <c r="AK876"/>
    </row>
    <row r="877" spans="10:37">
      <c r="J877" s="6"/>
      <c r="K877" s="1"/>
      <c r="L877"/>
      <c r="R877" s="6"/>
      <c r="S877" s="1"/>
      <c r="T877"/>
      <c r="U877" s="2"/>
      <c r="AK877"/>
    </row>
    <row r="878" spans="10:37">
      <c r="J878" s="6"/>
      <c r="K878" s="1"/>
      <c r="L878"/>
      <c r="R878" s="6"/>
      <c r="S878" s="1"/>
      <c r="T878"/>
      <c r="U878" s="2"/>
      <c r="AK878"/>
    </row>
    <row r="879" spans="10:37">
      <c r="J879" s="6"/>
      <c r="K879" s="1"/>
      <c r="L879"/>
      <c r="R879" s="6"/>
      <c r="S879" s="1"/>
      <c r="T879"/>
      <c r="U879" s="2"/>
      <c r="AK879"/>
    </row>
    <row r="880" spans="10:37">
      <c r="J880" s="6"/>
      <c r="K880" s="1"/>
      <c r="L880"/>
      <c r="R880" s="6"/>
      <c r="S880" s="1"/>
      <c r="T880"/>
      <c r="U880" s="2"/>
      <c r="AK880"/>
    </row>
    <row r="881" spans="10:37">
      <c r="J881" s="6"/>
      <c r="K881" s="1"/>
      <c r="L881"/>
      <c r="R881" s="6"/>
      <c r="S881" s="1"/>
      <c r="T881"/>
      <c r="U881" s="2"/>
      <c r="AK881"/>
    </row>
    <row r="882" spans="10:37">
      <c r="J882" s="6"/>
      <c r="K882" s="1"/>
      <c r="L882"/>
      <c r="R882" s="6"/>
      <c r="S882" s="1"/>
      <c r="T882"/>
      <c r="U882" s="2"/>
      <c r="AK882"/>
    </row>
    <row r="883" spans="10:37">
      <c r="J883" s="6"/>
      <c r="K883" s="1"/>
      <c r="L883"/>
      <c r="R883" s="6"/>
      <c r="S883" s="1"/>
      <c r="T883"/>
      <c r="U883" s="2"/>
      <c r="AK883"/>
    </row>
    <row r="884" spans="10:37">
      <c r="J884" s="6"/>
      <c r="K884" s="1"/>
      <c r="L884"/>
      <c r="R884" s="6"/>
      <c r="S884" s="1"/>
      <c r="T884"/>
      <c r="U884" s="2"/>
      <c r="AK884"/>
    </row>
    <row r="885" spans="10:37">
      <c r="J885" s="6"/>
      <c r="K885" s="1"/>
      <c r="L885"/>
      <c r="R885" s="6"/>
      <c r="S885" s="1"/>
      <c r="T885"/>
      <c r="U885" s="2"/>
      <c r="AK885"/>
    </row>
    <row r="886" spans="10:37">
      <c r="J886" s="6"/>
      <c r="K886" s="1"/>
      <c r="L886"/>
      <c r="R886" s="6"/>
      <c r="S886" s="1"/>
      <c r="T886"/>
      <c r="U886" s="2"/>
      <c r="AK886"/>
    </row>
    <row r="887" spans="10:37">
      <c r="J887" s="6"/>
      <c r="K887" s="1"/>
      <c r="L887"/>
      <c r="R887" s="6"/>
      <c r="S887" s="1"/>
      <c r="T887"/>
      <c r="U887" s="2"/>
      <c r="AK887"/>
    </row>
    <row r="888" spans="10:37">
      <c r="J888" s="6"/>
      <c r="K888" s="1"/>
      <c r="L888"/>
      <c r="R888" s="6"/>
      <c r="S888" s="1"/>
      <c r="T888"/>
      <c r="U888" s="2"/>
      <c r="AK888"/>
    </row>
    <row r="889" spans="10:37">
      <c r="J889" s="6"/>
      <c r="K889" s="1"/>
      <c r="L889"/>
      <c r="R889" s="6"/>
      <c r="S889" s="1"/>
      <c r="T889"/>
      <c r="U889" s="2"/>
      <c r="AK889"/>
    </row>
    <row r="890" spans="10:37">
      <c r="J890" s="6"/>
      <c r="K890" s="1"/>
      <c r="L890"/>
      <c r="R890" s="6"/>
      <c r="S890" s="1"/>
      <c r="T890"/>
      <c r="U890" s="2"/>
      <c r="AK890"/>
    </row>
    <row r="891" spans="10:37">
      <c r="J891" s="6"/>
      <c r="K891" s="1"/>
      <c r="L891"/>
      <c r="R891" s="6"/>
      <c r="S891" s="1"/>
      <c r="T891"/>
      <c r="U891" s="2"/>
      <c r="AK891"/>
    </row>
    <row r="892" spans="10:37">
      <c r="J892" s="6"/>
      <c r="K892" s="1"/>
      <c r="L892"/>
      <c r="R892" s="6"/>
      <c r="S892" s="1"/>
      <c r="T892"/>
      <c r="U892" s="2"/>
      <c r="AK892"/>
    </row>
    <row r="893" spans="10:37">
      <c r="J893" s="6"/>
      <c r="K893" s="1"/>
      <c r="L893"/>
      <c r="R893" s="6"/>
      <c r="S893" s="1"/>
      <c r="T893"/>
      <c r="U893" s="2"/>
      <c r="AK893"/>
    </row>
    <row r="894" spans="10:37">
      <c r="J894" s="6"/>
      <c r="K894" s="1"/>
      <c r="L894"/>
      <c r="R894" s="6"/>
      <c r="S894" s="1"/>
      <c r="T894"/>
      <c r="U894" s="2"/>
      <c r="AK894"/>
    </row>
    <row r="895" spans="10:37">
      <c r="J895" s="6"/>
      <c r="K895" s="1"/>
      <c r="L895"/>
      <c r="R895" s="6"/>
      <c r="S895" s="1"/>
      <c r="T895"/>
      <c r="U895" s="2"/>
      <c r="AK895"/>
    </row>
    <row r="896" spans="10:37">
      <c r="J896" s="6"/>
      <c r="K896" s="1"/>
      <c r="L896"/>
      <c r="R896" s="6"/>
      <c r="S896" s="1"/>
      <c r="T896"/>
      <c r="U896" s="2"/>
      <c r="AK896"/>
    </row>
    <row r="897" spans="10:37">
      <c r="J897" s="6"/>
      <c r="K897" s="1"/>
      <c r="L897"/>
      <c r="R897" s="6"/>
      <c r="S897" s="1"/>
      <c r="T897"/>
      <c r="U897" s="2"/>
      <c r="AK897"/>
    </row>
    <row r="898" spans="10:37">
      <c r="J898" s="6"/>
      <c r="K898" s="1"/>
      <c r="L898"/>
      <c r="R898" s="6"/>
      <c r="S898" s="1"/>
      <c r="T898"/>
      <c r="U898" s="2"/>
      <c r="AK898"/>
    </row>
    <row r="899" spans="10:37">
      <c r="J899" s="6"/>
      <c r="K899" s="1"/>
      <c r="L899"/>
      <c r="R899" s="6"/>
      <c r="S899" s="1"/>
      <c r="T899"/>
      <c r="U899" s="2"/>
      <c r="AK899"/>
    </row>
    <row r="900" spans="10:37">
      <c r="J900" s="6"/>
      <c r="K900" s="1"/>
      <c r="L900"/>
      <c r="R900" s="6"/>
      <c r="S900" s="1"/>
      <c r="T900"/>
      <c r="U900" s="2"/>
      <c r="AK900"/>
    </row>
    <row r="901" spans="10:37">
      <c r="J901" s="6"/>
      <c r="K901" s="1"/>
      <c r="L901"/>
      <c r="R901" s="6"/>
      <c r="S901" s="1"/>
      <c r="T901"/>
      <c r="U901" s="2"/>
      <c r="AK901"/>
    </row>
    <row r="902" spans="10:37">
      <c r="J902" s="6"/>
      <c r="K902" s="1"/>
      <c r="L902"/>
      <c r="R902" s="6"/>
      <c r="S902" s="1"/>
      <c r="T902"/>
      <c r="U902" s="2"/>
      <c r="AK902"/>
    </row>
    <row r="903" spans="10:37">
      <c r="J903" s="6"/>
      <c r="K903" s="1"/>
      <c r="L903"/>
      <c r="R903" s="6"/>
      <c r="S903" s="1"/>
      <c r="T903"/>
      <c r="U903" s="2"/>
      <c r="AK903"/>
    </row>
    <row r="904" spans="10:37">
      <c r="J904" s="6"/>
      <c r="K904" s="1"/>
      <c r="L904"/>
      <c r="R904" s="6"/>
      <c r="S904" s="1"/>
      <c r="T904"/>
      <c r="U904" s="2"/>
      <c r="AK904"/>
    </row>
    <row r="905" spans="10:37">
      <c r="J905" s="6"/>
      <c r="K905" s="1"/>
      <c r="L905"/>
      <c r="R905" s="6"/>
      <c r="S905" s="1"/>
      <c r="T905"/>
      <c r="U905" s="2"/>
      <c r="AK905"/>
    </row>
    <row r="906" spans="10:37">
      <c r="J906" s="6"/>
      <c r="K906" s="1"/>
      <c r="L906"/>
      <c r="R906" s="6"/>
      <c r="S906" s="1"/>
      <c r="T906"/>
      <c r="U906" s="2"/>
      <c r="AK906"/>
    </row>
    <row r="907" spans="10:37">
      <c r="J907" s="6"/>
      <c r="K907" s="1"/>
      <c r="L907"/>
      <c r="R907" s="6"/>
      <c r="S907" s="1"/>
      <c r="T907"/>
      <c r="U907" s="2"/>
      <c r="AK907"/>
    </row>
    <row r="908" spans="10:37">
      <c r="J908" s="6"/>
      <c r="K908" s="1"/>
      <c r="L908"/>
      <c r="R908" s="6"/>
      <c r="S908" s="1"/>
      <c r="T908"/>
      <c r="U908" s="2"/>
      <c r="AK908"/>
    </row>
    <row r="909" spans="10:37">
      <c r="J909" s="6"/>
      <c r="K909" s="1"/>
      <c r="L909"/>
      <c r="R909" s="6"/>
      <c r="S909" s="1"/>
      <c r="T909"/>
      <c r="U909" s="2"/>
      <c r="AK909"/>
    </row>
    <row r="910" spans="10:37">
      <c r="J910" s="6"/>
      <c r="K910" s="1"/>
      <c r="L910"/>
      <c r="R910" s="6"/>
      <c r="S910" s="1"/>
      <c r="T910"/>
      <c r="U910" s="2"/>
      <c r="AK910"/>
    </row>
    <row r="911" spans="10:37">
      <c r="J911" s="6"/>
      <c r="K911" s="1"/>
      <c r="L911"/>
      <c r="R911" s="6"/>
      <c r="S911" s="1"/>
      <c r="T911"/>
      <c r="U911" s="2"/>
      <c r="AK911"/>
    </row>
    <row r="912" spans="10:37">
      <c r="J912" s="6"/>
      <c r="K912" s="1"/>
      <c r="L912"/>
      <c r="R912" s="6"/>
      <c r="S912" s="1"/>
      <c r="T912"/>
      <c r="U912" s="2"/>
      <c r="AK912"/>
    </row>
    <row r="913" spans="10:37">
      <c r="J913" s="6"/>
      <c r="K913" s="1"/>
      <c r="L913"/>
      <c r="R913" s="6"/>
      <c r="S913" s="1"/>
      <c r="T913"/>
      <c r="U913" s="2"/>
      <c r="AK913"/>
    </row>
    <row r="914" spans="10:37">
      <c r="J914" s="6"/>
      <c r="K914" s="1"/>
      <c r="L914"/>
      <c r="R914" s="6"/>
      <c r="S914" s="1"/>
      <c r="T914"/>
      <c r="U914" s="2"/>
      <c r="AK914"/>
    </row>
    <row r="915" spans="10:37">
      <c r="J915" s="6"/>
      <c r="K915" s="1"/>
      <c r="L915"/>
      <c r="R915" s="6"/>
      <c r="S915" s="1"/>
      <c r="T915"/>
      <c r="U915" s="2"/>
      <c r="AK915"/>
    </row>
    <row r="916" spans="10:37">
      <c r="J916" s="6"/>
      <c r="K916" s="1"/>
      <c r="L916"/>
      <c r="R916" s="6"/>
      <c r="S916" s="1"/>
      <c r="T916"/>
      <c r="U916" s="2"/>
      <c r="AK916"/>
    </row>
    <row r="917" spans="10:37">
      <c r="J917" s="6"/>
      <c r="K917" s="1"/>
      <c r="L917"/>
      <c r="R917" s="6"/>
      <c r="S917" s="1"/>
      <c r="T917"/>
      <c r="U917" s="2"/>
      <c r="AK917"/>
    </row>
    <row r="918" spans="10:37">
      <c r="J918" s="6"/>
      <c r="K918" s="1"/>
      <c r="L918"/>
      <c r="R918" s="6"/>
      <c r="S918" s="1"/>
      <c r="T918"/>
      <c r="U918" s="2"/>
      <c r="AK918"/>
    </row>
    <row r="919" spans="10:37">
      <c r="J919" s="6"/>
      <c r="K919" s="1"/>
      <c r="L919"/>
      <c r="R919" s="6"/>
      <c r="S919" s="1"/>
      <c r="T919"/>
      <c r="U919" s="2"/>
      <c r="AK919"/>
    </row>
    <row r="920" spans="10:37">
      <c r="J920" s="6"/>
      <c r="K920" s="1"/>
      <c r="L920"/>
      <c r="R920" s="6"/>
      <c r="S920" s="1"/>
      <c r="T920"/>
      <c r="U920" s="2"/>
      <c r="AK920"/>
    </row>
    <row r="921" spans="10:37">
      <c r="J921" s="6"/>
      <c r="K921" s="1"/>
      <c r="L921"/>
      <c r="R921" s="6"/>
      <c r="S921" s="1"/>
      <c r="T921"/>
      <c r="U921" s="2"/>
      <c r="AK921"/>
    </row>
    <row r="922" spans="10:37">
      <c r="J922" s="6"/>
      <c r="K922" s="1"/>
      <c r="L922"/>
      <c r="R922" s="6"/>
      <c r="S922" s="1"/>
      <c r="T922"/>
      <c r="U922" s="2"/>
      <c r="AK922"/>
    </row>
    <row r="923" spans="10:37">
      <c r="J923" s="6"/>
      <c r="K923" s="1"/>
      <c r="L923"/>
      <c r="R923" s="6"/>
      <c r="S923" s="1"/>
      <c r="T923"/>
      <c r="U923" s="2"/>
      <c r="AK923"/>
    </row>
    <row r="924" spans="10:37">
      <c r="J924" s="6"/>
      <c r="K924" s="1"/>
      <c r="L924"/>
      <c r="R924" s="6"/>
      <c r="S924" s="1"/>
      <c r="T924"/>
      <c r="U924" s="2"/>
      <c r="AK924"/>
    </row>
    <row r="925" spans="10:37">
      <c r="J925" s="6"/>
      <c r="K925" s="1"/>
      <c r="L925"/>
      <c r="R925" s="6"/>
      <c r="S925" s="1"/>
      <c r="T925"/>
      <c r="U925" s="2"/>
      <c r="AK925"/>
    </row>
    <row r="926" spans="10:37">
      <c r="J926" s="6"/>
      <c r="K926" s="1"/>
      <c r="L926"/>
      <c r="R926" s="6"/>
      <c r="S926" s="1"/>
      <c r="T926"/>
      <c r="U926" s="2"/>
      <c r="AK926"/>
    </row>
    <row r="927" spans="10:37">
      <c r="J927" s="6"/>
      <c r="K927" s="1"/>
      <c r="L927"/>
      <c r="R927" s="6"/>
      <c r="S927" s="1"/>
      <c r="T927"/>
      <c r="U927" s="2"/>
      <c r="AK927"/>
    </row>
    <row r="928" spans="10:37">
      <c r="J928" s="6"/>
      <c r="K928" s="1"/>
      <c r="L928"/>
      <c r="R928" s="6"/>
      <c r="S928" s="1"/>
      <c r="T928"/>
      <c r="U928" s="2"/>
      <c r="AK928"/>
    </row>
    <row r="929" spans="10:37">
      <c r="J929" s="6"/>
      <c r="K929" s="1"/>
      <c r="L929"/>
      <c r="R929" s="6"/>
      <c r="S929" s="1"/>
      <c r="T929"/>
      <c r="U929" s="2"/>
      <c r="AK929"/>
    </row>
    <row r="930" spans="10:37">
      <c r="J930" s="6"/>
      <c r="K930" s="1"/>
      <c r="L930"/>
      <c r="R930" s="6"/>
      <c r="S930" s="1"/>
      <c r="T930"/>
      <c r="U930" s="2"/>
      <c r="AK930"/>
    </row>
    <row r="931" spans="10:37">
      <c r="J931" s="6"/>
      <c r="K931" s="1"/>
      <c r="L931"/>
      <c r="R931" s="6"/>
      <c r="S931" s="1"/>
      <c r="T931"/>
      <c r="U931" s="2"/>
      <c r="AK931"/>
    </row>
    <row r="932" spans="10:37">
      <c r="J932" s="6"/>
      <c r="K932" s="1"/>
      <c r="L932"/>
      <c r="R932" s="6"/>
      <c r="S932" s="1"/>
      <c r="T932"/>
      <c r="U932" s="2"/>
      <c r="AK932"/>
    </row>
    <row r="933" spans="10:37">
      <c r="J933" s="6"/>
      <c r="K933" s="1"/>
      <c r="L933"/>
      <c r="R933" s="6"/>
      <c r="S933" s="1"/>
      <c r="T933"/>
      <c r="U933" s="2"/>
      <c r="AK933"/>
    </row>
    <row r="934" spans="10:37">
      <c r="J934" s="6"/>
      <c r="K934" s="1"/>
      <c r="L934"/>
      <c r="R934" s="6"/>
      <c r="S934" s="1"/>
      <c r="T934"/>
      <c r="U934" s="2"/>
      <c r="AK934"/>
    </row>
    <row r="935" spans="10:37">
      <c r="J935" s="6"/>
      <c r="K935" s="1"/>
      <c r="L935"/>
      <c r="R935" s="6"/>
      <c r="S935" s="1"/>
      <c r="T935"/>
      <c r="U935" s="2"/>
      <c r="AK935"/>
    </row>
    <row r="936" spans="10:37">
      <c r="J936" s="6"/>
      <c r="K936" s="1"/>
      <c r="L936"/>
      <c r="R936" s="6"/>
      <c r="S936" s="1"/>
      <c r="T936"/>
      <c r="U936" s="2"/>
      <c r="AK936"/>
    </row>
    <row r="937" spans="10:37">
      <c r="J937" s="6"/>
      <c r="K937" s="1"/>
      <c r="L937"/>
      <c r="R937" s="6"/>
      <c r="S937" s="1"/>
      <c r="T937"/>
      <c r="U937" s="2"/>
      <c r="AK937"/>
    </row>
    <row r="938" spans="10:37">
      <c r="J938" s="6"/>
      <c r="K938" s="1"/>
      <c r="L938"/>
      <c r="R938" s="6"/>
      <c r="S938" s="1"/>
      <c r="T938"/>
      <c r="U938" s="2"/>
      <c r="AK938"/>
    </row>
    <row r="939" spans="10:37">
      <c r="J939" s="6"/>
      <c r="K939" s="1"/>
      <c r="L939"/>
      <c r="R939" s="6"/>
      <c r="S939" s="1"/>
      <c r="T939"/>
      <c r="U939" s="2"/>
      <c r="AK939"/>
    </row>
    <row r="940" spans="10:37">
      <c r="J940" s="6"/>
      <c r="K940" s="1"/>
      <c r="L940"/>
      <c r="R940" s="6"/>
      <c r="S940" s="1"/>
      <c r="T940"/>
      <c r="U940" s="2"/>
      <c r="AK940"/>
    </row>
    <row r="941" spans="10:37">
      <c r="J941" s="6"/>
      <c r="K941" s="1"/>
      <c r="L941"/>
      <c r="R941" s="6"/>
      <c r="S941" s="1"/>
      <c r="T941"/>
      <c r="U941" s="2"/>
      <c r="AK941"/>
    </row>
    <row r="942" spans="10:37">
      <c r="J942" s="6"/>
      <c r="K942" s="1"/>
      <c r="L942"/>
      <c r="R942" s="6"/>
      <c r="S942" s="1"/>
      <c r="T942"/>
      <c r="U942" s="2"/>
      <c r="AK942"/>
    </row>
    <row r="943" spans="10:37">
      <c r="J943" s="6"/>
      <c r="K943" s="1"/>
      <c r="L943"/>
      <c r="R943" s="6"/>
      <c r="S943" s="1"/>
      <c r="T943"/>
      <c r="U943" s="2"/>
      <c r="AK943"/>
    </row>
    <row r="944" spans="10:37">
      <c r="J944" s="6"/>
      <c r="K944" s="1"/>
      <c r="L944"/>
      <c r="R944" s="6"/>
      <c r="S944" s="1"/>
      <c r="T944"/>
      <c r="U944" s="2"/>
      <c r="AK944"/>
    </row>
    <row r="945" spans="10:37">
      <c r="J945" s="6"/>
      <c r="K945" s="1"/>
      <c r="L945"/>
      <c r="R945" s="6"/>
      <c r="S945" s="1"/>
      <c r="T945"/>
      <c r="U945" s="2"/>
      <c r="AK945"/>
    </row>
    <row r="946" spans="10:37">
      <c r="J946" s="6"/>
      <c r="K946" s="1"/>
      <c r="L946"/>
      <c r="R946" s="6"/>
      <c r="S946" s="1"/>
      <c r="T946"/>
      <c r="U946" s="2"/>
      <c r="AK946"/>
    </row>
    <row r="947" spans="10:37">
      <c r="J947" s="6"/>
      <c r="K947" s="1"/>
      <c r="L947"/>
      <c r="R947" s="6"/>
      <c r="S947" s="1"/>
      <c r="T947"/>
      <c r="U947" s="2"/>
      <c r="AK947"/>
    </row>
    <row r="948" spans="10:37">
      <c r="J948" s="6"/>
      <c r="K948" s="1"/>
      <c r="L948"/>
      <c r="R948" s="6"/>
      <c r="S948" s="1"/>
      <c r="T948"/>
      <c r="U948" s="2"/>
      <c r="AK948"/>
    </row>
    <row r="949" spans="10:37">
      <c r="J949" s="6"/>
      <c r="K949" s="1"/>
      <c r="L949"/>
      <c r="R949" s="6"/>
      <c r="S949" s="1"/>
      <c r="T949"/>
      <c r="U949" s="2"/>
      <c r="AK949"/>
    </row>
    <row r="950" spans="10:37">
      <c r="J950" s="6"/>
      <c r="K950" s="1"/>
      <c r="L950"/>
      <c r="R950" s="6"/>
      <c r="S950" s="1"/>
      <c r="T950"/>
      <c r="U950" s="2"/>
      <c r="AK950"/>
    </row>
    <row r="951" spans="10:37">
      <c r="J951" s="6"/>
      <c r="K951" s="1"/>
      <c r="L951"/>
      <c r="R951" s="6"/>
      <c r="S951" s="1"/>
      <c r="T951"/>
      <c r="U951" s="2"/>
      <c r="AK951"/>
    </row>
    <row r="952" spans="10:37">
      <c r="J952" s="6"/>
      <c r="K952" s="1"/>
      <c r="L952"/>
      <c r="R952" s="6"/>
      <c r="S952" s="1"/>
      <c r="T952"/>
      <c r="U952" s="2"/>
      <c r="AK952"/>
    </row>
    <row r="953" spans="10:37">
      <c r="J953" s="6"/>
      <c r="K953" s="1"/>
      <c r="L953"/>
      <c r="R953" s="6"/>
      <c r="S953" s="1"/>
      <c r="T953"/>
      <c r="U953" s="2"/>
      <c r="AK953"/>
    </row>
    <row r="954" spans="10:37">
      <c r="J954" s="6"/>
      <c r="K954" s="1"/>
      <c r="L954"/>
      <c r="R954" s="6"/>
      <c r="S954" s="1"/>
      <c r="T954"/>
      <c r="U954" s="2"/>
      <c r="AK954"/>
    </row>
    <row r="955" spans="10:37">
      <c r="J955" s="6"/>
      <c r="K955" s="1"/>
      <c r="L955"/>
      <c r="R955" s="6"/>
      <c r="S955" s="1"/>
      <c r="T955"/>
      <c r="U955" s="2"/>
      <c r="AK955"/>
    </row>
    <row r="956" spans="10:37">
      <c r="J956" s="6"/>
      <c r="K956" s="1"/>
      <c r="L956"/>
      <c r="R956" s="6"/>
      <c r="S956" s="1"/>
      <c r="T956"/>
      <c r="U956" s="2"/>
      <c r="AK956"/>
    </row>
    <row r="957" spans="10:37">
      <c r="J957" s="6"/>
      <c r="K957" s="1"/>
      <c r="L957"/>
      <c r="R957" s="6"/>
      <c r="S957" s="1"/>
      <c r="T957"/>
      <c r="U957" s="2"/>
      <c r="AK957"/>
    </row>
    <row r="958" spans="10:37">
      <c r="J958" s="6"/>
      <c r="K958" s="1"/>
      <c r="L958"/>
      <c r="R958" s="6"/>
      <c r="S958" s="1"/>
      <c r="T958"/>
      <c r="U958" s="2"/>
      <c r="AK958"/>
    </row>
    <row r="959" spans="10:37">
      <c r="J959" s="6"/>
      <c r="K959" s="1"/>
      <c r="L959"/>
      <c r="R959" s="6"/>
      <c r="S959" s="1"/>
      <c r="T959"/>
      <c r="U959" s="2"/>
      <c r="AK959"/>
    </row>
    <row r="960" spans="10:37">
      <c r="J960" s="6"/>
      <c r="K960" s="1"/>
      <c r="L960"/>
      <c r="R960" s="6"/>
      <c r="S960" s="1"/>
      <c r="T960"/>
      <c r="U960" s="2"/>
      <c r="AK960"/>
    </row>
    <row r="961" spans="10:37">
      <c r="J961" s="6"/>
      <c r="K961" s="1"/>
      <c r="L961"/>
      <c r="R961" s="6"/>
      <c r="S961" s="1"/>
      <c r="T961"/>
      <c r="U961" s="2"/>
      <c r="AK961"/>
    </row>
    <row r="962" spans="10:37">
      <c r="J962" s="6"/>
      <c r="K962" s="1"/>
      <c r="L962"/>
      <c r="R962" s="6"/>
      <c r="S962" s="1"/>
      <c r="T962"/>
      <c r="U962" s="2"/>
      <c r="AK962"/>
    </row>
    <row r="963" spans="10:37">
      <c r="J963" s="6"/>
      <c r="K963" s="1"/>
      <c r="L963"/>
      <c r="R963" s="6"/>
      <c r="S963" s="1"/>
      <c r="T963"/>
      <c r="U963" s="2"/>
      <c r="AK963"/>
    </row>
    <row r="964" spans="10:37">
      <c r="J964" s="6"/>
      <c r="K964" s="1"/>
      <c r="L964"/>
      <c r="R964" s="6"/>
      <c r="S964" s="1"/>
      <c r="T964"/>
      <c r="U964" s="2"/>
      <c r="AK964"/>
    </row>
    <row r="965" spans="10:37">
      <c r="J965" s="6"/>
      <c r="K965" s="1"/>
      <c r="L965"/>
      <c r="R965" s="6"/>
      <c r="S965" s="1"/>
      <c r="T965"/>
      <c r="U965" s="2"/>
      <c r="AK965"/>
    </row>
    <row r="966" spans="10:37">
      <c r="J966" s="6"/>
      <c r="K966" s="1"/>
      <c r="L966"/>
      <c r="R966" s="6"/>
      <c r="S966" s="1"/>
      <c r="T966"/>
      <c r="U966" s="2"/>
      <c r="AK966"/>
    </row>
    <row r="967" spans="10:37">
      <c r="J967" s="6"/>
      <c r="K967" s="1"/>
      <c r="L967"/>
      <c r="R967" s="6"/>
      <c r="S967" s="1"/>
      <c r="T967"/>
      <c r="U967" s="2"/>
      <c r="AK967"/>
    </row>
    <row r="968" spans="10:37">
      <c r="J968" s="6"/>
      <c r="K968" s="1"/>
      <c r="L968"/>
      <c r="R968" s="6"/>
      <c r="S968" s="1"/>
      <c r="T968"/>
      <c r="U968" s="2"/>
      <c r="AK968"/>
    </row>
    <row r="969" spans="10:37">
      <c r="J969" s="6"/>
      <c r="K969" s="1"/>
      <c r="L969"/>
      <c r="R969" s="6"/>
      <c r="S969" s="1"/>
      <c r="T969"/>
      <c r="U969" s="2"/>
      <c r="AK969"/>
    </row>
    <row r="970" spans="10:37">
      <c r="J970" s="6"/>
      <c r="K970" s="1"/>
      <c r="L970"/>
      <c r="R970" s="6"/>
      <c r="S970" s="1"/>
      <c r="T970"/>
      <c r="U970" s="2"/>
      <c r="AK970"/>
    </row>
    <row r="971" spans="10:37">
      <c r="J971" s="6"/>
      <c r="K971" s="1"/>
      <c r="L971"/>
      <c r="R971" s="6"/>
      <c r="S971" s="1"/>
      <c r="T971"/>
      <c r="U971" s="2"/>
      <c r="AK971"/>
    </row>
    <row r="972" spans="10:37">
      <c r="J972" s="6"/>
      <c r="K972" s="1"/>
      <c r="L972"/>
      <c r="R972" s="6"/>
      <c r="S972" s="1"/>
      <c r="T972"/>
      <c r="U972" s="2"/>
      <c r="AK972"/>
    </row>
    <row r="973" spans="10:37">
      <c r="J973" s="6"/>
      <c r="K973" s="1"/>
      <c r="L973"/>
      <c r="R973" s="6"/>
      <c r="S973" s="1"/>
      <c r="T973"/>
      <c r="U973" s="2"/>
      <c r="AK973"/>
    </row>
    <row r="974" spans="10:37">
      <c r="J974" s="6"/>
      <c r="K974" s="1"/>
      <c r="L974"/>
      <c r="R974" s="6"/>
      <c r="S974" s="1"/>
      <c r="T974"/>
      <c r="U974" s="2"/>
      <c r="AK974"/>
    </row>
    <row r="975" spans="10:37">
      <c r="J975" s="6"/>
      <c r="K975" s="1"/>
      <c r="L975"/>
      <c r="R975" s="6"/>
      <c r="S975" s="1"/>
      <c r="T975"/>
      <c r="U975" s="2"/>
      <c r="AK975"/>
    </row>
    <row r="976" spans="10:37">
      <c r="J976" s="6"/>
      <c r="K976" s="1"/>
      <c r="L976"/>
      <c r="R976" s="6"/>
      <c r="S976" s="1"/>
      <c r="T976"/>
      <c r="U976" s="2"/>
      <c r="AK976"/>
    </row>
    <row r="977" spans="10:37">
      <c r="J977" s="6"/>
      <c r="K977" s="1"/>
      <c r="L977"/>
      <c r="R977" s="6"/>
      <c r="S977" s="1"/>
      <c r="T977"/>
      <c r="U977" s="2"/>
      <c r="AK977"/>
    </row>
    <row r="978" spans="10:37">
      <c r="J978" s="6"/>
      <c r="K978" s="1"/>
      <c r="L978"/>
      <c r="R978" s="6"/>
      <c r="S978" s="1"/>
      <c r="T978"/>
      <c r="U978" s="2"/>
      <c r="AK978"/>
    </row>
    <row r="979" spans="10:37">
      <c r="J979" s="6"/>
      <c r="K979" s="1"/>
      <c r="L979"/>
      <c r="R979" s="6"/>
      <c r="S979" s="1"/>
      <c r="T979"/>
      <c r="U979" s="2"/>
      <c r="AK979"/>
    </row>
    <row r="980" spans="10:37">
      <c r="J980" s="6"/>
      <c r="K980" s="1"/>
      <c r="L980"/>
      <c r="R980" s="6"/>
      <c r="S980" s="1"/>
      <c r="T980"/>
      <c r="U980" s="2"/>
      <c r="AK980"/>
    </row>
    <row r="981" spans="10:37">
      <c r="J981" s="6"/>
      <c r="K981" s="1"/>
      <c r="L981"/>
      <c r="R981" s="6"/>
      <c r="S981" s="1"/>
      <c r="T981"/>
      <c r="U981" s="2"/>
      <c r="AK981"/>
    </row>
    <row r="982" spans="10:37">
      <c r="J982" s="6"/>
      <c r="K982" s="1"/>
      <c r="L982"/>
      <c r="R982" s="6"/>
      <c r="S982" s="1"/>
      <c r="T982"/>
      <c r="U982" s="2"/>
      <c r="AK982"/>
    </row>
    <row r="983" spans="10:37">
      <c r="J983" s="6"/>
      <c r="K983" s="1"/>
      <c r="L983"/>
      <c r="R983" s="6"/>
      <c r="S983" s="1"/>
      <c r="T983"/>
      <c r="U983" s="2"/>
      <c r="AK983"/>
    </row>
    <row r="984" spans="10:37">
      <c r="J984" s="6"/>
      <c r="K984" s="1"/>
      <c r="L984"/>
      <c r="R984" s="6"/>
      <c r="S984" s="1"/>
      <c r="T984"/>
      <c r="U984" s="2"/>
      <c r="AK984"/>
    </row>
    <row r="985" spans="10:37">
      <c r="J985" s="6"/>
      <c r="K985" s="1"/>
      <c r="L985"/>
      <c r="R985" s="6"/>
      <c r="S985" s="1"/>
      <c r="T985"/>
      <c r="U985" s="2"/>
      <c r="AK985"/>
    </row>
    <row r="986" spans="10:37">
      <c r="J986" s="6"/>
      <c r="K986" s="1"/>
      <c r="L986"/>
      <c r="R986" s="6"/>
      <c r="S986" s="1"/>
      <c r="T986"/>
      <c r="U986" s="2"/>
      <c r="AK986"/>
    </row>
    <row r="987" spans="10:37">
      <c r="J987" s="6"/>
      <c r="K987" s="1"/>
      <c r="L987"/>
      <c r="R987" s="6"/>
      <c r="S987" s="1"/>
      <c r="T987"/>
      <c r="U987" s="2"/>
      <c r="AK987"/>
    </row>
    <row r="988" spans="10:37">
      <c r="J988" s="6"/>
      <c r="K988" s="1"/>
      <c r="L988"/>
      <c r="R988" s="6"/>
      <c r="S988" s="1"/>
      <c r="T988"/>
      <c r="U988" s="2"/>
      <c r="AK988"/>
    </row>
    <row r="989" spans="10:37">
      <c r="J989" s="6"/>
      <c r="K989" s="1"/>
      <c r="L989"/>
      <c r="R989" s="6"/>
      <c r="S989" s="1"/>
      <c r="T989"/>
      <c r="U989" s="2"/>
      <c r="AK989"/>
    </row>
    <row r="990" spans="10:37">
      <c r="J990" s="6"/>
      <c r="K990" s="1"/>
      <c r="L990"/>
      <c r="R990" s="6"/>
      <c r="S990" s="1"/>
      <c r="T990"/>
      <c r="U990" s="2"/>
      <c r="AK990"/>
    </row>
    <row r="991" spans="10:37">
      <c r="J991" s="6"/>
      <c r="K991" s="1"/>
      <c r="L991"/>
      <c r="R991" s="6"/>
      <c r="S991" s="1"/>
      <c r="T991"/>
      <c r="U991" s="2"/>
      <c r="AK991"/>
    </row>
    <row r="992" spans="10:37">
      <c r="J992" s="6"/>
      <c r="K992" s="1"/>
      <c r="L992"/>
      <c r="R992" s="6"/>
      <c r="S992" s="1"/>
      <c r="T992"/>
      <c r="U992" s="2"/>
      <c r="AK992"/>
    </row>
    <row r="993" spans="10:37">
      <c r="J993" s="6"/>
      <c r="K993" s="1"/>
      <c r="L993"/>
      <c r="R993" s="6"/>
      <c r="S993" s="1"/>
      <c r="T993"/>
      <c r="U993" s="2"/>
      <c r="AK993"/>
    </row>
    <row r="994" spans="10:37">
      <c r="J994" s="6"/>
      <c r="K994" s="1"/>
      <c r="L994"/>
      <c r="R994" s="6"/>
      <c r="S994" s="1"/>
      <c r="T994"/>
      <c r="U994" s="2"/>
      <c r="AK994"/>
    </row>
    <row r="995" spans="10:37">
      <c r="J995" s="6"/>
      <c r="K995" s="1"/>
      <c r="L995"/>
      <c r="R995" s="6"/>
      <c r="S995" s="1"/>
      <c r="T995"/>
      <c r="U995" s="2"/>
      <c r="AK995"/>
    </row>
    <row r="996" spans="10:37">
      <c r="J996" s="6"/>
      <c r="K996" s="1"/>
      <c r="L996"/>
      <c r="R996" s="6"/>
      <c r="S996" s="1"/>
      <c r="T996"/>
      <c r="U996" s="2"/>
      <c r="AK996"/>
    </row>
    <row r="997" spans="10:37">
      <c r="J997" s="6"/>
      <c r="K997" s="1"/>
      <c r="L997"/>
      <c r="R997" s="6"/>
      <c r="S997" s="1"/>
      <c r="T997"/>
      <c r="U997" s="2"/>
      <c r="AK997"/>
    </row>
    <row r="998" spans="10:37">
      <c r="J998" s="6"/>
      <c r="K998" s="1"/>
      <c r="L998"/>
      <c r="R998" s="6"/>
      <c r="S998" s="1"/>
      <c r="T998"/>
      <c r="U998" s="2"/>
      <c r="AK998"/>
    </row>
    <row r="999" spans="10:37">
      <c r="J999" s="6"/>
      <c r="K999" s="1"/>
      <c r="L999"/>
      <c r="R999" s="6"/>
      <c r="S999" s="1"/>
      <c r="T999"/>
      <c r="U999" s="2"/>
      <c r="AK999"/>
    </row>
    <row r="1000" spans="10:37">
      <c r="J1000" s="6"/>
      <c r="K1000" s="1"/>
      <c r="L1000"/>
      <c r="R1000" s="6"/>
      <c r="S1000" s="1"/>
      <c r="T1000"/>
      <c r="U1000" s="2"/>
      <c r="AK1000"/>
    </row>
    <row r="1001" spans="10:37">
      <c r="J1001" s="6"/>
      <c r="K1001" s="1"/>
      <c r="L1001"/>
      <c r="R1001" s="6"/>
      <c r="S1001" s="1"/>
      <c r="T1001"/>
      <c r="U1001" s="2"/>
      <c r="AK1001"/>
    </row>
    <row r="1002" spans="10:37">
      <c r="J1002" s="6"/>
      <c r="K1002" s="1"/>
      <c r="L1002"/>
      <c r="R1002" s="6"/>
      <c r="S1002" s="1"/>
      <c r="T1002"/>
      <c r="U1002" s="2"/>
      <c r="AK1002"/>
    </row>
    <row r="1003" spans="10:37">
      <c r="J1003" s="6"/>
      <c r="K1003" s="1"/>
      <c r="L1003"/>
      <c r="R1003" s="6"/>
      <c r="S1003" s="1"/>
      <c r="T1003"/>
      <c r="U1003" s="2"/>
      <c r="AK1003"/>
    </row>
    <row r="1004" spans="10:37">
      <c r="J1004" s="6"/>
      <c r="K1004" s="1"/>
      <c r="L1004"/>
      <c r="R1004" s="6"/>
      <c r="S1004" s="1"/>
      <c r="T1004"/>
      <c r="U1004" s="2"/>
      <c r="AK1004"/>
    </row>
    <row r="1005" spans="10:37">
      <c r="J1005" s="6"/>
      <c r="K1005" s="1"/>
      <c r="L1005"/>
      <c r="R1005" s="6"/>
      <c r="S1005" s="1"/>
      <c r="T1005"/>
      <c r="U1005" s="2"/>
      <c r="AK1005"/>
    </row>
    <row r="1006" spans="10:37">
      <c r="J1006" s="6"/>
      <c r="K1006" s="1"/>
      <c r="L1006"/>
      <c r="R1006" s="6"/>
      <c r="S1006" s="1"/>
      <c r="T1006"/>
      <c r="U1006" s="2"/>
      <c r="AK1006"/>
    </row>
    <row r="1007" spans="10:37">
      <c r="J1007" s="6"/>
      <c r="K1007" s="1"/>
      <c r="L1007"/>
      <c r="R1007" s="6"/>
      <c r="S1007" s="1"/>
      <c r="T1007"/>
      <c r="U1007" s="2"/>
      <c r="AK1007"/>
    </row>
    <row r="1008" spans="10:37">
      <c r="J1008" s="6"/>
      <c r="K1008" s="1"/>
      <c r="L1008"/>
      <c r="R1008" s="6"/>
      <c r="S1008" s="1"/>
      <c r="T1008"/>
      <c r="U1008" s="2"/>
      <c r="AK1008"/>
    </row>
    <row r="1009" spans="10:37">
      <c r="J1009" s="6"/>
      <c r="K1009" s="1"/>
      <c r="L1009"/>
      <c r="R1009" s="6"/>
      <c r="S1009" s="1"/>
      <c r="T1009"/>
      <c r="U1009" s="2"/>
      <c r="AK1009"/>
    </row>
    <row r="1010" spans="10:37">
      <c r="J1010" s="6"/>
      <c r="K1010" s="1"/>
      <c r="L1010"/>
      <c r="R1010" s="6"/>
      <c r="S1010" s="1"/>
      <c r="T1010"/>
      <c r="U1010" s="2"/>
      <c r="AK1010"/>
    </row>
    <row r="1011" spans="10:37">
      <c r="J1011" s="6"/>
      <c r="K1011" s="1"/>
      <c r="L1011"/>
      <c r="R1011" s="6"/>
      <c r="S1011" s="1"/>
      <c r="T1011"/>
      <c r="U1011" s="2"/>
      <c r="AK1011"/>
    </row>
    <row r="1012" spans="10:37">
      <c r="J1012" s="6"/>
      <c r="K1012" s="1"/>
      <c r="L1012"/>
      <c r="R1012" s="6"/>
      <c r="S1012" s="1"/>
      <c r="T1012"/>
      <c r="U1012" s="2"/>
      <c r="AK1012"/>
    </row>
    <row r="1013" spans="10:37">
      <c r="J1013" s="6"/>
      <c r="K1013" s="1"/>
      <c r="L1013"/>
      <c r="R1013" s="6"/>
      <c r="S1013" s="1"/>
      <c r="T1013"/>
      <c r="U1013" s="2"/>
      <c r="AK1013"/>
    </row>
    <row r="1014" spans="10:37">
      <c r="J1014" s="6"/>
      <c r="K1014" s="1"/>
      <c r="L1014"/>
      <c r="R1014" s="6"/>
      <c r="S1014" s="1"/>
      <c r="T1014"/>
      <c r="U1014" s="2"/>
      <c r="AK1014"/>
    </row>
    <row r="1015" spans="10:37">
      <c r="J1015" s="6"/>
      <c r="K1015" s="1"/>
      <c r="L1015"/>
      <c r="R1015" s="6"/>
      <c r="S1015" s="1"/>
      <c r="T1015"/>
      <c r="U1015" s="2"/>
      <c r="AK1015"/>
    </row>
    <row r="1016" spans="10:37">
      <c r="J1016" s="6"/>
      <c r="K1016" s="1"/>
      <c r="L1016"/>
      <c r="R1016" s="6"/>
      <c r="S1016" s="1"/>
      <c r="T1016"/>
      <c r="U1016" s="2"/>
      <c r="AK1016"/>
    </row>
    <row r="1017" spans="10:37">
      <c r="J1017" s="6"/>
      <c r="K1017" s="1"/>
      <c r="L1017"/>
      <c r="R1017" s="6"/>
      <c r="S1017" s="1"/>
      <c r="T1017"/>
      <c r="U1017" s="2"/>
      <c r="AK1017"/>
    </row>
    <row r="1018" spans="10:37">
      <c r="J1018" s="6"/>
      <c r="K1018" s="1"/>
      <c r="L1018"/>
      <c r="R1018" s="6"/>
      <c r="S1018" s="1"/>
      <c r="T1018"/>
      <c r="U1018" s="2"/>
      <c r="AK1018"/>
    </row>
    <row r="1019" spans="10:37">
      <c r="J1019" s="6"/>
      <c r="K1019" s="1"/>
      <c r="L1019"/>
      <c r="R1019" s="6"/>
      <c r="S1019" s="1"/>
      <c r="T1019"/>
      <c r="U1019" s="2"/>
      <c r="AK1019"/>
    </row>
    <row r="1020" spans="10:37">
      <c r="J1020" s="6"/>
      <c r="K1020" s="1"/>
      <c r="L1020"/>
      <c r="R1020" s="6"/>
      <c r="S1020" s="1"/>
      <c r="T1020"/>
      <c r="U1020" s="2"/>
      <c r="AK1020"/>
    </row>
    <row r="1021" spans="10:37">
      <c r="J1021" s="6"/>
      <c r="K1021" s="1"/>
      <c r="L1021"/>
      <c r="R1021" s="6"/>
      <c r="S1021" s="1"/>
      <c r="T1021"/>
      <c r="U1021" s="2"/>
      <c r="AK1021"/>
    </row>
    <row r="1022" spans="10:37">
      <c r="J1022" s="6"/>
      <c r="K1022" s="1"/>
      <c r="L1022"/>
      <c r="R1022" s="6"/>
      <c r="S1022" s="1"/>
      <c r="T1022"/>
      <c r="U1022" s="2"/>
      <c r="AK1022"/>
    </row>
    <row r="1023" spans="10:37">
      <c r="J1023" s="6"/>
      <c r="K1023" s="1"/>
      <c r="L1023"/>
      <c r="R1023" s="6"/>
      <c r="S1023" s="1"/>
      <c r="T1023"/>
      <c r="U1023" s="2"/>
      <c r="AK1023"/>
    </row>
    <row r="1024" spans="10:37">
      <c r="J1024" s="6"/>
      <c r="K1024" s="1"/>
      <c r="L1024"/>
      <c r="R1024" s="6"/>
      <c r="S1024" s="1"/>
      <c r="T1024"/>
      <c r="U1024" s="2"/>
      <c r="AK1024"/>
    </row>
    <row r="1025" spans="10:37">
      <c r="J1025" s="6"/>
      <c r="K1025" s="1"/>
      <c r="L1025"/>
      <c r="R1025" s="6"/>
      <c r="S1025" s="1"/>
      <c r="T1025"/>
      <c r="U1025" s="2"/>
      <c r="AK1025"/>
    </row>
    <row r="1026" spans="10:37">
      <c r="J1026" s="6"/>
      <c r="K1026" s="1"/>
      <c r="L1026"/>
      <c r="R1026" s="6"/>
      <c r="S1026" s="1"/>
      <c r="T1026"/>
      <c r="U1026" s="2"/>
      <c r="AK1026"/>
    </row>
    <row r="1027" spans="10:37">
      <c r="J1027" s="6"/>
      <c r="K1027" s="1"/>
      <c r="L1027"/>
      <c r="R1027" s="6"/>
      <c r="S1027" s="1"/>
      <c r="T1027"/>
      <c r="U1027" s="2"/>
      <c r="AK1027"/>
    </row>
    <row r="1028" spans="10:37">
      <c r="J1028" s="6"/>
      <c r="K1028" s="1"/>
      <c r="L1028"/>
      <c r="R1028" s="6"/>
      <c r="S1028" s="1"/>
      <c r="T1028"/>
      <c r="U1028" s="2"/>
      <c r="AK1028"/>
    </row>
    <row r="1029" spans="10:37">
      <c r="J1029" s="6"/>
      <c r="K1029" s="1"/>
      <c r="L1029"/>
      <c r="R1029" s="6"/>
      <c r="S1029" s="1"/>
      <c r="T1029"/>
      <c r="U1029" s="2"/>
      <c r="AK1029"/>
    </row>
    <row r="1030" spans="10:37">
      <c r="J1030" s="6"/>
      <c r="K1030" s="1"/>
      <c r="L1030"/>
      <c r="R1030" s="6"/>
      <c r="S1030" s="1"/>
      <c r="T1030"/>
      <c r="U1030" s="2"/>
      <c r="AK1030"/>
    </row>
    <row r="1031" spans="10:37">
      <c r="J1031" s="6"/>
      <c r="K1031" s="1"/>
      <c r="L1031"/>
      <c r="R1031" s="6"/>
      <c r="S1031" s="1"/>
      <c r="T1031"/>
      <c r="U1031" s="2"/>
      <c r="AK1031"/>
    </row>
    <row r="1032" spans="10:37">
      <c r="J1032" s="6"/>
      <c r="K1032" s="1"/>
      <c r="L1032"/>
      <c r="R1032" s="6"/>
      <c r="S1032" s="1"/>
      <c r="T1032"/>
      <c r="U1032" s="2"/>
      <c r="AK1032"/>
    </row>
    <row r="1033" spans="10:37">
      <c r="J1033" s="6"/>
      <c r="K1033" s="1"/>
      <c r="L1033"/>
      <c r="R1033" s="6"/>
      <c r="S1033" s="1"/>
      <c r="T1033"/>
      <c r="U1033" s="2"/>
      <c r="AK1033"/>
    </row>
    <row r="1034" spans="10:37">
      <c r="J1034" s="6"/>
      <c r="K1034" s="1"/>
      <c r="L1034"/>
      <c r="R1034" s="6"/>
      <c r="S1034" s="1"/>
      <c r="T1034"/>
      <c r="U1034" s="2"/>
      <c r="AK1034"/>
    </row>
    <row r="1035" spans="10:37">
      <c r="J1035" s="6"/>
      <c r="K1035" s="1"/>
      <c r="L1035"/>
      <c r="R1035" s="6"/>
      <c r="S1035" s="1"/>
      <c r="T1035"/>
      <c r="U1035" s="2"/>
      <c r="AK1035"/>
    </row>
    <row r="1036" spans="10:37">
      <c r="J1036" s="6"/>
      <c r="K1036" s="1"/>
      <c r="L1036"/>
      <c r="R1036" s="6"/>
      <c r="S1036" s="1"/>
      <c r="T1036"/>
      <c r="U1036" s="2"/>
      <c r="AK1036"/>
    </row>
    <row r="1037" spans="10:37">
      <c r="J1037" s="6"/>
      <c r="K1037" s="1"/>
      <c r="L1037"/>
      <c r="R1037" s="6"/>
      <c r="S1037" s="1"/>
      <c r="T1037"/>
      <c r="U1037" s="2"/>
      <c r="AK1037"/>
    </row>
    <row r="1038" spans="10:37">
      <c r="J1038" s="6"/>
      <c r="K1038" s="1"/>
      <c r="L1038"/>
      <c r="R1038" s="6"/>
      <c r="S1038" s="1"/>
      <c r="T1038"/>
      <c r="U1038" s="2"/>
      <c r="AK1038"/>
    </row>
    <row r="1039" spans="10:37">
      <c r="J1039" s="6"/>
      <c r="K1039" s="1"/>
      <c r="L1039"/>
      <c r="R1039" s="6"/>
      <c r="S1039" s="1"/>
      <c r="T1039"/>
      <c r="U1039" s="2"/>
      <c r="AK1039"/>
    </row>
    <row r="1040" spans="10:37">
      <c r="J1040" s="6"/>
      <c r="K1040" s="1"/>
      <c r="L1040"/>
      <c r="R1040" s="6"/>
      <c r="S1040" s="1"/>
      <c r="T1040"/>
      <c r="U1040" s="2"/>
      <c r="AK1040"/>
    </row>
    <row r="1041" spans="10:37">
      <c r="J1041" s="6"/>
      <c r="K1041" s="1"/>
      <c r="L1041"/>
      <c r="R1041" s="6"/>
      <c r="S1041" s="1"/>
      <c r="T1041"/>
      <c r="U1041" s="2"/>
      <c r="AK1041"/>
    </row>
    <row r="1042" spans="10:37">
      <c r="J1042" s="6"/>
      <c r="K1042" s="1"/>
      <c r="L1042"/>
      <c r="R1042" s="6"/>
      <c r="S1042" s="1"/>
      <c r="T1042"/>
      <c r="U1042" s="2"/>
      <c r="AK1042"/>
    </row>
    <row r="1043" spans="10:37">
      <c r="J1043" s="6"/>
      <c r="K1043" s="1"/>
      <c r="L1043"/>
      <c r="R1043" s="6"/>
      <c r="S1043" s="1"/>
      <c r="T1043"/>
      <c r="U1043" s="2"/>
      <c r="AK1043"/>
    </row>
    <row r="1044" spans="10:37">
      <c r="J1044" s="6"/>
      <c r="K1044" s="1"/>
      <c r="L1044"/>
      <c r="R1044" s="6"/>
      <c r="S1044" s="1"/>
      <c r="T1044"/>
      <c r="U1044" s="2"/>
      <c r="AK1044"/>
    </row>
    <row r="1045" spans="10:37">
      <c r="J1045" s="6"/>
      <c r="K1045" s="1"/>
      <c r="L1045"/>
      <c r="R1045" s="6"/>
      <c r="S1045" s="1"/>
      <c r="T1045"/>
      <c r="U1045" s="2"/>
      <c r="AK1045"/>
    </row>
    <row r="1046" spans="10:37">
      <c r="J1046" s="6"/>
      <c r="K1046" s="1"/>
      <c r="L1046"/>
      <c r="R1046" s="6"/>
      <c r="S1046" s="1"/>
      <c r="T1046"/>
      <c r="U1046" s="2"/>
      <c r="AK1046"/>
    </row>
    <row r="1047" spans="10:37">
      <c r="J1047" s="6"/>
      <c r="K1047" s="1"/>
      <c r="L1047"/>
      <c r="R1047" s="6"/>
      <c r="S1047" s="1"/>
      <c r="T1047"/>
      <c r="U1047" s="2"/>
      <c r="AK1047"/>
    </row>
    <row r="1048" spans="10:37">
      <c r="J1048" s="6"/>
      <c r="K1048" s="1"/>
      <c r="L1048"/>
      <c r="R1048" s="6"/>
      <c r="S1048" s="1"/>
      <c r="T1048"/>
      <c r="U1048" s="2"/>
      <c r="AK1048"/>
    </row>
    <row r="1049" spans="10:37">
      <c r="J1049" s="6"/>
      <c r="K1049" s="1"/>
      <c r="L1049"/>
      <c r="R1049" s="6"/>
      <c r="S1049" s="1"/>
      <c r="T1049"/>
      <c r="U1049" s="2"/>
      <c r="AK1049"/>
    </row>
    <row r="1050" spans="10:37">
      <c r="J1050" s="6"/>
      <c r="K1050" s="1"/>
      <c r="L1050"/>
      <c r="R1050" s="6"/>
      <c r="S1050" s="1"/>
      <c r="T1050"/>
      <c r="U1050" s="2"/>
      <c r="AK1050"/>
    </row>
    <row r="1051" spans="10:37">
      <c r="J1051" s="6"/>
      <c r="K1051" s="1"/>
      <c r="L1051"/>
      <c r="R1051" s="6"/>
      <c r="S1051" s="1"/>
      <c r="T1051"/>
      <c r="U1051" s="2"/>
      <c r="AK1051"/>
    </row>
    <row r="1052" spans="10:37">
      <c r="J1052" s="6"/>
      <c r="K1052" s="1"/>
      <c r="L1052"/>
      <c r="R1052" s="6"/>
      <c r="S1052" s="1"/>
      <c r="T1052"/>
      <c r="U1052" s="2"/>
      <c r="AK1052"/>
    </row>
    <row r="1053" spans="10:37">
      <c r="J1053" s="6"/>
      <c r="K1053" s="1"/>
      <c r="L1053"/>
      <c r="R1053" s="6"/>
      <c r="S1053" s="1"/>
      <c r="T1053"/>
      <c r="U1053" s="2"/>
      <c r="AK1053"/>
    </row>
    <row r="1054" spans="10:37">
      <c r="J1054" s="6"/>
      <c r="K1054" s="1"/>
      <c r="L1054"/>
      <c r="R1054" s="6"/>
      <c r="S1054" s="1"/>
      <c r="T1054"/>
      <c r="U1054" s="2"/>
      <c r="AK1054"/>
    </row>
    <row r="1055" spans="10:37">
      <c r="J1055" s="6"/>
      <c r="K1055" s="1"/>
      <c r="L1055"/>
      <c r="R1055" s="6"/>
      <c r="S1055" s="1"/>
      <c r="T1055"/>
      <c r="U1055" s="2"/>
      <c r="AK1055"/>
    </row>
    <row r="1056" spans="10:37">
      <c r="J1056" s="6"/>
      <c r="K1056" s="1"/>
      <c r="L1056"/>
      <c r="R1056" s="6"/>
      <c r="S1056" s="1"/>
      <c r="T1056"/>
      <c r="U1056" s="2"/>
      <c r="AK1056"/>
    </row>
    <row r="1057" spans="10:37">
      <c r="J1057" s="6"/>
      <c r="K1057" s="1"/>
      <c r="L1057"/>
      <c r="R1057" s="6"/>
      <c r="S1057" s="1"/>
      <c r="T1057"/>
      <c r="U1057" s="2"/>
      <c r="AK1057"/>
    </row>
    <row r="1058" spans="10:37">
      <c r="J1058" s="6"/>
      <c r="K1058" s="1"/>
      <c r="L1058"/>
      <c r="R1058" s="6"/>
      <c r="S1058" s="1"/>
      <c r="T1058"/>
      <c r="U1058" s="2"/>
      <c r="AK1058"/>
    </row>
    <row r="1059" spans="10:37">
      <c r="J1059" s="6"/>
      <c r="K1059" s="1"/>
      <c r="L1059"/>
      <c r="R1059" s="6"/>
      <c r="S1059" s="1"/>
      <c r="T1059"/>
      <c r="U1059" s="2"/>
      <c r="AK1059"/>
    </row>
    <row r="1060" spans="10:37">
      <c r="J1060" s="6"/>
      <c r="K1060" s="1"/>
      <c r="L1060"/>
      <c r="R1060" s="6"/>
      <c r="S1060" s="1"/>
      <c r="T1060"/>
      <c r="U1060" s="2"/>
      <c r="AK1060"/>
    </row>
    <row r="1061" spans="10:37">
      <c r="J1061" s="6"/>
      <c r="K1061" s="1"/>
      <c r="L1061"/>
      <c r="R1061" s="6"/>
      <c r="S1061" s="1"/>
      <c r="T1061"/>
      <c r="U1061" s="2"/>
      <c r="AK1061"/>
    </row>
    <row r="1062" spans="10:37">
      <c r="J1062" s="6"/>
      <c r="K1062" s="1"/>
      <c r="L1062"/>
      <c r="R1062" s="6"/>
      <c r="S1062" s="1"/>
      <c r="T1062"/>
      <c r="U1062" s="2"/>
      <c r="AK1062"/>
    </row>
    <row r="1063" spans="10:37">
      <c r="J1063" s="6"/>
      <c r="K1063" s="1"/>
      <c r="L1063"/>
      <c r="R1063" s="6"/>
      <c r="S1063" s="1"/>
      <c r="T1063"/>
      <c r="U1063" s="2"/>
      <c r="AK1063"/>
    </row>
    <row r="1064" spans="10:37">
      <c r="J1064" s="6"/>
      <c r="K1064" s="1"/>
      <c r="L1064"/>
      <c r="R1064" s="6"/>
      <c r="S1064" s="1"/>
      <c r="T1064"/>
      <c r="U1064" s="2"/>
      <c r="AK1064"/>
    </row>
    <row r="1065" spans="10:37">
      <c r="J1065" s="6"/>
      <c r="K1065" s="1"/>
      <c r="L1065"/>
      <c r="R1065" s="6"/>
      <c r="S1065" s="1"/>
      <c r="T1065"/>
      <c r="U1065" s="2"/>
      <c r="AK1065"/>
    </row>
    <row r="1066" spans="10:37">
      <c r="J1066" s="6"/>
      <c r="K1066" s="1"/>
      <c r="L1066"/>
      <c r="R1066" s="6"/>
      <c r="S1066" s="1"/>
      <c r="T1066"/>
      <c r="U1066" s="2"/>
      <c r="AK1066"/>
    </row>
    <row r="1067" spans="10:37">
      <c r="J1067" s="6"/>
      <c r="K1067" s="1"/>
      <c r="L1067"/>
      <c r="R1067" s="6"/>
      <c r="S1067" s="1"/>
      <c r="T1067"/>
      <c r="U1067" s="2"/>
      <c r="AK1067"/>
    </row>
    <row r="1068" spans="10:37">
      <c r="J1068" s="6"/>
      <c r="K1068" s="1"/>
      <c r="L1068"/>
      <c r="R1068" s="6"/>
      <c r="S1068" s="1"/>
      <c r="T1068"/>
      <c r="U1068" s="2"/>
      <c r="AK1068"/>
    </row>
    <row r="1069" spans="10:37">
      <c r="J1069" s="6"/>
      <c r="K1069" s="1"/>
      <c r="L1069"/>
      <c r="R1069" s="6"/>
      <c r="S1069" s="1"/>
      <c r="T1069"/>
      <c r="U1069" s="2"/>
      <c r="AK1069"/>
    </row>
    <row r="1070" spans="10:37">
      <c r="J1070" s="6"/>
      <c r="K1070" s="1"/>
      <c r="L1070"/>
      <c r="R1070" s="6"/>
      <c r="S1070" s="1"/>
      <c r="T1070"/>
      <c r="U1070" s="2"/>
      <c r="AK1070"/>
    </row>
    <row r="1071" spans="10:37">
      <c r="J1071" s="6"/>
      <c r="K1071" s="1"/>
      <c r="L1071"/>
      <c r="R1071" s="6"/>
      <c r="S1071" s="1"/>
      <c r="T1071"/>
      <c r="U1071" s="2"/>
      <c r="AK1071"/>
    </row>
    <row r="1072" spans="10:37">
      <c r="J1072" s="6"/>
      <c r="K1072" s="1"/>
      <c r="L1072"/>
      <c r="R1072" s="6"/>
      <c r="S1072" s="1"/>
      <c r="T1072"/>
      <c r="U1072" s="2"/>
      <c r="AK1072"/>
    </row>
    <row r="1073" spans="10:37">
      <c r="J1073" s="6"/>
      <c r="K1073" s="1"/>
      <c r="L1073"/>
      <c r="R1073" s="6"/>
      <c r="S1073" s="1"/>
      <c r="T1073"/>
      <c r="U1073" s="2"/>
      <c r="AK1073"/>
    </row>
    <row r="1074" spans="10:37">
      <c r="J1074" s="6"/>
      <c r="K1074" s="1"/>
      <c r="L1074"/>
      <c r="R1074" s="6"/>
      <c r="S1074" s="1"/>
      <c r="T1074"/>
      <c r="U1074" s="2"/>
      <c r="AK1074"/>
    </row>
    <row r="1075" spans="10:37">
      <c r="J1075" s="6"/>
      <c r="K1075" s="1"/>
      <c r="L1075"/>
      <c r="R1075" s="6"/>
      <c r="S1075" s="1"/>
      <c r="T1075"/>
      <c r="U1075" s="2"/>
      <c r="AK1075"/>
    </row>
    <row r="1076" spans="10:37">
      <c r="J1076" s="6"/>
      <c r="K1076" s="1"/>
      <c r="L1076"/>
      <c r="R1076" s="6"/>
      <c r="S1076" s="1"/>
      <c r="T1076"/>
      <c r="U1076" s="2"/>
      <c r="AK1076"/>
    </row>
    <row r="1077" spans="10:37">
      <c r="J1077" s="6"/>
      <c r="K1077" s="1"/>
      <c r="L1077"/>
      <c r="R1077" s="6"/>
      <c r="S1077" s="1"/>
      <c r="T1077"/>
      <c r="U1077" s="2"/>
      <c r="AK1077"/>
    </row>
    <row r="1078" spans="10:37">
      <c r="J1078" s="6"/>
      <c r="K1078" s="1"/>
      <c r="L1078"/>
      <c r="R1078" s="6"/>
      <c r="S1078" s="1"/>
      <c r="T1078"/>
      <c r="U1078" s="2"/>
      <c r="AK1078"/>
    </row>
    <row r="1079" spans="10:37">
      <c r="J1079" s="6"/>
      <c r="K1079" s="1"/>
      <c r="L1079"/>
      <c r="R1079" s="6"/>
      <c r="S1079" s="1"/>
      <c r="T1079"/>
      <c r="U1079" s="2"/>
      <c r="AK1079"/>
    </row>
    <row r="1080" spans="10:37">
      <c r="J1080" s="6"/>
      <c r="K1080" s="1"/>
      <c r="L1080"/>
      <c r="R1080" s="6"/>
      <c r="S1080" s="1"/>
      <c r="T1080"/>
      <c r="U1080" s="2"/>
      <c r="AK1080"/>
    </row>
    <row r="1081" spans="10:37">
      <c r="J1081" s="6"/>
      <c r="K1081" s="1"/>
      <c r="L1081"/>
      <c r="R1081" s="6"/>
      <c r="S1081" s="1"/>
      <c r="T1081"/>
      <c r="U1081" s="2"/>
      <c r="AK1081"/>
    </row>
    <row r="1082" spans="10:37">
      <c r="J1082" s="6"/>
      <c r="K1082" s="1"/>
      <c r="L1082"/>
      <c r="R1082" s="6"/>
      <c r="S1082" s="1"/>
      <c r="T1082"/>
      <c r="U1082" s="2"/>
      <c r="AK1082"/>
    </row>
    <row r="1083" spans="10:37">
      <c r="J1083" s="6"/>
      <c r="K1083" s="1"/>
      <c r="L1083"/>
      <c r="R1083" s="6"/>
      <c r="S1083" s="1"/>
      <c r="T1083"/>
      <c r="U1083" s="2"/>
      <c r="AK1083"/>
    </row>
    <row r="1084" spans="10:37">
      <c r="J1084" s="6"/>
      <c r="K1084" s="1"/>
      <c r="L1084"/>
      <c r="R1084" s="6"/>
      <c r="S1084" s="1"/>
      <c r="T1084"/>
      <c r="U1084" s="2"/>
      <c r="AK1084"/>
    </row>
    <row r="1085" spans="10:37">
      <c r="J1085" s="6"/>
      <c r="K1085" s="1"/>
      <c r="L1085"/>
      <c r="R1085" s="6"/>
      <c r="S1085" s="1"/>
      <c r="T1085"/>
      <c r="U1085" s="2"/>
      <c r="AK1085"/>
    </row>
    <row r="1086" spans="10:37">
      <c r="J1086" s="6"/>
      <c r="K1086" s="1"/>
      <c r="L1086"/>
      <c r="R1086" s="6"/>
      <c r="S1086" s="1"/>
      <c r="T1086"/>
      <c r="U1086" s="2"/>
      <c r="AK1086"/>
    </row>
    <row r="1087" spans="10:37">
      <c r="J1087" s="6"/>
      <c r="K1087" s="1"/>
      <c r="L1087"/>
      <c r="R1087" s="6"/>
      <c r="S1087" s="1"/>
      <c r="T1087"/>
      <c r="U1087" s="2"/>
      <c r="AK1087"/>
    </row>
    <row r="1088" spans="10:37">
      <c r="J1088" s="6"/>
      <c r="K1088" s="1"/>
      <c r="L1088"/>
      <c r="R1088" s="6"/>
      <c r="S1088" s="1"/>
      <c r="T1088"/>
      <c r="U1088" s="2"/>
      <c r="AK1088"/>
    </row>
    <row r="1089" spans="10:37">
      <c r="J1089" s="6"/>
      <c r="K1089" s="1"/>
      <c r="L1089"/>
      <c r="R1089" s="6"/>
      <c r="S1089" s="1"/>
      <c r="T1089"/>
      <c r="U1089" s="2"/>
      <c r="AK1089"/>
    </row>
    <row r="1090" spans="10:37">
      <c r="J1090" s="6"/>
      <c r="K1090" s="1"/>
      <c r="L1090"/>
      <c r="R1090" s="6"/>
      <c r="S1090" s="1"/>
      <c r="T1090"/>
      <c r="U1090" s="2"/>
      <c r="AK1090"/>
    </row>
    <row r="1091" spans="10:37">
      <c r="J1091" s="6"/>
      <c r="K1091" s="1"/>
      <c r="L1091"/>
      <c r="R1091" s="6"/>
      <c r="S1091" s="1"/>
      <c r="T1091"/>
      <c r="U1091" s="2"/>
      <c r="AK1091"/>
    </row>
    <row r="1092" spans="10:37">
      <c r="J1092" s="6"/>
      <c r="K1092" s="1"/>
      <c r="L1092"/>
      <c r="R1092" s="6"/>
      <c r="S1092" s="1"/>
      <c r="T1092"/>
      <c r="U1092" s="2"/>
      <c r="AK1092"/>
    </row>
    <row r="1093" spans="10:37">
      <c r="J1093" s="6"/>
      <c r="K1093" s="1"/>
      <c r="L1093"/>
      <c r="R1093" s="6"/>
      <c r="S1093" s="1"/>
      <c r="T1093"/>
      <c r="U1093" s="2"/>
      <c r="AK1093"/>
    </row>
    <row r="1094" spans="10:37">
      <c r="J1094" s="6"/>
      <c r="K1094" s="1"/>
      <c r="L1094"/>
      <c r="R1094" s="6"/>
      <c r="S1094" s="1"/>
      <c r="T1094"/>
      <c r="U1094" s="2"/>
      <c r="AK1094"/>
    </row>
    <row r="1095" spans="10:37">
      <c r="J1095" s="6"/>
      <c r="K1095" s="1"/>
      <c r="L1095"/>
      <c r="R1095" s="6"/>
      <c r="S1095" s="1"/>
      <c r="T1095"/>
      <c r="U1095" s="2"/>
      <c r="AK1095"/>
    </row>
    <row r="1096" spans="10:37">
      <c r="J1096" s="6"/>
      <c r="K1096" s="1"/>
      <c r="L1096"/>
      <c r="R1096" s="6"/>
      <c r="S1096" s="1"/>
      <c r="T1096"/>
      <c r="U1096" s="2"/>
      <c r="AK1096"/>
    </row>
    <row r="1097" spans="10:37">
      <c r="J1097" s="6"/>
      <c r="K1097" s="1"/>
      <c r="L1097"/>
      <c r="R1097" s="6"/>
      <c r="S1097" s="1"/>
      <c r="T1097"/>
      <c r="U1097" s="2"/>
      <c r="AK1097"/>
    </row>
    <row r="1098" spans="10:37">
      <c r="J1098" s="6"/>
      <c r="K1098" s="1"/>
      <c r="L1098"/>
      <c r="R1098" s="6"/>
      <c r="S1098" s="1"/>
      <c r="T1098"/>
      <c r="U1098" s="2"/>
      <c r="AK1098"/>
    </row>
    <row r="1099" spans="10:37">
      <c r="J1099" s="6"/>
      <c r="K1099" s="1"/>
      <c r="L1099"/>
      <c r="R1099" s="6"/>
      <c r="S1099" s="1"/>
      <c r="T1099"/>
      <c r="U1099" s="2"/>
      <c r="AK1099"/>
    </row>
    <row r="1100" spans="10:37">
      <c r="J1100" s="6"/>
      <c r="K1100" s="1"/>
      <c r="L1100"/>
      <c r="R1100" s="6"/>
      <c r="S1100" s="1"/>
      <c r="T1100"/>
      <c r="U1100" s="2"/>
      <c r="AK1100"/>
    </row>
    <row r="1101" spans="10:37">
      <c r="J1101" s="6"/>
      <c r="K1101" s="1"/>
      <c r="L1101"/>
      <c r="R1101" s="6"/>
      <c r="S1101" s="1"/>
      <c r="T1101"/>
      <c r="U1101" s="2"/>
      <c r="AK1101"/>
    </row>
    <row r="1102" spans="10:37">
      <c r="J1102" s="6"/>
      <c r="K1102" s="1"/>
      <c r="L1102"/>
      <c r="R1102" s="6"/>
      <c r="S1102" s="1"/>
      <c r="T1102"/>
      <c r="U1102" s="2"/>
      <c r="AK1102"/>
    </row>
    <row r="1103" spans="10:37">
      <c r="J1103" s="6"/>
      <c r="K1103" s="1"/>
      <c r="L1103"/>
      <c r="R1103" s="6"/>
      <c r="S1103" s="1"/>
      <c r="T1103"/>
      <c r="U1103" s="2"/>
      <c r="AK1103"/>
    </row>
    <row r="1104" spans="10:37">
      <c r="J1104" s="6"/>
      <c r="K1104" s="1"/>
      <c r="L1104"/>
      <c r="R1104" s="6"/>
      <c r="S1104" s="1"/>
      <c r="T1104"/>
      <c r="U1104" s="2"/>
      <c r="AK1104"/>
    </row>
    <row r="1105" spans="10:37">
      <c r="J1105" s="6"/>
      <c r="K1105" s="1"/>
      <c r="L1105"/>
      <c r="R1105" s="6"/>
      <c r="S1105" s="1"/>
      <c r="T1105"/>
      <c r="U1105" s="2"/>
      <c r="AK1105"/>
    </row>
    <row r="1106" spans="10:37">
      <c r="J1106" s="6"/>
      <c r="K1106" s="1"/>
      <c r="L1106"/>
      <c r="R1106" s="6"/>
      <c r="S1106" s="1"/>
      <c r="T1106"/>
      <c r="U1106" s="2"/>
      <c r="AK1106"/>
    </row>
    <row r="1107" spans="10:37">
      <c r="J1107" s="6"/>
      <c r="K1107" s="1"/>
      <c r="L1107"/>
      <c r="R1107" s="6"/>
      <c r="S1107" s="1"/>
      <c r="T1107"/>
      <c r="U1107" s="2"/>
      <c r="AK1107"/>
    </row>
    <row r="1108" spans="10:37">
      <c r="J1108" s="6"/>
      <c r="K1108" s="1"/>
      <c r="L1108"/>
      <c r="R1108" s="6"/>
      <c r="S1108" s="1"/>
      <c r="T1108"/>
      <c r="U1108" s="2"/>
      <c r="AK1108"/>
    </row>
    <row r="1109" spans="10:37">
      <c r="J1109" s="6"/>
      <c r="K1109" s="1"/>
      <c r="L1109"/>
      <c r="R1109" s="6"/>
      <c r="S1109" s="1"/>
      <c r="T1109"/>
      <c r="U1109" s="2"/>
      <c r="AK1109"/>
    </row>
    <row r="1110" spans="10:37">
      <c r="J1110" s="6"/>
      <c r="K1110" s="1"/>
      <c r="L1110"/>
      <c r="R1110" s="6"/>
      <c r="S1110" s="1"/>
      <c r="T1110"/>
      <c r="U1110" s="2"/>
      <c r="AK1110"/>
    </row>
    <row r="1111" spans="10:37">
      <c r="J1111" s="6"/>
      <c r="K1111" s="1"/>
      <c r="L1111"/>
      <c r="R1111" s="6"/>
      <c r="S1111" s="1"/>
      <c r="T1111"/>
      <c r="U1111" s="2"/>
      <c r="AK1111"/>
    </row>
    <row r="1112" spans="10:37">
      <c r="J1112" s="6"/>
      <c r="K1112" s="1"/>
      <c r="L1112"/>
      <c r="R1112" s="6"/>
      <c r="S1112" s="1"/>
      <c r="T1112"/>
      <c r="U1112" s="2"/>
      <c r="AK1112"/>
    </row>
    <row r="1113" spans="10:37">
      <c r="J1113" s="6"/>
      <c r="K1113" s="1"/>
      <c r="L1113"/>
      <c r="R1113" s="6"/>
      <c r="S1113" s="1"/>
      <c r="T1113"/>
      <c r="U1113" s="2"/>
      <c r="AK1113"/>
    </row>
    <row r="1114" spans="10:37">
      <c r="J1114" s="6"/>
      <c r="K1114" s="1"/>
      <c r="L1114"/>
      <c r="R1114" s="6"/>
      <c r="S1114" s="1"/>
      <c r="T1114"/>
      <c r="U1114" s="2"/>
      <c r="AK1114"/>
    </row>
    <row r="1115" spans="10:37">
      <c r="J1115" s="6"/>
      <c r="K1115" s="1"/>
      <c r="L1115"/>
      <c r="R1115" s="6"/>
      <c r="S1115" s="1"/>
      <c r="T1115"/>
      <c r="U1115" s="2"/>
      <c r="AK1115"/>
    </row>
    <row r="1116" spans="10:37">
      <c r="J1116" s="6"/>
      <c r="K1116" s="1"/>
      <c r="L1116"/>
      <c r="R1116" s="6"/>
      <c r="S1116" s="1"/>
      <c r="T1116"/>
      <c r="U1116" s="2"/>
      <c r="AK1116"/>
    </row>
    <row r="1117" spans="10:37">
      <c r="J1117" s="6"/>
      <c r="K1117" s="1"/>
      <c r="L1117"/>
      <c r="R1117" s="6"/>
      <c r="S1117" s="1"/>
      <c r="T1117"/>
      <c r="U1117" s="2"/>
      <c r="AK1117"/>
    </row>
    <row r="1118" spans="10:37">
      <c r="J1118" s="6"/>
      <c r="K1118" s="1"/>
      <c r="L1118"/>
      <c r="R1118" s="6"/>
      <c r="S1118" s="1"/>
      <c r="T1118"/>
      <c r="U1118" s="2"/>
      <c r="AK1118"/>
    </row>
    <row r="1119" spans="10:37">
      <c r="J1119" s="6"/>
      <c r="K1119" s="1"/>
      <c r="L1119"/>
      <c r="R1119" s="6"/>
      <c r="S1119" s="1"/>
      <c r="T1119"/>
      <c r="U1119" s="2"/>
      <c r="AK1119"/>
    </row>
    <row r="1120" spans="10:37">
      <c r="J1120" s="6"/>
      <c r="K1120" s="1"/>
      <c r="L1120"/>
      <c r="R1120" s="6"/>
      <c r="S1120" s="1"/>
      <c r="T1120"/>
      <c r="U1120" s="2"/>
      <c r="AK1120"/>
    </row>
    <row r="1121" spans="10:37">
      <c r="J1121" s="6"/>
      <c r="K1121" s="1"/>
      <c r="L1121"/>
      <c r="R1121" s="6"/>
      <c r="S1121" s="1"/>
      <c r="T1121"/>
      <c r="U1121" s="2"/>
      <c r="AK1121"/>
    </row>
    <row r="1122" spans="10:37">
      <c r="J1122" s="6"/>
      <c r="K1122" s="1"/>
      <c r="L1122"/>
      <c r="R1122" s="6"/>
      <c r="S1122" s="1"/>
      <c r="T1122"/>
      <c r="U1122" s="2"/>
      <c r="AK1122"/>
    </row>
    <row r="1123" spans="10:37">
      <c r="J1123" s="6"/>
      <c r="K1123" s="1"/>
      <c r="L1123"/>
      <c r="R1123" s="6"/>
      <c r="S1123" s="1"/>
      <c r="T1123"/>
      <c r="U1123" s="2"/>
      <c r="AK1123"/>
    </row>
    <row r="1124" spans="10:37">
      <c r="J1124" s="6"/>
      <c r="K1124" s="1"/>
      <c r="L1124"/>
      <c r="R1124" s="6"/>
      <c r="S1124" s="1"/>
      <c r="T1124"/>
      <c r="U1124" s="2"/>
      <c r="AK1124"/>
    </row>
    <row r="1125" spans="10:37">
      <c r="J1125" s="6"/>
      <c r="K1125" s="1"/>
      <c r="L1125"/>
      <c r="R1125" s="6"/>
      <c r="S1125" s="1"/>
      <c r="T1125"/>
      <c r="U1125" s="2"/>
      <c r="AK1125"/>
    </row>
    <row r="1126" spans="10:37">
      <c r="J1126" s="6"/>
      <c r="K1126" s="1"/>
      <c r="L1126"/>
      <c r="R1126" s="6"/>
      <c r="S1126" s="1"/>
      <c r="T1126"/>
      <c r="U1126" s="2"/>
      <c r="AK1126"/>
    </row>
    <row r="1127" spans="10:37">
      <c r="J1127" s="6"/>
      <c r="K1127" s="1"/>
      <c r="L1127"/>
      <c r="R1127" s="6"/>
      <c r="S1127" s="1"/>
      <c r="T1127"/>
      <c r="U1127" s="2"/>
      <c r="AK1127"/>
    </row>
    <row r="1128" spans="10:37">
      <c r="J1128" s="6"/>
      <c r="K1128" s="1"/>
      <c r="L1128"/>
      <c r="R1128" s="6"/>
      <c r="S1128" s="1"/>
      <c r="T1128"/>
      <c r="U1128" s="2"/>
      <c r="AK1128"/>
    </row>
    <row r="1129" spans="10:37">
      <c r="J1129" s="6"/>
      <c r="K1129" s="1"/>
      <c r="L1129"/>
      <c r="R1129" s="6"/>
      <c r="S1129" s="1"/>
      <c r="T1129"/>
      <c r="U1129" s="2"/>
      <c r="AK1129"/>
    </row>
    <row r="1130" spans="10:37">
      <c r="J1130" s="6"/>
      <c r="K1130" s="1"/>
      <c r="L1130"/>
      <c r="R1130" s="6"/>
      <c r="S1130" s="1"/>
      <c r="T1130"/>
      <c r="U1130" s="2"/>
      <c r="AK1130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42684-58E0-44B1-8A4F-DD232C8F42F4}">
  <sheetPr codeName="Sheet6"/>
  <dimension ref="A1:J19"/>
  <sheetViews>
    <sheetView workbookViewId="0">
      <selection activeCell="C2" sqref="C2:C11"/>
    </sheetView>
  </sheetViews>
  <sheetFormatPr defaultColWidth="9" defaultRowHeight="14.5"/>
  <cols>
    <col min="1" max="1" width="20.453125" bestFit="1" customWidth="1"/>
    <col min="2" max="2" width="14.54296875" bestFit="1" customWidth="1"/>
    <col min="3" max="3" width="19.54296875" bestFit="1" customWidth="1"/>
    <col min="4" max="5" width="17.453125" bestFit="1" customWidth="1"/>
    <col min="6" max="6" width="18.453125" bestFit="1" customWidth="1"/>
    <col min="7" max="8" width="12.54296875" bestFit="1" customWidth="1"/>
    <col min="9" max="9" width="16.36328125" customWidth="1"/>
    <col min="10" max="10" width="14.54296875" customWidth="1"/>
    <col min="12" max="12" width="12.54296875" customWidth="1"/>
  </cols>
  <sheetData>
    <row r="1" spans="1:10">
      <c r="A1" t="s">
        <v>9217</v>
      </c>
      <c r="B1" t="s">
        <v>9218</v>
      </c>
      <c r="C1" t="s">
        <v>9219</v>
      </c>
      <c r="D1" t="s">
        <v>9220</v>
      </c>
      <c r="E1" t="s">
        <v>9221</v>
      </c>
      <c r="F1" t="s">
        <v>9222</v>
      </c>
      <c r="G1" t="s">
        <v>308</v>
      </c>
      <c r="H1" t="s">
        <v>9223</v>
      </c>
      <c r="I1" t="s">
        <v>261</v>
      </c>
      <c r="J1" t="s">
        <v>259</v>
      </c>
    </row>
    <row r="2" spans="1:10">
      <c r="A2" t="s">
        <v>278</v>
      </c>
      <c r="B2" t="s">
        <v>33</v>
      </c>
      <c r="C2" t="s">
        <v>9224</v>
      </c>
      <c r="D2" t="s">
        <v>9225</v>
      </c>
      <c r="E2" t="s">
        <v>9226</v>
      </c>
      <c r="F2" t="s">
        <v>9227</v>
      </c>
      <c r="G2" t="s">
        <v>9228</v>
      </c>
      <c r="H2" t="s">
        <v>9229</v>
      </c>
      <c r="I2" t="s">
        <v>271</v>
      </c>
      <c r="J2" t="s">
        <v>35</v>
      </c>
    </row>
    <row r="3" spans="1:10">
      <c r="A3" t="s">
        <v>38</v>
      </c>
      <c r="C3" t="s">
        <v>33</v>
      </c>
      <c r="D3" t="s">
        <v>9230</v>
      </c>
      <c r="E3" t="s">
        <v>9231</v>
      </c>
      <c r="F3" t="s">
        <v>9232</v>
      </c>
      <c r="G3" t="s">
        <v>9233</v>
      </c>
      <c r="H3" t="s">
        <v>9234</v>
      </c>
      <c r="I3" t="s">
        <v>287</v>
      </c>
      <c r="J3" t="s">
        <v>9235</v>
      </c>
    </row>
    <row r="4" spans="1:10">
      <c r="A4" t="s">
        <v>273</v>
      </c>
      <c r="C4" t="s">
        <v>9236</v>
      </c>
      <c r="D4" t="s">
        <v>9226</v>
      </c>
      <c r="E4" t="s">
        <v>9237</v>
      </c>
      <c r="F4" t="s">
        <v>9238</v>
      </c>
      <c r="G4" t="s">
        <v>9239</v>
      </c>
      <c r="H4" t="s">
        <v>9240</v>
      </c>
      <c r="I4" t="s">
        <v>281</v>
      </c>
      <c r="J4" t="s">
        <v>37</v>
      </c>
    </row>
    <row r="5" spans="1:10">
      <c r="A5" t="s">
        <v>9241</v>
      </c>
      <c r="C5" t="s">
        <v>35</v>
      </c>
      <c r="D5" t="s">
        <v>9237</v>
      </c>
      <c r="E5" t="s">
        <v>9242</v>
      </c>
      <c r="F5" t="s">
        <v>9243</v>
      </c>
      <c r="H5" t="s">
        <v>9244</v>
      </c>
      <c r="J5" t="s">
        <v>9245</v>
      </c>
    </row>
    <row r="6" spans="1:10">
      <c r="C6" t="s">
        <v>37</v>
      </c>
      <c r="D6" t="s">
        <v>9231</v>
      </c>
      <c r="E6" t="s">
        <v>9246</v>
      </c>
      <c r="F6" t="s">
        <v>9247</v>
      </c>
      <c r="H6" t="s">
        <v>9248</v>
      </c>
      <c r="J6" t="s">
        <v>308</v>
      </c>
    </row>
    <row r="7" spans="1:10">
      <c r="C7" t="s">
        <v>39</v>
      </c>
      <c r="D7" t="s">
        <v>9249</v>
      </c>
      <c r="E7" t="s">
        <v>9250</v>
      </c>
      <c r="F7" t="s">
        <v>9251</v>
      </c>
      <c r="H7" t="s">
        <v>9252</v>
      </c>
      <c r="J7" t="s">
        <v>335</v>
      </c>
    </row>
    <row r="8" spans="1:10">
      <c r="C8" t="s">
        <v>41</v>
      </c>
      <c r="D8" t="s">
        <v>9242</v>
      </c>
      <c r="F8" t="s">
        <v>9253</v>
      </c>
      <c r="H8" t="s">
        <v>9254</v>
      </c>
      <c r="J8" t="s">
        <v>269</v>
      </c>
    </row>
    <row r="9" spans="1:10">
      <c r="C9" t="s">
        <v>68</v>
      </c>
      <c r="D9" t="s">
        <v>9246</v>
      </c>
      <c r="H9" t="s">
        <v>9255</v>
      </c>
      <c r="J9" t="s">
        <v>285</v>
      </c>
    </row>
    <row r="10" spans="1:10">
      <c r="C10" t="s">
        <v>40</v>
      </c>
      <c r="D10" t="s">
        <v>9256</v>
      </c>
      <c r="H10" t="s">
        <v>9257</v>
      </c>
      <c r="J10" t="s">
        <v>275</v>
      </c>
    </row>
    <row r="11" spans="1:10">
      <c r="C11" t="s">
        <v>43</v>
      </c>
      <c r="D11" t="s">
        <v>9258</v>
      </c>
    </row>
    <row r="12" spans="1:10">
      <c r="D12" t="s">
        <v>9259</v>
      </c>
    </row>
    <row r="13" spans="1:10">
      <c r="D13" t="s">
        <v>9260</v>
      </c>
    </row>
    <row r="14" spans="1:10">
      <c r="D14" t="s">
        <v>9261</v>
      </c>
    </row>
    <row r="17" spans="1:1">
      <c r="A17" s="2">
        <v>45901</v>
      </c>
    </row>
    <row r="18" spans="1:1">
      <c r="A18" s="2">
        <v>45901</v>
      </c>
    </row>
    <row r="19" spans="1:1">
      <c r="A19" t="s">
        <v>9262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01A7A2CB3848438BEF7C742AC9BBA4" ma:contentTypeVersion="16" ma:contentTypeDescription="Create a new document." ma:contentTypeScope="" ma:versionID="d63a6a98b3cb4d9ccbbcdb9082732f74">
  <xsd:schema xmlns:xsd="http://www.w3.org/2001/XMLSchema" xmlns:xs="http://www.w3.org/2001/XMLSchema" xmlns:p="http://schemas.microsoft.com/office/2006/metadata/properties" xmlns:ns2="ab964f2b-203c-4425-a556-91316bb05fea" xmlns:ns3="9acfecf2-4047-4d7b-9ec8-592b51a52bf7" targetNamespace="http://schemas.microsoft.com/office/2006/metadata/properties" ma:root="true" ma:fieldsID="91a399be7264fcd1f43398a584b8930d" ns2:_="" ns3:_="">
    <xsd:import namespace="ab964f2b-203c-4425-a556-91316bb05fea"/>
    <xsd:import namespace="9acfecf2-4047-4d7b-9ec8-592b51a52b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964f2b-203c-4425-a556-91316bb05f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f597de54-f70c-44af-b8aa-2d36c772a4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cfecf2-4047-4d7b-9ec8-592b51a52bf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5f8267b-561c-49f6-b75c-fd0ea9472e33}" ma:internalName="TaxCatchAll" ma:showField="CatchAllData" ma:web="9acfecf2-4047-4d7b-9ec8-592b51a52b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964f2b-203c-4425-a556-91316bb05fea">
      <Terms xmlns="http://schemas.microsoft.com/office/infopath/2007/PartnerControls"/>
    </lcf76f155ced4ddcb4097134ff3c332f>
    <TaxCatchAll xmlns="9acfecf2-4047-4d7b-9ec8-592b51a52bf7" xsi:nil="true"/>
    <SharedWithUsers xmlns="9acfecf2-4047-4d7b-9ec8-592b51a52bf7">
      <UserInfo>
        <DisplayName>Luke  Hutchinson</DisplayName>
        <AccountId>41</AccountId>
        <AccountType/>
      </UserInfo>
    </SharedWithUsers>
  </documentManagement>
</p:properties>
</file>

<file path=customXml/item4.xml>�� 
</file>

<file path=customXml/itemProps1.xml><?xml version="1.0" encoding="utf-8"?>
<ds:datastoreItem xmlns:ds="http://schemas.openxmlformats.org/officeDocument/2006/customXml" ds:itemID="{3E482CB7-C191-49F9-87AD-5ED850DC807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ab964f2b-203c-4425-a556-91316bb05fea"/>
    <ds:schemaRef ds:uri="9acfecf2-4047-4d7b-9ec8-592b51a52bf7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9A9024-0F0E-455E-847F-893EFE01289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29D763-6176-4930-9C82-CC0B9028573C}">
  <ds:schemaRefs>
    <ds:schemaRef ds:uri="http://schemas.microsoft.com/office/2006/metadata/properties"/>
    <ds:schemaRef ds:uri="http://www.w3.org/2000/xmlns/"/>
    <ds:schemaRef ds:uri="ab964f2b-203c-4425-a556-91316bb05fea"/>
    <ds:schemaRef ds:uri="http://schemas.microsoft.com/office/infopath/2007/PartnerControls"/>
    <ds:schemaRef ds:uri="9acfecf2-4047-4d7b-9ec8-592b51a52bf7"/>
    <ds:schemaRef ds:uri="http://www.w3.org/2001/XMLSchema-instance"/>
  </ds:schemaRefs>
</ds:datastoreItem>
</file>

<file path=customXml/itemProps4.xml><?xml version="1.0" encoding="utf-8"?>
<ds:datastoreItem xmlns:ds="http://schemas.openxmlformats.org/officeDocument/2006/customXml" ds:itemID="{DE1DE609-1FE3-475E-808B-D9F7F444496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Program Dashboard</vt:lpstr>
      <vt:lpstr>Report Template</vt:lpstr>
      <vt:lpstr>Sheet1</vt:lpstr>
      <vt:lpstr>Projects Summary 2026</vt:lpstr>
      <vt:lpstr>Cashflow 2026</vt:lpstr>
      <vt:lpstr>REV Tracker 26</vt:lpstr>
      <vt:lpstr>COS Tracker 26</vt:lpstr>
      <vt:lpstr>Construction Dashboard 2026</vt:lpstr>
      <vt:lpstr>Task Register</vt:lpstr>
      <vt:lpstr>Procurement 2026</vt:lpstr>
      <vt:lpstr>Compliance 2026</vt:lpstr>
      <vt:lpstr>ProjectInfo</vt:lpstr>
      <vt:lpstr>ProgramPlan</vt:lpstr>
      <vt:lpstr>ProgramExpense</vt:lpstr>
      <vt:lpstr>ProgramInflows</vt:lpstr>
      <vt:lpstr>Meta Data</vt:lpstr>
      <vt:lpstr>'Projects Summary 2026'!_FilterDatabase</vt:lpstr>
      <vt:lpstr>nmFYName</vt:lpstr>
      <vt:lpstr>nmStartFY</vt:lpstr>
      <vt:lpstr>nmStartWeek</vt:lpstr>
      <vt:lpstr>'Report Template'!Print_Area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Tasneema</dc:creator>
  <cp:keywords/>
  <dc:description/>
  <cp:lastModifiedBy>Roedolph Venter</cp:lastModifiedBy>
  <cp:revision/>
  <dcterms:created xsi:type="dcterms:W3CDTF">2018-02-20T13:50:58Z</dcterms:created>
  <dcterms:modified xsi:type="dcterms:W3CDTF">2026-02-25T11:13:08Z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0x0101006401A7A2CB3848438BEF7C742AC9BBA4</vt:lpwstr>
  </property>
  <property fmtid="{D5CDD505-2E9C-101B-9397-08002B2CF9AE}" pid="3" name="MediaServiceImageTags">
    <vt:lpwstr/>
  </property>
</Properties>
</file>