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ishore_intern\"/>
    </mc:Choice>
  </mc:AlternateContent>
  <bookViews>
    <workbookView xWindow="0" yWindow="0" windowWidth="13710" windowHeight="9435" tabRatio="734" activeTab="2"/>
  </bookViews>
  <sheets>
    <sheet name="modes of heat transfer (wing)" sheetId="1" r:id="rId1"/>
    <sheet name="air_properties in wing cabin" sheetId="6" r:id="rId2"/>
    <sheet name="amb temperature and radiation" sheetId="8" r:id="rId3"/>
    <sheet name="temperature calculations" sheetId="5" r:id="rId4"/>
    <sheet name="HEAT TRANSFER COEFFICIENT" sheetId="4" r:id="rId5"/>
    <sheet name="parameters" sheetId="3" r:id="rId6"/>
  </sheets>
  <definedNames>
    <definedName name="coeff">'modes of heat transfer (wing)'!$H:$H</definedName>
    <definedName name="H">'modes of heat transfer (wing)'!$H:$H</definedName>
    <definedName name="solver_adj" localSheetId="3" hidden="1">'temperature calculations'!$J$9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'temperature calculations'!$J$132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3" i="8" l="1"/>
  <c r="H103" i="8"/>
  <c r="I103" i="8"/>
  <c r="F104" i="8"/>
  <c r="H104" i="8"/>
  <c r="I104" i="8"/>
  <c r="F105" i="8"/>
  <c r="H105" i="8"/>
  <c r="I105" i="8"/>
  <c r="F106" i="8"/>
  <c r="H106" i="8"/>
  <c r="I106" i="8"/>
  <c r="F107" i="8"/>
  <c r="H107" i="8"/>
  <c r="I107" i="8"/>
  <c r="F108" i="8"/>
  <c r="H108" i="8"/>
  <c r="I108" i="8"/>
  <c r="F109" i="8"/>
  <c r="H109" i="8"/>
  <c r="I109" i="8"/>
  <c r="F110" i="8"/>
  <c r="H110" i="8"/>
  <c r="I110" i="8"/>
  <c r="F111" i="8"/>
  <c r="H111" i="8"/>
  <c r="I111" i="8"/>
  <c r="F112" i="8"/>
  <c r="H112" i="8"/>
  <c r="I112" i="8"/>
  <c r="F113" i="8"/>
  <c r="H113" i="8"/>
  <c r="I113" i="8"/>
  <c r="F114" i="8"/>
  <c r="H114" i="8"/>
  <c r="I114" i="8"/>
  <c r="F115" i="8"/>
  <c r="H115" i="8"/>
  <c r="I115" i="8"/>
  <c r="F116" i="8"/>
  <c r="H116" i="8"/>
  <c r="I116" i="8"/>
  <c r="F117" i="8"/>
  <c r="H117" i="8"/>
  <c r="I117" i="8"/>
  <c r="F118" i="8"/>
  <c r="H118" i="8"/>
  <c r="I118" i="8"/>
  <c r="F119" i="8"/>
  <c r="H119" i="8"/>
  <c r="I119" i="8"/>
  <c r="F120" i="8"/>
  <c r="H120" i="8"/>
  <c r="I120" i="8"/>
  <c r="F121" i="8"/>
  <c r="H121" i="8"/>
  <c r="I121" i="8"/>
  <c r="F122" i="8"/>
  <c r="H122" i="8"/>
  <c r="I122" i="8"/>
  <c r="F123" i="8"/>
  <c r="H123" i="8"/>
  <c r="I12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2" i="8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2" i="8"/>
  <c r="H10" i="1" l="1"/>
  <c r="H5" i="1" l="1"/>
  <c r="H6" i="1"/>
  <c r="H7" i="1"/>
  <c r="H8" i="1"/>
  <c r="H9" i="1"/>
  <c r="E226" i="1"/>
  <c r="G231" i="1" l="1"/>
  <c r="G230" i="1"/>
  <c r="G229" i="1"/>
  <c r="G228" i="1"/>
  <c r="E231" i="1"/>
  <c r="E230" i="1"/>
  <c r="E229" i="1"/>
  <c r="E228" i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2" i="6"/>
  <c r="H15" i="1" l="1"/>
  <c r="H16" i="1"/>
  <c r="H223" i="1"/>
  <c r="H218" i="1"/>
  <c r="H213" i="1"/>
  <c r="H208" i="1"/>
  <c r="H203" i="1"/>
  <c r="H198" i="1"/>
  <c r="H172" i="1"/>
  <c r="H114" i="1"/>
  <c r="H109" i="1"/>
  <c r="H68" i="1"/>
  <c r="H63" i="1"/>
  <c r="H30" i="1"/>
  <c r="H25" i="1"/>
  <c r="H20" i="1"/>
  <c r="H222" i="1"/>
  <c r="H225" i="1" s="1"/>
  <c r="I9" i="3"/>
  <c r="H191" i="1"/>
  <c r="H190" i="1"/>
  <c r="H189" i="1"/>
  <c r="H185" i="1"/>
  <c r="H184" i="1"/>
  <c r="H183" i="1"/>
  <c r="H179" i="1"/>
  <c r="H178" i="1"/>
  <c r="H177" i="1"/>
  <c r="H171" i="1"/>
  <c r="H168" i="1"/>
  <c r="H104" i="1"/>
  <c r="H167" i="1"/>
  <c r="H166" i="1"/>
  <c r="H57" i="1"/>
  <c r="H163" i="1"/>
  <c r="H162" i="1"/>
  <c r="H161" i="1"/>
  <c r="H150" i="1"/>
  <c r="H148" i="1"/>
  <c r="H96" i="1"/>
  <c r="H90" i="1"/>
  <c r="H144" i="1"/>
  <c r="H143" i="1"/>
  <c r="H158" i="1"/>
  <c r="H156" i="1"/>
  <c r="H173" i="1" l="1"/>
  <c r="H174" i="1" s="1"/>
  <c r="H224" i="1"/>
  <c r="H164" i="1"/>
  <c r="H169" i="1"/>
  <c r="H136" i="1"/>
  <c r="H133" i="1"/>
  <c r="H130" i="1"/>
  <c r="H127" i="1"/>
  <c r="H121" i="1"/>
  <c r="H103" i="1"/>
  <c r="H105" i="1" l="1"/>
  <c r="H14" i="1"/>
  <c r="H17" i="1" s="1"/>
  <c r="H137" i="1"/>
  <c r="H131" i="1"/>
  <c r="H125" i="1"/>
  <c r="H119" i="1"/>
  <c r="H91" i="1"/>
  <c r="H85" i="1"/>
  <c r="H79" i="1"/>
  <c r="H75" i="1"/>
  <c r="H73" i="1"/>
  <c r="H59" i="1"/>
  <c r="H58" i="1"/>
  <c r="H52" i="1"/>
  <c r="H47" i="1"/>
  <c r="H41" i="1"/>
  <c r="H37" i="1"/>
  <c r="H35" i="1"/>
  <c r="F52" i="3"/>
  <c r="F51" i="3"/>
  <c r="H176" i="1" s="1"/>
  <c r="H180" i="1" s="1"/>
  <c r="F16" i="3"/>
  <c r="J80" i="5"/>
  <c r="J75" i="5"/>
  <c r="L11" i="5"/>
  <c r="J41" i="5"/>
  <c r="J11" i="5"/>
  <c r="H124" i="1" l="1"/>
  <c r="H182" i="1"/>
  <c r="H186" i="1" s="1"/>
  <c r="H188" i="1"/>
  <c r="H192" i="1" s="1"/>
  <c r="H78" i="1"/>
  <c r="H157" i="1"/>
  <c r="H159" i="1" s="1"/>
  <c r="H46" i="1"/>
  <c r="H106" i="1"/>
  <c r="J26" i="5"/>
  <c r="J129" i="5"/>
  <c r="J127" i="5"/>
  <c r="F50" i="3"/>
  <c r="G20" i="4"/>
  <c r="G19" i="4"/>
  <c r="J112" i="5"/>
  <c r="J111" i="5"/>
  <c r="J103" i="5"/>
  <c r="J82" i="5"/>
  <c r="J74" i="5"/>
  <c r="J17" i="5"/>
  <c r="J65" i="5"/>
  <c r="J63" i="5"/>
  <c r="G39" i="4"/>
  <c r="J54" i="5" s="1"/>
  <c r="G28" i="4"/>
  <c r="G30" i="4"/>
  <c r="G29" i="4"/>
  <c r="G36" i="4" s="1"/>
  <c r="G35" i="4"/>
  <c r="G32" i="4"/>
  <c r="G27" i="4"/>
  <c r="L5" i="5"/>
  <c r="L7" i="5"/>
  <c r="L9" i="5"/>
  <c r="L10" i="5"/>
  <c r="L4" i="5"/>
  <c r="J49" i="5"/>
  <c r="J51" i="5"/>
  <c r="J50" i="5"/>
  <c r="J33" i="5"/>
  <c r="J34" i="5"/>
  <c r="G14" i="4"/>
  <c r="G13" i="4"/>
  <c r="H13" i="4" s="1"/>
  <c r="H97" i="1"/>
  <c r="F26" i="3"/>
  <c r="F22" i="3"/>
  <c r="H212" i="1" s="1"/>
  <c r="J128" i="5"/>
  <c r="F12" i="3"/>
  <c r="F11" i="3"/>
  <c r="F10" i="3"/>
  <c r="F9" i="3"/>
  <c r="H84" i="1"/>
  <c r="H87" i="1"/>
  <c r="H81" i="1"/>
  <c r="H60" i="1"/>
  <c r="H49" i="1"/>
  <c r="H43" i="1"/>
  <c r="H197" i="1" l="1"/>
  <c r="H24" i="1"/>
  <c r="H19" i="1"/>
  <c r="J119" i="5"/>
  <c r="H202" i="1"/>
  <c r="H207" i="1"/>
  <c r="H29" i="1"/>
  <c r="H31" i="1" s="1"/>
  <c r="H215" i="1"/>
  <c r="H214" i="1"/>
  <c r="H147" i="1"/>
  <c r="H151" i="1" s="1"/>
  <c r="H217" i="1"/>
  <c r="H126" i="1"/>
  <c r="H128" i="1" s="1"/>
  <c r="H67" i="1"/>
  <c r="J73" i="5"/>
  <c r="J76" i="5" s="1"/>
  <c r="H142" i="1"/>
  <c r="H145" i="1" s="1"/>
  <c r="H108" i="1"/>
  <c r="H120" i="1"/>
  <c r="H132" i="1"/>
  <c r="H134" i="1" s="1"/>
  <c r="H138" i="1"/>
  <c r="H139" i="1" s="1"/>
  <c r="H113" i="1"/>
  <c r="H116" i="1" s="1"/>
  <c r="J122" i="5"/>
  <c r="H118" i="1"/>
  <c r="H40" i="1"/>
  <c r="H72" i="1"/>
  <c r="H34" i="1"/>
  <c r="H42" i="1"/>
  <c r="H48" i="1"/>
  <c r="H50" i="1" s="1"/>
  <c r="H36" i="1"/>
  <c r="J79" i="5"/>
  <c r="N5" i="5"/>
  <c r="J110" i="5"/>
  <c r="J8" i="5" s="1"/>
  <c r="L8" i="5" s="1"/>
  <c r="J64" i="5"/>
  <c r="J66" i="5" s="1"/>
  <c r="J123" i="5"/>
  <c r="H80" i="1"/>
  <c r="H82" i="1" s="1"/>
  <c r="J32" i="5"/>
  <c r="J40" i="5"/>
  <c r="J43" i="5" s="1"/>
  <c r="J48" i="5"/>
  <c r="J6" i="5" s="1"/>
  <c r="L6" i="5" s="1"/>
  <c r="J59" i="5"/>
  <c r="J90" i="5"/>
  <c r="J58" i="5"/>
  <c r="H95" i="1"/>
  <c r="H98" i="1" s="1"/>
  <c r="J102" i="5"/>
  <c r="J105" i="5" s="1"/>
  <c r="J130" i="5"/>
  <c r="G38" i="4"/>
  <c r="J118" i="5"/>
  <c r="J120" i="5" s="1"/>
  <c r="G37" i="4"/>
  <c r="J55" i="5"/>
  <c r="J56" i="5" s="1"/>
  <c r="I30" i="3"/>
  <c r="J15" i="5"/>
  <c r="J18" i="5" s="1"/>
  <c r="J23" i="5" s="1"/>
  <c r="G15" i="4"/>
  <c r="G16" i="4" s="1"/>
  <c r="G17" i="4" s="1"/>
  <c r="J35" i="5"/>
  <c r="J36" i="5" s="1"/>
  <c r="J37" i="5" s="1"/>
  <c r="H62" i="1"/>
  <c r="H74" i="1"/>
  <c r="H86" i="1"/>
  <c r="H88" i="1" s="1"/>
  <c r="H92" i="1"/>
  <c r="H93" i="1" s="1"/>
  <c r="H76" i="1" l="1"/>
  <c r="H32" i="1"/>
  <c r="H210" i="1"/>
  <c r="H209" i="1"/>
  <c r="H38" i="1"/>
  <c r="H204" i="1"/>
  <c r="H205" i="1"/>
  <c r="H220" i="1"/>
  <c r="H219" i="1"/>
  <c r="H199" i="1"/>
  <c r="H200" i="1"/>
  <c r="H115" i="1"/>
  <c r="H111" i="1"/>
  <c r="H110" i="1"/>
  <c r="H70" i="1"/>
  <c r="H69" i="1"/>
  <c r="H64" i="1"/>
  <c r="H65" i="1"/>
  <c r="H26" i="1"/>
  <c r="H27" i="1"/>
  <c r="H21" i="1"/>
  <c r="H22" i="1"/>
  <c r="J83" i="5"/>
  <c r="J84" i="5" s="1"/>
  <c r="J87" i="5" s="1"/>
  <c r="H44" i="1"/>
  <c r="J125" i="5"/>
  <c r="J132" i="5" s="1"/>
  <c r="H122" i="1"/>
  <c r="J61" i="5"/>
  <c r="J68" i="5" s="1"/>
  <c r="H19" i="4"/>
  <c r="H21" i="4" s="1"/>
  <c r="H22" i="4" s="1"/>
  <c r="H23" i="4" s="1"/>
  <c r="H15" i="4"/>
  <c r="H16" i="4" s="1"/>
  <c r="H17" i="4" s="1"/>
  <c r="G21" i="4" l="1"/>
  <c r="G22" i="4" s="1"/>
  <c r="G23" i="4" s="1"/>
  <c r="J91" i="5" s="1"/>
  <c r="J92" i="5" s="1"/>
  <c r="J45" i="5" l="1"/>
  <c r="J107" i="5"/>
</calcChain>
</file>

<file path=xl/sharedStrings.xml><?xml version="1.0" encoding="utf-8"?>
<sst xmlns="http://schemas.openxmlformats.org/spreadsheetml/2006/main" count="922" uniqueCount="350">
  <si>
    <t>heat transfer analysis in the wing</t>
  </si>
  <si>
    <t>conduction between the battery and the Rib</t>
  </si>
  <si>
    <t>units</t>
  </si>
  <si>
    <t>remarks</t>
  </si>
  <si>
    <t>stefen boltzman constant</t>
  </si>
  <si>
    <t>surface area(A)</t>
  </si>
  <si>
    <t>view factor(F)</t>
  </si>
  <si>
    <t>heat transfer through radiation</t>
  </si>
  <si>
    <t xml:space="preserve">emmisivity     </t>
  </si>
  <si>
    <t xml:space="preserve">surface area of the battery                               </t>
  </si>
  <si>
    <t>temperature on the surface of the battery</t>
  </si>
  <si>
    <t>K</t>
  </si>
  <si>
    <t>output</t>
  </si>
  <si>
    <t>Battery</t>
  </si>
  <si>
    <t xml:space="preserve">output temperatures </t>
  </si>
  <si>
    <t>temperature on the wing top inner surface</t>
  </si>
  <si>
    <t>temperature on the wing bottom outer surface</t>
  </si>
  <si>
    <t>temperature on the wing bottom inner surface</t>
  </si>
  <si>
    <t>temperature of the air inside the wing</t>
  </si>
  <si>
    <t xml:space="preserve"> </t>
  </si>
  <si>
    <t>K/m</t>
  </si>
  <si>
    <t>m^2</t>
  </si>
  <si>
    <t>W</t>
  </si>
  <si>
    <t>m</t>
  </si>
  <si>
    <t>J/kgK</t>
  </si>
  <si>
    <t>wing top plate</t>
  </si>
  <si>
    <t>thermal conductivity of the wing material</t>
  </si>
  <si>
    <t xml:space="preserve">cross sectional area                                              </t>
  </si>
  <si>
    <r>
      <t>W/m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K</t>
    </r>
    <r>
      <rPr>
        <vertAlign val="superscript"/>
        <sz val="12"/>
        <color theme="1"/>
        <rFont val="Calibri"/>
        <family val="2"/>
        <scheme val="minor"/>
      </rPr>
      <t>4</t>
    </r>
  </si>
  <si>
    <t>conduction between wing top inner surface and rib</t>
  </si>
  <si>
    <t>Forced convection on the wing top outer surface</t>
  </si>
  <si>
    <t>width of the wing</t>
  </si>
  <si>
    <t xml:space="preserve">surface area of the wing top inner surface          </t>
  </si>
  <si>
    <t xml:space="preserve">temperature on the Rib                          </t>
  </si>
  <si>
    <t>W/mK</t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</si>
  <si>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</si>
  <si>
    <t>solar radiation from sun</t>
  </si>
  <si>
    <t xml:space="preserve">   </t>
  </si>
  <si>
    <t>surface area</t>
  </si>
  <si>
    <t>solar radiation(function of altitude)</t>
  </si>
  <si>
    <t>heat transfer through solar radiation</t>
  </si>
  <si>
    <r>
      <t>absorptivity factor(</t>
    </r>
    <r>
      <rPr>
        <sz val="11"/>
        <color theme="1"/>
        <rFont val="Calibri"/>
        <family val="2"/>
      </rPr>
      <t>α)</t>
    </r>
  </si>
  <si>
    <t>references</t>
  </si>
  <si>
    <t>wing bottom plate</t>
  </si>
  <si>
    <t>conduction between wing bottom inner surface and rib</t>
  </si>
  <si>
    <t>radius of earth</t>
  </si>
  <si>
    <t>altitude</t>
  </si>
  <si>
    <t>altitude(h)</t>
  </si>
  <si>
    <t>radius of earth ( R )</t>
  </si>
  <si>
    <t xml:space="preserve">albedo radiation </t>
  </si>
  <si>
    <t xml:space="preserve">    </t>
  </si>
  <si>
    <t>radiation from ribs to battery</t>
  </si>
  <si>
    <t>radiation from bottom wing inner surface to battery</t>
  </si>
  <si>
    <t>radiation heat transfer from Rib to wing top inner surface</t>
  </si>
  <si>
    <t>radiation heat transfer from wing bottom to top inner surfaces</t>
  </si>
  <si>
    <t>radiation heat transfer from battery to wing top inner surface</t>
  </si>
  <si>
    <t>emmisivity factor of wing top outer surface</t>
  </si>
  <si>
    <t>ribs</t>
  </si>
  <si>
    <t>radiation heat transfer from wing bottom inner surface to rib</t>
  </si>
  <si>
    <t>battery</t>
  </si>
  <si>
    <t>top surface area</t>
  </si>
  <si>
    <t>bottom surface area</t>
  </si>
  <si>
    <t>values</t>
  </si>
  <si>
    <t>surface area covering three successive ribs</t>
  </si>
  <si>
    <t>material properties</t>
  </si>
  <si>
    <t>thermal conductivity</t>
  </si>
  <si>
    <t xml:space="preserve">rib </t>
  </si>
  <si>
    <t>wings</t>
  </si>
  <si>
    <t>value</t>
  </si>
  <si>
    <t>material</t>
  </si>
  <si>
    <t>temperature on the wing top outer surface(solar plate)</t>
  </si>
  <si>
    <t xml:space="preserve">  </t>
  </si>
  <si>
    <t xml:space="preserve">bottom surface area of the battery                               </t>
  </si>
  <si>
    <t>Distance between the surfaces(t)</t>
  </si>
  <si>
    <t>battery top surface and wing top</t>
  </si>
  <si>
    <t>battery bottom surface and wing bottom surface</t>
  </si>
  <si>
    <r>
      <t>coefficient of thermal expansion(</t>
    </r>
    <r>
      <rPr>
        <sz val="12"/>
        <color theme="1"/>
        <rFont val="Calibri"/>
        <family val="2"/>
      </rPr>
      <t>β</t>
    </r>
    <r>
      <rPr>
        <sz val="12"/>
        <color theme="1"/>
        <rFont val="Calibri"/>
        <family val="2"/>
        <scheme val="minor"/>
      </rPr>
      <t>)</t>
    </r>
  </si>
  <si>
    <t>emmisivity factor</t>
  </si>
  <si>
    <t>view factor</t>
  </si>
  <si>
    <t>battery and wing top inner surface</t>
  </si>
  <si>
    <t>battery and wing bottom surface</t>
  </si>
  <si>
    <t>ribs and battery</t>
  </si>
  <si>
    <t>ribs and wing top surface</t>
  </si>
  <si>
    <t>ribs and wing bottom surface</t>
  </si>
  <si>
    <t>wing top to bottom surface</t>
  </si>
  <si>
    <t>thickness</t>
  </si>
  <si>
    <t>radiation heat transfer from solar cell surface to environment</t>
  </si>
  <si>
    <t>solar cell plate</t>
  </si>
  <si>
    <t>resistance across wing outer and inner surface</t>
  </si>
  <si>
    <t xml:space="preserve">R </t>
  </si>
  <si>
    <t>top and bottom surfaces</t>
  </si>
  <si>
    <t>temperature of the air outside the wing(ambient Temperature)</t>
  </si>
  <si>
    <t>area of side 1(smaller edge side)</t>
  </si>
  <si>
    <t>area of side 2(laerger edge side)</t>
  </si>
  <si>
    <t>cross sectional area(perpendicular to temp gradient)</t>
  </si>
  <si>
    <t xml:space="preserve">length of the battery </t>
  </si>
  <si>
    <t>width of the battery</t>
  </si>
  <si>
    <t>thickness of the battery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</si>
  <si>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</si>
  <si>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m </t>
  </si>
  <si>
    <t>day</t>
  </si>
  <si>
    <t>night</t>
  </si>
  <si>
    <t>reference</t>
  </si>
  <si>
    <t xml:space="preserve">                   </t>
  </si>
  <si>
    <t>altitude(km)</t>
  </si>
  <si>
    <r>
      <t>density of air(</t>
    </r>
    <r>
      <rPr>
        <sz val="12"/>
        <color theme="1"/>
        <rFont val="Calibri"/>
        <family val="2"/>
      </rPr>
      <t>ρ)</t>
    </r>
  </si>
  <si>
    <r>
      <t>heat capacity(c</t>
    </r>
    <r>
      <rPr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)</t>
    </r>
  </si>
  <si>
    <r>
      <t>dynamic viscosity(</t>
    </r>
    <r>
      <rPr>
        <sz val="12"/>
        <color theme="1"/>
        <rFont val="Calibri"/>
        <family val="2"/>
      </rPr>
      <t>µ)</t>
    </r>
  </si>
  <si>
    <r>
      <t>kinematic viscosity(</t>
    </r>
    <r>
      <rPr>
        <sz val="12"/>
        <color theme="1"/>
        <rFont val="Calibri"/>
        <family val="2"/>
      </rPr>
      <t>ν)</t>
    </r>
  </si>
  <si>
    <r>
      <t>thermal conductance of air(</t>
    </r>
    <r>
      <rPr>
        <sz val="12"/>
        <color theme="1"/>
        <rFont val="Calibri"/>
        <family val="2"/>
      </rPr>
      <t>γ)</t>
    </r>
  </si>
  <si>
    <t>air properties(at ambient temperature)</t>
  </si>
  <si>
    <t>overall heat transfer to the top surface from battery</t>
  </si>
  <si>
    <t>heat generated by battery</t>
  </si>
  <si>
    <t>natural convection from top surface to environment</t>
  </si>
  <si>
    <t>temperature of the air outside the wing(ambient Temp)</t>
  </si>
  <si>
    <t>298K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</si>
  <si>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</si>
  <si>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kg/ms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</si>
  <si>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</si>
  <si>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1/K</t>
  </si>
  <si>
    <t>gravity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</si>
  <si>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</si>
  <si>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(</t>
  </si>
  <si>
    <t>(Gr)'</t>
  </si>
  <si>
    <t>pr</t>
  </si>
  <si>
    <t>Ra'</t>
  </si>
  <si>
    <t>Nu'</t>
  </si>
  <si>
    <t>h'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</si>
  <si>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</si>
  <si>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W </t>
  </si>
  <si>
    <t>outside</t>
  </si>
  <si>
    <t>radiation from top surface to environment</t>
  </si>
  <si>
    <t>emissivity factor</t>
  </si>
  <si>
    <t>botzman constant</t>
  </si>
  <si>
    <t>cross sectional area</t>
  </si>
  <si>
    <t>conduction across the top inner surface to outer surface</t>
  </si>
  <si>
    <t>heat transfering through the surface</t>
  </si>
  <si>
    <t>portion of heat transferred to wing surface</t>
  </si>
  <si>
    <t>thermal conductivity of tedler white</t>
  </si>
  <si>
    <t>convection heat transfer from battery to top surfafce</t>
  </si>
  <si>
    <r>
      <t>0</t>
    </r>
    <r>
      <rPr>
        <sz val="12"/>
        <color theme="1"/>
        <rFont val="Calibri"/>
        <family val="2"/>
        <scheme val="minor"/>
      </rPr>
      <t>C</t>
    </r>
  </si>
  <si>
    <t>inside</t>
  </si>
  <si>
    <r>
      <t xml:space="preserve">air properties inside the wing (taken average properties at 55 and 60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C</t>
    </r>
  </si>
  <si>
    <t>330.5K</t>
  </si>
  <si>
    <r>
      <t>γ</t>
    </r>
    <r>
      <rPr>
        <vertAlign val="subscript"/>
        <sz val="11"/>
        <color theme="1"/>
        <rFont val="Calibri"/>
        <family val="2"/>
        <scheme val="minor"/>
      </rPr>
      <t>gain</t>
    </r>
    <r>
      <rPr>
        <sz val="11"/>
        <color theme="1"/>
        <rFont val="Calibri"/>
        <family val="2"/>
        <scheme val="minor"/>
      </rPr>
      <t>'</t>
    </r>
  </si>
  <si>
    <r>
      <t>γ</t>
    </r>
    <r>
      <rPr>
        <vertAlign val="subscript"/>
        <sz val="11"/>
        <color theme="1"/>
        <rFont val="Calibri"/>
        <family val="2"/>
        <scheme val="minor"/>
      </rPr>
      <t xml:space="preserve">gain2 </t>
    </r>
    <r>
      <rPr>
        <sz val="11"/>
        <color theme="1"/>
        <rFont val="Calibri"/>
        <family val="2"/>
        <scheme val="minor"/>
      </rPr>
      <t>'</t>
    </r>
  </si>
  <si>
    <t>radiation from battery to top surface</t>
  </si>
  <si>
    <t>emmisivity</t>
  </si>
  <si>
    <t>conduction through rib crosssection to the top</t>
  </si>
  <si>
    <t>thermal conductivity of rib material</t>
  </si>
  <si>
    <t>crosssectional area</t>
  </si>
  <si>
    <t xml:space="preserve">surface area(battery  surface area - 2.rib cross sectional area) </t>
  </si>
  <si>
    <t>boltzman constant</t>
  </si>
  <si>
    <t>distance between battery and top surface</t>
  </si>
  <si>
    <t>R''</t>
  </si>
  <si>
    <t>heat transfer function</t>
  </si>
  <si>
    <t>battery top</t>
  </si>
  <si>
    <t xml:space="preserve">wing bottom </t>
  </si>
  <si>
    <t>Albedo coefficient</t>
  </si>
  <si>
    <t>solar radiation</t>
  </si>
  <si>
    <t>radiation heat transfer to bottom plate</t>
  </si>
  <si>
    <t>planetry radiation</t>
  </si>
  <si>
    <t>planetry radiation heat transfer</t>
  </si>
  <si>
    <t>total radiation</t>
  </si>
  <si>
    <t>heat dessipated  by battery to bottom plate</t>
  </si>
  <si>
    <t>total heat transfer to bottom plate</t>
  </si>
  <si>
    <t>radiation to the environment</t>
  </si>
  <si>
    <t xml:space="preserve">heat transfer equation </t>
  </si>
  <si>
    <t>battery bottom</t>
  </si>
  <si>
    <t>conduction through inner to outer surface of bottom plate</t>
  </si>
  <si>
    <t>top</t>
  </si>
  <si>
    <t>bottom</t>
  </si>
  <si>
    <t>average temperature of battery</t>
  </si>
  <si>
    <r>
      <t>Q=A.α.S</t>
    </r>
    <r>
      <rPr>
        <vertAlign val="subscript"/>
        <sz val="12"/>
        <color theme="1"/>
        <rFont val="Calibri"/>
        <family val="2"/>
        <scheme val="minor"/>
      </rPr>
      <t xml:space="preserve">s, </t>
    </r>
    <r>
      <rPr>
        <sz val="12"/>
        <color theme="1"/>
        <rFont val="Calibri"/>
        <family val="2"/>
        <scheme val="minor"/>
      </rPr>
      <t>absorptivity factor taken for tedlar white(not solar cells)</t>
    </r>
  </si>
  <si>
    <t>heat generation is not a exact data, and we assumed that heat is desipated to top and bottom surfaces equally</t>
  </si>
  <si>
    <r>
      <t>air properties are taken at ambient temerature(25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C),</t>
    </r>
  </si>
  <si>
    <r>
      <t>q' = A.</t>
    </r>
    <r>
      <rPr>
        <sz val="12"/>
        <color theme="1"/>
        <rFont val="Calibri"/>
        <family val="2"/>
      </rPr>
      <t>σ.ε</t>
    </r>
  </si>
  <si>
    <r>
      <t>W/</t>
    </r>
    <r>
      <rPr>
        <sz val="12"/>
        <color theme="1"/>
        <rFont val="Calibri"/>
        <family val="2"/>
        <scheme val="minor"/>
      </rPr>
      <t>K</t>
    </r>
    <r>
      <rPr>
        <vertAlign val="superscript"/>
        <sz val="12"/>
        <color theme="1"/>
        <rFont val="Calibri"/>
        <family val="2"/>
        <scheme val="minor"/>
      </rPr>
      <t>4</t>
    </r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</si>
  <si>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</t>
    </r>
    <r>
      <rPr>
        <vertAlign val="superscript"/>
        <sz val="11"/>
        <color theme="1"/>
        <rFont val="Calibri"/>
        <family val="2"/>
        <scheme val="minor"/>
      </rPr>
      <t>4/3</t>
    </r>
  </si>
  <si>
    <r>
      <t>W/</t>
    </r>
    <r>
      <rPr>
        <sz val="11"/>
        <color theme="1"/>
        <rFont val="Calibri"/>
        <family val="2"/>
        <scheme val="minor"/>
      </rPr>
      <t>K</t>
    </r>
    <r>
      <rPr>
        <vertAlign val="superscript"/>
        <sz val="11"/>
        <color theme="1"/>
        <rFont val="Calibri"/>
        <family val="2"/>
        <scheme val="minor"/>
      </rPr>
      <t>4/3</t>
    </r>
  </si>
  <si>
    <t>Wm/K</t>
  </si>
  <si>
    <t>q'=h'A</t>
  </si>
  <si>
    <t>Q=R"∆T= A.σ.ε.∆T</t>
  </si>
  <si>
    <r>
      <t>W/m</t>
    </r>
    <r>
      <rPr>
        <vertAlign val="superscript"/>
        <sz val="12"/>
        <color theme="1"/>
        <rFont val="Calibri"/>
        <family val="2"/>
        <scheme val="minor"/>
      </rPr>
      <t>2</t>
    </r>
  </si>
  <si>
    <r>
      <t>Q=aAαS</t>
    </r>
    <r>
      <rPr>
        <vertAlign val="subscript"/>
        <sz val="11"/>
        <color theme="1"/>
        <rFont val="Calibri"/>
        <family val="2"/>
        <scheme val="minor"/>
      </rPr>
      <t>s</t>
    </r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</si>
  <si>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</t>
    </r>
    <r>
      <rPr>
        <vertAlign val="superscript"/>
        <sz val="11"/>
        <color theme="1"/>
        <rFont val="Calibri"/>
        <family val="2"/>
        <scheme val="minor"/>
      </rPr>
      <t>6/5</t>
    </r>
  </si>
  <si>
    <r>
      <t>W/K</t>
    </r>
    <r>
      <rPr>
        <vertAlign val="superscript"/>
        <sz val="12"/>
        <color theme="1"/>
        <rFont val="Calibri"/>
        <family val="2"/>
        <scheme val="minor"/>
      </rPr>
      <t>4</t>
    </r>
  </si>
  <si>
    <r>
      <t>W/m</t>
    </r>
    <r>
      <rPr>
        <sz val="12"/>
        <color theme="1"/>
        <rFont val="Calibri"/>
        <family val="2"/>
        <scheme val="minor"/>
      </rPr>
      <t>K</t>
    </r>
  </si>
  <si>
    <t>convection heat transfer from battery to bottom surfafce</t>
  </si>
  <si>
    <r>
      <t xml:space="preserve">air properties are taken at temperature 57.5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C</t>
    </r>
  </si>
  <si>
    <r>
      <t>W/K</t>
    </r>
    <r>
      <rPr>
        <vertAlign val="superscript"/>
        <sz val="11"/>
        <color theme="1"/>
        <rFont val="Calibri"/>
        <family val="2"/>
        <scheme val="minor"/>
      </rPr>
      <t>6/5</t>
    </r>
  </si>
  <si>
    <t>coefficient2</t>
  </si>
  <si>
    <t>geometric parameters</t>
  </si>
  <si>
    <t>Battery geometric properties</t>
  </si>
  <si>
    <t>Rib geometry properties</t>
  </si>
  <si>
    <t>wing top  surface details</t>
  </si>
  <si>
    <t>wing bottom surface details</t>
  </si>
  <si>
    <t>length of the wing unit cell</t>
  </si>
  <si>
    <t>surface area of wing unit cell</t>
  </si>
  <si>
    <t>thickness of wing shell</t>
  </si>
  <si>
    <t>input</t>
  </si>
  <si>
    <t>parameters</t>
  </si>
  <si>
    <t>calculated values</t>
  </si>
  <si>
    <t>constants</t>
  </si>
  <si>
    <t>absorptivity factor</t>
  </si>
  <si>
    <t>temperature on battery top surface</t>
  </si>
  <si>
    <t>temperature on battery bottom surface</t>
  </si>
  <si>
    <t>wing top surface</t>
  </si>
  <si>
    <t>surface area of wing top surface</t>
  </si>
  <si>
    <t>heat transfer through solar radiation to the wing top</t>
  </si>
  <si>
    <t>total heat transfer to the wing top skin</t>
  </si>
  <si>
    <t xml:space="preserve">m   </t>
  </si>
  <si>
    <t>temperature of the wing top skin</t>
  </si>
  <si>
    <t>temperature of the wing bottom skin</t>
  </si>
  <si>
    <t>coefficient 1,1</t>
  </si>
  <si>
    <t>W/K</t>
  </si>
  <si>
    <r>
      <rPr>
        <vertAlign val="super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C</t>
    </r>
  </si>
  <si>
    <t>convection heat transfer from battery top surface to air inside</t>
  </si>
  <si>
    <t>cross sectioon area(Ac)</t>
  </si>
  <si>
    <t>thickness of the battery(L)</t>
  </si>
  <si>
    <t>2.k.Ac./L</t>
  </si>
  <si>
    <t>convection from battery bottom surface to inside air</t>
  </si>
  <si>
    <t>convection from battery vertical surfaces to air</t>
  </si>
  <si>
    <r>
      <t>Top surface area of the battery(A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)                   </t>
    </r>
  </si>
  <si>
    <t>coefficient 1,2</t>
  </si>
  <si>
    <t xml:space="preserve">coefficient 1,3                   </t>
  </si>
  <si>
    <t>coefficient 1,4</t>
  </si>
  <si>
    <t>between battery and wings</t>
  </si>
  <si>
    <t>between rib and battery</t>
  </si>
  <si>
    <t>between rib and wings</t>
  </si>
  <si>
    <t>radiation between wing top surface and battery</t>
  </si>
  <si>
    <t>coefficient 1,5</t>
  </si>
  <si>
    <t>emmisivity  factor between battery and wing bottom surface</t>
  </si>
  <si>
    <t>emmisivity factor between battery and rib</t>
  </si>
  <si>
    <t>coeffiient 1,7</t>
  </si>
  <si>
    <t>coefficient 1,6</t>
  </si>
  <si>
    <t>internal heat generation from battery</t>
  </si>
  <si>
    <r>
      <t>Q</t>
    </r>
    <r>
      <rPr>
        <vertAlign val="subscript"/>
        <sz val="12"/>
        <color theme="1"/>
        <rFont val="Calibri"/>
        <family val="2"/>
        <scheme val="minor"/>
      </rPr>
      <t>gen</t>
    </r>
  </si>
  <si>
    <t>heat sources</t>
  </si>
  <si>
    <t>internal heat generation</t>
  </si>
  <si>
    <t>source</t>
  </si>
  <si>
    <t>h1.A1</t>
  </si>
  <si>
    <t>h2.A1</t>
  </si>
  <si>
    <t>h3.A2</t>
  </si>
  <si>
    <t>σ.A'.ε.F</t>
  </si>
  <si>
    <t>emissivity factor between wing top surface and battery(ε)</t>
  </si>
  <si>
    <t>stefen boltzman constant(σ)</t>
  </si>
  <si>
    <t>σ.A1.ε.F</t>
  </si>
  <si>
    <t>thickness of wing skin + solar plate</t>
  </si>
  <si>
    <t>thickness of the rib</t>
  </si>
  <si>
    <t>convection from wing top surface to cabin air</t>
  </si>
  <si>
    <t xml:space="preserve">surface area of the wing top outer surface          </t>
  </si>
  <si>
    <t>coefficient 2, 3</t>
  </si>
  <si>
    <t>coefficient 2,1</t>
  </si>
  <si>
    <t>coefficient 2,2</t>
  </si>
  <si>
    <r>
      <t>h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.A</t>
    </r>
    <r>
      <rPr>
        <vertAlign val="subscript"/>
        <sz val="12"/>
        <color theme="1"/>
        <rFont val="Calibri"/>
        <family val="2"/>
        <scheme val="minor"/>
      </rPr>
      <t>T</t>
    </r>
  </si>
  <si>
    <r>
      <t>h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.A</t>
    </r>
    <r>
      <rPr>
        <vertAlign val="subscript"/>
        <sz val="12"/>
        <color theme="1"/>
        <rFont val="Calibri"/>
        <family val="2"/>
        <scheme val="minor"/>
      </rPr>
      <t>T</t>
    </r>
  </si>
  <si>
    <t>coefficient 2,4</t>
  </si>
  <si>
    <t>coefficient 2,6</t>
  </si>
  <si>
    <t>coefficient 2,5</t>
  </si>
  <si>
    <t>coefficient 2,7</t>
  </si>
  <si>
    <t>thermal conductivity of the battery (k)</t>
  </si>
  <si>
    <t>turbulent flow</t>
  </si>
  <si>
    <t>convection from wing bottom surface to cabin air</t>
  </si>
  <si>
    <t xml:space="preserve">surface area of the wing bottom inner surface          </t>
  </si>
  <si>
    <t>coefficient 3,1</t>
  </si>
  <si>
    <t>coefficient 3,2</t>
  </si>
  <si>
    <t>Forced convection on the wing bottom outer surface</t>
  </si>
  <si>
    <t xml:space="preserve">surface area of the wing bottom outer surface          </t>
  </si>
  <si>
    <t>radiation heat transfer from battery to wing botom inner surface</t>
  </si>
  <si>
    <t>radiation heat transfer from Rib to wing bottom inner surface</t>
  </si>
  <si>
    <t>radiation heat transfer bottom surface to environment</t>
  </si>
  <si>
    <t>coefficient 3, 3</t>
  </si>
  <si>
    <t>coefficient 3,4</t>
  </si>
  <si>
    <t>coefficient 3,5</t>
  </si>
  <si>
    <t>coefficient 3,7</t>
  </si>
  <si>
    <t>albedo radiation</t>
  </si>
  <si>
    <t>conduction between rib and battery</t>
  </si>
  <si>
    <t>thermal conductivity of battery</t>
  </si>
  <si>
    <t>area of cross section</t>
  </si>
  <si>
    <t>coefficient 4,1</t>
  </si>
  <si>
    <t>absorptivity factor(α)</t>
  </si>
  <si>
    <t>solar cells plate</t>
  </si>
  <si>
    <t>radiation heat transfer from earth(planetry radiation)</t>
  </si>
  <si>
    <t>conduction between rib and wing top surface</t>
  </si>
  <si>
    <t>thermal conductivity of wing</t>
  </si>
  <si>
    <t>convection heat transfer from rib to cabin air</t>
  </si>
  <si>
    <t>surface area of the Rib</t>
  </si>
  <si>
    <t>surface area of the rib</t>
  </si>
  <si>
    <t>coefficient 4,4</t>
  </si>
  <si>
    <t>coefficient 4,2</t>
  </si>
  <si>
    <t>coefficient 4,3</t>
  </si>
  <si>
    <t>radiation heat transfer between battery and rib</t>
  </si>
  <si>
    <t>coefficient 4,5</t>
  </si>
  <si>
    <t>radiation heat transfer between wing top surface and rib</t>
  </si>
  <si>
    <t>coufficient 4,6</t>
  </si>
  <si>
    <t>coeifficient 4,7</t>
  </si>
  <si>
    <t>volume of wing cabin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</si>
  <si>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</si>
  <si>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mass of the each component</t>
  </si>
  <si>
    <t>each Rib</t>
  </si>
  <si>
    <t>wing skin for each unit cell</t>
  </si>
  <si>
    <t>solar plate</t>
  </si>
  <si>
    <t>kg</t>
  </si>
  <si>
    <t>Air inside the cabin</t>
  </si>
  <si>
    <t>convection heat transfer between cabin air and battery top</t>
  </si>
  <si>
    <t>surface area of the battery top surface</t>
  </si>
  <si>
    <t>convection heat transfer between cabin air  and battery bottom</t>
  </si>
  <si>
    <t>coefficient 5,1</t>
  </si>
  <si>
    <t>surface area of the battery bottom</t>
  </si>
  <si>
    <t>coefficient 5,2</t>
  </si>
  <si>
    <t>convection heat transfer between air &amp; battery vertcal surface</t>
  </si>
  <si>
    <t>surface area of the battery vertical surface</t>
  </si>
  <si>
    <t>coefficient 5,3</t>
  </si>
  <si>
    <t>coefficient 5,4</t>
  </si>
  <si>
    <t>convection heat transfer between wing top surface &amp; cabin air</t>
  </si>
  <si>
    <t>convection between wing bottom surface &amp; cabin air</t>
  </si>
  <si>
    <t>surface area of the wing bottom surface</t>
  </si>
  <si>
    <t>surface area of the wing top surface</t>
  </si>
  <si>
    <t>coefficient 5,5</t>
  </si>
  <si>
    <t>charecterstic length</t>
  </si>
  <si>
    <t>perimeter</t>
  </si>
  <si>
    <t xml:space="preserve">perimeter                               </t>
  </si>
  <si>
    <t>characterstic length</t>
  </si>
  <si>
    <t>initial temperatures at time  t = 0</t>
  </si>
  <si>
    <t>coefficient 3,6</t>
  </si>
  <si>
    <t>Prandtl Number (Pr)</t>
  </si>
  <si>
    <t>Temperature (K)</t>
  </si>
  <si>
    <r>
      <t>temp(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C)</t>
    </r>
  </si>
  <si>
    <r>
      <t>Density (rho) kg/m</t>
    </r>
    <r>
      <rPr>
        <vertAlign val="superscript"/>
        <sz val="11"/>
        <color rgb="FFA31515"/>
        <rFont val="Courier New"/>
        <family val="3"/>
      </rPr>
      <t>3</t>
    </r>
  </si>
  <si>
    <t>Specific Heat (cp) J/kg.K</t>
  </si>
  <si>
    <t>Thermal Conductivity (k) W/m.K</t>
  </si>
  <si>
    <t>Dynamic Viscosity (m)  kg/m.s</t>
  </si>
  <si>
    <r>
      <t>Kinematic Viscosity (n)  m</t>
    </r>
    <r>
      <rPr>
        <vertAlign val="superscript"/>
        <sz val="11"/>
        <color rgb="FFA31515"/>
        <rFont val="Courier New"/>
        <family val="3"/>
      </rPr>
      <t>2</t>
    </r>
    <r>
      <rPr>
        <sz val="11"/>
        <color rgb="FFA31515"/>
        <rFont val="Courier New"/>
        <family val="3"/>
      </rPr>
      <t>/s</t>
    </r>
  </si>
  <si>
    <t>specific heat capacity  of the each component</t>
  </si>
  <si>
    <t>J/kg.K</t>
  </si>
  <si>
    <t>components</t>
  </si>
  <si>
    <t>mass</t>
  </si>
  <si>
    <t>specific heat capacity</t>
  </si>
  <si>
    <t>Rib material</t>
  </si>
  <si>
    <t>solar sheet</t>
  </si>
  <si>
    <t>wing skin(each side)</t>
  </si>
  <si>
    <t>volume of the cabin</t>
  </si>
  <si>
    <t>coefficient 5,6</t>
  </si>
  <si>
    <t>Air properties in wing cabin varying with the temperature(at 1atm)</t>
  </si>
  <si>
    <t>temperature(C)</t>
  </si>
  <si>
    <t>Solar Radiation (W/m2)</t>
  </si>
  <si>
    <t>Q_s</t>
  </si>
  <si>
    <t>Q_ab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</si>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</sst>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A31515"/>
      <name val="Courier New"/>
      <family val="3"/>
    </font>
    <font>
      <vertAlign val="superscript"/>
      <sz val="11"/>
      <color rgb="FFA31515"/>
      <name val="Courier New"/>
      <family val="3"/>
    </font>
    <font>
      <sz val="13"/>
      <color rgb="FF343851"/>
      <name val="Segoe U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A09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9F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BA9E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0" xfId="0" applyFill="1"/>
    <xf numFmtId="0" fontId="0" fillId="18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20" borderId="0" xfId="0" applyFill="1"/>
    <xf numFmtId="0" fontId="0" fillId="6" borderId="0" xfId="0" applyFill="1"/>
    <xf numFmtId="0" fontId="1" fillId="0" borderId="0" xfId="0" applyFont="1" applyAlignment="1">
      <alignment horizontal="left" vertical="top" wrapText="1"/>
    </xf>
    <xf numFmtId="2" fontId="0" fillId="0" borderId="0" xfId="0" applyNumberFormat="1"/>
    <xf numFmtId="11" fontId="0" fillId="14" borderId="0" xfId="0" applyNumberFormat="1" applyFill="1"/>
    <xf numFmtId="0" fontId="0" fillId="9" borderId="2" xfId="0" applyFill="1" applyBorder="1"/>
    <xf numFmtId="0" fontId="0" fillId="6" borderId="2" xfId="0" applyFill="1" applyBorder="1"/>
    <xf numFmtId="0" fontId="0" fillId="25" borderId="2" xfId="0" applyFill="1" applyBorder="1"/>
    <xf numFmtId="0" fontId="0" fillId="0" borderId="2" xfId="0" applyBorder="1" applyAlignment="1">
      <alignment horizontal="center"/>
    </xf>
    <xf numFmtId="0" fontId="0" fillId="13" borderId="2" xfId="0" applyFill="1" applyBorder="1"/>
    <xf numFmtId="0" fontId="0" fillId="0" borderId="2" xfId="0" applyBorder="1"/>
    <xf numFmtId="0" fontId="0" fillId="4" borderId="2" xfId="0" applyFill="1" applyBorder="1"/>
    <xf numFmtId="0" fontId="0" fillId="3" borderId="2" xfId="0" applyFill="1" applyBorder="1"/>
    <xf numFmtId="0" fontId="1" fillId="6" borderId="2" xfId="0" applyFont="1" applyFill="1" applyBorder="1"/>
    <xf numFmtId="0" fontId="0" fillId="17" borderId="2" xfId="0" applyFill="1" applyBorder="1"/>
    <xf numFmtId="0" fontId="1" fillId="0" borderId="2" xfId="0" applyFont="1" applyBorder="1"/>
    <xf numFmtId="0" fontId="1" fillId="4" borderId="2" xfId="0" applyFont="1" applyFill="1" applyBorder="1"/>
    <xf numFmtId="11" fontId="1" fillId="4" borderId="2" xfId="0" applyNumberFormat="1" applyFont="1" applyFill="1" applyBorder="1"/>
    <xf numFmtId="2" fontId="1" fillId="4" borderId="2" xfId="0" applyNumberFormat="1" applyFont="1" applyFill="1" applyBorder="1"/>
    <xf numFmtId="11" fontId="0" fillId="13" borderId="2" xfId="0" applyNumberFormat="1" applyFill="1" applyBorder="1"/>
    <xf numFmtId="2" fontId="0" fillId="0" borderId="2" xfId="0" applyNumberFormat="1" applyBorder="1"/>
    <xf numFmtId="11" fontId="0" fillId="0" borderId="2" xfId="0" applyNumberFormat="1" applyBorder="1"/>
    <xf numFmtId="0" fontId="0" fillId="23" borderId="2" xfId="0" applyFill="1" applyBorder="1"/>
    <xf numFmtId="0" fontId="1" fillId="3" borderId="2" xfId="0" applyFont="1" applyFill="1" applyBorder="1"/>
    <xf numFmtId="0" fontId="1" fillId="11" borderId="2" xfId="0" applyFont="1" applyFill="1" applyBorder="1"/>
    <xf numFmtId="0" fontId="2" fillId="0" borderId="2" xfId="0" applyFont="1" applyBorder="1"/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2" fontId="1" fillId="11" borderId="2" xfId="0" applyNumberFormat="1" applyFont="1" applyFill="1" applyBorder="1"/>
    <xf numFmtId="0" fontId="1" fillId="25" borderId="2" xfId="0" applyFont="1" applyFill="1" applyBorder="1"/>
    <xf numFmtId="0" fontId="1" fillId="0" borderId="2" xfId="0" applyFont="1" applyBorder="1" applyAlignment="1">
      <alignment vertical="center"/>
    </xf>
    <xf numFmtId="0" fontId="0" fillId="21" borderId="2" xfId="0" applyFill="1" applyBorder="1"/>
    <xf numFmtId="2" fontId="0" fillId="13" borderId="2" xfId="0" applyNumberFormat="1" applyFill="1" applyBorder="1"/>
    <xf numFmtId="0" fontId="1" fillId="0" borderId="2" xfId="0" applyFont="1" applyBorder="1" applyAlignment="1">
      <alignment horizontal="center"/>
    </xf>
    <xf numFmtId="11" fontId="0" fillId="4" borderId="2" xfId="0" applyNumberFormat="1" applyFill="1" applyBorder="1"/>
    <xf numFmtId="11" fontId="1" fillId="13" borderId="2" xfId="0" applyNumberFormat="1" applyFont="1" applyFill="1" applyBorder="1"/>
    <xf numFmtId="0" fontId="1" fillId="14" borderId="2" xfId="0" applyFont="1" applyFill="1" applyBorder="1"/>
    <xf numFmtId="0" fontId="1" fillId="17" borderId="2" xfId="0" applyFont="1" applyFill="1" applyBorder="1"/>
    <xf numFmtId="11" fontId="0" fillId="14" borderId="2" xfId="0" applyNumberFormat="1" applyFill="1" applyBorder="1"/>
    <xf numFmtId="0" fontId="0" fillId="19" borderId="2" xfId="0" applyFill="1" applyBorder="1"/>
    <xf numFmtId="11" fontId="0" fillId="0" borderId="2" xfId="0" applyNumberFormat="1" applyBorder="1" applyAlignment="1">
      <alignment horizontal="center"/>
    </xf>
    <xf numFmtId="0" fontId="0" fillId="25" borderId="2" xfId="0" applyFill="1" applyBorder="1" applyAlignment="1">
      <alignment horizontal="center"/>
    </xf>
    <xf numFmtId="2" fontId="1" fillId="0" borderId="2" xfId="0" applyNumberFormat="1" applyFont="1" applyBorder="1"/>
    <xf numFmtId="11" fontId="1" fillId="0" borderId="2" xfId="0" applyNumberFormat="1" applyFont="1" applyBorder="1"/>
    <xf numFmtId="0" fontId="1" fillId="21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top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22" borderId="2" xfId="0" applyFont="1" applyFill="1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2" borderId="2" xfId="0" applyFont="1" applyFill="1" applyBorder="1"/>
    <xf numFmtId="0" fontId="1" fillId="29" borderId="2" xfId="0" applyFont="1" applyFill="1" applyBorder="1"/>
    <xf numFmtId="0" fontId="1" fillId="30" borderId="2" xfId="0" applyFont="1" applyFill="1" applyBorder="1"/>
    <xf numFmtId="0" fontId="0" fillId="30" borderId="2" xfId="0" applyFill="1" applyBorder="1"/>
    <xf numFmtId="0" fontId="0" fillId="0" borderId="2" xfId="0" applyBorder="1"/>
    <xf numFmtId="0" fontId="10" fillId="0" borderId="2" xfId="0" applyFont="1" applyBorder="1" applyAlignment="1">
      <alignment vertical="center" wrapText="1"/>
    </xf>
    <xf numFmtId="0" fontId="0" fillId="0" borderId="0" xfId="0" applyFill="1"/>
    <xf numFmtId="0" fontId="0" fillId="0" borderId="2" xfId="0" applyBorder="1"/>
    <xf numFmtId="0" fontId="0" fillId="0" borderId="2" xfId="0" applyBorder="1"/>
    <xf numFmtId="0" fontId="12" fillId="0" borderId="2" xfId="0" applyFont="1" applyBorder="1"/>
    <xf numFmtId="0" fontId="1" fillId="3" borderId="2" xfId="0" applyFont="1" applyFill="1" applyBorder="1" applyAlignment="1">
      <alignment vertical="center"/>
    </xf>
    <xf numFmtId="0" fontId="1" fillId="28" borderId="2" xfId="0" applyFont="1" applyFill="1" applyBorder="1" applyAlignment="1"/>
    <xf numFmtId="0" fontId="1" fillId="17" borderId="2" xfId="0" applyFont="1" applyFill="1" applyBorder="1" applyAlignment="1">
      <alignment horizontal="left" vertical="top" wrapText="1"/>
    </xf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0" fillId="14" borderId="2" xfId="0" applyFill="1" applyBorder="1"/>
    <xf numFmtId="2" fontId="0" fillId="14" borderId="2" xfId="0" applyNumberFormat="1" applyFill="1" applyBorder="1"/>
    <xf numFmtId="0" fontId="0" fillId="22" borderId="2" xfId="0" applyFill="1" applyBorder="1"/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left" vertical="top"/>
    </xf>
    <xf numFmtId="0" fontId="1" fillId="23" borderId="2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5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1" fillId="9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10" borderId="2" xfId="0" applyFill="1" applyBorder="1"/>
    <xf numFmtId="0" fontId="9" fillId="8" borderId="1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4" borderId="2" xfId="0" applyFont="1" applyFill="1" applyBorder="1"/>
    <xf numFmtId="0" fontId="0" fillId="0" borderId="2" xfId="0" applyBorder="1" applyAlignment="1">
      <alignment horizontal="center" vertical="center"/>
    </xf>
    <xf numFmtId="0" fontId="0" fillId="18" borderId="2" xfId="0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16" borderId="2" xfId="0" applyFont="1" applyFill="1" applyBorder="1"/>
    <xf numFmtId="0" fontId="0" fillId="0" borderId="0" xfId="0"/>
    <xf numFmtId="0" fontId="1" fillId="10" borderId="2" xfId="0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7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7" borderId="2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1" fillId="18" borderId="2" xfId="0" applyFont="1" applyFill="1" applyBorder="1"/>
    <xf numFmtId="0" fontId="1" fillId="21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0" fillId="2" borderId="0" xfId="0" applyFill="1" applyAlignment="1">
      <alignment wrapText="1"/>
    </xf>
    <xf numFmtId="0" fontId="0" fillId="15" borderId="2" xfId="0" applyFill="1" applyBorder="1"/>
    <xf numFmtId="0" fontId="8" fillId="10" borderId="1" xfId="0" applyFont="1" applyFill="1" applyBorder="1"/>
    <xf numFmtId="0" fontId="0" fillId="18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6" borderId="6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8" fillId="24" borderId="2" xfId="0" applyFont="1" applyFill="1" applyBorder="1" applyAlignment="1">
      <alignment horizontal="center"/>
    </xf>
    <xf numFmtId="0" fontId="0" fillId="22" borderId="3" xfId="0" applyFill="1" applyBorder="1"/>
    <xf numFmtId="0" fontId="0" fillId="22" borderId="5" xfId="0" applyFill="1" applyBorder="1"/>
    <xf numFmtId="0" fontId="0" fillId="22" borderId="2" xfId="0" applyFill="1" applyBorder="1"/>
    <xf numFmtId="0" fontId="0" fillId="0" borderId="2" xfId="0" applyBorder="1" applyAlignment="1">
      <alignment wrapText="1"/>
    </xf>
    <xf numFmtId="0" fontId="0" fillId="18" borderId="0" xfId="0" applyFill="1" applyAlignment="1">
      <alignment horizontal="center"/>
    </xf>
    <xf numFmtId="0" fontId="0" fillId="25" borderId="2" xfId="0" applyFill="1" applyBorder="1"/>
    <xf numFmtId="0" fontId="8" fillId="9" borderId="2" xfId="0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8" fillId="18" borderId="2" xfId="0" applyFont="1" applyFill="1" applyBorder="1"/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4" borderId="2" xfId="0" applyFont="1" applyFill="1" applyBorder="1"/>
    <xf numFmtId="0" fontId="0" fillId="4" borderId="2" xfId="0" applyFill="1" applyBorder="1"/>
    <xf numFmtId="0" fontId="10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A9E5"/>
      <color rgb="FFFCA09E"/>
      <color rgb="FFFF9FE6"/>
      <color rgb="FFFF6600"/>
      <color rgb="FFF84642"/>
      <color rgb="FFEA0D08"/>
      <color rgb="FF954ECA"/>
      <color rgb="FFAB0101"/>
      <color rgb="FFFFFF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80792</xdr:colOff>
      <xdr:row>25</xdr:row>
      <xdr:rowOff>191104</xdr:rowOff>
    </xdr:from>
    <xdr:ext cx="3231876" cy="2308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8601337" y="5325945"/>
              <a:ext cx="3231876" cy="230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/>
                <a:t>Gr  = 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 </m:t>
                      </m:r>
                      <m:r>
                        <m:rPr>
                          <m:nor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g</m:t>
                      </m:r>
                      <m:r>
                        <m:rPr>
                          <m:nor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.</m:t>
                      </m:r>
                      <m:r>
                        <m:rPr>
                          <m:nor/>
                        </m:rPr>
                        <a:rPr lang="el-GR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β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.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L</m:t>
                      </m:r>
                      <m:r>
                        <m:rPr>
                          <m:nor/>
                        </m:rPr>
                        <a:rPr lang="en-US" sz="1100" b="0" i="0" baseline="30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</m:t>
                      </m:r>
                      <m:r>
                        <m:rPr>
                          <m:nor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(∆</m:t>
                      </m:r>
                      <m:r>
                        <m:rPr>
                          <m:nor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nor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m:rPr>
                          <m:nor/>
                        </m:rPr>
                        <a:rPr lang="el-GR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ν</m:t>
                      </m:r>
                      <m:r>
                        <m:rPr>
                          <m:nor/>
                        </m:rPr>
                        <a:rPr lang="en-US" sz="1100" b="1" baseline="30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n-US" sz="1100">
                  <a:latin typeface="Calibri" panose="020F0502020204030204" pitchFamily="34" charset="0"/>
                </a:rPr>
                <a:t>, Gr'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 </m:t>
                      </m:r>
                      <m:r>
                        <m:rPr>
                          <m:nor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g</m:t>
                      </m:r>
                      <m:r>
                        <m:rPr>
                          <m:nor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.</m:t>
                      </m:r>
                      <m:r>
                        <m:rPr>
                          <m:nor/>
                        </m:rPr>
                        <a:rPr lang="el-GR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β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.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L</m:t>
                      </m:r>
                      <m:r>
                        <m:rPr>
                          <m:nor/>
                        </m:rPr>
                        <a:rPr lang="en-US" sz="1100" b="0" i="0" baseline="30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</m:t>
                      </m:r>
                    </m:num>
                    <m:den>
                      <m:r>
                        <m:rPr>
                          <m:nor/>
                        </m:rPr>
                        <a:rPr lang="el-GR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ν</m:t>
                      </m:r>
                      <m:r>
                        <m:rPr>
                          <m:nor/>
                        </m:rPr>
                        <a:rPr lang="en-US" sz="1100" b="1" baseline="30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n-US" sz="1100">
                  <a:latin typeface="Calibri" panose="020F0502020204030204" pitchFamily="34" charset="0"/>
                </a:rPr>
                <a:t>,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∆</m:t>
                  </m:r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T</m:t>
                  </m:r>
                </m:oMath>
              </a14:m>
              <a:r>
                <a:rPr lang="en-US" sz="1100">
                  <a:latin typeface="Calibri" panose="020F0502020204030204" pitchFamily="34" charset="0"/>
                </a:rPr>
                <a:t>= T</a:t>
              </a:r>
              <a:r>
                <a:rPr lang="en-US" sz="1100" baseline="-25000">
                  <a:latin typeface="Calibri" panose="020F0502020204030204" pitchFamily="34" charset="0"/>
                </a:rPr>
                <a:t>(topwingsurfacetemp)</a:t>
              </a:r>
              <a:r>
                <a:rPr lang="en-US" sz="1100" baseline="0">
                  <a:latin typeface="Calibri" panose="020F0502020204030204" pitchFamily="34" charset="0"/>
                </a:rPr>
                <a:t> -T</a:t>
              </a:r>
              <a:r>
                <a:rPr lang="en-US" sz="1100" baseline="-25000">
                  <a:latin typeface="Calibri" panose="020F0502020204030204" pitchFamily="34" charset="0"/>
                </a:rPr>
                <a:t>env</a:t>
              </a:r>
              <a:endParaRPr lang="en-US" sz="1100">
                <a:latin typeface="Calibri" panose="020F0502020204030204" pitchFamily="34" charset="0"/>
              </a:endParaRPr>
            </a:p>
            <a:p>
              <a:endParaRPr lang="en-US" sz="1100">
                <a:latin typeface="Calibri" panose="020F0502020204030204" pitchFamily="34" charset="0"/>
              </a:endParaRPr>
            </a:p>
            <a:p>
              <a:r>
                <a:rPr lang="en-US" sz="1100">
                  <a:latin typeface="Calibri" panose="020F0502020204030204" pitchFamily="34" charset="0"/>
                </a:rPr>
                <a:t>Pr</a:t>
              </a:r>
              <a:r>
                <a:rPr lang="en-US" sz="1100" baseline="0">
                  <a:latin typeface="Calibri" panose="020F0502020204030204" pitchFamily="34" charset="0"/>
                </a:rPr>
                <a:t> = 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𝐶𝑝</m:t>
                      </m:r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n-US" sz="14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𝑘</m:t>
                      </m:r>
                    </m:den>
                  </m:f>
                </m:oMath>
              </a14:m>
              <a:endParaRPr lang="en-US" sz="1100">
                <a:latin typeface="Calibri" panose="020F0502020204030204" pitchFamily="34" charset="0"/>
              </a:endParaRPr>
            </a:p>
            <a:p>
              <a:endParaRPr lang="en-US" sz="1100">
                <a:latin typeface="Calibri" panose="020F0502020204030204" pitchFamily="34" charset="0"/>
              </a:endParaRPr>
            </a:p>
            <a:p>
              <a:r>
                <a:rPr lang="en-US" sz="1100">
                  <a:latin typeface="Calibri" panose="020F0502020204030204" pitchFamily="34" charset="0"/>
                </a:rPr>
                <a:t>Ra</a:t>
              </a:r>
              <a:r>
                <a:rPr lang="en-US" sz="1100" baseline="0">
                  <a:latin typeface="Calibri" panose="020F0502020204030204" pitchFamily="34" charset="0"/>
                </a:rPr>
                <a:t> = (Gr.Pr), Ra' = (Gr'.Pr)</a:t>
              </a:r>
            </a:p>
            <a:p>
              <a:endParaRPr lang="en-US" sz="1100" baseline="0">
                <a:latin typeface="Calibri" panose="020F0502020204030204" pitchFamily="34" charset="0"/>
              </a:endParaRPr>
            </a:p>
            <a:p>
              <a:r>
                <a:rPr lang="en-US" sz="1100" baseline="0">
                  <a:latin typeface="Calibri" panose="020F0502020204030204" pitchFamily="34" charset="0"/>
                </a:rPr>
                <a:t>Nu = 0.15(Ra)</a:t>
              </a:r>
              <a:r>
                <a:rPr lang="en-US" sz="1100" baseline="30000">
                  <a:latin typeface="Calibri" panose="020F0502020204030204" pitchFamily="34" charset="0"/>
                </a:rPr>
                <a:t>1/3  </a:t>
              </a:r>
              <a:r>
                <a:rPr lang="en-US" sz="1100" baseline="0">
                  <a:latin typeface="Calibri" panose="020F0502020204030204" pitchFamily="34" charset="0"/>
                </a:rPr>
                <a:t>, 10</a:t>
              </a:r>
              <a:r>
                <a:rPr lang="en-US" sz="1100" baseline="30000">
                  <a:latin typeface="Calibri" panose="020F0502020204030204" pitchFamily="34" charset="0"/>
                </a:rPr>
                <a:t>7</a:t>
              </a:r>
              <a:r>
                <a:rPr lang="en-US" sz="1100" baseline="0">
                  <a:latin typeface="Calibri" panose="020F0502020204030204" pitchFamily="34" charset="0"/>
                </a:rPr>
                <a:t> ≤ Ra 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≤ </a:t>
              </a:r>
              <a:r>
                <a:rPr lang="en-US" sz="1100" baseline="0">
                  <a:latin typeface="Calibri" panose="020F0502020204030204" pitchFamily="34" charset="0"/>
                </a:rPr>
                <a:t> 10</a:t>
              </a:r>
              <a:r>
                <a:rPr lang="en-US" sz="1100" baseline="30000">
                  <a:latin typeface="Calibri" panose="020F0502020204030204" pitchFamily="34" charset="0"/>
                </a:rPr>
                <a:t>11</a:t>
              </a:r>
              <a:r>
                <a:rPr lang="en-US" sz="1100" baseline="0">
                  <a:latin typeface="Calibri" panose="020F0502020204030204" pitchFamily="34" charset="0"/>
                </a:rPr>
                <a:t>, Nu' = 0.15(Ra')</a:t>
              </a:r>
              <a:r>
                <a:rPr lang="en-US" sz="1100" baseline="30000">
                  <a:latin typeface="Calibri" panose="020F0502020204030204" pitchFamily="34" charset="0"/>
                </a:rPr>
                <a:t>1/3</a:t>
              </a:r>
            </a:p>
            <a:p>
              <a:endParaRPr lang="en-US" sz="1100" baseline="30000">
                <a:latin typeface="Calibri" panose="020F0502020204030204" pitchFamily="34" charset="0"/>
              </a:endParaRPr>
            </a:p>
            <a:p>
              <a:r>
                <a:rPr lang="en-US" sz="1100" baseline="0">
                  <a:latin typeface="Calibri" panose="020F0502020204030204" pitchFamily="34" charset="0"/>
                </a:rPr>
                <a:t>h=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𝑁𝑢</m:t>
                      </m:r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 </m:t>
                      </m:r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num>
                    <m:den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  <m:r>
                    <a:rPr lang="en-US" sz="1400" b="0" i="0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4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</m:t>
                      </m:r>
                      <m:sSup>
                        <m:sSupPr>
                          <m:ctrlPr>
                            <a:rPr lang="en-US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p>
                          <m:r>
                            <a:rPr lang="en-US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sup>
                      </m:sSup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𝐾</m:t>
                      </m:r>
                    </m:num>
                    <m:den>
                      <m:r>
                        <a:rPr lang="en-US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r>
                <a:rPr lang="en-US" sz="1100" baseline="0">
                  <a:latin typeface="Calibri" panose="020F0502020204030204" pitchFamily="34" charset="0"/>
                </a:rPr>
                <a:t> .(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∆</m:t>
                  </m:r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T</m:t>
                  </m:r>
                </m:oMath>
              </a14:m>
              <a:r>
                <a:rPr lang="en-US" sz="1100" baseline="0">
                  <a:latin typeface="Calibri" panose="020F0502020204030204" pitchFamily="34" charset="0"/>
                </a:rPr>
                <a:t>)</a:t>
              </a:r>
              <a:r>
                <a:rPr lang="en-US" sz="1100" baseline="30000">
                  <a:latin typeface="Calibri" panose="020F0502020204030204" pitchFamily="34" charset="0"/>
                </a:rPr>
                <a:t>1/3 </a:t>
              </a:r>
              <a:r>
                <a:rPr lang="en-US" sz="1100" baseline="0">
                  <a:latin typeface="Calibri" panose="020F0502020204030204" pitchFamily="34" charset="0"/>
                </a:rPr>
                <a:t>= h'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∆</m:t>
                  </m:r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T</m:t>
                  </m:r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1/3 </a:t>
              </a:r>
              <a:endParaRPr lang="en-US" sz="1100" baseline="30000">
                <a:latin typeface="Calibri" panose="020F0502020204030204" pitchFamily="34" charset="0"/>
              </a:endParaRPr>
            </a:p>
            <a:p>
              <a:r>
                <a:rPr lang="en-US" sz="1100" baseline="0">
                  <a:latin typeface="Calibri" panose="020F0502020204030204" pitchFamily="34" charset="0"/>
                </a:rPr>
                <a:t>Q = hA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∆</m:t>
                  </m:r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T</m:t>
                  </m:r>
                </m:oMath>
              </a14:m>
              <a:r>
                <a:rPr lang="en-US" sz="1100" baseline="0">
                  <a:latin typeface="Calibri" panose="020F0502020204030204" pitchFamily="34" charset="0"/>
                </a:rPr>
                <a:t> = 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h'A</a:t>
              </a:r>
              <a14:m>
                <m:oMath xmlns:m="http://schemas.openxmlformats.org/officeDocument/2006/math"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∆</m:t>
                  </m:r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T</m:t>
                  </m:r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 baseline="30000">
                  <a:latin typeface="Calibri" panose="020F0502020204030204" pitchFamily="34" charset="0"/>
                </a:rPr>
                <a:t>4/3</a:t>
              </a:r>
            </a:p>
            <a:p>
              <a:endParaRPr lang="en-US" sz="1100" baseline="0">
                <a:latin typeface="Calibri" panose="020F0502020204030204" pitchFamily="34" charset="0"/>
              </a:endParaRPr>
            </a:p>
            <a:p>
              <a:endParaRPr lang="en-US" sz="1100">
                <a:latin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601337" y="5325945"/>
              <a:ext cx="3231876" cy="230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/>
                <a:t>Gr  =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g.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.L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(∆T)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"ν</a:t>
              </a:r>
              <a:r>
                <a:rPr lang="en-US" sz="1100" b="1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1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>
                  <a:latin typeface="Calibri" panose="020F0502020204030204" pitchFamily="34" charset="0"/>
                </a:rPr>
                <a:t>, Gr'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g.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.L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l-GR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ν</a:t>
              </a:r>
              <a:r>
                <a:rPr lang="en-US" sz="1100" b="1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1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>
                  <a:latin typeface="Calibri" panose="020F0502020204030204" pitchFamily="34" charset="0"/>
                </a:rPr>
                <a:t>,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"∆T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>
                  <a:latin typeface="Calibri" panose="020F0502020204030204" pitchFamily="34" charset="0"/>
                </a:rPr>
                <a:t>= T</a:t>
              </a:r>
              <a:r>
                <a:rPr lang="en-US" sz="1100" baseline="-25000">
                  <a:latin typeface="Calibri" panose="020F0502020204030204" pitchFamily="34" charset="0"/>
                </a:rPr>
                <a:t>(topwingsurfacetemp)</a:t>
              </a:r>
              <a:r>
                <a:rPr lang="en-US" sz="1100" baseline="0">
                  <a:latin typeface="Calibri" panose="020F0502020204030204" pitchFamily="34" charset="0"/>
                </a:rPr>
                <a:t> -T</a:t>
              </a:r>
              <a:r>
                <a:rPr lang="en-US" sz="1100" baseline="-25000">
                  <a:latin typeface="Calibri" panose="020F0502020204030204" pitchFamily="34" charset="0"/>
                </a:rPr>
                <a:t>env</a:t>
              </a:r>
              <a:endParaRPr lang="en-US" sz="1100">
                <a:latin typeface="Calibri" panose="020F0502020204030204" pitchFamily="34" charset="0"/>
              </a:endParaRPr>
            </a:p>
            <a:p>
              <a:endParaRPr lang="en-US" sz="1100">
                <a:latin typeface="Calibri" panose="020F0502020204030204" pitchFamily="34" charset="0"/>
              </a:endParaRPr>
            </a:p>
            <a:p>
              <a:r>
                <a:rPr lang="en-US" sz="1100">
                  <a:latin typeface="Calibri" panose="020F0502020204030204" pitchFamily="34" charset="0"/>
                </a:rPr>
                <a:t>Pr</a:t>
              </a:r>
              <a:r>
                <a:rPr lang="en-US" sz="1100" baseline="0">
                  <a:latin typeface="Calibri" panose="020F0502020204030204" pitchFamily="34" charset="0"/>
                </a:rPr>
                <a:t> =  </a:t>
              </a:r>
              <a:r>
                <a:rPr lang="en-US" sz="1400" i="0" baseline="0">
                  <a:latin typeface="Cambria Math" panose="02040503050406030204" pitchFamily="18" charset="0"/>
                </a:rPr>
                <a:t>(</a:t>
              </a:r>
              <a:r>
                <a:rPr lang="en-US" sz="1400" b="0" i="0" baseline="0">
                  <a:latin typeface="Cambria Math" panose="02040503050406030204" pitchFamily="18" charset="0"/>
                </a:rPr>
                <a:t>𝐶𝑝.</a:t>
              </a:r>
              <a:r>
                <a:rPr lang="en-US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𝜇)/</a:t>
              </a:r>
              <a:r>
                <a:rPr lang="en-US" sz="1400" b="0" i="0" baseline="0">
                  <a:latin typeface="Cambria Math" panose="02040503050406030204" pitchFamily="18" charset="0"/>
                </a:rPr>
                <a:t>𝑘</a:t>
              </a:r>
              <a:endParaRPr lang="en-US" sz="1100">
                <a:latin typeface="Calibri" panose="020F0502020204030204" pitchFamily="34" charset="0"/>
              </a:endParaRPr>
            </a:p>
            <a:p>
              <a:endParaRPr lang="en-US" sz="1100">
                <a:latin typeface="Calibri" panose="020F0502020204030204" pitchFamily="34" charset="0"/>
              </a:endParaRPr>
            </a:p>
            <a:p>
              <a:r>
                <a:rPr lang="en-US" sz="1100">
                  <a:latin typeface="Calibri" panose="020F0502020204030204" pitchFamily="34" charset="0"/>
                </a:rPr>
                <a:t>Ra</a:t>
              </a:r>
              <a:r>
                <a:rPr lang="en-US" sz="1100" baseline="0">
                  <a:latin typeface="Calibri" panose="020F0502020204030204" pitchFamily="34" charset="0"/>
                </a:rPr>
                <a:t> = (Gr.Pr), Ra' = (Gr'.Pr)</a:t>
              </a:r>
            </a:p>
            <a:p>
              <a:endParaRPr lang="en-US" sz="1100" baseline="0">
                <a:latin typeface="Calibri" panose="020F0502020204030204" pitchFamily="34" charset="0"/>
              </a:endParaRPr>
            </a:p>
            <a:p>
              <a:r>
                <a:rPr lang="en-US" sz="1100" baseline="0">
                  <a:latin typeface="Calibri" panose="020F0502020204030204" pitchFamily="34" charset="0"/>
                </a:rPr>
                <a:t>Nu = 0.15(Ra)</a:t>
              </a:r>
              <a:r>
                <a:rPr lang="en-US" sz="1100" baseline="30000">
                  <a:latin typeface="Calibri" panose="020F0502020204030204" pitchFamily="34" charset="0"/>
                </a:rPr>
                <a:t>1/3  </a:t>
              </a:r>
              <a:r>
                <a:rPr lang="en-US" sz="1100" baseline="0">
                  <a:latin typeface="Calibri" panose="020F0502020204030204" pitchFamily="34" charset="0"/>
                </a:rPr>
                <a:t>, 10</a:t>
              </a:r>
              <a:r>
                <a:rPr lang="en-US" sz="1100" baseline="30000">
                  <a:latin typeface="Calibri" panose="020F0502020204030204" pitchFamily="34" charset="0"/>
                </a:rPr>
                <a:t>7</a:t>
              </a:r>
              <a:r>
                <a:rPr lang="en-US" sz="1100" baseline="0">
                  <a:latin typeface="Calibri" panose="020F0502020204030204" pitchFamily="34" charset="0"/>
                </a:rPr>
                <a:t> ≤ Ra 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≤ </a:t>
              </a:r>
              <a:r>
                <a:rPr lang="en-US" sz="1100" baseline="0">
                  <a:latin typeface="Calibri" panose="020F0502020204030204" pitchFamily="34" charset="0"/>
                </a:rPr>
                <a:t> 10</a:t>
              </a:r>
              <a:r>
                <a:rPr lang="en-US" sz="1100" baseline="30000">
                  <a:latin typeface="Calibri" panose="020F0502020204030204" pitchFamily="34" charset="0"/>
                </a:rPr>
                <a:t>11</a:t>
              </a:r>
              <a:r>
                <a:rPr lang="en-US" sz="1100" baseline="0">
                  <a:latin typeface="Calibri" panose="020F0502020204030204" pitchFamily="34" charset="0"/>
                </a:rPr>
                <a:t>, Nu' = 0.15(Ra')</a:t>
              </a:r>
              <a:r>
                <a:rPr lang="en-US" sz="1100" baseline="30000">
                  <a:latin typeface="Calibri" panose="020F0502020204030204" pitchFamily="34" charset="0"/>
                </a:rPr>
                <a:t>1/3</a:t>
              </a:r>
            </a:p>
            <a:p>
              <a:endParaRPr lang="en-US" sz="1100" baseline="30000">
                <a:latin typeface="Calibri" panose="020F0502020204030204" pitchFamily="34" charset="0"/>
              </a:endParaRPr>
            </a:p>
            <a:p>
              <a:r>
                <a:rPr lang="en-US" sz="1100" baseline="0">
                  <a:latin typeface="Calibri" panose="020F0502020204030204" pitchFamily="34" charset="0"/>
                </a:rPr>
                <a:t>h= </a:t>
              </a:r>
              <a:r>
                <a:rPr lang="en-US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𝑁𝑢. 𝑘)/𝐿=  ( 𝑁𝑢^′ 𝐾)/𝐿</a:t>
              </a:r>
              <a:r>
                <a:rPr lang="en-US" sz="1100" baseline="0">
                  <a:latin typeface="Calibri" panose="020F0502020204030204" pitchFamily="34" charset="0"/>
                </a:rPr>
                <a:t> .(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"∆T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aseline="0">
                  <a:latin typeface="Calibri" panose="020F0502020204030204" pitchFamily="34" charset="0"/>
                </a:rPr>
                <a:t>)</a:t>
              </a:r>
              <a:r>
                <a:rPr lang="en-US" sz="1100" baseline="30000">
                  <a:latin typeface="Calibri" panose="020F0502020204030204" pitchFamily="34" charset="0"/>
                </a:rPr>
                <a:t>1/3 </a:t>
              </a:r>
              <a:r>
                <a:rPr lang="en-US" sz="1100" baseline="0">
                  <a:latin typeface="Calibri" panose="020F0502020204030204" pitchFamily="34" charset="0"/>
                </a:rPr>
                <a:t>= h'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"∆T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1/3 </a:t>
              </a:r>
              <a:endParaRPr lang="en-US" sz="1100" baseline="30000">
                <a:latin typeface="Calibri" panose="020F0502020204030204" pitchFamily="34" charset="0"/>
              </a:endParaRPr>
            </a:p>
            <a:p>
              <a:r>
                <a:rPr lang="en-US" sz="1100" baseline="0">
                  <a:latin typeface="Calibri" panose="020F0502020204030204" pitchFamily="34" charset="0"/>
                </a:rPr>
                <a:t>Q = hA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"∆T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aseline="0">
                  <a:latin typeface="Calibri" panose="020F0502020204030204" pitchFamily="34" charset="0"/>
                </a:rPr>
                <a:t> = 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h'A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∆T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aseline="30000">
                  <a:latin typeface="Calibri" panose="020F0502020204030204" pitchFamily="34" charset="0"/>
                </a:rPr>
                <a:t>4/3</a:t>
              </a:r>
            </a:p>
            <a:p>
              <a:endParaRPr lang="en-US" sz="1100" baseline="0">
                <a:latin typeface="Calibri" panose="020F0502020204030204" pitchFamily="34" charset="0"/>
              </a:endParaRPr>
            </a:p>
            <a:p>
              <a:endParaRPr lang="en-US" sz="1100">
                <a:latin typeface="Calibri" panose="020F05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14</xdr:col>
      <xdr:colOff>41414</xdr:colOff>
      <xdr:row>41</xdr:row>
      <xdr:rowOff>132522</xdr:rowOff>
    </xdr:from>
    <xdr:ext cx="3230217" cy="6874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8647044" y="8547652"/>
              <a:ext cx="3230217" cy="6874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h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′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𝐴</m:t>
                  </m:r>
                  <m:r>
                    <m:rPr>
                      <m:sty m:val="p"/>
                    </m:rPr>
                    <a:rPr lang="en-US" sz="1100" i="0">
                      <a:latin typeface="Cambria Math" panose="02040503050406030204" pitchFamily="18" charset="0"/>
                    </a:rPr>
                    <m:t>Δ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𝑇</m:t>
                  </m:r>
                </m:oMath>
              </a14:m>
              <a:r>
                <a:rPr lang="en-US" sz="1100" baseline="30000"/>
                <a:t>(4/3)</a:t>
              </a:r>
              <a:r>
                <a:rPr lang="en-US" sz="1100" baseline="0"/>
                <a:t> + A.</a:t>
              </a:r>
              <a:r>
                <a:rPr lang="el-GR" sz="1100" baseline="0"/>
                <a:t>σ.ε</a:t>
              </a:r>
              <a:r>
                <a:rPr lang="en-US" sz="1100" baseline="0"/>
                <a:t>(T</a:t>
              </a:r>
              <a:r>
                <a:rPr lang="en-US" sz="1100" baseline="-25000"/>
                <a:t>s</a:t>
              </a:r>
              <a:r>
                <a:rPr lang="en-US" sz="1100" baseline="30000"/>
                <a:t>4</a:t>
              </a:r>
              <a:r>
                <a:rPr lang="en-US" sz="1100" baseline="0"/>
                <a:t> -  T</a:t>
              </a:r>
              <a14:m>
                <m:oMath xmlns:m="http://schemas.openxmlformats.org/officeDocument/2006/math">
                  <m:r>
                    <a:rPr lang="en-US" sz="1100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∞</m:t>
                  </m:r>
                </m:oMath>
              </a14:m>
              <a:r>
                <a:rPr lang="en-US" sz="1100" baseline="30000"/>
                <a:t>4</a:t>
              </a:r>
              <a:r>
                <a:rPr lang="en-US" sz="1100" baseline="0"/>
                <a:t>) = total heat energy entering the wing top surface</a:t>
              </a:r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′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  <m:r>
                    <m:rPr>
                      <m:sty m:val="p"/>
                    </m:rPr>
                    <a:rPr lang="en-US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𝑇</m:t>
                  </m:r>
                </m:oMath>
              </a14:m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(4/3)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A.</a:t>
              </a:r>
              <a:r>
                <a:rPr lang="el-G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σ.ε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</a:t>
              </a:r>
              <a:r>
                <a:rPr lang="en-US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 T</a:t>
              </a:r>
              <a14:m>
                <m:oMath xmlns:m="http://schemas.openxmlformats.org/officeDocument/2006/math">
                  <m:r>
                    <a:rPr lang="en-US" sz="1100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∞</m:t>
                  </m:r>
                </m:oMath>
              </a14:m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baseline="0"/>
                <a:t>= A.</a:t>
              </a:r>
              <a:r>
                <a:rPr lang="el-GR" sz="1100" baseline="0"/>
                <a:t>α.</a:t>
              </a:r>
              <a:r>
                <a:rPr lang="en-US" sz="1100" baseline="0"/>
                <a:t>Ss + heat desipated from battery to surface</a:t>
              </a:r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647044" y="8547652"/>
              <a:ext cx="3230217" cy="6874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r>
                <a:rPr lang="en-US" sz="1100" i="0">
                  <a:latin typeface="Cambria Math" panose="02040503050406030204" pitchFamily="18" charset="0"/>
                </a:rPr>
                <a:t>𝐴Δ𝑇</a:t>
              </a:r>
              <a:r>
                <a:rPr lang="en-US" sz="1100" baseline="30000"/>
                <a:t>(4/3)</a:t>
              </a:r>
              <a:r>
                <a:rPr lang="en-US" sz="1100" baseline="0"/>
                <a:t> + A.</a:t>
              </a:r>
              <a:r>
                <a:rPr lang="el-GR" sz="1100" baseline="0"/>
                <a:t>σ.ε</a:t>
              </a:r>
              <a:r>
                <a:rPr lang="en-US" sz="1100" baseline="0"/>
                <a:t>(T</a:t>
              </a:r>
              <a:r>
                <a:rPr lang="en-US" sz="1100" baseline="-25000"/>
                <a:t>s</a:t>
              </a:r>
              <a:r>
                <a:rPr lang="en-US" sz="1100" baseline="30000"/>
                <a:t>4</a:t>
              </a:r>
              <a:r>
                <a:rPr lang="en-US" sz="1100" baseline="0"/>
                <a:t> -  T</a:t>
              </a:r>
              <a:r>
                <a:rPr lang="en-US" sz="11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∞</a:t>
              </a:r>
              <a:r>
                <a:rPr lang="en-US" sz="1100" baseline="30000"/>
                <a:t>4</a:t>
              </a:r>
              <a:r>
                <a:rPr lang="en-US" sz="1100" baseline="0"/>
                <a:t>) = total heat energy entering the wing top surface</a:t>
              </a:r>
            </a:p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𝐴Δ𝑇</a:t>
              </a:r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(4/3)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A.</a:t>
              </a:r>
              <a:r>
                <a:rPr lang="el-G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σ.ε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</a:t>
              </a:r>
              <a:r>
                <a:rPr lang="en-US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 T</a:t>
              </a:r>
              <a:r>
                <a:rPr lang="en-US" sz="11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∞</a:t>
              </a:r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baseline="0"/>
                <a:t>= A.</a:t>
              </a:r>
              <a:r>
                <a:rPr lang="el-GR" sz="1100" baseline="0"/>
                <a:t>α.</a:t>
              </a:r>
              <a:r>
                <a:rPr lang="en-US" sz="1100" baseline="0"/>
                <a:t>Ss + heat desipated from battery to surface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503582</xdr:colOff>
      <xdr:row>48</xdr:row>
      <xdr:rowOff>35614</xdr:rowOff>
    </xdr:from>
    <xdr:ext cx="1914939" cy="4779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9109212" y="9916766"/>
              <a:ext cx="1914939" cy="477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/>
                <a:t>T</a:t>
              </a:r>
              <a:r>
                <a:rPr lang="en-US" sz="1100" baseline="-25000"/>
                <a:t>in</a:t>
              </a:r>
              <a:r>
                <a:rPr lang="en-US" sz="1100" baseline="0"/>
                <a:t> = T</a:t>
              </a:r>
              <a:r>
                <a:rPr lang="en-US" sz="1100" baseline="-25000"/>
                <a:t>out</a:t>
              </a:r>
              <a:r>
                <a:rPr lang="en-US" sz="1100" baseline="0"/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i="1">
                          <a:latin typeface="Cambria Math" panose="02040503050406030204" pitchFamily="18" charset="0"/>
                        </a:rPr>
                        <m:t>𝑞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𝑙</m:t>
                      </m:r>
                    </m:num>
                    <m:den>
                      <m:r>
                        <m:rPr>
                          <m:sty m:val="p"/>
                        </m:rPr>
                        <a:rPr lang="en-US" sz="1400" b="0" i="0">
                          <a:latin typeface="Cambria Math" panose="02040503050406030204" pitchFamily="18" charset="0"/>
                        </a:rPr>
                        <m:t>A</m:t>
                      </m:r>
                      <m:r>
                        <a:rPr lang="en-US" sz="1400" b="0" i="0">
                          <a:latin typeface="Cambria Math" panose="02040503050406030204" pitchFamily="18" charset="0"/>
                        </a:rPr>
                        <m:t>.</m:t>
                      </m:r>
                      <m:r>
                        <m:rPr>
                          <m:sty m:val="p"/>
                        </m:rPr>
                        <a:rPr lang="en-US" sz="1400" b="0" i="0">
                          <a:latin typeface="Cambria Math" panose="02040503050406030204" pitchFamily="18" charset="0"/>
                        </a:rPr>
                        <m:t>k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109212" y="9916766"/>
              <a:ext cx="1914939" cy="477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/>
                <a:t>T</a:t>
              </a:r>
              <a:r>
                <a:rPr lang="en-US" sz="1100" baseline="-25000"/>
                <a:t>in</a:t>
              </a:r>
              <a:r>
                <a:rPr lang="en-US" sz="1100" baseline="0"/>
                <a:t> = T</a:t>
              </a:r>
              <a:r>
                <a:rPr lang="en-US" sz="1100" baseline="-25000"/>
                <a:t>out</a:t>
              </a:r>
              <a:r>
                <a:rPr lang="en-US" sz="1100" baseline="0"/>
                <a:t> + </a:t>
              </a:r>
              <a:r>
                <a:rPr lang="en-US" sz="1400" i="0">
                  <a:latin typeface="Cambria Math" panose="02040503050406030204" pitchFamily="18" charset="0"/>
                </a:rPr>
                <a:t>(𝑞</a:t>
              </a:r>
              <a:r>
                <a:rPr lang="en-US" sz="1400" b="0" i="0">
                  <a:latin typeface="Cambria Math" panose="02040503050406030204" pitchFamily="18" charset="0"/>
                </a:rPr>
                <a:t>.𝑙)/(A.k)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304799</xdr:colOff>
      <xdr:row>53</xdr:row>
      <xdr:rowOff>8283</xdr:rowOff>
    </xdr:from>
    <xdr:ext cx="3033093" cy="646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8910429" y="10908196"/>
              <a:ext cx="3033093" cy="646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sz="1100"/>
                <a:t>Q=</a:t>
              </a:r>
              <a:r>
                <a:rPr lang="en-US" sz="1100" baseline="0"/>
                <a:t> hA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>
                      <a:latin typeface="Cambria Math" panose="02040503050406030204" pitchFamily="18" charset="0"/>
                    </a:rPr>
                    <m:t>∆</m:t>
                  </m:r>
                  <m:r>
                    <m:rPr>
                      <m:nor/>
                    </m:rPr>
                    <a:rPr lang="en-US">
                      <a:latin typeface="Cambria Math" panose="02040503050406030204" pitchFamily="18" charset="0"/>
                    </a:rPr>
                    <m:t>T</m:t>
                  </m:r>
                </m:oMath>
              </a14:m>
              <a:r>
                <a:rPr lang="en-US" sz="1100"/>
                <a:t> = h'A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∆</m:t>
                  </m:r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T</m:t>
                  </m:r>
                </m:oMath>
              </a14:m>
              <a:r>
                <a:rPr lang="en-US" sz="1100" baseline="30000"/>
                <a:t>5/4 </a:t>
              </a:r>
              <a:r>
                <a:rPr lang="en-US" sz="1100" baseline="0"/>
                <a:t> =</a:t>
              </a:r>
              <a:r>
                <a:rPr lang="en-US" sz="1100" baseline="300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n-US" sz="14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max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⁡(</m:t>
                      </m:r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γ</m:t>
                      </m:r>
                      <m:r>
                        <m:rPr>
                          <m:nor/>
                        </m:rPr>
                        <a:rPr lang="en-US" sz="1100" b="0" i="0" u="none" strike="noStrike" baseline="-25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gain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′</m:t>
                      </m:r>
                      <m:r>
                        <m:rPr>
                          <m:nor/>
                        </m:rPr>
                        <a:rPr lang="en-US" sz="1400"/>
                        <m:t> 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γ</m:t>
                      </m:r>
                      <m:r>
                        <m:rPr>
                          <m:nor/>
                        </m:rPr>
                        <a:rPr lang="en-US" sz="1100" b="0" i="0" u="none" strike="noStrike" baseline="-25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gain</m:t>
                      </m:r>
                      <m:r>
                        <m:rPr>
                          <m:nor/>
                        </m:rPr>
                        <a:rPr lang="en-US" sz="1100" b="0" i="0" u="none" strike="noStrike" baseline="-25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 ′</m:t>
                      </m:r>
                      <m:r>
                        <m:rPr>
                          <m:nor/>
                        </m:rPr>
                        <a:rPr lang="en-US" sz="1400"/>
                        <m:t> 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)</m:t>
                      </m:r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γ</m:t>
                      </m:r>
                      <m:r>
                        <m:rPr>
                          <m:nor/>
                        </m:rPr>
                        <a:rPr lang="en-US" sz="1100" b="0" i="0" u="none" strike="noStrike" baseline="-25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air</m:t>
                      </m:r>
                      <m:r>
                        <m:rPr>
                          <m:nor/>
                        </m:rPr>
                        <a:rPr lang="en-US" sz="1100" b="0" i="0" u="none" strike="noStrike" baseline="-25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∆</m:t>
                  </m:r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T</m:t>
                  </m:r>
                </m:oMath>
              </a14:m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5/4 </a:t>
              </a:r>
            </a:p>
            <a:p>
              <a:pPr algn="l"/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n-US" sz="1100" b="0" i="0" u="none" strike="noStrike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gain1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' = 0.2(Gr')</a:t>
              </a:r>
              <a:r>
                <a:rPr lang="en-US" sz="1100" b="0" i="0" u="none" strike="noStrike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1/4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,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gain1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' = 0.073(Gr'Pr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1.65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1/3</a:t>
              </a:r>
              <a:endParaRPr lang="en-US" sz="1100" b="0" i="0" u="none" strike="noStrik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910429" y="10908196"/>
              <a:ext cx="3033093" cy="646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sz="1100"/>
                <a:t>Q=</a:t>
              </a:r>
              <a:r>
                <a:rPr lang="en-US" sz="1100" baseline="0"/>
                <a:t> hA</a:t>
              </a:r>
              <a:r>
                <a:rPr lang="en-US" i="0">
                  <a:latin typeface="Cambria Math" panose="02040503050406030204" pitchFamily="18" charset="0"/>
                </a:rPr>
                <a:t>"∆T"</a:t>
              </a:r>
              <a:r>
                <a:rPr lang="en-US" sz="1100"/>
                <a:t> = h'A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"∆T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aseline="30000"/>
                <a:t>5/4 </a:t>
              </a:r>
              <a:r>
                <a:rPr lang="en-US" sz="1100" baseline="0"/>
                <a:t> =</a:t>
              </a:r>
              <a:r>
                <a:rPr lang="en-US" sz="1100" baseline="30000"/>
                <a:t>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max⁡(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"γ</a:t>
              </a:r>
              <a:r>
                <a:rPr lang="en-US" sz="1100" b="0" i="0" u="none" strike="noStrike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gain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'</a:t>
              </a:r>
              <a:r>
                <a:rPr lang="en-US" sz="1400" i="0"/>
                <a:t> </a:t>
              </a:r>
              <a:r>
                <a:rPr lang="en-US" sz="1400" b="0" i="0">
                  <a:latin typeface="Cambria Math" panose="02040503050406030204" pitchFamily="18" charset="0"/>
                </a:rPr>
                <a:t>" ,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"γ</a:t>
              </a:r>
              <a:r>
                <a:rPr lang="en-US" sz="1100" b="0" i="0" u="none" strike="noStrike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gain2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'</a:t>
              </a:r>
              <a:r>
                <a:rPr lang="en-US" sz="1400" i="0"/>
                <a:t> </a:t>
              </a:r>
              <a:r>
                <a:rPr lang="en-US" sz="1400" b="0" i="0">
                  <a:latin typeface="Cambria Math" panose="02040503050406030204" pitchFamily="18" charset="0"/>
                </a:rPr>
                <a:t>" )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"γ</a:t>
              </a:r>
              <a:r>
                <a:rPr lang="en-US" sz="1100" b="0" i="0" u="none" strike="noStrike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air </a:t>
              </a:r>
              <a:r>
                <a:rPr lang="en-US" sz="1400" b="0" i="0" u="none" strike="noStrike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"∆T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5/4 </a:t>
              </a:r>
            </a:p>
            <a:p>
              <a:pPr algn="l"/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n-US" sz="1100" b="0" i="0" u="none" strike="noStrike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gain1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' = 0.2(Gr')</a:t>
              </a:r>
              <a:r>
                <a:rPr lang="en-US" sz="1100" b="0" i="0" u="none" strike="noStrike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1/4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,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gain1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' = 0.073(Gr'Pr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1.65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1/3</a:t>
              </a:r>
              <a:endParaRPr lang="en-US" sz="1100" b="0" i="0" u="none" strike="noStrik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652670</xdr:colOff>
      <xdr:row>62</xdr:row>
      <xdr:rowOff>124239</xdr:rowOff>
    </xdr:from>
    <xdr:ext cx="1231876" cy="5300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9258300" y="12896022"/>
              <a:ext cx="1231876" cy="530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r>
                <a:rPr lang="en-US" sz="14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</a:t>
              </a:r>
              <a:r>
                <a:rPr lang="en-US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T</a:t>
              </a:r>
              <a:r>
                <a:rPr lang="en-US" sz="14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out</a:t>
              </a:r>
              <a:r>
                <a:rPr lang="en-US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𝑞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</m:t>
                      </m:r>
                    </m:num>
                    <m:den>
                      <m:r>
                        <m:rPr>
                          <m:sty m:val="p"/>
                        </m:rPr>
                        <a:rPr lang="en-US" sz="14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A</m:t>
                      </m:r>
                      <m:r>
                        <a:rPr lang="en-US" sz="14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m:rPr>
                          <m:sty m:val="p"/>
                        </m:rPr>
                        <a:rPr lang="en-US" sz="14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k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9258300" y="12896022"/>
              <a:ext cx="1231876" cy="530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r>
                <a:rPr lang="en-US" sz="14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</a:t>
              </a:r>
              <a:r>
                <a:rPr lang="en-US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T</a:t>
              </a:r>
              <a:r>
                <a:rPr lang="en-US" sz="14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out</a:t>
              </a:r>
              <a:r>
                <a:rPr lang="en-US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(𝑞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.𝑙)/(A.k)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49696</xdr:colOff>
      <xdr:row>66</xdr:row>
      <xdr:rowOff>41412</xdr:rowOff>
    </xdr:from>
    <xdr:ext cx="3313044" cy="7123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8655326" y="13600042"/>
              <a:ext cx="3313044" cy="712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′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  <m:r>
                    <m:rPr>
                      <m:sty m:val="p"/>
                    </m:rPr>
                    <a:rPr lang="en-US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𝑇</m:t>
                  </m:r>
                </m:oMath>
              </a14:m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(5/4)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kA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𝑇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A.</a:t>
              </a:r>
              <a:r>
                <a:rPr lang="el-G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σ.ε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</a:t>
              </a:r>
              <a:r>
                <a:rPr lang="en-US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 T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b</m:t>
                  </m:r>
                </m:oMath>
              </a14:m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= total heat energy entering the wing top surface</a:t>
              </a:r>
              <a:endParaRPr lang="en-US">
                <a:effectLst/>
              </a:endParaRPr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′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  <m:r>
                    <m:rPr>
                      <m:sty m:val="p"/>
                    </m:rPr>
                    <a:rPr lang="en-US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𝑇</m:t>
                  </m:r>
                </m:oMath>
              </a14:m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(4/3)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kA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𝑇</m:t>
                  </m:r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A.</a:t>
              </a:r>
              <a:r>
                <a:rPr lang="el-G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σ.ε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</a:t>
              </a:r>
              <a:r>
                <a:rPr lang="en-US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 T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b</m:t>
                  </m:r>
                </m:oMath>
              </a14:m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=  heat desipated from battery to surface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8655326" y="13600042"/>
              <a:ext cx="3313044" cy="712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𝐴Δ𝑇</a:t>
              </a:r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(5/4)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kA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A.</a:t>
              </a:r>
              <a:r>
                <a:rPr lang="el-G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σ.ε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</a:t>
              </a:r>
              <a:r>
                <a:rPr lang="en-US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 T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</a:t>
              </a:r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= total heat energy entering the wing top surface</a:t>
              </a:r>
              <a:endParaRPr lang="en-US">
                <a:effectLst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𝐴Δ𝑇</a:t>
              </a:r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(4/3)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kA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Δ𝑇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+ A.</a:t>
              </a:r>
              <a:r>
                <a:rPr lang="el-G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σ.ε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</a:t>
              </a:r>
              <a:r>
                <a:rPr lang="en-US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 T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</a:t>
              </a:r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=  heat desipated from battery to surface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27709</xdr:colOff>
      <xdr:row>89</xdr:row>
      <xdr:rowOff>101311</xdr:rowOff>
    </xdr:from>
    <xdr:ext cx="2997487" cy="18513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8548254" y="18025629"/>
              <a:ext cx="2997487" cy="18513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Gr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= 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 </m:t>
                        </m:r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g</m:t>
                        </m:r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</m:t>
                        </m:r>
                        <m:r>
                          <m:rPr>
                            <m:nor/>
                          </m:rPr>
                          <a:rPr lang="el-GR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β</m:t>
                        </m: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</m:t>
                        </m: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L</m:t>
                        </m:r>
                        <m:r>
                          <m:rPr>
                            <m:nor/>
                          </m:rPr>
                          <a:rPr lang="en-US" sz="1100" b="0" i="0" baseline="30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(∆</m:t>
                        </m:r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ν</m:t>
                        </m:r>
                        <m:r>
                          <m:rPr>
                            <m:nor/>
                          </m:rPr>
                          <a:rPr lang="en-US" sz="1100" b="1" baseline="30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Gr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′ 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 </m:t>
                        </m:r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g</m:t>
                        </m:r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</m:t>
                        </m:r>
                        <m:r>
                          <m:rPr>
                            <m:nor/>
                          </m:rPr>
                          <a:rPr lang="el-GR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β</m:t>
                        </m: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</m:t>
                        </m: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L</m:t>
                        </m:r>
                        <m:r>
                          <m:rPr>
                            <m:nor/>
                          </m:rPr>
                          <a:rPr lang="en-US" sz="1100" b="0" i="0" baseline="30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ν</m:t>
                        </m:r>
                        <m:r>
                          <m:rPr>
                            <m:nor/>
                          </m:rPr>
                          <a:rPr lang="en-US" sz="1100" b="1" baseline="30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 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∆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n-US" sz="1100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topwingsurfacetemp</m:t>
                    </m:r>
                    <m:r>
                      <m:rPr>
                        <m:nor/>
                      </m:rPr>
                      <a:rPr lang="en-US" sz="1100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 −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Tenv</m:t>
                    </m:r>
                  </m:oMath>
                </m:oMathPara>
              </a14:m>
              <a:endParaRPr lang="en-US">
                <a:effectLst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Pr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 </m:t>
                    </m:r>
                    <m:f>
                      <m:fPr>
                        <m:ctrlP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𝐶𝑝</m:t>
                        </m:r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num>
                      <m:den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Ra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(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Gr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Pr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),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Ra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′ = (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Gr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′.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Pr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Nu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0.58(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Ra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)1/5  , 107 ≤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Ra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≤  1011,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Nu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′ = 0.15(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Ra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′)1/5</m:t>
                    </m:r>
                  </m:oMath>
                </m:oMathPara>
              </a14:m>
              <a:endParaRPr lang="en-US">
                <a:effectLst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𝑁𝑢</m:t>
                        </m:r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 </m:t>
                        </m:r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num>
                      <m:den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den>
                    </m:f>
                    <m:r>
                      <a:rPr lang="en-U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sSup>
                          <m:sSupPr>
                            <m:ctrlPr>
                              <a:rPr lang="en-U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</m:t>
                        </m:r>
                      </m:num>
                      <m:den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den>
                    </m:f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.(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∆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1/</m:t>
                    </m:r>
                    <m:r>
                      <m:rPr>
                        <m:nor/>
                      </m:rPr>
                      <a:rPr lang="en-US" sz="1100" b="0" i="0" baseline="30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5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′(∆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1/</m:t>
                    </m:r>
                    <m:r>
                      <m:rPr>
                        <m:nor/>
                      </m:rPr>
                      <a:rPr lang="en-US" sz="1100" b="0" i="0" baseline="30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5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>
                <a:effectLst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Q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hA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∆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′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∆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 b="0" i="0" baseline="30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6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/</m:t>
                    </m:r>
                    <m:r>
                      <m:rPr>
                        <m:nor/>
                      </m:rPr>
                      <a:rPr lang="en-US" sz="1100" b="0" i="0" baseline="30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5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548254" y="18025629"/>
              <a:ext cx="2997487" cy="18513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"Gr  =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"  g.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.L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(∆T)" /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"ν</a:t>
              </a:r>
              <a:r>
                <a:rPr lang="en-US" sz="1100" b="1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2"  </a:t>
              </a:r>
              <a:r>
                <a:rPr lang="en-US" sz="1100" b="1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Gr'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"  g.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.L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3" /</a:t>
              </a:r>
              <a:r>
                <a:rPr lang="el-GR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ν</a:t>
              </a:r>
              <a:r>
                <a:rPr lang="en-US" sz="1100" b="1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2"  </a:t>
              </a:r>
              <a:r>
                <a:rPr lang="en-US" sz="1100" b="1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"∆T= T</a:t>
              </a:r>
              <a:r>
                <a:rPr lang="en-US" sz="11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(topwingsurfacetemp)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-T</a:t>
              </a:r>
              <a:r>
                <a:rPr lang="en-US" sz="11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env</a:t>
              </a:r>
              <a:r>
                <a:rPr lang="en-US" sz="11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  <a:p>
              <a:pPr algn="l"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"Pr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 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(𝐶𝑝.𝜇)/𝑘</a:t>
              </a:r>
              <a:endParaRPr lang="en-US">
                <a:effectLst/>
              </a:endParaRPr>
            </a:p>
            <a:p>
              <a:pPr algn="l"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"Ra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(Gr.Pr), Ra' = (Gr'.Pr)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  <a:p>
              <a:pPr algn="l"/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"Nu = 0.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(Ra)</a:t>
              </a:r>
              <a:r>
                <a:rPr lang="en-US" sz="110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10</a:t>
              </a:r>
              <a:r>
                <a:rPr lang="en-US" sz="110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≤ Ra  ≤  10</a:t>
              </a:r>
              <a:r>
                <a:rPr lang="en-US" sz="110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Nu' = 0.15(Ra')</a:t>
              </a:r>
              <a:r>
                <a:rPr lang="en-US" sz="110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  <a:p>
              <a:pPr algn="l"/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"h= 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(𝑁𝑢. 𝑘)/𝐿=  ( 𝑁𝑢^′ 𝐾)/𝐿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.(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∆T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h'(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∆T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  <a:p>
              <a:pPr algn="l"/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"Q = hA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∆T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h'A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∆T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1"/>
  <sheetViews>
    <sheetView topLeftCell="B130" zoomScale="130" zoomScaleNormal="130" workbookViewId="0">
      <selection activeCell="H145" sqref="H145"/>
    </sheetView>
  </sheetViews>
  <sheetFormatPr defaultRowHeight="15" x14ac:dyDescent="0.25"/>
  <cols>
    <col min="7" max="7" width="22.85546875" customWidth="1"/>
    <col min="8" max="8" width="18.28515625" customWidth="1"/>
    <col min="10" max="10" width="18.42578125" customWidth="1"/>
  </cols>
  <sheetData>
    <row r="2" spans="2:20" ht="15.75" x14ac:dyDescent="0.25">
      <c r="C2" s="126" t="s">
        <v>0</v>
      </c>
      <c r="D2" s="126"/>
      <c r="E2" s="126"/>
      <c r="F2" s="126"/>
      <c r="G2" s="126"/>
      <c r="H2" s="126"/>
      <c r="I2" s="126"/>
      <c r="J2" s="3"/>
      <c r="K2" s="3"/>
      <c r="L2" s="7"/>
      <c r="M2" s="7"/>
      <c r="N2" s="7"/>
      <c r="O2" s="7"/>
      <c r="P2" s="7"/>
      <c r="Q2" s="1"/>
      <c r="R2" s="1"/>
      <c r="S2" s="1"/>
      <c r="T2" s="1"/>
    </row>
    <row r="3" spans="2:20" ht="15.75" x14ac:dyDescent="0.25">
      <c r="C3" s="1"/>
      <c r="D3" s="1"/>
      <c r="E3" s="1"/>
      <c r="F3" s="1"/>
      <c r="G3" s="1"/>
      <c r="H3" s="1"/>
      <c r="I3" s="1"/>
      <c r="J3" s="1"/>
      <c r="K3" s="1"/>
      <c r="L3" s="6"/>
      <c r="M3" s="6"/>
      <c r="N3" s="6"/>
      <c r="O3" s="6"/>
      <c r="P3" s="6"/>
      <c r="S3" s="1"/>
      <c r="T3" s="1"/>
    </row>
    <row r="4" spans="2:20" ht="15.75" x14ac:dyDescent="0.25">
      <c r="C4" s="124" t="s">
        <v>324</v>
      </c>
      <c r="D4" s="124"/>
      <c r="E4" s="124"/>
      <c r="F4" s="124"/>
      <c r="G4" s="124"/>
      <c r="H4" s="31"/>
      <c r="I4" s="21" t="s">
        <v>2</v>
      </c>
      <c r="J4" s="31"/>
      <c r="K4" s="21" t="s">
        <v>2</v>
      </c>
      <c r="L4" s="7"/>
      <c r="M4" s="76"/>
      <c r="N4" s="76"/>
      <c r="O4" s="76"/>
      <c r="P4" s="75"/>
      <c r="Q4" s="77"/>
      <c r="R4" s="75"/>
      <c r="S4" s="1"/>
      <c r="T4" s="1"/>
    </row>
    <row r="5" spans="2:20" ht="18" x14ac:dyDescent="0.25">
      <c r="C5" s="89" t="s">
        <v>10</v>
      </c>
      <c r="D5" s="89"/>
      <c r="E5" s="89"/>
      <c r="F5" s="89"/>
      <c r="G5" s="89"/>
      <c r="H5" s="21">
        <f t="shared" ref="H5:H10" si="0">273.15+J5</f>
        <v>298.14999999999998</v>
      </c>
      <c r="I5" s="23" t="s">
        <v>11</v>
      </c>
      <c r="J5" s="37">
        <v>25</v>
      </c>
      <c r="K5" s="23" t="s">
        <v>216</v>
      </c>
      <c r="L5" s="10"/>
      <c r="M5" s="79"/>
      <c r="N5" s="79"/>
      <c r="O5" s="78">
        <v>170</v>
      </c>
      <c r="P5" s="74"/>
      <c r="Q5" s="74"/>
      <c r="R5" s="74"/>
      <c r="S5" s="1"/>
      <c r="T5" s="1"/>
    </row>
    <row r="6" spans="2:20" ht="18" x14ac:dyDescent="0.25">
      <c r="C6" s="89" t="s">
        <v>212</v>
      </c>
      <c r="D6" s="89"/>
      <c r="E6" s="89"/>
      <c r="F6" s="89"/>
      <c r="G6" s="89"/>
      <c r="H6" s="21">
        <f t="shared" si="0"/>
        <v>298.14999999999998</v>
      </c>
      <c r="I6" s="23" t="s">
        <v>11</v>
      </c>
      <c r="J6" s="37">
        <v>25</v>
      </c>
      <c r="K6" s="23" t="s">
        <v>216</v>
      </c>
      <c r="L6" s="10"/>
      <c r="M6" s="80"/>
      <c r="N6" s="80"/>
      <c r="O6" s="78">
        <v>350</v>
      </c>
      <c r="P6" s="74"/>
      <c r="Q6" s="75"/>
      <c r="R6" s="74"/>
      <c r="S6" s="1"/>
      <c r="T6" s="1"/>
    </row>
    <row r="7" spans="2:20" ht="18" x14ac:dyDescent="0.25">
      <c r="C7" s="89" t="s">
        <v>213</v>
      </c>
      <c r="D7" s="89"/>
      <c r="E7" s="89"/>
      <c r="F7" s="89"/>
      <c r="G7" s="89"/>
      <c r="H7" s="21">
        <f t="shared" si="0"/>
        <v>298.14999999999998</v>
      </c>
      <c r="I7" s="23" t="s">
        <v>11</v>
      </c>
      <c r="J7" s="37">
        <v>25</v>
      </c>
      <c r="K7" s="23" t="s">
        <v>216</v>
      </c>
      <c r="L7" s="10"/>
      <c r="M7" s="80"/>
      <c r="N7" s="80"/>
      <c r="O7" s="78"/>
      <c r="P7" s="74"/>
      <c r="Q7" s="75"/>
      <c r="R7" s="74"/>
      <c r="S7" s="1"/>
      <c r="T7" s="1"/>
    </row>
    <row r="8" spans="2:20" ht="18" x14ac:dyDescent="0.25">
      <c r="C8" s="89" t="s">
        <v>33</v>
      </c>
      <c r="D8" s="89"/>
      <c r="E8" s="89"/>
      <c r="F8" s="89"/>
      <c r="G8" s="89"/>
      <c r="H8" s="21">
        <f t="shared" si="0"/>
        <v>298.14999999999998</v>
      </c>
      <c r="I8" s="23" t="s">
        <v>11</v>
      </c>
      <c r="J8" s="37">
        <v>25</v>
      </c>
      <c r="K8" s="23" t="s">
        <v>216</v>
      </c>
      <c r="L8" s="10"/>
      <c r="M8" s="80"/>
      <c r="N8" s="80"/>
      <c r="O8" s="78"/>
      <c r="P8" s="74"/>
      <c r="Q8" s="75"/>
      <c r="R8" s="74"/>
      <c r="S8" s="1"/>
      <c r="T8" s="1"/>
    </row>
    <row r="9" spans="2:20" ht="18" x14ac:dyDescent="0.25">
      <c r="B9" t="s">
        <v>37</v>
      </c>
      <c r="C9" s="89" t="s">
        <v>18</v>
      </c>
      <c r="D9" s="89"/>
      <c r="E9" s="89"/>
      <c r="F9" s="89"/>
      <c r="G9" s="89"/>
      <c r="H9" s="21">
        <f t="shared" si="0"/>
        <v>298.14999999999998</v>
      </c>
      <c r="I9" s="23" t="s">
        <v>11</v>
      </c>
      <c r="J9" s="37">
        <v>25</v>
      </c>
      <c r="K9" s="23" t="s">
        <v>216</v>
      </c>
      <c r="L9" s="10"/>
      <c r="M9" s="10"/>
      <c r="N9" s="10"/>
      <c r="O9" s="10"/>
      <c r="P9" s="1"/>
      <c r="Q9" s="1"/>
      <c r="R9" s="1"/>
      <c r="S9" s="1"/>
      <c r="T9" s="1"/>
    </row>
    <row r="10" spans="2:20" ht="18" x14ac:dyDescent="0.25">
      <c r="C10" s="89" t="s">
        <v>91</v>
      </c>
      <c r="D10" s="89"/>
      <c r="E10" s="89"/>
      <c r="F10" s="89"/>
      <c r="G10" s="89"/>
      <c r="H10" s="21">
        <f t="shared" si="0"/>
        <v>298.14999999999998</v>
      </c>
      <c r="I10" s="23" t="s">
        <v>11</v>
      </c>
      <c r="J10" s="37">
        <v>25</v>
      </c>
      <c r="K10" s="23" t="s">
        <v>216</v>
      </c>
      <c r="L10" s="10"/>
      <c r="M10" s="10"/>
      <c r="N10" s="10"/>
      <c r="O10" s="10"/>
      <c r="P10" s="1"/>
      <c r="Q10" s="1"/>
      <c r="R10" s="1"/>
      <c r="S10" s="1"/>
      <c r="T10" s="1"/>
    </row>
    <row r="11" spans="2:20" ht="15.75" x14ac:dyDescent="0.25">
      <c r="C11" s="125"/>
      <c r="D11" s="125"/>
      <c r="E11" s="125"/>
      <c r="F11" s="125"/>
      <c r="G11" s="12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 ht="15.75" x14ac:dyDescent="0.25">
      <c r="B12" s="101" t="s">
        <v>13</v>
      </c>
      <c r="C12" s="101"/>
      <c r="D12" s="101"/>
      <c r="E12" s="101"/>
      <c r="F12" s="101"/>
      <c r="G12" s="10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 ht="15.75" x14ac:dyDescent="0.25">
      <c r="B13" s="105">
        <v>1</v>
      </c>
      <c r="C13" s="108" t="s">
        <v>1</v>
      </c>
      <c r="D13" s="108"/>
      <c r="E13" s="108"/>
      <c r="F13" s="108"/>
      <c r="G13" s="108"/>
      <c r="H13" s="31"/>
      <c r="I13" s="21" t="s">
        <v>2</v>
      </c>
      <c r="J13" s="52" t="s">
        <v>42</v>
      </c>
      <c r="K13" s="98" t="s">
        <v>3</v>
      </c>
      <c r="L13" s="98"/>
      <c r="M13" s="98"/>
      <c r="N13" s="98"/>
      <c r="O13" s="98"/>
      <c r="P13" s="1"/>
      <c r="Q13" s="1"/>
      <c r="R13" s="1"/>
      <c r="S13" s="1"/>
      <c r="T13" s="1"/>
    </row>
    <row r="14" spans="2:20" ht="15.75" x14ac:dyDescent="0.25">
      <c r="B14" s="106"/>
      <c r="C14" s="89" t="s">
        <v>261</v>
      </c>
      <c r="D14" s="89"/>
      <c r="E14" s="89"/>
      <c r="F14" s="89"/>
      <c r="G14" s="89"/>
      <c r="H14" s="45">
        <f>parameters!F40</f>
        <v>0.9</v>
      </c>
      <c r="I14" s="23" t="s">
        <v>34</v>
      </c>
      <c r="J14" s="23"/>
      <c r="K14" s="23"/>
      <c r="L14" s="23"/>
      <c r="M14" s="23"/>
      <c r="N14" s="23"/>
      <c r="O14" s="23"/>
      <c r="P14" s="1"/>
      <c r="Q14" s="1"/>
      <c r="R14" s="1"/>
      <c r="S14" s="1"/>
      <c r="T14" s="1"/>
    </row>
    <row r="15" spans="2:20" ht="15.75" x14ac:dyDescent="0.25">
      <c r="B15" s="106"/>
      <c r="C15" s="89" t="s">
        <v>218</v>
      </c>
      <c r="D15" s="89"/>
      <c r="E15" s="89"/>
      <c r="F15" s="89"/>
      <c r="G15" s="89"/>
      <c r="H15" s="45">
        <f>parameters!F16</f>
        <v>7.5000000000000002E-4</v>
      </c>
      <c r="I15" s="23" t="s">
        <v>21</v>
      </c>
      <c r="J15" s="23"/>
      <c r="K15" s="23"/>
      <c r="L15" s="23"/>
      <c r="M15" s="23"/>
      <c r="N15" s="53"/>
      <c r="O15" s="23"/>
      <c r="P15" s="1"/>
      <c r="Q15" s="1"/>
      <c r="R15" s="1"/>
      <c r="S15" s="1"/>
      <c r="T15" s="1"/>
    </row>
    <row r="16" spans="2:20" ht="15.75" x14ac:dyDescent="0.25">
      <c r="B16" s="106"/>
      <c r="C16" s="89" t="s">
        <v>219</v>
      </c>
      <c r="D16" s="89"/>
      <c r="E16" s="89"/>
      <c r="F16" s="89"/>
      <c r="G16" s="89"/>
      <c r="H16" s="45">
        <f>parameters!F8</f>
        <v>0.02</v>
      </c>
      <c r="I16" s="23" t="s">
        <v>23</v>
      </c>
      <c r="J16" s="23"/>
      <c r="K16" s="23"/>
      <c r="L16" s="23"/>
      <c r="M16" s="23"/>
      <c r="N16" s="23"/>
      <c r="O16" s="23"/>
      <c r="P16" s="1"/>
      <c r="Q16" s="1"/>
      <c r="R16" s="1"/>
      <c r="S16" s="1"/>
      <c r="T16" s="1"/>
    </row>
    <row r="17" spans="2:20" ht="15.75" x14ac:dyDescent="0.25">
      <c r="B17" s="107"/>
      <c r="C17" s="89" t="s">
        <v>214</v>
      </c>
      <c r="D17" s="89"/>
      <c r="E17" s="89"/>
      <c r="F17" s="89"/>
      <c r="G17" s="89"/>
      <c r="H17" s="44">
        <f>2*H14*H15/H16</f>
        <v>6.7500000000000004E-2</v>
      </c>
      <c r="I17" s="23" t="s">
        <v>215</v>
      </c>
      <c r="J17" s="23"/>
      <c r="K17" s="117" t="s">
        <v>220</v>
      </c>
      <c r="L17" s="118"/>
      <c r="M17" s="118"/>
      <c r="N17" s="118"/>
      <c r="O17" s="119"/>
      <c r="P17" s="1"/>
      <c r="Q17" s="1"/>
      <c r="R17" s="1"/>
      <c r="S17" s="1"/>
      <c r="T17" s="1"/>
    </row>
    <row r="18" spans="2:20" ht="15.75" x14ac:dyDescent="0.25">
      <c r="B18" s="105">
        <v>2</v>
      </c>
      <c r="C18" s="93" t="s">
        <v>217</v>
      </c>
      <c r="D18" s="93"/>
      <c r="E18" s="93"/>
      <c r="F18" s="93"/>
      <c r="G18" s="93"/>
      <c r="H18" s="31"/>
      <c r="I18" s="21" t="s">
        <v>2</v>
      </c>
      <c r="J18" s="52" t="s">
        <v>42</v>
      </c>
      <c r="K18" s="98" t="s">
        <v>3</v>
      </c>
      <c r="L18" s="98"/>
      <c r="M18" s="98"/>
      <c r="N18" s="98"/>
      <c r="O18" s="98"/>
      <c r="Q18" s="1"/>
      <c r="R18" s="1"/>
      <c r="S18" s="1"/>
      <c r="T18" s="1"/>
    </row>
    <row r="19" spans="2:20" ht="18" customHeight="1" x14ac:dyDescent="0.35">
      <c r="B19" s="106"/>
      <c r="C19" s="89" t="s">
        <v>223</v>
      </c>
      <c r="D19" s="89"/>
      <c r="E19" s="89"/>
      <c r="F19" s="89"/>
      <c r="G19" s="89"/>
      <c r="H19" s="45">
        <f>parameters!F9</f>
        <v>6.875E-3</v>
      </c>
      <c r="I19" s="23" t="s">
        <v>35</v>
      </c>
      <c r="J19" s="23"/>
      <c r="K19" s="23"/>
      <c r="L19" s="23"/>
      <c r="M19" s="23"/>
      <c r="N19" s="23"/>
      <c r="O19" s="23"/>
      <c r="P19" s="1"/>
      <c r="Q19" s="1"/>
      <c r="R19" s="1"/>
      <c r="S19" s="1"/>
      <c r="T19" s="1"/>
    </row>
    <row r="20" spans="2:20" ht="18" customHeight="1" x14ac:dyDescent="0.25">
      <c r="B20" s="106"/>
      <c r="C20" s="90" t="s">
        <v>321</v>
      </c>
      <c r="D20" s="91"/>
      <c r="E20" s="91"/>
      <c r="F20" s="91"/>
      <c r="G20" s="92"/>
      <c r="H20" s="45">
        <f>2*(parameters!F6+parameters!F7)</f>
        <v>0.36</v>
      </c>
      <c r="I20" s="23"/>
      <c r="J20" s="23"/>
      <c r="K20" s="23"/>
      <c r="L20" s="23"/>
      <c r="M20" s="23"/>
      <c r="N20" s="23"/>
      <c r="O20" s="23"/>
      <c r="P20" s="1"/>
      <c r="Q20" s="1"/>
      <c r="R20" s="1"/>
      <c r="S20" s="1"/>
      <c r="T20" s="1"/>
    </row>
    <row r="21" spans="2:20" ht="18" customHeight="1" x14ac:dyDescent="0.25">
      <c r="B21" s="106"/>
      <c r="C21" s="90" t="s">
        <v>320</v>
      </c>
      <c r="D21" s="91"/>
      <c r="E21" s="91"/>
      <c r="F21" s="91"/>
      <c r="G21" s="92"/>
      <c r="H21" s="62">
        <f>H19/H20</f>
        <v>1.9097222222222224E-2</v>
      </c>
      <c r="I21" s="23"/>
      <c r="J21" s="23"/>
      <c r="K21" s="23"/>
      <c r="L21" s="23"/>
      <c r="M21" s="23"/>
      <c r="N21" s="23"/>
      <c r="O21" s="23"/>
      <c r="P21" s="1"/>
      <c r="Q21" s="1"/>
      <c r="R21" s="1"/>
      <c r="S21" s="1"/>
      <c r="T21" s="1"/>
    </row>
    <row r="22" spans="2:20" ht="15.75" x14ac:dyDescent="0.25">
      <c r="B22" s="107"/>
      <c r="C22" s="89" t="s">
        <v>224</v>
      </c>
      <c r="D22" s="89"/>
      <c r="E22" s="89"/>
      <c r="F22" s="89"/>
      <c r="G22" s="89"/>
      <c r="H22" s="44">
        <f>H19</f>
        <v>6.875E-3</v>
      </c>
      <c r="I22" s="23" t="s">
        <v>215</v>
      </c>
      <c r="J22" s="23"/>
      <c r="K22" s="117" t="s">
        <v>241</v>
      </c>
      <c r="L22" s="118"/>
      <c r="M22" s="118"/>
      <c r="N22" s="118"/>
      <c r="O22" s="119"/>
      <c r="P22" s="1"/>
      <c r="Q22" s="1"/>
      <c r="R22" s="1"/>
      <c r="S22" s="1"/>
      <c r="T22" s="1"/>
    </row>
    <row r="23" spans="2:20" ht="15.75" x14ac:dyDescent="0.25">
      <c r="B23" s="105">
        <v>3</v>
      </c>
      <c r="C23" s="93" t="s">
        <v>221</v>
      </c>
      <c r="D23" s="93"/>
      <c r="E23" s="93"/>
      <c r="F23" s="93"/>
      <c r="G23" s="93"/>
      <c r="H23" s="31"/>
      <c r="I23" s="21" t="s">
        <v>2</v>
      </c>
      <c r="J23" s="52" t="s">
        <v>42</v>
      </c>
      <c r="K23" s="98" t="s">
        <v>3</v>
      </c>
      <c r="L23" s="98"/>
      <c r="M23" s="98"/>
      <c r="N23" s="98"/>
      <c r="O23" s="98"/>
      <c r="Q23" s="1"/>
      <c r="R23" s="1"/>
      <c r="S23" s="1"/>
      <c r="T23" s="1"/>
    </row>
    <row r="24" spans="2:20" ht="18" x14ac:dyDescent="0.25">
      <c r="B24" s="106"/>
      <c r="C24" s="89" t="s">
        <v>72</v>
      </c>
      <c r="D24" s="89"/>
      <c r="E24" s="89"/>
      <c r="F24" s="89"/>
      <c r="G24" s="89"/>
      <c r="H24" s="45">
        <f>parameters!F9</f>
        <v>6.875E-3</v>
      </c>
      <c r="I24" s="23" t="s">
        <v>35</v>
      </c>
      <c r="J24" s="23"/>
      <c r="K24" s="38"/>
      <c r="L24" s="38"/>
      <c r="M24" s="38"/>
      <c r="N24" s="38"/>
      <c r="O24" s="38"/>
      <c r="P24" s="1"/>
      <c r="Q24" s="1"/>
      <c r="R24" s="1"/>
      <c r="S24" s="1"/>
      <c r="T24" s="1"/>
    </row>
    <row r="25" spans="2:20" ht="15.75" x14ac:dyDescent="0.25">
      <c r="B25" s="106"/>
      <c r="C25" s="89" t="s">
        <v>322</v>
      </c>
      <c r="D25" s="89"/>
      <c r="E25" s="89"/>
      <c r="F25" s="89"/>
      <c r="G25" s="89"/>
      <c r="H25" s="45">
        <f>2*(parameters!F6+parameters!F7)</f>
        <v>0.36</v>
      </c>
      <c r="I25" s="23"/>
      <c r="J25" s="23"/>
      <c r="K25" s="38"/>
      <c r="L25" s="38"/>
      <c r="M25" s="38"/>
      <c r="N25" s="38"/>
      <c r="O25" s="38"/>
      <c r="P25" s="1"/>
      <c r="Q25" s="1"/>
      <c r="R25" s="1"/>
      <c r="S25" s="1"/>
      <c r="T25" s="1"/>
    </row>
    <row r="26" spans="2:20" ht="15.75" x14ac:dyDescent="0.25">
      <c r="B26" s="106"/>
      <c r="C26" s="89" t="s">
        <v>323</v>
      </c>
      <c r="D26" s="89"/>
      <c r="E26" s="89"/>
      <c r="F26" s="89"/>
      <c r="G26" s="89"/>
      <c r="H26" s="62">
        <f>H24/H25</f>
        <v>1.9097222222222224E-2</v>
      </c>
      <c r="I26" s="23"/>
      <c r="J26" s="23"/>
      <c r="K26" s="38"/>
      <c r="L26" s="38"/>
      <c r="M26" s="38"/>
      <c r="N26" s="38"/>
      <c r="O26" s="38"/>
      <c r="P26" s="1"/>
      <c r="Q26" s="1"/>
      <c r="R26" s="1"/>
      <c r="S26" s="1"/>
      <c r="T26" s="1"/>
    </row>
    <row r="27" spans="2:20" ht="15.75" x14ac:dyDescent="0.25">
      <c r="B27" s="107"/>
      <c r="C27" s="89" t="s">
        <v>225</v>
      </c>
      <c r="D27" s="89"/>
      <c r="E27" s="89"/>
      <c r="F27" s="89"/>
      <c r="G27" s="89"/>
      <c r="H27" s="44">
        <f>H24</f>
        <v>6.875E-3</v>
      </c>
      <c r="I27" s="23" t="s">
        <v>22</v>
      </c>
      <c r="J27" s="23"/>
      <c r="K27" s="120" t="s">
        <v>242</v>
      </c>
      <c r="L27" s="121"/>
      <c r="M27" s="121"/>
      <c r="N27" s="121"/>
      <c r="O27" s="122"/>
      <c r="P27" s="1"/>
      <c r="Q27" s="1"/>
      <c r="R27" s="1"/>
      <c r="S27" s="1"/>
      <c r="T27" s="1"/>
    </row>
    <row r="28" spans="2:20" ht="15.75" x14ac:dyDescent="0.25">
      <c r="B28" s="105">
        <v>4</v>
      </c>
      <c r="C28" s="93" t="s">
        <v>222</v>
      </c>
      <c r="D28" s="93"/>
      <c r="E28" s="93"/>
      <c r="F28" s="93"/>
      <c r="G28" s="93"/>
      <c r="H28" s="31"/>
      <c r="I28" s="21" t="s">
        <v>2</v>
      </c>
      <c r="J28" s="52" t="s">
        <v>42</v>
      </c>
      <c r="K28" s="98" t="s">
        <v>3</v>
      </c>
      <c r="L28" s="98"/>
      <c r="M28" s="98"/>
      <c r="N28" s="98"/>
      <c r="O28" s="98"/>
      <c r="Q28" s="1"/>
      <c r="R28" s="1"/>
      <c r="S28" s="1"/>
      <c r="T28" s="1"/>
    </row>
    <row r="29" spans="2:20" ht="18" x14ac:dyDescent="0.25">
      <c r="B29" s="106"/>
      <c r="C29" s="89" t="s">
        <v>9</v>
      </c>
      <c r="D29" s="89"/>
      <c r="E29" s="89"/>
      <c r="F29" s="89"/>
      <c r="G29" s="89"/>
      <c r="H29" s="45">
        <f>2*(parameters!F11+parameters!F12)</f>
        <v>7.1999999999999998E-3</v>
      </c>
      <c r="I29" s="23" t="s">
        <v>35</v>
      </c>
      <c r="J29" s="23"/>
      <c r="K29" s="38"/>
      <c r="L29" s="38"/>
      <c r="M29" s="38"/>
      <c r="N29" s="38"/>
      <c r="O29" s="38"/>
      <c r="P29" s="1"/>
      <c r="Q29" s="1"/>
      <c r="R29" s="1"/>
      <c r="S29" s="1"/>
      <c r="T29" s="1"/>
    </row>
    <row r="30" spans="2:20" ht="15.75" x14ac:dyDescent="0.25">
      <c r="B30" s="106"/>
      <c r="C30" s="90" t="s">
        <v>321</v>
      </c>
      <c r="D30" s="91"/>
      <c r="E30" s="91"/>
      <c r="F30" s="91"/>
      <c r="G30" s="92"/>
      <c r="H30" s="45">
        <f>4*(parameters!F6+parameters!F7)+2*parameters!F8</f>
        <v>0.76</v>
      </c>
      <c r="I30" s="23"/>
      <c r="J30" s="23"/>
      <c r="K30" s="58"/>
      <c r="L30" s="59"/>
      <c r="M30" s="59"/>
      <c r="N30" s="59"/>
      <c r="O30" s="60"/>
      <c r="P30" s="1"/>
      <c r="Q30" s="1"/>
      <c r="R30" s="1"/>
      <c r="S30" s="1"/>
      <c r="T30" s="1"/>
    </row>
    <row r="31" spans="2:20" ht="15.75" x14ac:dyDescent="0.25">
      <c r="B31" s="106"/>
      <c r="C31" s="90" t="s">
        <v>323</v>
      </c>
      <c r="D31" s="91"/>
      <c r="E31" s="91"/>
      <c r="F31" s="91"/>
      <c r="G31" s="92"/>
      <c r="H31" s="62">
        <f>H29/H30</f>
        <v>9.4736842105263147E-3</v>
      </c>
      <c r="I31" s="23"/>
      <c r="J31" s="23"/>
      <c r="K31" s="58"/>
      <c r="L31" s="59"/>
      <c r="M31" s="59"/>
      <c r="N31" s="59"/>
      <c r="O31" s="60"/>
      <c r="P31" s="1"/>
      <c r="Q31" s="1"/>
      <c r="R31" s="1"/>
      <c r="S31" s="1"/>
      <c r="T31" s="1"/>
    </row>
    <row r="32" spans="2:20" ht="15.75" x14ac:dyDescent="0.25">
      <c r="B32" s="107"/>
      <c r="C32" s="89" t="s">
        <v>226</v>
      </c>
      <c r="D32" s="89"/>
      <c r="E32" s="89"/>
      <c r="F32" s="89"/>
      <c r="G32" s="89"/>
      <c r="H32" s="44">
        <f>H29</f>
        <v>7.1999999999999998E-3</v>
      </c>
      <c r="I32" s="23" t="s">
        <v>215</v>
      </c>
      <c r="J32" s="23"/>
      <c r="K32" s="120" t="s">
        <v>243</v>
      </c>
      <c r="L32" s="121"/>
      <c r="M32" s="121"/>
      <c r="N32" s="121"/>
      <c r="O32" s="122"/>
      <c r="P32" s="1"/>
      <c r="Q32" s="1"/>
      <c r="R32" s="1"/>
      <c r="S32" s="1"/>
      <c r="T32" s="1"/>
    </row>
    <row r="33" spans="2:20" ht="15.75" x14ac:dyDescent="0.25">
      <c r="B33" s="105">
        <v>5</v>
      </c>
      <c r="C33" s="116" t="s">
        <v>230</v>
      </c>
      <c r="D33" s="116"/>
      <c r="E33" s="116"/>
      <c r="F33" s="116"/>
      <c r="G33" s="116"/>
      <c r="H33" s="31"/>
      <c r="I33" s="21" t="s">
        <v>2</v>
      </c>
      <c r="J33" s="52" t="s">
        <v>42</v>
      </c>
      <c r="K33" s="98" t="s">
        <v>3</v>
      </c>
      <c r="L33" s="98"/>
      <c r="M33" s="98"/>
      <c r="N33" s="98"/>
      <c r="O33" s="98"/>
      <c r="P33" s="1"/>
      <c r="Q33" s="1"/>
      <c r="R33" s="1"/>
      <c r="S33" s="1"/>
      <c r="T33" s="1"/>
    </row>
    <row r="34" spans="2:20" ht="15.75" x14ac:dyDescent="0.25">
      <c r="B34" s="106"/>
      <c r="C34" s="89" t="s">
        <v>245</v>
      </c>
      <c r="D34" s="89"/>
      <c r="E34" s="89"/>
      <c r="F34" s="89"/>
      <c r="G34" s="89"/>
      <c r="H34" s="45">
        <f>parameters!F50</f>
        <v>0.46524064171122992</v>
      </c>
      <c r="I34" s="23"/>
      <c r="J34" s="23"/>
      <c r="K34" s="23"/>
      <c r="L34" s="23"/>
      <c r="M34" s="23"/>
      <c r="N34" s="23"/>
      <c r="O34" s="23"/>
      <c r="P34" s="1"/>
      <c r="Q34" s="1"/>
      <c r="R34" s="1"/>
      <c r="S34" s="1"/>
      <c r="T34" s="1"/>
    </row>
    <row r="35" spans="2:20" ht="18" x14ac:dyDescent="0.25">
      <c r="B35" s="106"/>
      <c r="C35" s="89" t="s">
        <v>246</v>
      </c>
      <c r="D35" s="89"/>
      <c r="E35" s="89"/>
      <c r="F35" s="89"/>
      <c r="G35" s="89"/>
      <c r="H35" s="61">
        <f>0.0000000567</f>
        <v>5.6699999999999998E-8</v>
      </c>
      <c r="I35" s="23" t="s">
        <v>28</v>
      </c>
      <c r="J35" s="23"/>
      <c r="K35" s="23"/>
      <c r="L35" s="23"/>
      <c r="M35" s="23"/>
      <c r="N35" s="23"/>
      <c r="O35" s="23"/>
      <c r="P35" s="1"/>
      <c r="Q35" s="1"/>
      <c r="R35" s="1"/>
      <c r="S35" s="1"/>
      <c r="T35" s="1"/>
    </row>
    <row r="36" spans="2:20" ht="18" x14ac:dyDescent="0.25">
      <c r="B36" s="106"/>
      <c r="C36" s="89" t="s">
        <v>5</v>
      </c>
      <c r="D36" s="89"/>
      <c r="E36" s="89"/>
      <c r="F36" s="89"/>
      <c r="G36" s="89"/>
      <c r="H36" s="45">
        <f>parameters!F9-(parameters!F15*parameters!F7)</f>
        <v>6.6E-3</v>
      </c>
      <c r="I36" s="23" t="s">
        <v>35</v>
      </c>
      <c r="J36" s="23"/>
      <c r="K36" s="23"/>
      <c r="L36" s="23"/>
      <c r="M36" s="23"/>
      <c r="N36" s="23"/>
      <c r="O36" s="23"/>
      <c r="P36" s="1"/>
      <c r="Q36" s="1"/>
      <c r="R36" s="1"/>
      <c r="S36" s="1"/>
      <c r="T36" s="1"/>
    </row>
    <row r="37" spans="2:20" ht="15.75" x14ac:dyDescent="0.25">
      <c r="B37" s="106"/>
      <c r="C37" s="89" t="s">
        <v>6</v>
      </c>
      <c r="D37" s="89"/>
      <c r="E37" s="89"/>
      <c r="F37" s="89"/>
      <c r="G37" s="89"/>
      <c r="H37" s="45">
        <f>parameters!F56</f>
        <v>1</v>
      </c>
      <c r="I37" s="23"/>
      <c r="J37" s="23"/>
      <c r="K37" s="23"/>
      <c r="L37" s="23"/>
      <c r="M37" s="23"/>
      <c r="N37" s="23"/>
      <c r="O37" s="23"/>
      <c r="P37" s="1"/>
      <c r="Q37" s="1"/>
      <c r="R37" s="1"/>
      <c r="S37" s="1"/>
      <c r="T37" s="1"/>
    </row>
    <row r="38" spans="2:20" ht="18" x14ac:dyDescent="0.25">
      <c r="B38" s="107"/>
      <c r="C38" s="89" t="s">
        <v>231</v>
      </c>
      <c r="D38" s="89"/>
      <c r="E38" s="89"/>
      <c r="F38" s="89"/>
      <c r="G38" s="89"/>
      <c r="H38" s="44">
        <f>H35*H36*H37*H34</f>
        <v>1.7410235294117645E-10</v>
      </c>
      <c r="I38" s="23" t="s">
        <v>177</v>
      </c>
      <c r="J38" s="23"/>
      <c r="K38" s="123" t="s">
        <v>247</v>
      </c>
      <c r="L38" s="118"/>
      <c r="M38" s="118"/>
      <c r="N38" s="118"/>
      <c r="O38" s="119"/>
      <c r="P38" s="1"/>
      <c r="Q38" s="1"/>
      <c r="R38" s="1"/>
      <c r="S38" s="1"/>
      <c r="T38" s="1"/>
    </row>
    <row r="39" spans="2:20" ht="15.75" x14ac:dyDescent="0.25">
      <c r="B39" s="105">
        <v>6</v>
      </c>
      <c r="C39" s="116" t="s">
        <v>52</v>
      </c>
      <c r="D39" s="116"/>
      <c r="E39" s="116"/>
      <c r="F39" s="116"/>
      <c r="G39" s="116"/>
      <c r="H39" s="31"/>
      <c r="I39" s="21" t="s">
        <v>2</v>
      </c>
      <c r="J39" s="52" t="s">
        <v>42</v>
      </c>
      <c r="K39" s="98" t="s">
        <v>3</v>
      </c>
      <c r="L39" s="98"/>
      <c r="M39" s="98"/>
      <c r="N39" s="98"/>
      <c r="O39" s="98"/>
      <c r="P39" s="1"/>
      <c r="Q39" s="1"/>
      <c r="R39" s="1"/>
      <c r="S39" s="1"/>
      <c r="T39" s="1"/>
    </row>
    <row r="40" spans="2:20" ht="15.75" x14ac:dyDescent="0.25">
      <c r="B40" s="106"/>
      <c r="C40" s="89" t="s">
        <v>232</v>
      </c>
      <c r="D40" s="89"/>
      <c r="E40" s="89"/>
      <c r="F40" s="89"/>
      <c r="G40" s="89"/>
      <c r="H40" s="45">
        <f>parameters!F50</f>
        <v>0.46524064171122992</v>
      </c>
      <c r="I40" s="23"/>
      <c r="J40" s="23"/>
      <c r="K40" s="23"/>
      <c r="L40" s="23"/>
      <c r="M40" s="23"/>
      <c r="N40" s="23"/>
      <c r="O40" s="23"/>
      <c r="P40" s="1"/>
      <c r="Q40" s="1"/>
      <c r="R40" s="1"/>
      <c r="S40" s="1"/>
      <c r="T40" s="1"/>
    </row>
    <row r="41" spans="2:20" ht="18" x14ac:dyDescent="0.25">
      <c r="B41" s="106"/>
      <c r="C41" s="89" t="s">
        <v>4</v>
      </c>
      <c r="D41" s="89"/>
      <c r="E41" s="89"/>
      <c r="F41" s="89"/>
      <c r="G41" s="89"/>
      <c r="H41" s="61">
        <f>0.0000000567</f>
        <v>5.6699999999999998E-8</v>
      </c>
      <c r="I41" s="23" t="s">
        <v>28</v>
      </c>
      <c r="J41" s="23"/>
      <c r="K41" s="23"/>
      <c r="L41" s="23"/>
      <c r="M41" s="23"/>
      <c r="N41" s="23"/>
      <c r="O41" s="23"/>
      <c r="P41" s="1"/>
      <c r="Q41" s="1"/>
      <c r="R41" s="1"/>
      <c r="S41" s="1"/>
      <c r="T41" s="1"/>
    </row>
    <row r="42" spans="2:20" ht="18" x14ac:dyDescent="0.25">
      <c r="B42" s="106"/>
      <c r="C42" s="89" t="s">
        <v>5</v>
      </c>
      <c r="D42" s="89"/>
      <c r="E42" s="89"/>
      <c r="F42" s="89"/>
      <c r="G42" s="89"/>
      <c r="H42" s="45">
        <f>parameters!F9-(parameters!F15*parameters!F7)</f>
        <v>6.6E-3</v>
      </c>
      <c r="I42" s="23" t="s">
        <v>35</v>
      </c>
      <c r="J42" s="23"/>
      <c r="K42" s="23"/>
      <c r="L42" s="23"/>
      <c r="M42" s="23"/>
      <c r="N42" s="23"/>
      <c r="O42" s="23"/>
      <c r="P42" s="1"/>
      <c r="Q42" s="1"/>
      <c r="R42" s="1"/>
      <c r="S42" s="1"/>
      <c r="T42" s="1"/>
    </row>
    <row r="43" spans="2:20" ht="15.75" x14ac:dyDescent="0.25">
      <c r="B43" s="106"/>
      <c r="C43" s="89" t="s">
        <v>6</v>
      </c>
      <c r="D43" s="89"/>
      <c r="E43" s="89"/>
      <c r="F43" s="89"/>
      <c r="G43" s="89"/>
      <c r="H43" s="45">
        <f>parameters!F57</f>
        <v>1</v>
      </c>
      <c r="I43" s="23"/>
      <c r="J43" s="23"/>
      <c r="K43" s="23"/>
      <c r="L43" s="23"/>
      <c r="M43" s="23"/>
      <c r="N43" s="23"/>
      <c r="O43" s="23"/>
      <c r="P43" s="1"/>
      <c r="Q43" s="1"/>
      <c r="R43" s="1"/>
      <c r="S43" s="1"/>
      <c r="T43" s="1"/>
    </row>
    <row r="44" spans="2:20" ht="18" x14ac:dyDescent="0.25">
      <c r="B44" s="107"/>
      <c r="C44" s="89" t="s">
        <v>235</v>
      </c>
      <c r="D44" s="89"/>
      <c r="E44" s="89"/>
      <c r="F44" s="89"/>
      <c r="G44" s="89"/>
      <c r="H44" s="44">
        <f>H40*H41*H42*H43</f>
        <v>1.7410235294117645E-10</v>
      </c>
      <c r="I44" s="23" t="s">
        <v>177</v>
      </c>
      <c r="J44" s="23"/>
      <c r="K44" s="123" t="s">
        <v>244</v>
      </c>
      <c r="L44" s="118"/>
      <c r="M44" s="118"/>
      <c r="N44" s="118"/>
      <c r="O44" s="119"/>
      <c r="P44" s="1"/>
      <c r="Q44" s="1"/>
      <c r="R44" s="1"/>
      <c r="S44" s="1"/>
      <c r="T44" s="1"/>
    </row>
    <row r="45" spans="2:20" ht="15.75" x14ac:dyDescent="0.25">
      <c r="B45" s="105">
        <v>7</v>
      </c>
      <c r="C45" s="116" t="s">
        <v>51</v>
      </c>
      <c r="D45" s="116"/>
      <c r="E45" s="116"/>
      <c r="F45" s="116"/>
      <c r="G45" s="116"/>
      <c r="H45" s="31"/>
      <c r="I45" s="21" t="s">
        <v>2</v>
      </c>
      <c r="J45" s="52" t="s">
        <v>42</v>
      </c>
      <c r="K45" s="98" t="s">
        <v>3</v>
      </c>
      <c r="L45" s="98"/>
      <c r="M45" s="98"/>
      <c r="N45" s="98"/>
      <c r="O45" s="98"/>
      <c r="P45" s="1"/>
      <c r="Q45" s="1"/>
      <c r="R45" s="1"/>
      <c r="S45" s="1"/>
      <c r="T45" s="1"/>
    </row>
    <row r="46" spans="2:20" ht="15.75" x14ac:dyDescent="0.25">
      <c r="B46" s="106"/>
      <c r="C46" s="89" t="s">
        <v>233</v>
      </c>
      <c r="D46" s="89"/>
      <c r="E46" s="89"/>
      <c r="F46" s="89"/>
      <c r="G46" s="89"/>
      <c r="H46" s="45">
        <f>parameters!F52</f>
        <v>0.19419642857142858</v>
      </c>
      <c r="I46" s="23"/>
      <c r="J46" s="23"/>
      <c r="K46" s="23"/>
      <c r="L46" s="23"/>
      <c r="M46" s="23"/>
      <c r="N46" s="23"/>
      <c r="O46" s="23"/>
      <c r="P46" s="1"/>
      <c r="Q46" s="1"/>
      <c r="R46" s="1"/>
      <c r="S46" s="1"/>
      <c r="T46" s="1"/>
    </row>
    <row r="47" spans="2:20" ht="18" x14ac:dyDescent="0.25">
      <c r="B47" s="106"/>
      <c r="C47" s="89" t="s">
        <v>4</v>
      </c>
      <c r="D47" s="89"/>
      <c r="E47" s="89"/>
      <c r="F47" s="89"/>
      <c r="G47" s="89"/>
      <c r="H47" s="61">
        <f>0.0000000567</f>
        <v>5.6699999999999998E-8</v>
      </c>
      <c r="I47" s="23" t="s">
        <v>28</v>
      </c>
      <c r="J47" s="23"/>
      <c r="K47" s="23"/>
      <c r="L47" s="23"/>
      <c r="M47" s="23"/>
      <c r="N47" s="23"/>
      <c r="O47" s="23"/>
      <c r="P47" s="1"/>
      <c r="Q47" s="1"/>
      <c r="R47" s="1"/>
      <c r="S47" s="1"/>
      <c r="T47" s="1"/>
    </row>
    <row r="48" spans="2:20" ht="18" x14ac:dyDescent="0.25">
      <c r="B48" s="106"/>
      <c r="C48" s="89" t="s">
        <v>5</v>
      </c>
      <c r="D48" s="89"/>
      <c r="E48" s="89"/>
      <c r="F48" s="89"/>
      <c r="G48" s="89"/>
      <c r="H48" s="45">
        <f>parameters!F9+parameters!F10+parameters!F12+parameters!F12-(2*parameters!F7*parameters!F15)</f>
        <v>1.8200000000000001E-2</v>
      </c>
      <c r="I48" s="23" t="s">
        <v>35</v>
      </c>
      <c r="J48" s="23"/>
      <c r="K48" s="23"/>
      <c r="L48" s="23"/>
      <c r="M48" s="23"/>
      <c r="N48" s="23"/>
      <c r="O48" s="23"/>
      <c r="P48" s="1"/>
      <c r="Q48" s="1"/>
      <c r="R48" s="1"/>
      <c r="S48" s="1"/>
      <c r="T48" s="1"/>
    </row>
    <row r="49" spans="2:20" ht="15.75" x14ac:dyDescent="0.25">
      <c r="B49" s="106"/>
      <c r="C49" s="89" t="s">
        <v>6</v>
      </c>
      <c r="D49" s="89"/>
      <c r="E49" s="89"/>
      <c r="F49" s="89"/>
      <c r="G49" s="89"/>
      <c r="H49" s="45">
        <f>parameters!F58</f>
        <v>1</v>
      </c>
      <c r="I49" s="23"/>
      <c r="J49" s="23"/>
      <c r="K49" s="23"/>
      <c r="L49" s="23"/>
      <c r="M49" s="23"/>
      <c r="N49" s="23"/>
      <c r="O49" s="23"/>
      <c r="P49" s="1"/>
      <c r="Q49" s="1"/>
      <c r="R49" s="1"/>
      <c r="S49" s="1"/>
      <c r="T49" s="1"/>
    </row>
    <row r="50" spans="2:20" ht="18" x14ac:dyDescent="0.25">
      <c r="B50" s="107"/>
      <c r="C50" s="89" t="s">
        <v>234</v>
      </c>
      <c r="D50" s="89"/>
      <c r="E50" s="89"/>
      <c r="F50" s="89"/>
      <c r="G50" s="89"/>
      <c r="H50" s="44">
        <f>H46*H47*H48*H49</f>
        <v>2.0039906250000001E-10</v>
      </c>
      <c r="I50" s="23" t="s">
        <v>177</v>
      </c>
      <c r="J50" s="23"/>
      <c r="K50" s="123" t="s">
        <v>244</v>
      </c>
      <c r="L50" s="118"/>
      <c r="M50" s="118"/>
      <c r="N50" s="118"/>
      <c r="O50" s="119"/>
      <c r="P50" s="1"/>
      <c r="Q50" s="1"/>
      <c r="R50" s="1"/>
      <c r="S50" s="1"/>
      <c r="T50" s="1"/>
    </row>
    <row r="51" spans="2:20" ht="15.75" x14ac:dyDescent="0.25">
      <c r="B51" s="18"/>
      <c r="C51" s="127" t="s">
        <v>236</v>
      </c>
      <c r="D51" s="127"/>
      <c r="E51" s="127"/>
      <c r="F51" s="127"/>
      <c r="G51" s="127"/>
      <c r="H51" s="31"/>
      <c r="I51" s="21" t="s">
        <v>2</v>
      </c>
      <c r="J51" s="52" t="s">
        <v>42</v>
      </c>
      <c r="K51" s="98" t="s">
        <v>3</v>
      </c>
      <c r="L51" s="98"/>
      <c r="M51" s="98"/>
      <c r="N51" s="98"/>
      <c r="O51" s="98"/>
      <c r="P51" s="1"/>
      <c r="Q51" s="1"/>
      <c r="R51" s="1"/>
      <c r="S51" s="1"/>
      <c r="T51" s="1"/>
    </row>
    <row r="52" spans="2:20" ht="18.75" x14ac:dyDescent="0.35">
      <c r="B52" s="18"/>
      <c r="C52" s="89" t="s">
        <v>237</v>
      </c>
      <c r="D52" s="89"/>
      <c r="E52" s="89"/>
      <c r="F52" s="89"/>
      <c r="G52" s="89"/>
      <c r="H52" s="45">
        <f>parameters!P15</f>
        <v>0.2</v>
      </c>
      <c r="I52" s="23" t="s">
        <v>22</v>
      </c>
      <c r="J52" s="23"/>
      <c r="K52" s="23"/>
      <c r="L52" s="23"/>
      <c r="M52" s="23"/>
      <c r="N52" s="23"/>
      <c r="O52" s="23"/>
      <c r="P52" s="1"/>
      <c r="Q52" s="1"/>
      <c r="R52" s="1"/>
      <c r="S52" s="1"/>
      <c r="T52" s="1"/>
    </row>
    <row r="53" spans="2:20" ht="15.75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 ht="15.75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 ht="15.75" x14ac:dyDescent="0.25">
      <c r="B55" s="101" t="s">
        <v>25</v>
      </c>
      <c r="C55" s="101"/>
      <c r="D55" s="101"/>
      <c r="E55" s="101"/>
      <c r="F55" s="101"/>
      <c r="G55" s="10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 ht="15.75" x14ac:dyDescent="0.25">
      <c r="B56" s="109">
        <v>8</v>
      </c>
      <c r="C56" s="108" t="s">
        <v>29</v>
      </c>
      <c r="D56" s="108"/>
      <c r="E56" s="108"/>
      <c r="F56" s="108"/>
      <c r="G56" s="108"/>
      <c r="H56" s="31"/>
      <c r="I56" s="21" t="s">
        <v>2</v>
      </c>
      <c r="J56" s="52" t="s">
        <v>42</v>
      </c>
      <c r="K56" s="98" t="s">
        <v>3</v>
      </c>
      <c r="L56" s="98"/>
      <c r="M56" s="98"/>
      <c r="N56" s="98"/>
      <c r="O56" s="98"/>
      <c r="P56" s="1"/>
      <c r="Q56" s="1"/>
      <c r="R56" s="1"/>
      <c r="S56" s="1"/>
      <c r="T56" s="1"/>
    </row>
    <row r="57" spans="2:20" ht="15.75" x14ac:dyDescent="0.25">
      <c r="B57" s="109"/>
      <c r="C57" s="89" t="s">
        <v>26</v>
      </c>
      <c r="D57" s="89"/>
      <c r="E57" s="89"/>
      <c r="F57" s="89"/>
      <c r="G57" s="89"/>
      <c r="H57" s="63">
        <f>parameters!F42</f>
        <v>0.9</v>
      </c>
      <c r="I57" s="23" t="s">
        <v>34</v>
      </c>
      <c r="J57" s="23"/>
      <c r="K57" s="23"/>
      <c r="L57" s="23"/>
      <c r="M57" s="23"/>
      <c r="N57" s="23"/>
      <c r="O57" s="23"/>
      <c r="P57" s="1"/>
      <c r="Q57" s="1"/>
      <c r="R57" s="1"/>
      <c r="S57" s="1"/>
      <c r="T57" s="1"/>
    </row>
    <row r="58" spans="2:20" ht="15.75" x14ac:dyDescent="0.25">
      <c r="B58" s="109"/>
      <c r="C58" s="89" t="s">
        <v>248</v>
      </c>
      <c r="D58" s="89"/>
      <c r="E58" s="89"/>
      <c r="F58" s="89"/>
      <c r="G58" s="89"/>
      <c r="H58" s="63">
        <f>parameters!F31+parameters!F23</f>
        <v>4.0000000000000001E-3</v>
      </c>
      <c r="I58" s="23" t="s">
        <v>20</v>
      </c>
      <c r="J58" s="23"/>
      <c r="K58" s="23"/>
      <c r="L58" s="23"/>
      <c r="M58" s="23"/>
      <c r="N58" s="23"/>
      <c r="O58" s="23"/>
      <c r="P58" s="1"/>
      <c r="Q58" s="1"/>
      <c r="R58" s="1"/>
      <c r="S58" s="1"/>
      <c r="T58" s="1"/>
    </row>
    <row r="59" spans="2:20" ht="18" x14ac:dyDescent="0.25">
      <c r="B59" s="109"/>
      <c r="C59" s="89" t="s">
        <v>27</v>
      </c>
      <c r="D59" s="89"/>
      <c r="E59" s="89"/>
      <c r="F59" s="89"/>
      <c r="G59" s="89"/>
      <c r="H59" s="63">
        <f>parameters!F15*parameters!F20</f>
        <v>2.5000000000000001E-3</v>
      </c>
      <c r="I59" s="23" t="s">
        <v>35</v>
      </c>
      <c r="J59" s="23"/>
      <c r="K59" s="23"/>
      <c r="L59" s="23"/>
      <c r="M59" s="23"/>
      <c r="N59" s="23"/>
      <c r="O59" s="23"/>
      <c r="P59" s="1"/>
      <c r="Q59" s="1"/>
      <c r="R59" s="1"/>
      <c r="S59" s="1"/>
      <c r="T59" s="1"/>
    </row>
    <row r="60" spans="2:20" ht="15.75" x14ac:dyDescent="0.25">
      <c r="B60" s="109"/>
      <c r="C60" s="89" t="s">
        <v>253</v>
      </c>
      <c r="D60" s="89"/>
      <c r="E60" s="89"/>
      <c r="F60" s="89"/>
      <c r="G60" s="89"/>
      <c r="H60" s="44">
        <f>(2*H57*H59)/H58</f>
        <v>1.125</v>
      </c>
      <c r="I60" s="23" t="s">
        <v>215</v>
      </c>
      <c r="J60" s="23"/>
      <c r="K60" s="99" t="s">
        <v>220</v>
      </c>
      <c r="L60" s="99"/>
      <c r="M60" s="99"/>
      <c r="N60" s="99"/>
      <c r="O60" s="99"/>
      <c r="P60" s="1"/>
      <c r="Q60" s="1"/>
      <c r="R60" s="1"/>
      <c r="S60" s="1"/>
      <c r="T60" s="1"/>
    </row>
    <row r="61" spans="2:20" ht="15.75" x14ac:dyDescent="0.25">
      <c r="B61" s="109">
        <v>9</v>
      </c>
      <c r="C61" s="93" t="s">
        <v>250</v>
      </c>
      <c r="D61" s="93"/>
      <c r="E61" s="93"/>
      <c r="F61" s="93"/>
      <c r="G61" s="93"/>
      <c r="H61" s="31"/>
      <c r="I61" s="21" t="s">
        <v>2</v>
      </c>
      <c r="J61" s="52" t="s">
        <v>42</v>
      </c>
      <c r="K61" s="98" t="s">
        <v>3</v>
      </c>
      <c r="L61" s="98"/>
      <c r="M61" s="98"/>
      <c r="N61" s="98"/>
      <c r="O61" s="98"/>
      <c r="P61" s="1"/>
      <c r="Q61" s="1"/>
      <c r="R61" s="1"/>
      <c r="S61" s="1"/>
      <c r="T61" s="1"/>
    </row>
    <row r="62" spans="2:20" ht="18" x14ac:dyDescent="0.25">
      <c r="B62" s="109"/>
      <c r="C62" s="89" t="s">
        <v>32</v>
      </c>
      <c r="D62" s="89"/>
      <c r="E62" s="89"/>
      <c r="F62" s="89"/>
      <c r="G62" s="89"/>
      <c r="H62" s="63">
        <f>parameters!F22</f>
        <v>0.22</v>
      </c>
      <c r="I62" s="23" t="s">
        <v>35</v>
      </c>
      <c r="J62" s="23"/>
      <c r="K62" s="23"/>
      <c r="L62" s="23"/>
      <c r="M62" s="23"/>
      <c r="N62" s="23"/>
      <c r="O62" s="23"/>
      <c r="P62" s="1"/>
      <c r="Q62" s="1"/>
      <c r="R62" s="1"/>
      <c r="S62" s="1"/>
      <c r="T62" s="1"/>
    </row>
    <row r="63" spans="2:20" ht="15.75" x14ac:dyDescent="0.25">
      <c r="B63" s="109"/>
      <c r="C63" s="89" t="s">
        <v>321</v>
      </c>
      <c r="D63" s="89"/>
      <c r="E63" s="89"/>
      <c r="F63" s="89"/>
      <c r="G63" s="89"/>
      <c r="H63" s="63">
        <f>2*(parameters!F20+parameters!F21)</f>
        <v>1.88</v>
      </c>
      <c r="I63" s="23"/>
      <c r="J63" s="23"/>
      <c r="K63" s="23"/>
      <c r="L63" s="23"/>
      <c r="M63" s="23"/>
      <c r="N63" s="23"/>
      <c r="O63" s="23"/>
      <c r="P63" s="1"/>
      <c r="Q63" s="1"/>
      <c r="R63" s="1"/>
      <c r="S63" s="1"/>
      <c r="T63" s="1"/>
    </row>
    <row r="64" spans="2:20" ht="15.75" x14ac:dyDescent="0.25">
      <c r="B64" s="109"/>
      <c r="C64" s="89" t="s">
        <v>323</v>
      </c>
      <c r="D64" s="89"/>
      <c r="E64" s="89"/>
      <c r="F64" s="89"/>
      <c r="G64" s="89"/>
      <c r="H64" s="23">
        <f>H62/H63</f>
        <v>0.11702127659574468</v>
      </c>
      <c r="I64" s="23"/>
      <c r="J64" s="23"/>
      <c r="K64" s="23"/>
      <c r="L64" s="23"/>
      <c r="M64" s="23"/>
      <c r="N64" s="23"/>
      <c r="O64" s="23"/>
      <c r="P64" s="1"/>
      <c r="Q64" s="1"/>
      <c r="R64" s="1"/>
      <c r="S64" s="1"/>
      <c r="T64" s="1"/>
    </row>
    <row r="65" spans="2:20" ht="18.75" x14ac:dyDescent="0.35">
      <c r="B65" s="109"/>
      <c r="C65" s="89" t="s">
        <v>254</v>
      </c>
      <c r="D65" s="89"/>
      <c r="E65" s="89"/>
      <c r="F65" s="89"/>
      <c r="G65" s="89"/>
      <c r="H65" s="44">
        <f>H62</f>
        <v>0.22</v>
      </c>
      <c r="I65" s="23" t="s">
        <v>215</v>
      </c>
      <c r="J65" s="23"/>
      <c r="K65" s="99" t="s">
        <v>255</v>
      </c>
      <c r="L65" s="99"/>
      <c r="M65" s="99"/>
      <c r="N65" s="99"/>
      <c r="O65" s="99"/>
      <c r="P65" s="1"/>
      <c r="Q65" s="1"/>
      <c r="R65" s="1"/>
      <c r="S65" s="1"/>
      <c r="T65" s="1"/>
    </row>
    <row r="66" spans="2:20" ht="15.75" x14ac:dyDescent="0.25">
      <c r="B66" s="109">
        <v>10</v>
      </c>
      <c r="C66" s="114" t="s">
        <v>30</v>
      </c>
      <c r="D66" s="114"/>
      <c r="E66" s="114"/>
      <c r="F66" s="114"/>
      <c r="G66" s="114"/>
      <c r="H66" s="31"/>
      <c r="I66" s="21" t="s">
        <v>2</v>
      </c>
      <c r="J66" s="52" t="s">
        <v>42</v>
      </c>
      <c r="K66" s="98" t="s">
        <v>3</v>
      </c>
      <c r="L66" s="98"/>
      <c r="M66" s="98"/>
      <c r="N66" s="98"/>
      <c r="O66" s="98"/>
    </row>
    <row r="67" spans="2:20" ht="18" x14ac:dyDescent="0.25">
      <c r="B67" s="109"/>
      <c r="C67" s="89" t="s">
        <v>251</v>
      </c>
      <c r="D67" s="89"/>
      <c r="E67" s="89"/>
      <c r="F67" s="89"/>
      <c r="G67" s="89"/>
      <c r="H67" s="64">
        <f>parameters!F22</f>
        <v>0.22</v>
      </c>
      <c r="I67" s="23" t="s">
        <v>35</v>
      </c>
      <c r="J67" s="18"/>
      <c r="K67" s="111" t="s">
        <v>262</v>
      </c>
      <c r="L67" s="112"/>
      <c r="M67" s="112"/>
      <c r="N67" s="112"/>
      <c r="O67" s="113"/>
    </row>
    <row r="68" spans="2:20" ht="15.75" x14ac:dyDescent="0.25">
      <c r="B68" s="109"/>
      <c r="C68" s="89" t="s">
        <v>321</v>
      </c>
      <c r="D68" s="89"/>
      <c r="E68" s="89"/>
      <c r="F68" s="89"/>
      <c r="G68" s="89"/>
      <c r="H68" s="63">
        <f>2*(parameters!F20+parameters!F21)</f>
        <v>1.88</v>
      </c>
      <c r="I68" s="23"/>
      <c r="J68" s="18"/>
      <c r="K68" s="54"/>
      <c r="L68" s="55"/>
      <c r="M68" s="55"/>
      <c r="N68" s="55"/>
      <c r="O68" s="56"/>
    </row>
    <row r="69" spans="2:20" ht="15.75" x14ac:dyDescent="0.25">
      <c r="B69" s="109"/>
      <c r="C69" s="89" t="s">
        <v>323</v>
      </c>
      <c r="D69" s="89"/>
      <c r="E69" s="89"/>
      <c r="F69" s="89"/>
      <c r="G69" s="89"/>
      <c r="H69" s="23">
        <f>H67/H68</f>
        <v>0.11702127659574468</v>
      </c>
      <c r="I69" s="23"/>
      <c r="J69" s="18"/>
      <c r="K69" s="54"/>
      <c r="L69" s="55"/>
      <c r="M69" s="55"/>
      <c r="N69" s="55"/>
      <c r="O69" s="56"/>
    </row>
    <row r="70" spans="2:20" ht="18.75" x14ac:dyDescent="0.35">
      <c r="B70" s="109"/>
      <c r="C70" s="89" t="s">
        <v>252</v>
      </c>
      <c r="D70" s="89"/>
      <c r="E70" s="89"/>
      <c r="F70" s="89"/>
      <c r="G70" s="89"/>
      <c r="H70" s="81">
        <f>H67</f>
        <v>0.22</v>
      </c>
      <c r="I70" s="23" t="s">
        <v>215</v>
      </c>
      <c r="J70" s="18"/>
      <c r="K70" s="99" t="s">
        <v>256</v>
      </c>
      <c r="L70" s="99"/>
      <c r="M70" s="99"/>
      <c r="N70" s="99"/>
      <c r="O70" s="99"/>
    </row>
    <row r="71" spans="2:20" ht="15.75" x14ac:dyDescent="0.25">
      <c r="B71" s="109">
        <v>11</v>
      </c>
      <c r="C71" s="100" t="s">
        <v>55</v>
      </c>
      <c r="D71" s="100"/>
      <c r="E71" s="100"/>
      <c r="F71" s="100"/>
      <c r="G71" s="100"/>
      <c r="H71" s="20" t="s">
        <v>19</v>
      </c>
      <c r="I71" s="21" t="s">
        <v>2</v>
      </c>
      <c r="J71" s="52" t="s">
        <v>42</v>
      </c>
      <c r="K71" s="98" t="s">
        <v>3</v>
      </c>
      <c r="L71" s="98"/>
      <c r="M71" s="98"/>
      <c r="N71" s="98"/>
      <c r="O71" s="98"/>
    </row>
    <row r="72" spans="2:20" ht="15.75" x14ac:dyDescent="0.25">
      <c r="B72" s="109"/>
      <c r="C72" s="89" t="s">
        <v>8</v>
      </c>
      <c r="D72" s="89"/>
      <c r="E72" s="89"/>
      <c r="F72" s="89"/>
      <c r="G72" s="89"/>
      <c r="H72" s="63">
        <f>parameters!F50</f>
        <v>0.46524064171122992</v>
      </c>
      <c r="I72" s="23"/>
      <c r="J72" s="18"/>
      <c r="K72" s="18"/>
      <c r="L72" s="18"/>
      <c r="M72" s="18"/>
      <c r="N72" s="18"/>
      <c r="O72" s="18"/>
    </row>
    <row r="73" spans="2:20" ht="18" x14ac:dyDescent="0.25">
      <c r="B73" s="109"/>
      <c r="C73" s="89" t="s">
        <v>4</v>
      </c>
      <c r="D73" s="89"/>
      <c r="E73" s="89"/>
      <c r="F73" s="89"/>
      <c r="G73" s="89"/>
      <c r="H73" s="61">
        <f>0.0000000567</f>
        <v>5.6699999999999998E-8</v>
      </c>
      <c r="I73" s="23" t="s">
        <v>28</v>
      </c>
      <c r="J73" s="18"/>
      <c r="K73" s="18"/>
      <c r="L73" s="18"/>
      <c r="M73" s="18"/>
      <c r="N73" s="18"/>
      <c r="O73" s="18"/>
    </row>
    <row r="74" spans="2:20" ht="18" x14ac:dyDescent="0.25">
      <c r="B74" s="109"/>
      <c r="C74" s="89" t="s">
        <v>5</v>
      </c>
      <c r="D74" s="89"/>
      <c r="E74" s="89"/>
      <c r="F74" s="89"/>
      <c r="G74" s="89"/>
      <c r="H74" s="63">
        <f>parameters!F22</f>
        <v>0.22</v>
      </c>
      <c r="I74" s="23" t="s">
        <v>35</v>
      </c>
      <c r="J74" s="18"/>
      <c r="K74" s="18"/>
      <c r="L74" s="18"/>
      <c r="M74" s="18"/>
      <c r="N74" s="18"/>
      <c r="O74" s="18"/>
    </row>
    <row r="75" spans="2:20" ht="15.75" x14ac:dyDescent="0.25">
      <c r="B75" s="109"/>
      <c r="C75" s="89" t="s">
        <v>6</v>
      </c>
      <c r="D75" s="89"/>
      <c r="E75" s="89"/>
      <c r="F75" s="89"/>
      <c r="G75" s="89"/>
      <c r="H75" s="63">
        <f>parameters!F56</f>
        <v>1</v>
      </c>
      <c r="I75" s="23"/>
      <c r="J75" s="18"/>
      <c r="K75" s="18"/>
      <c r="L75" s="18"/>
      <c r="M75" s="18"/>
      <c r="N75" s="18"/>
      <c r="O75" s="18"/>
    </row>
    <row r="76" spans="2:20" ht="18" x14ac:dyDescent="0.25">
      <c r="B76" s="109"/>
      <c r="C76" s="89" t="s">
        <v>257</v>
      </c>
      <c r="D76" s="89"/>
      <c r="E76" s="89"/>
      <c r="F76" s="89"/>
      <c r="G76" s="89"/>
      <c r="H76" s="44">
        <f>H72*H73*H74*H75</f>
        <v>5.8034117647058813E-9</v>
      </c>
      <c r="I76" s="23" t="s">
        <v>177</v>
      </c>
      <c r="J76" s="18"/>
      <c r="K76" s="18"/>
      <c r="L76" s="18"/>
      <c r="M76" s="18"/>
      <c r="N76" s="18"/>
      <c r="O76" s="18"/>
    </row>
    <row r="77" spans="2:20" ht="15.75" x14ac:dyDescent="0.25">
      <c r="B77" s="109">
        <v>12</v>
      </c>
      <c r="C77" s="100" t="s">
        <v>53</v>
      </c>
      <c r="D77" s="100"/>
      <c r="E77" s="100"/>
      <c r="F77" s="100"/>
      <c r="G77" s="100"/>
      <c r="H77" s="20"/>
      <c r="I77" s="21" t="s">
        <v>2</v>
      </c>
      <c r="J77" s="52" t="s">
        <v>42</v>
      </c>
      <c r="K77" s="98" t="s">
        <v>3</v>
      </c>
      <c r="L77" s="98"/>
      <c r="M77" s="98"/>
      <c r="N77" s="98"/>
      <c r="O77" s="98"/>
    </row>
    <row r="78" spans="2:20" ht="15.75" x14ac:dyDescent="0.25">
      <c r="B78" s="109"/>
      <c r="C78" s="89" t="s">
        <v>8</v>
      </c>
      <c r="D78" s="89"/>
      <c r="E78" s="89"/>
      <c r="F78" s="89"/>
      <c r="G78" s="89"/>
      <c r="H78" s="63">
        <f>parameters!F52</f>
        <v>0.19419642857142858</v>
      </c>
      <c r="I78" s="23"/>
      <c r="J78" s="18"/>
      <c r="K78" s="18"/>
      <c r="L78" s="18"/>
      <c r="M78" s="18"/>
      <c r="N78" s="18"/>
      <c r="O78" s="18"/>
    </row>
    <row r="79" spans="2:20" ht="18" x14ac:dyDescent="0.25">
      <c r="B79" s="109"/>
      <c r="C79" s="89" t="s">
        <v>4</v>
      </c>
      <c r="D79" s="89"/>
      <c r="E79" s="89"/>
      <c r="F79" s="89"/>
      <c r="G79" s="89"/>
      <c r="H79" s="61">
        <f>0.0000000567</f>
        <v>5.6699999999999998E-8</v>
      </c>
      <c r="I79" s="23" t="s">
        <v>28</v>
      </c>
      <c r="J79" s="18"/>
      <c r="K79" s="18"/>
      <c r="L79" s="18"/>
      <c r="M79" s="18"/>
      <c r="N79" s="18"/>
      <c r="O79" s="18"/>
    </row>
    <row r="80" spans="2:20" ht="18" x14ac:dyDescent="0.25">
      <c r="B80" s="109"/>
      <c r="C80" s="89" t="s">
        <v>5</v>
      </c>
      <c r="D80" s="89"/>
      <c r="E80" s="89"/>
      <c r="F80" s="89"/>
      <c r="G80" s="89"/>
      <c r="H80" s="63">
        <f>parameters!F22</f>
        <v>0.22</v>
      </c>
      <c r="I80" s="23" t="s">
        <v>35</v>
      </c>
      <c r="J80" s="18"/>
      <c r="K80" s="18"/>
      <c r="L80" s="18"/>
      <c r="M80" s="18"/>
      <c r="N80" s="18"/>
      <c r="O80" s="18"/>
    </row>
    <row r="81" spans="2:15" ht="15.75" x14ac:dyDescent="0.25">
      <c r="B81" s="109"/>
      <c r="C81" s="89" t="s">
        <v>6</v>
      </c>
      <c r="D81" s="89"/>
      <c r="E81" s="89"/>
      <c r="F81" s="89"/>
      <c r="G81" s="89"/>
      <c r="H81" s="63">
        <f>parameters!F59</f>
        <v>1</v>
      </c>
      <c r="I81" s="23"/>
      <c r="J81" s="18"/>
      <c r="K81" s="18"/>
      <c r="L81" s="18"/>
      <c r="M81" s="18"/>
      <c r="N81" s="18"/>
      <c r="O81" s="18"/>
    </row>
    <row r="82" spans="2:15" ht="18" x14ac:dyDescent="0.25">
      <c r="B82" s="109"/>
      <c r="C82" s="89" t="s">
        <v>259</v>
      </c>
      <c r="D82" s="89"/>
      <c r="E82" s="89"/>
      <c r="F82" s="89"/>
      <c r="G82" s="89"/>
      <c r="H82" s="44">
        <f>H78*H79*H80*H81</f>
        <v>2.4224062500000002E-9</v>
      </c>
      <c r="I82" s="23" t="s">
        <v>177</v>
      </c>
      <c r="J82" s="23"/>
      <c r="K82" s="23"/>
      <c r="L82" s="23"/>
      <c r="M82" s="23"/>
      <c r="N82" s="23"/>
      <c r="O82" s="23"/>
    </row>
    <row r="83" spans="2:15" ht="15.75" x14ac:dyDescent="0.25">
      <c r="B83" s="109">
        <v>13</v>
      </c>
      <c r="C83" s="100" t="s">
        <v>54</v>
      </c>
      <c r="D83" s="100"/>
      <c r="E83" s="100"/>
      <c r="F83" s="100"/>
      <c r="G83" s="100"/>
      <c r="H83" s="20"/>
      <c r="I83" s="21" t="s">
        <v>2</v>
      </c>
      <c r="J83" s="52" t="s">
        <v>42</v>
      </c>
      <c r="K83" s="98" t="s">
        <v>3</v>
      </c>
      <c r="L83" s="98"/>
      <c r="M83" s="98"/>
      <c r="N83" s="98"/>
      <c r="O83" s="98"/>
    </row>
    <row r="84" spans="2:15" ht="15.75" x14ac:dyDescent="0.25">
      <c r="B84" s="109"/>
      <c r="C84" s="89" t="s">
        <v>8</v>
      </c>
      <c r="D84" s="89"/>
      <c r="E84" s="89"/>
      <c r="F84" s="89"/>
      <c r="G84" s="89"/>
      <c r="H84" s="63">
        <f>parameters!F48</f>
        <v>0.87</v>
      </c>
      <c r="I84" s="23"/>
      <c r="J84" s="23"/>
      <c r="K84" s="23"/>
      <c r="L84" s="23"/>
      <c r="M84" s="23"/>
      <c r="N84" s="23"/>
      <c r="O84" s="23"/>
    </row>
    <row r="85" spans="2:15" ht="18" x14ac:dyDescent="0.25">
      <c r="B85" s="109"/>
      <c r="C85" s="89" t="s">
        <v>4</v>
      </c>
      <c r="D85" s="89"/>
      <c r="E85" s="89"/>
      <c r="F85" s="89"/>
      <c r="G85" s="89"/>
      <c r="H85" s="61">
        <f>0.0000000567</f>
        <v>5.6699999999999998E-8</v>
      </c>
      <c r="I85" s="23" t="s">
        <v>28</v>
      </c>
      <c r="J85" s="23"/>
      <c r="K85" s="23"/>
      <c r="L85" s="23"/>
      <c r="M85" s="23"/>
      <c r="N85" s="23"/>
      <c r="O85" s="23"/>
    </row>
    <row r="86" spans="2:15" ht="18" x14ac:dyDescent="0.25">
      <c r="B86" s="109"/>
      <c r="C86" s="89" t="s">
        <v>5</v>
      </c>
      <c r="D86" s="89"/>
      <c r="E86" s="89"/>
      <c r="F86" s="89"/>
      <c r="G86" s="89"/>
      <c r="H86" s="63">
        <f>parameters!F22</f>
        <v>0.22</v>
      </c>
      <c r="I86" s="23" t="s">
        <v>35</v>
      </c>
      <c r="J86" s="23"/>
      <c r="K86" s="23"/>
      <c r="L86" s="23"/>
      <c r="M86" s="23"/>
      <c r="N86" s="23"/>
      <c r="O86" s="23"/>
    </row>
    <row r="87" spans="2:15" ht="15.75" x14ac:dyDescent="0.25">
      <c r="B87" s="109"/>
      <c r="C87" s="89" t="s">
        <v>6</v>
      </c>
      <c r="D87" s="89"/>
      <c r="E87" s="89"/>
      <c r="F87" s="89"/>
      <c r="G87" s="89"/>
      <c r="H87" s="63">
        <f>parameters!F61</f>
        <v>1</v>
      </c>
      <c r="I87" s="23"/>
      <c r="J87" s="23"/>
      <c r="K87" s="23"/>
      <c r="L87" s="23"/>
      <c r="M87" s="23"/>
      <c r="N87" s="23"/>
      <c r="O87" s="23"/>
    </row>
    <row r="88" spans="2:15" ht="18" x14ac:dyDescent="0.25">
      <c r="B88" s="109"/>
      <c r="C88" s="89" t="s">
        <v>258</v>
      </c>
      <c r="D88" s="89"/>
      <c r="E88" s="89"/>
      <c r="F88" s="89"/>
      <c r="G88" s="89"/>
      <c r="H88" s="44">
        <f>H84*H85*H86*H87</f>
        <v>1.0852379999999999E-8</v>
      </c>
      <c r="I88" s="23" t="s">
        <v>177</v>
      </c>
      <c r="J88" s="23"/>
      <c r="K88" s="23"/>
      <c r="L88" s="23"/>
      <c r="M88" s="23"/>
      <c r="N88" s="23"/>
      <c r="O88" s="23"/>
    </row>
    <row r="89" spans="2:15" ht="15.75" x14ac:dyDescent="0.25">
      <c r="B89" s="109">
        <v>14</v>
      </c>
      <c r="C89" s="110" t="s">
        <v>86</v>
      </c>
      <c r="D89" s="110"/>
      <c r="E89" s="110"/>
      <c r="F89" s="110"/>
      <c r="G89" s="110"/>
      <c r="H89" s="20"/>
      <c r="I89" s="21" t="s">
        <v>2</v>
      </c>
      <c r="J89" s="52" t="s">
        <v>42</v>
      </c>
      <c r="K89" s="98" t="s">
        <v>3</v>
      </c>
      <c r="L89" s="98"/>
      <c r="M89" s="98"/>
      <c r="N89" s="98"/>
      <c r="O89" s="98"/>
    </row>
    <row r="90" spans="2:15" ht="15.75" x14ac:dyDescent="0.25">
      <c r="B90" s="109"/>
      <c r="C90" s="89" t="s">
        <v>56</v>
      </c>
      <c r="D90" s="89"/>
      <c r="E90" s="89"/>
      <c r="F90" s="89"/>
      <c r="G90" s="89"/>
      <c r="H90" s="63">
        <f>parameters!F49</f>
        <v>0.69</v>
      </c>
      <c r="I90" s="23"/>
      <c r="J90" s="23"/>
      <c r="K90" s="23"/>
      <c r="L90" s="23"/>
      <c r="M90" s="23"/>
      <c r="N90" s="23"/>
      <c r="O90" s="23"/>
    </row>
    <row r="91" spans="2:15" ht="18" x14ac:dyDescent="0.25">
      <c r="B91" s="109"/>
      <c r="C91" s="89" t="s">
        <v>4</v>
      </c>
      <c r="D91" s="89"/>
      <c r="E91" s="89"/>
      <c r="F91" s="89"/>
      <c r="G91" s="89"/>
      <c r="H91" s="61">
        <f>0.0000000567</f>
        <v>5.6699999999999998E-8</v>
      </c>
      <c r="I91" s="23" t="s">
        <v>28</v>
      </c>
      <c r="J91" s="23"/>
      <c r="K91" s="23"/>
      <c r="L91" s="23"/>
      <c r="M91" s="23"/>
      <c r="N91" s="23"/>
      <c r="O91" s="23"/>
    </row>
    <row r="92" spans="2:15" ht="18" x14ac:dyDescent="0.25">
      <c r="B92" s="109"/>
      <c r="C92" s="89" t="s">
        <v>5</v>
      </c>
      <c r="D92" s="89"/>
      <c r="E92" s="89"/>
      <c r="F92" s="89"/>
      <c r="G92" s="89"/>
      <c r="H92" s="63">
        <f>parameters!F22</f>
        <v>0.22</v>
      </c>
      <c r="I92" s="23" t="s">
        <v>35</v>
      </c>
      <c r="J92" s="23"/>
      <c r="K92" s="23"/>
      <c r="L92" s="23"/>
      <c r="M92" s="23"/>
      <c r="N92" s="23"/>
      <c r="O92" s="23"/>
    </row>
    <row r="93" spans="2:15" ht="18" x14ac:dyDescent="0.25">
      <c r="B93" s="109"/>
      <c r="C93" s="89" t="s">
        <v>260</v>
      </c>
      <c r="D93" s="89"/>
      <c r="E93" s="89"/>
      <c r="F93" s="89"/>
      <c r="G93" s="89"/>
      <c r="H93" s="44">
        <f>H90*H91*H92</f>
        <v>8.6070599999999998E-9</v>
      </c>
      <c r="I93" s="23" t="s">
        <v>177</v>
      </c>
      <c r="J93" s="23"/>
      <c r="K93" s="23"/>
      <c r="L93" s="23"/>
      <c r="M93" s="23"/>
      <c r="N93" s="23"/>
      <c r="O93" s="23"/>
    </row>
    <row r="94" spans="2:15" ht="15.75" x14ac:dyDescent="0.25">
      <c r="B94" s="109">
        <v>15</v>
      </c>
      <c r="C94" s="110" t="s">
        <v>36</v>
      </c>
      <c r="D94" s="110"/>
      <c r="E94" s="110"/>
      <c r="F94" s="110"/>
      <c r="G94" s="110"/>
      <c r="H94" s="20"/>
      <c r="I94" s="21" t="s">
        <v>2</v>
      </c>
      <c r="J94" s="52" t="s">
        <v>42</v>
      </c>
      <c r="K94" s="98" t="s">
        <v>3</v>
      </c>
      <c r="L94" s="98"/>
      <c r="M94" s="98"/>
      <c r="N94" s="98"/>
      <c r="O94" s="98"/>
    </row>
    <row r="95" spans="2:15" ht="18" x14ac:dyDescent="0.25">
      <c r="B95" s="109"/>
      <c r="C95" s="97" t="s">
        <v>38</v>
      </c>
      <c r="D95" s="97"/>
      <c r="E95" s="97"/>
      <c r="F95" s="97"/>
      <c r="G95" s="97"/>
      <c r="H95" s="64">
        <f>parameters!F22</f>
        <v>0.22</v>
      </c>
      <c r="I95" s="23" t="s">
        <v>35</v>
      </c>
      <c r="J95" s="23"/>
      <c r="K95" s="99"/>
      <c r="L95" s="99"/>
      <c r="M95" s="99"/>
      <c r="N95" s="99"/>
      <c r="O95" s="99"/>
    </row>
    <row r="96" spans="2:15" ht="15.75" x14ac:dyDescent="0.25">
      <c r="B96" s="109"/>
      <c r="C96" s="97" t="s">
        <v>41</v>
      </c>
      <c r="D96" s="97"/>
      <c r="E96" s="97"/>
      <c r="F96" s="97"/>
      <c r="G96" s="97"/>
      <c r="H96" s="64">
        <f>parameters!H49</f>
        <v>0.57599999999999996</v>
      </c>
      <c r="I96" s="18"/>
      <c r="J96" s="23"/>
      <c r="K96" s="99"/>
      <c r="L96" s="99"/>
      <c r="M96" s="99"/>
      <c r="N96" s="99"/>
      <c r="O96" s="99"/>
    </row>
    <row r="97" spans="2:15" ht="18" x14ac:dyDescent="0.25">
      <c r="B97" s="109"/>
      <c r="C97" s="97" t="s">
        <v>39</v>
      </c>
      <c r="D97" s="97"/>
      <c r="E97" s="97"/>
      <c r="F97" s="97"/>
      <c r="G97" s="97"/>
      <c r="H97" s="64">
        <f>parameters!P8</f>
        <v>832</v>
      </c>
      <c r="I97" s="23" t="s">
        <v>183</v>
      </c>
      <c r="J97" s="23"/>
      <c r="K97" s="99"/>
      <c r="L97" s="99"/>
      <c r="M97" s="99"/>
      <c r="N97" s="99"/>
      <c r="O97" s="99"/>
    </row>
    <row r="98" spans="2:15" x14ac:dyDescent="0.25">
      <c r="B98" s="109"/>
      <c r="C98" s="97" t="s">
        <v>40</v>
      </c>
      <c r="D98" s="97"/>
      <c r="E98" s="97"/>
      <c r="F98" s="97"/>
      <c r="G98" s="97"/>
      <c r="H98" s="81">
        <f>H96*H95*H97</f>
        <v>105.43104</v>
      </c>
      <c r="I98" s="18" t="s">
        <v>22</v>
      </c>
      <c r="J98" s="18"/>
      <c r="K98" s="99"/>
      <c r="L98" s="99"/>
      <c r="M98" s="99"/>
      <c r="N98" s="99"/>
      <c r="O98" s="99"/>
    </row>
    <row r="99" spans="2:15" x14ac:dyDescent="0.25">
      <c r="C99" s="115"/>
      <c r="D99" s="115"/>
      <c r="E99" s="115"/>
      <c r="F99" s="115"/>
      <c r="G99" s="115"/>
    </row>
    <row r="100" spans="2:15" x14ac:dyDescent="0.25">
      <c r="C100" s="115"/>
      <c r="D100" s="115"/>
      <c r="E100" s="115"/>
      <c r="F100" s="115"/>
      <c r="G100" s="115"/>
    </row>
    <row r="101" spans="2:15" ht="15.75" x14ac:dyDescent="0.25">
      <c r="B101" s="101" t="s">
        <v>43</v>
      </c>
      <c r="C101" s="101"/>
      <c r="D101" s="101"/>
      <c r="E101" s="101"/>
      <c r="F101" s="101"/>
      <c r="G101" s="101"/>
      <c r="H101" s="1"/>
      <c r="I101" s="1"/>
    </row>
    <row r="102" spans="2:15" ht="15.75" x14ac:dyDescent="0.25">
      <c r="B102" s="109">
        <v>16</v>
      </c>
      <c r="C102" s="108" t="s">
        <v>44</v>
      </c>
      <c r="D102" s="108"/>
      <c r="E102" s="108"/>
      <c r="F102" s="108"/>
      <c r="G102" s="108"/>
      <c r="H102" s="31"/>
      <c r="I102" s="21" t="s">
        <v>2</v>
      </c>
      <c r="J102" s="52" t="s">
        <v>42</v>
      </c>
      <c r="K102" s="98" t="s">
        <v>3</v>
      </c>
      <c r="L102" s="98"/>
      <c r="M102" s="98"/>
      <c r="N102" s="98"/>
      <c r="O102" s="98"/>
    </row>
    <row r="103" spans="2:15" ht="15.75" x14ac:dyDescent="0.25">
      <c r="B103" s="109"/>
      <c r="C103" s="89" t="s">
        <v>26</v>
      </c>
      <c r="D103" s="89"/>
      <c r="E103" s="89"/>
      <c r="F103" s="89"/>
      <c r="G103" s="89"/>
      <c r="H103" s="63">
        <f>parameters!F42</f>
        <v>0.9</v>
      </c>
      <c r="I103" s="23" t="s">
        <v>34</v>
      </c>
      <c r="J103" s="23"/>
      <c r="K103" s="23"/>
      <c r="L103" s="23"/>
      <c r="M103" s="23"/>
      <c r="N103" s="23"/>
      <c r="O103" s="23"/>
    </row>
    <row r="104" spans="2:15" ht="15.75" x14ac:dyDescent="0.25">
      <c r="B104" s="109"/>
      <c r="C104" s="89" t="s">
        <v>248</v>
      </c>
      <c r="D104" s="89"/>
      <c r="E104" s="89"/>
      <c r="F104" s="89"/>
      <c r="G104" s="89"/>
      <c r="H104" s="63">
        <f>parameters!F27</f>
        <v>2E-3</v>
      </c>
      <c r="I104" s="23" t="s">
        <v>23</v>
      </c>
      <c r="J104" s="23"/>
      <c r="K104" s="23"/>
      <c r="L104" s="23"/>
      <c r="M104" s="23"/>
      <c r="N104" s="23"/>
      <c r="O104" s="23"/>
    </row>
    <row r="105" spans="2:15" ht="18" x14ac:dyDescent="0.25">
      <c r="B105" s="109"/>
      <c r="C105" s="89" t="s">
        <v>27</v>
      </c>
      <c r="D105" s="89"/>
      <c r="E105" s="89"/>
      <c r="F105" s="89"/>
      <c r="G105" s="89"/>
      <c r="H105" s="63">
        <f>parameters!F15*parameters!F20</f>
        <v>2.5000000000000001E-3</v>
      </c>
      <c r="I105" s="23" t="s">
        <v>35</v>
      </c>
      <c r="J105" s="23"/>
      <c r="K105" s="23"/>
      <c r="L105" s="23"/>
      <c r="M105" s="23"/>
      <c r="N105" s="23"/>
      <c r="O105" s="23"/>
    </row>
    <row r="106" spans="2:15" ht="15.75" x14ac:dyDescent="0.25">
      <c r="B106" s="109"/>
      <c r="C106" s="89" t="s">
        <v>265</v>
      </c>
      <c r="D106" s="89"/>
      <c r="E106" s="89"/>
      <c r="F106" s="89"/>
      <c r="G106" s="89"/>
      <c r="H106" s="44">
        <f>(2*H103*H105)/H104</f>
        <v>2.25</v>
      </c>
      <c r="I106" s="23" t="s">
        <v>215</v>
      </c>
      <c r="J106" s="23"/>
      <c r="K106" s="99" t="s">
        <v>220</v>
      </c>
      <c r="L106" s="99"/>
      <c r="M106" s="99"/>
      <c r="N106" s="99"/>
      <c r="O106" s="99"/>
    </row>
    <row r="107" spans="2:15" ht="15.75" x14ac:dyDescent="0.25">
      <c r="B107" s="109">
        <v>17</v>
      </c>
      <c r="C107" s="93" t="s">
        <v>263</v>
      </c>
      <c r="D107" s="93"/>
      <c r="E107" s="93"/>
      <c r="F107" s="93"/>
      <c r="G107" s="93"/>
      <c r="H107" s="31"/>
      <c r="I107" s="21" t="s">
        <v>2</v>
      </c>
      <c r="J107" s="52" t="s">
        <v>42</v>
      </c>
      <c r="K107" s="98" t="s">
        <v>3</v>
      </c>
      <c r="L107" s="98"/>
      <c r="M107" s="98"/>
      <c r="N107" s="98"/>
      <c r="O107" s="98"/>
    </row>
    <row r="108" spans="2:15" ht="18" x14ac:dyDescent="0.25">
      <c r="B108" s="109"/>
      <c r="C108" s="89" t="s">
        <v>264</v>
      </c>
      <c r="D108" s="89"/>
      <c r="E108" s="89"/>
      <c r="F108" s="89"/>
      <c r="G108" s="89"/>
      <c r="H108" s="63">
        <f>parameters!F26</f>
        <v>0.22</v>
      </c>
      <c r="I108" s="23" t="s">
        <v>35</v>
      </c>
      <c r="J108" s="23"/>
      <c r="K108" s="23"/>
      <c r="L108" s="23"/>
      <c r="M108" s="23"/>
      <c r="N108" s="23"/>
      <c r="O108" s="23"/>
    </row>
    <row r="109" spans="2:15" ht="15.75" x14ac:dyDescent="0.25">
      <c r="B109" s="109"/>
      <c r="C109" s="89" t="s">
        <v>321</v>
      </c>
      <c r="D109" s="89"/>
      <c r="E109" s="89"/>
      <c r="F109" s="89"/>
      <c r="G109" s="89"/>
      <c r="H109" s="63">
        <f>2*(parameters!F20+parameters!F21)</f>
        <v>1.88</v>
      </c>
      <c r="I109" s="23"/>
      <c r="J109" s="23"/>
      <c r="K109" s="23" t="s">
        <v>37</v>
      </c>
      <c r="L109" s="23"/>
      <c r="M109" s="23"/>
      <c r="N109" s="23"/>
      <c r="O109" s="23"/>
    </row>
    <row r="110" spans="2:15" ht="15.75" x14ac:dyDescent="0.25">
      <c r="B110" s="109"/>
      <c r="C110" s="89" t="s">
        <v>323</v>
      </c>
      <c r="D110" s="89"/>
      <c r="E110" s="89"/>
      <c r="F110" s="89"/>
      <c r="G110" s="89"/>
      <c r="H110" s="63">
        <f>H108/H109</f>
        <v>0.11702127659574468</v>
      </c>
      <c r="I110" s="23"/>
      <c r="J110" s="23"/>
      <c r="K110" s="23"/>
      <c r="L110" s="23"/>
      <c r="M110" s="23"/>
      <c r="N110" s="23"/>
      <c r="O110" s="23"/>
    </row>
    <row r="111" spans="2:15" ht="18.75" x14ac:dyDescent="0.35">
      <c r="B111" s="109"/>
      <c r="C111" s="89" t="s">
        <v>266</v>
      </c>
      <c r="D111" s="89"/>
      <c r="E111" s="89"/>
      <c r="F111" s="89"/>
      <c r="G111" s="89"/>
      <c r="H111" s="44">
        <f>H108</f>
        <v>0.22</v>
      </c>
      <c r="I111" s="23" t="s">
        <v>215</v>
      </c>
      <c r="J111" s="23"/>
      <c r="K111" s="99" t="s">
        <v>255</v>
      </c>
      <c r="L111" s="99"/>
      <c r="M111" s="99"/>
      <c r="N111" s="99"/>
      <c r="O111" s="99"/>
    </row>
    <row r="112" spans="2:15" ht="15.75" x14ac:dyDescent="0.25">
      <c r="B112" s="109">
        <v>18</v>
      </c>
      <c r="C112" s="114" t="s">
        <v>267</v>
      </c>
      <c r="D112" s="114"/>
      <c r="E112" s="114"/>
      <c r="F112" s="114"/>
      <c r="G112" s="114"/>
      <c r="H112" s="31"/>
      <c r="I112" s="21" t="s">
        <v>2</v>
      </c>
      <c r="J112" s="52" t="s">
        <v>42</v>
      </c>
      <c r="K112" s="98" t="s">
        <v>3</v>
      </c>
      <c r="L112" s="98"/>
      <c r="M112" s="98"/>
      <c r="N112" s="98"/>
      <c r="O112" s="98"/>
    </row>
    <row r="113" spans="2:15" ht="15.75" x14ac:dyDescent="0.25">
      <c r="B113" s="109"/>
      <c r="C113" s="89" t="s">
        <v>268</v>
      </c>
      <c r="D113" s="89"/>
      <c r="E113" s="89"/>
      <c r="F113" s="89"/>
      <c r="G113" s="89"/>
      <c r="H113" s="64">
        <f>parameters!F26</f>
        <v>0.22</v>
      </c>
      <c r="I113" s="18"/>
      <c r="J113" s="18"/>
      <c r="K113" s="18"/>
      <c r="L113" s="18"/>
      <c r="M113" s="18"/>
      <c r="N113" s="18"/>
      <c r="O113" s="18"/>
    </row>
    <row r="114" spans="2:15" ht="15.75" x14ac:dyDescent="0.25">
      <c r="B114" s="109"/>
      <c r="C114" s="89" t="s">
        <v>321</v>
      </c>
      <c r="D114" s="89"/>
      <c r="E114" s="89"/>
      <c r="F114" s="89"/>
      <c r="G114" s="89"/>
      <c r="H114" s="63">
        <f>2*(parameters!F20+parameters!F21)</f>
        <v>1.88</v>
      </c>
      <c r="I114" s="18"/>
      <c r="J114" s="18"/>
      <c r="K114" s="18"/>
      <c r="L114" s="18"/>
      <c r="M114" s="18"/>
      <c r="N114" s="18"/>
      <c r="O114" s="18"/>
    </row>
    <row r="115" spans="2:15" ht="15.75" x14ac:dyDescent="0.25">
      <c r="B115" s="109"/>
      <c r="C115" s="89" t="s">
        <v>323</v>
      </c>
      <c r="D115" s="89"/>
      <c r="E115" s="89"/>
      <c r="F115" s="89"/>
      <c r="G115" s="89"/>
      <c r="H115" s="63">
        <f>H113/H114</f>
        <v>0.11702127659574468</v>
      </c>
      <c r="I115" s="18"/>
      <c r="J115" s="18"/>
      <c r="K115" s="18"/>
      <c r="L115" s="18"/>
      <c r="M115" s="18"/>
      <c r="N115" s="18"/>
      <c r="O115" s="18"/>
    </row>
    <row r="116" spans="2:15" ht="18.75" x14ac:dyDescent="0.35">
      <c r="B116" s="109"/>
      <c r="C116" s="89" t="s">
        <v>272</v>
      </c>
      <c r="D116" s="89"/>
      <c r="E116" s="89"/>
      <c r="F116" s="89"/>
      <c r="G116" s="89"/>
      <c r="H116" s="81">
        <f>H113</f>
        <v>0.22</v>
      </c>
      <c r="I116" s="23" t="s">
        <v>215</v>
      </c>
      <c r="J116" s="18"/>
      <c r="K116" s="99" t="s">
        <v>256</v>
      </c>
      <c r="L116" s="99"/>
      <c r="M116" s="99"/>
      <c r="N116" s="99"/>
      <c r="O116" s="99"/>
    </row>
    <row r="117" spans="2:15" ht="15.75" x14ac:dyDescent="0.25">
      <c r="B117" s="109">
        <v>19</v>
      </c>
      <c r="C117" s="100" t="s">
        <v>269</v>
      </c>
      <c r="D117" s="100"/>
      <c r="E117" s="100"/>
      <c r="F117" s="100"/>
      <c r="G117" s="100"/>
      <c r="H117" s="20" t="s">
        <v>19</v>
      </c>
      <c r="I117" s="21" t="s">
        <v>2</v>
      </c>
      <c r="J117" s="52" t="s">
        <v>42</v>
      </c>
      <c r="K117" s="98" t="s">
        <v>3</v>
      </c>
      <c r="L117" s="98"/>
      <c r="M117" s="98"/>
      <c r="N117" s="98"/>
      <c r="O117" s="98"/>
    </row>
    <row r="118" spans="2:15" ht="15.75" x14ac:dyDescent="0.25">
      <c r="B118" s="109"/>
      <c r="C118" s="89" t="s">
        <v>8</v>
      </c>
      <c r="D118" s="89"/>
      <c r="E118" s="89"/>
      <c r="F118" s="89"/>
      <c r="G118" s="89"/>
      <c r="H118" s="63">
        <f>parameters!F50</f>
        <v>0.46524064171122992</v>
      </c>
      <c r="I118" s="23"/>
      <c r="J118" s="18"/>
      <c r="K118" s="18"/>
      <c r="L118" s="18"/>
      <c r="M118" s="18"/>
      <c r="N118" s="18"/>
      <c r="O118" s="18"/>
    </row>
    <row r="119" spans="2:15" ht="18" x14ac:dyDescent="0.25">
      <c r="B119" s="109"/>
      <c r="C119" s="89" t="s">
        <v>4</v>
      </c>
      <c r="D119" s="89"/>
      <c r="E119" s="89"/>
      <c r="F119" s="89"/>
      <c r="G119" s="89"/>
      <c r="H119" s="63">
        <f>0.0000000567</f>
        <v>5.6699999999999998E-8</v>
      </c>
      <c r="I119" s="23" t="s">
        <v>28</v>
      </c>
      <c r="J119" s="18"/>
      <c r="K119" s="18"/>
      <c r="L119" s="18"/>
      <c r="M119" s="18"/>
      <c r="N119" s="18"/>
      <c r="O119" s="18"/>
    </row>
    <row r="120" spans="2:15" ht="18" x14ac:dyDescent="0.25">
      <c r="B120" s="109"/>
      <c r="C120" s="89" t="s">
        <v>5</v>
      </c>
      <c r="D120" s="89"/>
      <c r="E120" s="89"/>
      <c r="F120" s="89"/>
      <c r="G120" s="89"/>
      <c r="H120" s="63">
        <f>parameters!F26</f>
        <v>0.22</v>
      </c>
      <c r="I120" s="23" t="s">
        <v>35</v>
      </c>
      <c r="J120" s="18"/>
      <c r="K120" s="18"/>
      <c r="L120" s="18"/>
      <c r="M120" s="18"/>
      <c r="N120" s="18"/>
      <c r="O120" s="18"/>
    </row>
    <row r="121" spans="2:15" ht="15.75" x14ac:dyDescent="0.25">
      <c r="B121" s="109"/>
      <c r="C121" s="89" t="s">
        <v>6</v>
      </c>
      <c r="D121" s="89"/>
      <c r="E121" s="89"/>
      <c r="F121" s="89"/>
      <c r="G121" s="89"/>
      <c r="H121" s="63">
        <f>parameters!F57</f>
        <v>1</v>
      </c>
      <c r="I121" s="23"/>
      <c r="J121" s="18"/>
      <c r="K121" s="18"/>
      <c r="L121" s="18"/>
      <c r="M121" s="18"/>
      <c r="N121" s="18"/>
      <c r="O121" s="18"/>
    </row>
    <row r="122" spans="2:15" ht="18" x14ac:dyDescent="0.25">
      <c r="B122" s="109"/>
      <c r="C122" s="89" t="s">
        <v>273</v>
      </c>
      <c r="D122" s="89"/>
      <c r="E122" s="89"/>
      <c r="F122" s="89"/>
      <c r="G122" s="89"/>
      <c r="H122" s="44">
        <f>H118*H119*H120*H121</f>
        <v>5.8034117647058813E-9</v>
      </c>
      <c r="I122" s="23" t="s">
        <v>177</v>
      </c>
      <c r="J122" s="18"/>
      <c r="K122" s="18"/>
      <c r="L122" s="18"/>
      <c r="M122" s="18"/>
      <c r="N122" s="18"/>
      <c r="O122" s="18"/>
    </row>
    <row r="123" spans="2:15" ht="15.75" x14ac:dyDescent="0.25">
      <c r="B123" s="109">
        <v>20</v>
      </c>
      <c r="C123" s="100" t="s">
        <v>270</v>
      </c>
      <c r="D123" s="100"/>
      <c r="E123" s="100"/>
      <c r="F123" s="100"/>
      <c r="G123" s="100"/>
      <c r="H123" s="20"/>
      <c r="I123" s="21" t="s">
        <v>2</v>
      </c>
      <c r="J123" s="52" t="s">
        <v>42</v>
      </c>
      <c r="K123" s="98" t="s">
        <v>3</v>
      </c>
      <c r="L123" s="98"/>
      <c r="M123" s="98"/>
      <c r="N123" s="98"/>
      <c r="O123" s="98"/>
    </row>
    <row r="124" spans="2:15" ht="15.75" x14ac:dyDescent="0.25">
      <c r="B124" s="109"/>
      <c r="C124" s="89" t="s">
        <v>8</v>
      </c>
      <c r="D124" s="89"/>
      <c r="E124" s="89"/>
      <c r="F124" s="89"/>
      <c r="G124" s="89"/>
      <c r="H124" s="63">
        <f>parameters!F52</f>
        <v>0.19419642857142858</v>
      </c>
      <c r="I124" s="23"/>
      <c r="J124" s="18"/>
      <c r="K124" s="18"/>
      <c r="L124" s="18"/>
      <c r="M124" s="18"/>
      <c r="N124" s="18"/>
      <c r="O124" s="18"/>
    </row>
    <row r="125" spans="2:15" ht="18" x14ac:dyDescent="0.25">
      <c r="B125" s="109"/>
      <c r="C125" s="89" t="s">
        <v>4</v>
      </c>
      <c r="D125" s="89"/>
      <c r="E125" s="89"/>
      <c r="F125" s="89"/>
      <c r="G125" s="89"/>
      <c r="H125" s="63">
        <f>0.0000000567</f>
        <v>5.6699999999999998E-8</v>
      </c>
      <c r="I125" s="23" t="s">
        <v>28</v>
      </c>
      <c r="J125" s="18"/>
      <c r="K125" s="18"/>
      <c r="L125" s="18"/>
      <c r="M125" s="18"/>
      <c r="N125" s="18"/>
      <c r="O125" s="18"/>
    </row>
    <row r="126" spans="2:15" ht="18" x14ac:dyDescent="0.25">
      <c r="B126" s="109"/>
      <c r="C126" s="89" t="s">
        <v>5</v>
      </c>
      <c r="D126" s="89"/>
      <c r="E126" s="89"/>
      <c r="F126" s="89"/>
      <c r="G126" s="89"/>
      <c r="H126" s="63">
        <f>parameters!F22</f>
        <v>0.22</v>
      </c>
      <c r="I126" s="23" t="s">
        <v>35</v>
      </c>
      <c r="J126" s="18"/>
      <c r="K126" s="18"/>
      <c r="L126" s="18"/>
      <c r="M126" s="18"/>
      <c r="N126" s="18"/>
      <c r="O126" s="18"/>
    </row>
    <row r="127" spans="2:15" ht="15.75" x14ac:dyDescent="0.25">
      <c r="B127" s="109"/>
      <c r="C127" s="89" t="s">
        <v>6</v>
      </c>
      <c r="D127" s="89"/>
      <c r="E127" s="89"/>
      <c r="F127" s="89"/>
      <c r="G127" s="89"/>
      <c r="H127" s="63">
        <f>parameters!F60</f>
        <v>1</v>
      </c>
      <c r="I127" s="23"/>
      <c r="J127" s="18"/>
      <c r="K127" s="18"/>
      <c r="L127" s="18"/>
      <c r="M127" s="18"/>
      <c r="N127" s="18"/>
      <c r="O127" s="18"/>
    </row>
    <row r="128" spans="2:15" ht="18" x14ac:dyDescent="0.25">
      <c r="B128" s="109"/>
      <c r="C128" s="89" t="s">
        <v>274</v>
      </c>
      <c r="D128" s="89"/>
      <c r="E128" s="89"/>
      <c r="F128" s="89"/>
      <c r="G128" s="89"/>
      <c r="H128" s="44">
        <f>H124*H125*H126*H127</f>
        <v>2.4224062500000002E-9</v>
      </c>
      <c r="I128" s="23" t="s">
        <v>177</v>
      </c>
      <c r="J128" s="23"/>
      <c r="K128" s="23"/>
      <c r="L128" s="23"/>
      <c r="M128" s="23"/>
      <c r="N128" s="23"/>
      <c r="O128" s="23"/>
    </row>
    <row r="129" spans="2:15" ht="15.75" x14ac:dyDescent="0.25">
      <c r="B129" s="109">
        <v>21</v>
      </c>
      <c r="C129" s="100" t="s">
        <v>54</v>
      </c>
      <c r="D129" s="100"/>
      <c r="E129" s="100"/>
      <c r="F129" s="100"/>
      <c r="G129" s="100"/>
      <c r="H129" s="20"/>
      <c r="I129" s="21" t="s">
        <v>2</v>
      </c>
      <c r="J129" s="52" t="s">
        <v>42</v>
      </c>
      <c r="K129" s="98" t="s">
        <v>3</v>
      </c>
      <c r="L129" s="98"/>
      <c r="M129" s="98"/>
      <c r="N129" s="98"/>
      <c r="O129" s="98"/>
    </row>
    <row r="130" spans="2:15" ht="15.75" x14ac:dyDescent="0.25">
      <c r="B130" s="109"/>
      <c r="C130" s="89" t="s">
        <v>8</v>
      </c>
      <c r="D130" s="89"/>
      <c r="E130" s="89"/>
      <c r="F130" s="89"/>
      <c r="G130" s="89"/>
      <c r="H130" s="63">
        <f>parameters!F48</f>
        <v>0.87</v>
      </c>
      <c r="I130" s="23"/>
      <c r="J130" s="23"/>
      <c r="K130" s="23"/>
      <c r="L130" s="23"/>
      <c r="M130" s="23"/>
      <c r="N130" s="23"/>
      <c r="O130" s="23"/>
    </row>
    <row r="131" spans="2:15" ht="18" x14ac:dyDescent="0.25">
      <c r="B131" s="109"/>
      <c r="C131" s="89" t="s">
        <v>4</v>
      </c>
      <c r="D131" s="89"/>
      <c r="E131" s="89"/>
      <c r="F131" s="89"/>
      <c r="G131" s="89"/>
      <c r="H131" s="63">
        <f>0.0000000567</f>
        <v>5.6699999999999998E-8</v>
      </c>
      <c r="I131" s="23" t="s">
        <v>28</v>
      </c>
      <c r="J131" s="23"/>
      <c r="K131" s="23"/>
      <c r="L131" s="23"/>
      <c r="M131" s="23"/>
      <c r="N131" s="23"/>
      <c r="O131" s="23"/>
    </row>
    <row r="132" spans="2:15" ht="18" x14ac:dyDescent="0.25">
      <c r="B132" s="109"/>
      <c r="C132" s="89" t="s">
        <v>5</v>
      </c>
      <c r="D132" s="89"/>
      <c r="E132" s="89"/>
      <c r="F132" s="89"/>
      <c r="G132" s="89"/>
      <c r="H132" s="63">
        <f>parameters!F26</f>
        <v>0.22</v>
      </c>
      <c r="I132" s="23" t="s">
        <v>35</v>
      </c>
      <c r="J132" s="23"/>
      <c r="K132" s="23"/>
      <c r="L132" s="23"/>
      <c r="M132" s="23"/>
      <c r="N132" s="23"/>
      <c r="O132" s="23"/>
    </row>
    <row r="133" spans="2:15" ht="15.75" x14ac:dyDescent="0.25">
      <c r="B133" s="109"/>
      <c r="C133" s="89" t="s">
        <v>6</v>
      </c>
      <c r="D133" s="89"/>
      <c r="E133" s="89"/>
      <c r="F133" s="89"/>
      <c r="G133" s="89"/>
      <c r="H133" s="63">
        <f>parameters!F61</f>
        <v>1</v>
      </c>
      <c r="I133" s="23"/>
      <c r="J133" s="23"/>
      <c r="K133" s="23"/>
      <c r="L133" s="23"/>
      <c r="M133" s="23"/>
      <c r="N133" s="23"/>
      <c r="O133" s="23"/>
    </row>
    <row r="134" spans="2:15" ht="18" x14ac:dyDescent="0.25">
      <c r="B134" s="109"/>
      <c r="C134" s="89" t="s">
        <v>325</v>
      </c>
      <c r="D134" s="89"/>
      <c r="E134" s="89"/>
      <c r="F134" s="89"/>
      <c r="G134" s="89"/>
      <c r="H134" s="44">
        <f>H130*H131*H132*H133</f>
        <v>1.0852379999999999E-8</v>
      </c>
      <c r="I134" s="23" t="s">
        <v>177</v>
      </c>
      <c r="J134" s="23"/>
      <c r="K134" s="23"/>
      <c r="L134" s="23"/>
      <c r="M134" s="23"/>
      <c r="N134" s="23"/>
      <c r="O134" s="23"/>
    </row>
    <row r="135" spans="2:15" ht="15.75" x14ac:dyDescent="0.25">
      <c r="B135" s="109">
        <v>22</v>
      </c>
      <c r="C135" s="110" t="s">
        <v>271</v>
      </c>
      <c r="D135" s="110"/>
      <c r="E135" s="110"/>
      <c r="F135" s="110"/>
      <c r="G135" s="110"/>
      <c r="H135" s="20"/>
      <c r="I135" s="21" t="s">
        <v>2</v>
      </c>
      <c r="J135" s="52" t="s">
        <v>42</v>
      </c>
      <c r="K135" s="98" t="s">
        <v>3</v>
      </c>
      <c r="L135" s="98"/>
      <c r="M135" s="98"/>
      <c r="N135" s="98"/>
      <c r="O135" s="98"/>
    </row>
    <row r="136" spans="2:15" ht="15.75" x14ac:dyDescent="0.25">
      <c r="B136" s="109"/>
      <c r="C136" s="89" t="s">
        <v>56</v>
      </c>
      <c r="D136" s="89"/>
      <c r="E136" s="89"/>
      <c r="F136" s="89"/>
      <c r="G136" s="89"/>
      <c r="H136" s="63">
        <f>parameters!F42</f>
        <v>0.9</v>
      </c>
      <c r="I136" s="23"/>
      <c r="J136" s="23"/>
      <c r="K136" s="23"/>
      <c r="L136" s="23"/>
      <c r="M136" s="23"/>
      <c r="N136" s="23"/>
      <c r="O136" s="23"/>
    </row>
    <row r="137" spans="2:15" ht="18" x14ac:dyDescent="0.25">
      <c r="B137" s="109"/>
      <c r="C137" s="89" t="s">
        <v>4</v>
      </c>
      <c r="D137" s="89"/>
      <c r="E137" s="89"/>
      <c r="F137" s="89"/>
      <c r="G137" s="89"/>
      <c r="H137" s="63">
        <f>0.0000000567</f>
        <v>5.6699999999999998E-8</v>
      </c>
      <c r="I137" s="23" t="s">
        <v>28</v>
      </c>
      <c r="J137" s="23"/>
      <c r="K137" s="23"/>
      <c r="L137" s="23"/>
      <c r="M137" s="23"/>
      <c r="N137" s="23"/>
      <c r="O137" s="23"/>
    </row>
    <row r="138" spans="2:15" ht="18" x14ac:dyDescent="0.25">
      <c r="B138" s="109"/>
      <c r="C138" s="89" t="s">
        <v>5</v>
      </c>
      <c r="D138" s="89"/>
      <c r="E138" s="89"/>
      <c r="F138" s="89"/>
      <c r="G138" s="89"/>
      <c r="H138" s="63">
        <f>parameters!F26</f>
        <v>0.22</v>
      </c>
      <c r="I138" s="23" t="s">
        <v>35</v>
      </c>
      <c r="J138" s="23"/>
      <c r="K138" s="23"/>
      <c r="L138" s="23"/>
      <c r="M138" s="23"/>
      <c r="N138" s="23"/>
      <c r="O138" s="23"/>
    </row>
    <row r="139" spans="2:15" ht="18" x14ac:dyDescent="0.25">
      <c r="B139" s="109"/>
      <c r="C139" s="89" t="s">
        <v>275</v>
      </c>
      <c r="D139" s="89"/>
      <c r="E139" s="89"/>
      <c r="F139" s="89"/>
      <c r="G139" s="89"/>
      <c r="H139" s="44">
        <f>H136*H137*H138</f>
        <v>1.12266E-8</v>
      </c>
      <c r="I139" s="23" t="s">
        <v>177</v>
      </c>
      <c r="J139" s="23"/>
      <c r="K139" s="23"/>
      <c r="L139" s="23"/>
      <c r="M139" s="23"/>
      <c r="N139" s="23"/>
      <c r="O139" s="23"/>
    </row>
    <row r="140" spans="2:15" ht="15.75" x14ac:dyDescent="0.25">
      <c r="B140" s="109">
        <v>23</v>
      </c>
      <c r="C140" s="110" t="s">
        <v>276</v>
      </c>
      <c r="D140" s="110"/>
      <c r="E140" s="110"/>
      <c r="F140" s="110"/>
      <c r="G140" s="110"/>
      <c r="H140" s="20"/>
      <c r="I140" s="21" t="s">
        <v>2</v>
      </c>
      <c r="J140" s="52" t="s">
        <v>42</v>
      </c>
      <c r="K140" s="98" t="s">
        <v>3</v>
      </c>
      <c r="L140" s="98"/>
      <c r="M140" s="98"/>
      <c r="N140" s="98"/>
      <c r="O140" s="98"/>
    </row>
    <row r="141" spans="2:15" ht="15.75" x14ac:dyDescent="0.25">
      <c r="B141" s="109"/>
      <c r="C141" s="97" t="s">
        <v>158</v>
      </c>
      <c r="D141" s="97"/>
      <c r="E141" s="97"/>
      <c r="F141" s="97"/>
      <c r="G141" s="97"/>
      <c r="H141" s="64">
        <v>0.3</v>
      </c>
      <c r="I141" s="18"/>
      <c r="J141" s="23"/>
      <c r="K141" s="99"/>
      <c r="L141" s="99"/>
      <c r="M141" s="99"/>
      <c r="N141" s="99"/>
      <c r="O141" s="99"/>
    </row>
    <row r="142" spans="2:15" ht="18" x14ac:dyDescent="0.25">
      <c r="B142" s="109"/>
      <c r="C142" s="97" t="s">
        <v>38</v>
      </c>
      <c r="D142" s="97"/>
      <c r="E142" s="97"/>
      <c r="F142" s="97"/>
      <c r="G142" s="97"/>
      <c r="H142" s="64">
        <f>parameters!F26</f>
        <v>0.22</v>
      </c>
      <c r="I142" s="23" t="s">
        <v>35</v>
      </c>
      <c r="J142" s="23"/>
      <c r="K142" s="99"/>
      <c r="L142" s="99"/>
      <c r="M142" s="99"/>
      <c r="N142" s="99"/>
      <c r="O142" s="99"/>
    </row>
    <row r="143" spans="2:15" ht="18" x14ac:dyDescent="0.25">
      <c r="B143" s="109"/>
      <c r="C143" s="97" t="s">
        <v>39</v>
      </c>
      <c r="D143" s="97"/>
      <c r="E143" s="97"/>
      <c r="F143" s="97"/>
      <c r="G143" s="97"/>
      <c r="H143" s="64">
        <f>parameters!P8</f>
        <v>832</v>
      </c>
      <c r="I143" s="23" t="s">
        <v>183</v>
      </c>
      <c r="J143" s="23"/>
      <c r="K143" s="99"/>
      <c r="L143" s="99"/>
      <c r="M143" s="99"/>
      <c r="N143" s="99"/>
      <c r="O143" s="99"/>
    </row>
    <row r="144" spans="2:15" ht="15.75" x14ac:dyDescent="0.25">
      <c r="B144" s="109"/>
      <c r="C144" s="94" t="s">
        <v>281</v>
      </c>
      <c r="D144" s="95"/>
      <c r="E144" s="95"/>
      <c r="F144" s="95"/>
      <c r="G144" s="96"/>
      <c r="H144" s="64">
        <f>parameters!H48</f>
        <v>0.39</v>
      </c>
      <c r="I144" s="18"/>
      <c r="J144" s="23"/>
      <c r="K144" s="99"/>
      <c r="L144" s="99"/>
      <c r="M144" s="99"/>
      <c r="N144" s="99"/>
      <c r="O144" s="99"/>
    </row>
    <row r="145" spans="2:15" ht="15" customHeight="1" x14ac:dyDescent="0.25">
      <c r="B145" s="109"/>
      <c r="C145" s="97" t="s">
        <v>40</v>
      </c>
      <c r="D145" s="97"/>
      <c r="E145" s="97"/>
      <c r="F145" s="97"/>
      <c r="G145" s="97"/>
      <c r="H145" s="81">
        <f>H142*H141*H143*H144</f>
        <v>21.415680000000002</v>
      </c>
      <c r="I145" s="18" t="s">
        <v>22</v>
      </c>
      <c r="J145" s="18"/>
      <c r="K145" s="99"/>
      <c r="L145" s="99"/>
      <c r="M145" s="99"/>
      <c r="N145" s="99"/>
      <c r="O145" s="99"/>
    </row>
    <row r="146" spans="2:15" ht="15.75" x14ac:dyDescent="0.25">
      <c r="B146" s="105">
        <v>24</v>
      </c>
      <c r="C146" s="110" t="s">
        <v>283</v>
      </c>
      <c r="D146" s="110"/>
      <c r="E146" s="110"/>
      <c r="F146" s="110"/>
      <c r="G146" s="110"/>
      <c r="H146" s="20"/>
      <c r="I146" s="21" t="s">
        <v>2</v>
      </c>
      <c r="J146" s="52" t="s">
        <v>42</v>
      </c>
      <c r="K146" s="98" t="s">
        <v>3</v>
      </c>
      <c r="L146" s="98"/>
      <c r="M146" s="98"/>
      <c r="N146" s="98"/>
      <c r="O146" s="98"/>
    </row>
    <row r="147" spans="2:15" ht="17.25" x14ac:dyDescent="0.25">
      <c r="B147" s="106"/>
      <c r="C147" s="97" t="s">
        <v>38</v>
      </c>
      <c r="D147" s="97"/>
      <c r="E147" s="97"/>
      <c r="F147" s="97"/>
      <c r="G147" s="97"/>
      <c r="H147" s="64">
        <f>parameters!F26</f>
        <v>0.22</v>
      </c>
      <c r="I147" s="18" t="s">
        <v>98</v>
      </c>
      <c r="J147" s="18"/>
      <c r="K147" s="18"/>
      <c r="L147" s="18"/>
      <c r="M147" s="18"/>
      <c r="N147" s="18"/>
      <c r="O147" s="18"/>
    </row>
    <row r="148" spans="2:15" x14ac:dyDescent="0.25">
      <c r="B148" s="106"/>
      <c r="C148" s="97" t="s">
        <v>41</v>
      </c>
      <c r="D148" s="97"/>
      <c r="E148" s="97"/>
      <c r="F148" s="97"/>
      <c r="G148" s="97"/>
      <c r="H148" s="64">
        <f>parameters!H48</f>
        <v>0.39</v>
      </c>
      <c r="I148" s="18"/>
      <c r="J148" s="18"/>
      <c r="K148" s="18"/>
      <c r="L148" s="18"/>
      <c r="M148" s="18"/>
      <c r="N148" s="18"/>
      <c r="O148" s="18"/>
    </row>
    <row r="149" spans="2:15" x14ac:dyDescent="0.25">
      <c r="B149" s="106"/>
      <c r="C149" s="97" t="s">
        <v>48</v>
      </c>
      <c r="D149" s="97"/>
      <c r="E149" s="97"/>
      <c r="F149" s="97"/>
      <c r="G149" s="97"/>
      <c r="H149" s="42">
        <v>6371000</v>
      </c>
      <c r="I149" s="18" t="s">
        <v>23</v>
      </c>
      <c r="J149" s="18"/>
      <c r="K149" s="18"/>
      <c r="L149" s="18"/>
      <c r="M149" s="18"/>
      <c r="N149" s="18"/>
      <c r="O149" s="18"/>
    </row>
    <row r="150" spans="2:15" x14ac:dyDescent="0.25">
      <c r="B150" s="106"/>
      <c r="C150" s="97" t="s">
        <v>47</v>
      </c>
      <c r="D150" s="97"/>
      <c r="E150" s="97"/>
      <c r="F150" s="97"/>
      <c r="G150" s="97"/>
      <c r="H150" s="64">
        <f>parameters!N8</f>
        <v>0</v>
      </c>
      <c r="I150" s="18" t="s">
        <v>23</v>
      </c>
      <c r="J150" s="18"/>
      <c r="K150" s="18"/>
      <c r="L150" s="18"/>
      <c r="M150" s="18"/>
      <c r="N150" s="18"/>
      <c r="O150" s="18"/>
    </row>
    <row r="151" spans="2:15" x14ac:dyDescent="0.25">
      <c r="B151" s="107"/>
      <c r="C151" s="97" t="s">
        <v>7</v>
      </c>
      <c r="D151" s="97"/>
      <c r="E151" s="97"/>
      <c r="F151" s="97"/>
      <c r="G151" s="97"/>
      <c r="H151" s="82">
        <f>237*H147*H148*(H149/(H149+H150))^2</f>
        <v>20.334600000000002</v>
      </c>
      <c r="I151" s="18" t="s">
        <v>22</v>
      </c>
      <c r="J151" s="18"/>
      <c r="K151" s="18"/>
      <c r="L151" s="18"/>
      <c r="M151" s="18"/>
      <c r="N151" s="18"/>
      <c r="O151" s="18"/>
    </row>
    <row r="152" spans="2:15" x14ac:dyDescent="0.25">
      <c r="C152" s="115"/>
      <c r="D152" s="115"/>
      <c r="E152" s="115"/>
      <c r="F152" s="115"/>
      <c r="G152" s="115"/>
    </row>
    <row r="153" spans="2:15" x14ac:dyDescent="0.25">
      <c r="C153" s="115"/>
      <c r="D153" s="115"/>
      <c r="E153" s="115"/>
      <c r="F153" s="115"/>
      <c r="G153" s="115"/>
    </row>
    <row r="154" spans="2:15" ht="15.75" x14ac:dyDescent="0.25">
      <c r="B154" s="101" t="s">
        <v>57</v>
      </c>
      <c r="C154" s="101"/>
      <c r="D154" s="101"/>
      <c r="E154" s="101"/>
      <c r="F154" s="101"/>
      <c r="G154" s="101"/>
      <c r="H154" s="1"/>
      <c r="I154" s="1"/>
    </row>
    <row r="155" spans="2:15" ht="15.75" x14ac:dyDescent="0.25">
      <c r="B155" s="105">
        <v>25</v>
      </c>
      <c r="C155" s="108" t="s">
        <v>277</v>
      </c>
      <c r="D155" s="108"/>
      <c r="E155" s="108"/>
      <c r="F155" s="108"/>
      <c r="G155" s="108"/>
      <c r="H155" s="31"/>
      <c r="I155" s="21" t="s">
        <v>2</v>
      </c>
      <c r="J155" s="52" t="s">
        <v>42</v>
      </c>
      <c r="K155" s="98" t="s">
        <v>3</v>
      </c>
      <c r="L155" s="98"/>
      <c r="M155" s="98"/>
      <c r="N155" s="98"/>
      <c r="O155" s="98"/>
    </row>
    <row r="156" spans="2:15" ht="15.75" x14ac:dyDescent="0.25">
      <c r="B156" s="106"/>
      <c r="C156" s="89" t="s">
        <v>278</v>
      </c>
      <c r="D156" s="89"/>
      <c r="E156" s="89"/>
      <c r="F156" s="89"/>
      <c r="G156" s="89"/>
      <c r="H156" s="63">
        <f>parameters!F40</f>
        <v>0.9</v>
      </c>
      <c r="I156" s="23" t="s">
        <v>34</v>
      </c>
      <c r="J156" s="18"/>
      <c r="K156" s="18"/>
      <c r="L156" s="18"/>
      <c r="M156" s="18"/>
      <c r="N156" s="18"/>
      <c r="O156" s="18"/>
    </row>
    <row r="157" spans="2:15" ht="15.75" x14ac:dyDescent="0.25">
      <c r="B157" s="106"/>
      <c r="C157" s="89" t="s">
        <v>279</v>
      </c>
      <c r="D157" s="89"/>
      <c r="E157" s="89"/>
      <c r="F157" s="89"/>
      <c r="G157" s="89"/>
      <c r="H157" s="63">
        <f>parameters!F16</f>
        <v>7.5000000000000002E-4</v>
      </c>
      <c r="I157" s="23" t="s">
        <v>23</v>
      </c>
      <c r="J157" s="18"/>
      <c r="K157" s="18"/>
      <c r="L157" s="18"/>
      <c r="M157" s="18"/>
      <c r="N157" s="18"/>
      <c r="O157" s="18"/>
    </row>
    <row r="158" spans="2:15" ht="18" x14ac:dyDescent="0.25">
      <c r="B158" s="106"/>
      <c r="C158" s="89" t="s">
        <v>97</v>
      </c>
      <c r="D158" s="89"/>
      <c r="E158" s="89"/>
      <c r="F158" s="89"/>
      <c r="G158" s="89"/>
      <c r="H158" s="63">
        <f>parameters!F8</f>
        <v>0.02</v>
      </c>
      <c r="I158" s="23" t="s">
        <v>35</v>
      </c>
      <c r="J158" s="18"/>
      <c r="K158" s="18"/>
      <c r="L158" s="18"/>
      <c r="M158" s="18"/>
      <c r="N158" s="18"/>
      <c r="O158" s="18"/>
    </row>
    <row r="159" spans="2:15" ht="15.75" x14ac:dyDescent="0.25">
      <c r="B159" s="107"/>
      <c r="C159" s="89" t="s">
        <v>280</v>
      </c>
      <c r="D159" s="89"/>
      <c r="E159" s="89"/>
      <c r="F159" s="89"/>
      <c r="G159" s="89"/>
      <c r="H159" s="44">
        <f>(2*H156*H157)/H158</f>
        <v>6.7500000000000004E-2</v>
      </c>
      <c r="I159" s="23" t="s">
        <v>215</v>
      </c>
      <c r="J159" s="23"/>
      <c r="K159" s="99" t="s">
        <v>220</v>
      </c>
      <c r="L159" s="99"/>
      <c r="M159" s="99"/>
      <c r="N159" s="99"/>
      <c r="O159" s="99"/>
    </row>
    <row r="160" spans="2:15" ht="15.75" x14ac:dyDescent="0.25">
      <c r="B160" s="105">
        <v>26</v>
      </c>
      <c r="C160" s="108" t="s">
        <v>284</v>
      </c>
      <c r="D160" s="108"/>
      <c r="E160" s="108"/>
      <c r="F160" s="108"/>
      <c r="G160" s="108"/>
      <c r="H160" s="31"/>
      <c r="I160" s="21" t="s">
        <v>2</v>
      </c>
      <c r="J160" s="52" t="s">
        <v>42</v>
      </c>
      <c r="K160" s="98" t="s">
        <v>3</v>
      </c>
      <c r="L160" s="98"/>
      <c r="M160" s="98"/>
      <c r="N160" s="98"/>
      <c r="O160" s="98"/>
    </row>
    <row r="161" spans="2:15" ht="15.75" x14ac:dyDescent="0.25">
      <c r="B161" s="106"/>
      <c r="C161" s="89" t="s">
        <v>285</v>
      </c>
      <c r="D161" s="89"/>
      <c r="E161" s="89"/>
      <c r="F161" s="89"/>
      <c r="G161" s="89"/>
      <c r="H161" s="63">
        <f>parameters!F42</f>
        <v>0.9</v>
      </c>
      <c r="I161" s="23" t="s">
        <v>34</v>
      </c>
      <c r="J161" s="18"/>
      <c r="K161" s="18"/>
      <c r="L161" s="18"/>
      <c r="M161" s="18"/>
      <c r="N161" s="18"/>
      <c r="O161" s="18"/>
    </row>
    <row r="162" spans="2:15" ht="15.75" x14ac:dyDescent="0.25">
      <c r="B162" s="106"/>
      <c r="C162" s="89" t="s">
        <v>279</v>
      </c>
      <c r="D162" s="89"/>
      <c r="E162" s="89"/>
      <c r="F162" s="89"/>
      <c r="G162" s="89"/>
      <c r="H162" s="63">
        <f>parameters!F15*parameters!F20</f>
        <v>2.5000000000000001E-3</v>
      </c>
      <c r="I162" s="23" t="s">
        <v>23</v>
      </c>
      <c r="J162" s="18"/>
      <c r="K162" s="18"/>
      <c r="L162" s="18"/>
      <c r="M162" s="18"/>
      <c r="N162" s="18"/>
      <c r="O162" s="18"/>
    </row>
    <row r="163" spans="2:15" ht="18" x14ac:dyDescent="0.25">
      <c r="B163" s="106"/>
      <c r="C163" s="89" t="s">
        <v>97</v>
      </c>
      <c r="D163" s="89"/>
      <c r="E163" s="89"/>
      <c r="F163" s="89"/>
      <c r="G163" s="89"/>
      <c r="H163" s="63">
        <f>parameters!F31+parameters!F23</f>
        <v>4.0000000000000001E-3</v>
      </c>
      <c r="I163" s="23" t="s">
        <v>35</v>
      </c>
      <c r="J163" s="18"/>
      <c r="K163" s="18"/>
      <c r="L163" s="18"/>
      <c r="M163" s="18"/>
      <c r="N163" s="18"/>
      <c r="O163" s="18"/>
    </row>
    <row r="164" spans="2:15" ht="15.75" x14ac:dyDescent="0.25">
      <c r="B164" s="107"/>
      <c r="C164" s="89" t="s">
        <v>290</v>
      </c>
      <c r="D164" s="89"/>
      <c r="E164" s="89"/>
      <c r="F164" s="89"/>
      <c r="G164" s="89"/>
      <c r="H164" s="44">
        <f>(2*H161*H162)/H163</f>
        <v>1.125</v>
      </c>
      <c r="I164" s="23" t="s">
        <v>215</v>
      </c>
      <c r="J164" s="23"/>
      <c r="K164" s="99" t="s">
        <v>220</v>
      </c>
      <c r="L164" s="99"/>
      <c r="M164" s="99"/>
      <c r="N164" s="99"/>
      <c r="O164" s="99"/>
    </row>
    <row r="165" spans="2:15" ht="15.75" x14ac:dyDescent="0.25">
      <c r="B165" s="105">
        <v>27</v>
      </c>
      <c r="C165" s="108" t="s">
        <v>44</v>
      </c>
      <c r="D165" s="108"/>
      <c r="E165" s="108"/>
      <c r="F165" s="108"/>
      <c r="G165" s="108"/>
      <c r="H165" s="31"/>
      <c r="I165" s="21" t="s">
        <v>2</v>
      </c>
      <c r="J165" s="52" t="s">
        <v>42</v>
      </c>
      <c r="K165" s="98" t="s">
        <v>3</v>
      </c>
      <c r="L165" s="98"/>
      <c r="M165" s="98"/>
      <c r="N165" s="98"/>
      <c r="O165" s="98"/>
    </row>
    <row r="166" spans="2:15" ht="15.75" x14ac:dyDescent="0.25">
      <c r="B166" s="106"/>
      <c r="C166" s="89" t="s">
        <v>26</v>
      </c>
      <c r="D166" s="89"/>
      <c r="E166" s="89"/>
      <c r="F166" s="89"/>
      <c r="G166" s="89"/>
      <c r="H166" s="63">
        <f>parameters!F42</f>
        <v>0.9</v>
      </c>
      <c r="I166" s="23" t="s">
        <v>34</v>
      </c>
      <c r="J166" s="23"/>
      <c r="K166" s="23"/>
      <c r="L166" s="23"/>
      <c r="M166" s="23"/>
      <c r="N166" s="23"/>
      <c r="O166" s="23"/>
    </row>
    <row r="167" spans="2:15" ht="15.75" x14ac:dyDescent="0.25">
      <c r="B167" s="106"/>
      <c r="C167" s="89" t="s">
        <v>248</v>
      </c>
      <c r="D167" s="89"/>
      <c r="E167" s="89"/>
      <c r="F167" s="89"/>
      <c r="G167" s="89"/>
      <c r="H167" s="63">
        <f>parameters!F27</f>
        <v>2E-3</v>
      </c>
      <c r="I167" s="23" t="s">
        <v>23</v>
      </c>
      <c r="J167" s="23"/>
      <c r="K167" s="23"/>
      <c r="L167" s="23"/>
      <c r="M167" s="23"/>
      <c r="N167" s="23"/>
      <c r="O167" s="23"/>
    </row>
    <row r="168" spans="2:15" ht="18" x14ac:dyDescent="0.25">
      <c r="B168" s="106"/>
      <c r="C168" s="89" t="s">
        <v>27</v>
      </c>
      <c r="D168" s="89"/>
      <c r="E168" s="89"/>
      <c r="F168" s="89"/>
      <c r="G168" s="89"/>
      <c r="H168" s="63">
        <f>parameters!F15*parameters!F20</f>
        <v>2.5000000000000001E-3</v>
      </c>
      <c r="I168" s="23" t="s">
        <v>35</v>
      </c>
      <c r="J168" s="23"/>
      <c r="K168" s="23"/>
      <c r="L168" s="23"/>
      <c r="M168" s="23"/>
      <c r="N168" s="23"/>
      <c r="O168" s="23"/>
    </row>
    <row r="169" spans="2:15" ht="15.75" x14ac:dyDescent="0.25">
      <c r="B169" s="107"/>
      <c r="C169" s="89" t="s">
        <v>291</v>
      </c>
      <c r="D169" s="89"/>
      <c r="E169" s="89"/>
      <c r="F169" s="89"/>
      <c r="G169" s="89"/>
      <c r="H169" s="44">
        <f>(2*H166*H168)/H167</f>
        <v>2.25</v>
      </c>
      <c r="I169" s="23" t="s">
        <v>215</v>
      </c>
      <c r="J169" s="23"/>
      <c r="K169" s="99" t="s">
        <v>220</v>
      </c>
      <c r="L169" s="99"/>
      <c r="M169" s="99"/>
      <c r="N169" s="99"/>
      <c r="O169" s="99"/>
    </row>
    <row r="170" spans="2:15" ht="15.75" x14ac:dyDescent="0.25">
      <c r="B170" s="105">
        <v>28</v>
      </c>
      <c r="C170" s="93" t="s">
        <v>286</v>
      </c>
      <c r="D170" s="93"/>
      <c r="E170" s="93"/>
      <c r="F170" s="93"/>
      <c r="G170" s="93"/>
      <c r="H170" s="31"/>
      <c r="I170" s="21" t="s">
        <v>2</v>
      </c>
      <c r="J170" s="52" t="s">
        <v>42</v>
      </c>
      <c r="K170" s="98" t="s">
        <v>3</v>
      </c>
      <c r="L170" s="98"/>
      <c r="M170" s="98"/>
      <c r="N170" s="98"/>
      <c r="O170" s="98"/>
    </row>
    <row r="171" spans="2:15" ht="18" x14ac:dyDescent="0.25">
      <c r="B171" s="106"/>
      <c r="C171" s="89" t="s">
        <v>287</v>
      </c>
      <c r="D171" s="89"/>
      <c r="E171" s="89"/>
      <c r="F171" s="89"/>
      <c r="G171" s="89"/>
      <c r="H171" s="63">
        <f>parameters!F17</f>
        <v>0.03</v>
      </c>
      <c r="I171" s="23" t="s">
        <v>35</v>
      </c>
      <c r="J171" s="18"/>
      <c r="K171" s="18"/>
      <c r="L171" s="18"/>
      <c r="M171" s="18"/>
      <c r="N171" s="18"/>
      <c r="O171" s="18"/>
    </row>
    <row r="172" spans="2:15" ht="15.75" x14ac:dyDescent="0.25">
      <c r="B172" s="106"/>
      <c r="C172" s="90" t="s">
        <v>321</v>
      </c>
      <c r="D172" s="91"/>
      <c r="E172" s="91"/>
      <c r="F172" s="91"/>
      <c r="G172" s="92"/>
      <c r="H172" s="63">
        <f>(2*parameters!F20+parameters!F36)</f>
        <v>1.08</v>
      </c>
      <c r="I172" s="23"/>
      <c r="J172" s="18"/>
      <c r="K172" s="18"/>
      <c r="L172" s="18"/>
      <c r="M172" s="18"/>
      <c r="N172" s="18"/>
      <c r="O172" s="18"/>
    </row>
    <row r="173" spans="2:15" ht="15.75" x14ac:dyDescent="0.25">
      <c r="B173" s="106"/>
      <c r="C173" s="89" t="s">
        <v>323</v>
      </c>
      <c r="D173" s="89"/>
      <c r="E173" s="89"/>
      <c r="F173" s="89"/>
      <c r="G173" s="89"/>
      <c r="H173" s="63">
        <f>H171/H172</f>
        <v>2.7777777777777776E-2</v>
      </c>
      <c r="I173" s="23" t="s">
        <v>23</v>
      </c>
      <c r="J173" s="18"/>
      <c r="K173" s="18"/>
      <c r="L173" s="18"/>
      <c r="M173" s="18"/>
      <c r="N173" s="18"/>
      <c r="O173" s="18"/>
    </row>
    <row r="174" spans="2:15" ht="15.75" x14ac:dyDescent="0.25">
      <c r="B174" s="107"/>
      <c r="C174" s="89" t="s">
        <v>289</v>
      </c>
      <c r="D174" s="89"/>
      <c r="E174" s="89"/>
      <c r="F174" s="89"/>
      <c r="G174" s="89"/>
      <c r="H174" s="44">
        <f>2*H171*H173</f>
        <v>1.6666666666666666E-3</v>
      </c>
      <c r="I174" s="23" t="s">
        <v>22</v>
      </c>
      <c r="J174" s="18"/>
      <c r="K174" s="18"/>
      <c r="L174" s="18"/>
      <c r="M174" s="18"/>
      <c r="N174" s="18"/>
      <c r="O174" s="18"/>
    </row>
    <row r="175" spans="2:15" ht="15.75" x14ac:dyDescent="0.25">
      <c r="B175" s="105">
        <v>29</v>
      </c>
      <c r="C175" s="100" t="s">
        <v>292</v>
      </c>
      <c r="D175" s="100"/>
      <c r="E175" s="100"/>
      <c r="F175" s="100"/>
      <c r="G175" s="100"/>
      <c r="H175" s="20"/>
      <c r="I175" s="21" t="s">
        <v>2</v>
      </c>
      <c r="J175" s="52" t="s">
        <v>42</v>
      </c>
      <c r="K175" s="98" t="s">
        <v>3</v>
      </c>
      <c r="L175" s="98"/>
      <c r="M175" s="98"/>
      <c r="N175" s="98"/>
      <c r="O175" s="98"/>
    </row>
    <row r="176" spans="2:15" ht="15.75" x14ac:dyDescent="0.25">
      <c r="B176" s="106"/>
      <c r="C176" s="89" t="s">
        <v>8</v>
      </c>
      <c r="D176" s="89"/>
      <c r="E176" s="89"/>
      <c r="F176" s="89"/>
      <c r="G176" s="89"/>
      <c r="H176" s="63">
        <f>parameters!F51</f>
        <v>0.16666666666666669</v>
      </c>
      <c r="I176" s="23"/>
      <c r="J176" s="18"/>
      <c r="K176" s="18"/>
      <c r="L176" s="18"/>
      <c r="M176" s="18"/>
      <c r="N176" s="18"/>
      <c r="O176" s="18"/>
    </row>
    <row r="177" spans="2:15" ht="18" x14ac:dyDescent="0.25">
      <c r="B177" s="106"/>
      <c r="C177" s="89" t="s">
        <v>4</v>
      </c>
      <c r="D177" s="89"/>
      <c r="E177" s="89"/>
      <c r="F177" s="89"/>
      <c r="G177" s="89"/>
      <c r="H177" s="63">
        <f>0.0000000567</f>
        <v>5.6699999999999998E-8</v>
      </c>
      <c r="I177" s="23" t="s">
        <v>28</v>
      </c>
      <c r="J177" s="18"/>
      <c r="K177" s="18"/>
      <c r="L177" s="18"/>
      <c r="M177" s="18"/>
      <c r="N177" s="18"/>
      <c r="O177" s="18"/>
    </row>
    <row r="178" spans="2:15" ht="18" x14ac:dyDescent="0.25">
      <c r="B178" s="106"/>
      <c r="C178" s="89" t="s">
        <v>5</v>
      </c>
      <c r="D178" s="89"/>
      <c r="E178" s="89"/>
      <c r="F178" s="89"/>
      <c r="G178" s="89"/>
      <c r="H178" s="63">
        <f>parameters!F17</f>
        <v>0.03</v>
      </c>
      <c r="I178" s="23" t="s">
        <v>35</v>
      </c>
      <c r="J178" s="18"/>
      <c r="K178" s="18"/>
      <c r="L178" s="18"/>
      <c r="M178" s="18"/>
      <c r="N178" s="18"/>
      <c r="O178" s="18"/>
    </row>
    <row r="179" spans="2:15" ht="15.75" x14ac:dyDescent="0.25">
      <c r="B179" s="106"/>
      <c r="C179" s="89" t="s">
        <v>6</v>
      </c>
      <c r="D179" s="89"/>
      <c r="E179" s="89"/>
      <c r="F179" s="89"/>
      <c r="G179" s="89"/>
      <c r="H179" s="63">
        <f>parameters!F58</f>
        <v>1</v>
      </c>
      <c r="I179" s="23"/>
      <c r="J179" s="18"/>
      <c r="K179" s="18"/>
      <c r="L179" s="18"/>
      <c r="M179" s="18"/>
      <c r="N179" s="18"/>
      <c r="O179" s="18"/>
    </row>
    <row r="180" spans="2:15" ht="15.75" x14ac:dyDescent="0.25">
      <c r="B180" s="107"/>
      <c r="C180" s="89" t="s">
        <v>293</v>
      </c>
      <c r="D180" s="89"/>
      <c r="E180" s="89"/>
      <c r="F180" s="89"/>
      <c r="G180" s="89"/>
      <c r="H180" s="44">
        <f>H176*H177*H178*H179</f>
        <v>2.835E-10</v>
      </c>
      <c r="I180" s="23" t="s">
        <v>22</v>
      </c>
      <c r="J180" s="18"/>
      <c r="K180" s="18"/>
      <c r="L180" s="18"/>
      <c r="M180" s="18"/>
      <c r="N180" s="18"/>
      <c r="O180" s="18"/>
    </row>
    <row r="181" spans="2:15" ht="15.75" x14ac:dyDescent="0.25">
      <c r="B181" s="105">
        <v>30</v>
      </c>
      <c r="C181" s="100" t="s">
        <v>294</v>
      </c>
      <c r="D181" s="100"/>
      <c r="E181" s="100"/>
      <c r="F181" s="100"/>
      <c r="G181" s="100"/>
      <c r="H181" s="20"/>
      <c r="I181" s="21" t="s">
        <v>2</v>
      </c>
      <c r="J181" s="52" t="s">
        <v>42</v>
      </c>
      <c r="K181" s="98" t="s">
        <v>3</v>
      </c>
      <c r="L181" s="98"/>
      <c r="M181" s="98"/>
      <c r="N181" s="98"/>
      <c r="O181" s="98"/>
    </row>
    <row r="182" spans="2:15" ht="15.75" x14ac:dyDescent="0.25">
      <c r="B182" s="106"/>
      <c r="C182" s="89" t="s">
        <v>8</v>
      </c>
      <c r="D182" s="89"/>
      <c r="E182" s="89"/>
      <c r="F182" s="89"/>
      <c r="G182" s="89"/>
      <c r="H182" s="63">
        <f>parameters!F52</f>
        <v>0.19419642857142858</v>
      </c>
      <c r="I182" s="23"/>
      <c r="J182" s="18"/>
      <c r="K182" s="18"/>
      <c r="L182" s="18"/>
      <c r="M182" s="18"/>
      <c r="N182" s="18"/>
      <c r="O182" s="18"/>
    </row>
    <row r="183" spans="2:15" ht="18" x14ac:dyDescent="0.25">
      <c r="B183" s="106"/>
      <c r="C183" s="89" t="s">
        <v>4</v>
      </c>
      <c r="D183" s="89"/>
      <c r="E183" s="89"/>
      <c r="F183" s="89"/>
      <c r="G183" s="89"/>
      <c r="H183" s="63">
        <f>0.0000000567</f>
        <v>5.6699999999999998E-8</v>
      </c>
      <c r="I183" s="23" t="s">
        <v>28</v>
      </c>
      <c r="J183" s="18"/>
      <c r="K183" s="18"/>
      <c r="L183" s="18"/>
      <c r="M183" s="18"/>
      <c r="N183" s="18"/>
      <c r="O183" s="18"/>
    </row>
    <row r="184" spans="2:15" ht="18" x14ac:dyDescent="0.25">
      <c r="B184" s="106"/>
      <c r="C184" s="89" t="s">
        <v>5</v>
      </c>
      <c r="D184" s="89"/>
      <c r="E184" s="89"/>
      <c r="F184" s="89"/>
      <c r="G184" s="89"/>
      <c r="H184" s="63">
        <f>parameters!F17</f>
        <v>0.03</v>
      </c>
      <c r="I184" s="23" t="s">
        <v>35</v>
      </c>
      <c r="J184" s="18"/>
      <c r="K184" s="18"/>
      <c r="L184" s="18"/>
      <c r="M184" s="18"/>
      <c r="N184" s="18"/>
      <c r="O184" s="18"/>
    </row>
    <row r="185" spans="2:15" ht="15.75" x14ac:dyDescent="0.25">
      <c r="B185" s="106"/>
      <c r="C185" s="89" t="s">
        <v>6</v>
      </c>
      <c r="D185" s="89"/>
      <c r="E185" s="89"/>
      <c r="F185" s="89"/>
      <c r="G185" s="89"/>
      <c r="H185" s="63">
        <f>parameters!F59</f>
        <v>1</v>
      </c>
      <c r="I185" s="23"/>
      <c r="J185" s="18"/>
      <c r="K185" s="18"/>
      <c r="L185" s="18"/>
      <c r="M185" s="18"/>
      <c r="N185" s="18"/>
      <c r="O185" s="18"/>
    </row>
    <row r="186" spans="2:15" ht="15.75" x14ac:dyDescent="0.25">
      <c r="B186" s="107"/>
      <c r="C186" s="89" t="s">
        <v>295</v>
      </c>
      <c r="D186" s="89"/>
      <c r="E186" s="89"/>
      <c r="F186" s="89"/>
      <c r="G186" s="89"/>
      <c r="H186" s="44">
        <f>H182*H183*H184*H185</f>
        <v>3.3032812500000001E-10</v>
      </c>
      <c r="I186" s="23" t="s">
        <v>22</v>
      </c>
      <c r="J186" s="18"/>
      <c r="K186" s="18"/>
      <c r="L186" s="18"/>
      <c r="M186" s="18"/>
      <c r="N186" s="18"/>
      <c r="O186" s="18"/>
    </row>
    <row r="187" spans="2:15" ht="15.75" x14ac:dyDescent="0.25">
      <c r="B187" s="105">
        <v>31</v>
      </c>
      <c r="C187" s="100" t="s">
        <v>58</v>
      </c>
      <c r="D187" s="100"/>
      <c r="E187" s="100"/>
      <c r="F187" s="100"/>
      <c r="G187" s="100"/>
      <c r="H187" s="20"/>
      <c r="I187" s="21" t="s">
        <v>2</v>
      </c>
      <c r="J187" s="52" t="s">
        <v>42</v>
      </c>
      <c r="K187" s="98" t="s">
        <v>3</v>
      </c>
      <c r="L187" s="98"/>
      <c r="M187" s="98"/>
      <c r="N187" s="98"/>
      <c r="O187" s="98"/>
    </row>
    <row r="188" spans="2:15" ht="15.75" x14ac:dyDescent="0.25">
      <c r="B188" s="106"/>
      <c r="C188" s="89" t="s">
        <v>8</v>
      </c>
      <c r="D188" s="89"/>
      <c r="E188" s="89"/>
      <c r="F188" s="89"/>
      <c r="G188" s="89"/>
      <c r="H188" s="63">
        <f>parameters!F52</f>
        <v>0.19419642857142858</v>
      </c>
      <c r="I188" s="23"/>
      <c r="J188" s="18"/>
      <c r="K188" s="18"/>
      <c r="L188" s="18"/>
      <c r="M188" s="18"/>
      <c r="N188" s="18"/>
      <c r="O188" s="18"/>
    </row>
    <row r="189" spans="2:15" ht="18" x14ac:dyDescent="0.25">
      <c r="B189" s="106"/>
      <c r="C189" s="89" t="s">
        <v>4</v>
      </c>
      <c r="D189" s="89"/>
      <c r="E189" s="89"/>
      <c r="F189" s="89"/>
      <c r="G189" s="89"/>
      <c r="H189" s="63">
        <f>0.0000000567</f>
        <v>5.6699999999999998E-8</v>
      </c>
      <c r="I189" s="23" t="s">
        <v>28</v>
      </c>
      <c r="J189" s="18"/>
      <c r="K189" s="18"/>
      <c r="L189" s="18"/>
      <c r="M189" s="18"/>
      <c r="N189" s="18"/>
      <c r="O189" s="18"/>
    </row>
    <row r="190" spans="2:15" ht="18" x14ac:dyDescent="0.25">
      <c r="B190" s="106"/>
      <c r="C190" s="89" t="s">
        <v>5</v>
      </c>
      <c r="D190" s="89"/>
      <c r="E190" s="89"/>
      <c r="F190" s="89"/>
      <c r="G190" s="89"/>
      <c r="H190" s="63">
        <f>parameters!F17</f>
        <v>0.03</v>
      </c>
      <c r="I190" s="23" t="s">
        <v>35</v>
      </c>
      <c r="J190" s="18"/>
      <c r="K190" s="18"/>
      <c r="L190" s="18"/>
      <c r="M190" s="18"/>
      <c r="N190" s="18"/>
      <c r="O190" s="18"/>
    </row>
    <row r="191" spans="2:15" ht="15.75" x14ac:dyDescent="0.25">
      <c r="B191" s="106"/>
      <c r="C191" s="89" t="s">
        <v>6</v>
      </c>
      <c r="D191" s="89"/>
      <c r="E191" s="89"/>
      <c r="F191" s="89"/>
      <c r="G191" s="89"/>
      <c r="H191" s="63">
        <f>parameters!F60</f>
        <v>1</v>
      </c>
      <c r="I191" s="23"/>
      <c r="J191" s="18"/>
      <c r="K191" s="18"/>
      <c r="L191" s="18"/>
      <c r="M191" s="18"/>
      <c r="N191" s="18"/>
      <c r="O191" s="18"/>
    </row>
    <row r="192" spans="2:15" ht="15.75" x14ac:dyDescent="0.25">
      <c r="B192" s="107"/>
      <c r="C192" s="89" t="s">
        <v>296</v>
      </c>
      <c r="D192" s="89"/>
      <c r="E192" s="89"/>
      <c r="F192" s="89"/>
      <c r="G192" s="89"/>
      <c r="H192" s="44">
        <f>H188*H189*H190*H191</f>
        <v>3.3032812500000001E-10</v>
      </c>
      <c r="I192" s="23" t="s">
        <v>22</v>
      </c>
      <c r="J192" s="18"/>
      <c r="K192" s="18"/>
      <c r="L192" s="18"/>
      <c r="M192" s="18"/>
      <c r="N192" s="18"/>
      <c r="O192" s="18"/>
    </row>
    <row r="195" spans="2:15" ht="15.75" x14ac:dyDescent="0.25">
      <c r="B195" s="102" t="s">
        <v>304</v>
      </c>
      <c r="C195" s="103"/>
      <c r="D195" s="103"/>
      <c r="E195" s="103"/>
      <c r="F195" s="103"/>
      <c r="G195" s="104"/>
      <c r="H195" s="18"/>
      <c r="I195" s="18"/>
      <c r="J195" s="18"/>
      <c r="K195" s="18"/>
      <c r="L195" s="18"/>
      <c r="M195" s="18"/>
      <c r="N195" s="18"/>
      <c r="O195" s="18"/>
    </row>
    <row r="196" spans="2:15" ht="15.75" x14ac:dyDescent="0.25">
      <c r="B196" s="105">
        <v>32</v>
      </c>
      <c r="C196" s="93" t="s">
        <v>305</v>
      </c>
      <c r="D196" s="93"/>
      <c r="E196" s="93"/>
      <c r="F196" s="93"/>
      <c r="G196" s="93"/>
      <c r="H196" s="31"/>
      <c r="I196" s="21" t="s">
        <v>2</v>
      </c>
      <c r="J196" s="52" t="s">
        <v>42</v>
      </c>
      <c r="K196" s="98" t="s">
        <v>3</v>
      </c>
      <c r="L196" s="98"/>
      <c r="M196" s="98"/>
      <c r="N196" s="98"/>
      <c r="O196" s="98"/>
    </row>
    <row r="197" spans="2:15" ht="18" x14ac:dyDescent="0.25">
      <c r="B197" s="106"/>
      <c r="C197" s="89" t="s">
        <v>306</v>
      </c>
      <c r="D197" s="89"/>
      <c r="E197" s="89"/>
      <c r="F197" s="89"/>
      <c r="G197" s="89"/>
      <c r="H197" s="63">
        <f>parameters!F9</f>
        <v>6.875E-3</v>
      </c>
      <c r="I197" s="23" t="s">
        <v>35</v>
      </c>
      <c r="J197" s="18"/>
      <c r="K197" s="18"/>
      <c r="L197" s="18"/>
      <c r="M197" s="18"/>
      <c r="N197" s="18"/>
      <c r="O197" s="18"/>
    </row>
    <row r="198" spans="2:15" ht="15.75" x14ac:dyDescent="0.25">
      <c r="B198" s="106"/>
      <c r="C198" s="90" t="s">
        <v>321</v>
      </c>
      <c r="D198" s="91"/>
      <c r="E198" s="91"/>
      <c r="F198" s="91"/>
      <c r="G198" s="92"/>
      <c r="H198" s="63">
        <f>2*(parameters!F6+parameters!F7)</f>
        <v>0.36</v>
      </c>
      <c r="I198" s="23"/>
      <c r="J198" s="18"/>
      <c r="K198" s="18"/>
      <c r="L198" s="18"/>
      <c r="M198" s="18"/>
      <c r="N198" s="18"/>
      <c r="O198" s="18"/>
    </row>
    <row r="199" spans="2:15" ht="15.75" x14ac:dyDescent="0.25">
      <c r="B199" s="106"/>
      <c r="C199" s="90" t="s">
        <v>320</v>
      </c>
      <c r="D199" s="91"/>
      <c r="E199" s="91"/>
      <c r="F199" s="91"/>
      <c r="G199" s="92"/>
      <c r="H199" s="63">
        <f>H197/H198</f>
        <v>1.9097222222222224E-2</v>
      </c>
      <c r="I199" s="23" t="s">
        <v>23</v>
      </c>
      <c r="J199" s="18"/>
      <c r="K199" s="18"/>
      <c r="L199" s="18"/>
      <c r="M199" s="18"/>
      <c r="N199" s="18"/>
      <c r="O199" s="18"/>
    </row>
    <row r="200" spans="2:15" ht="15.75" x14ac:dyDescent="0.25">
      <c r="B200" s="107"/>
      <c r="C200" s="89" t="s">
        <v>308</v>
      </c>
      <c r="D200" s="89"/>
      <c r="E200" s="89"/>
      <c r="F200" s="89"/>
      <c r="G200" s="89"/>
      <c r="H200" s="44">
        <f>H197</f>
        <v>6.875E-3</v>
      </c>
      <c r="I200" s="23" t="s">
        <v>22</v>
      </c>
      <c r="J200" s="18"/>
      <c r="K200" s="18"/>
      <c r="L200" s="18"/>
      <c r="M200" s="18"/>
      <c r="N200" s="18"/>
      <c r="O200" s="18"/>
    </row>
    <row r="201" spans="2:15" ht="15.75" x14ac:dyDescent="0.25">
      <c r="B201" s="105">
        <v>33</v>
      </c>
      <c r="C201" s="93" t="s">
        <v>307</v>
      </c>
      <c r="D201" s="93"/>
      <c r="E201" s="93"/>
      <c r="F201" s="93"/>
      <c r="G201" s="93"/>
      <c r="H201" s="31"/>
      <c r="I201" s="21" t="s">
        <v>2</v>
      </c>
      <c r="J201" s="52" t="s">
        <v>42</v>
      </c>
      <c r="K201" s="98" t="s">
        <v>3</v>
      </c>
      <c r="L201" s="98"/>
      <c r="M201" s="98"/>
      <c r="N201" s="98"/>
      <c r="O201" s="98"/>
    </row>
    <row r="202" spans="2:15" ht="18" x14ac:dyDescent="0.25">
      <c r="B202" s="106"/>
      <c r="C202" s="89" t="s">
        <v>309</v>
      </c>
      <c r="D202" s="89"/>
      <c r="E202" s="89"/>
      <c r="F202" s="89"/>
      <c r="G202" s="89"/>
      <c r="H202" s="63">
        <f>parameters!F10</f>
        <v>6.875E-3</v>
      </c>
      <c r="I202" s="23" t="s">
        <v>35</v>
      </c>
      <c r="J202" s="18"/>
      <c r="K202" s="18"/>
      <c r="L202" s="18"/>
      <c r="M202" s="18"/>
      <c r="N202" s="18"/>
      <c r="O202" s="18"/>
    </row>
    <row r="203" spans="2:15" ht="15.75" x14ac:dyDescent="0.25">
      <c r="B203" s="106"/>
      <c r="C203" s="90" t="s">
        <v>321</v>
      </c>
      <c r="D203" s="91"/>
      <c r="E203" s="91"/>
      <c r="F203" s="91"/>
      <c r="G203" s="92"/>
      <c r="H203" s="63">
        <f>2*(parameters!F6+parameters!F7)</f>
        <v>0.36</v>
      </c>
      <c r="I203" s="23"/>
      <c r="J203" s="18"/>
      <c r="K203" s="18"/>
      <c r="L203" s="18"/>
      <c r="M203" s="18"/>
      <c r="N203" s="18"/>
      <c r="O203" s="18"/>
    </row>
    <row r="204" spans="2:15" ht="15.75" x14ac:dyDescent="0.25">
      <c r="B204" s="106"/>
      <c r="C204" s="90" t="s">
        <v>320</v>
      </c>
      <c r="D204" s="91"/>
      <c r="E204" s="91"/>
      <c r="F204" s="91"/>
      <c r="G204" s="92"/>
      <c r="H204" s="63">
        <f>H202/H203</f>
        <v>1.9097222222222224E-2</v>
      </c>
      <c r="I204" s="23" t="s">
        <v>23</v>
      </c>
      <c r="J204" s="18"/>
      <c r="K204" s="18"/>
      <c r="L204" s="18"/>
      <c r="M204" s="18"/>
      <c r="N204" s="18"/>
      <c r="O204" s="18"/>
    </row>
    <row r="205" spans="2:15" ht="15.75" x14ac:dyDescent="0.25">
      <c r="B205" s="107"/>
      <c r="C205" s="89" t="s">
        <v>310</v>
      </c>
      <c r="D205" s="89"/>
      <c r="E205" s="89"/>
      <c r="F205" s="89"/>
      <c r="G205" s="89"/>
      <c r="H205" s="44">
        <f>H202</f>
        <v>6.875E-3</v>
      </c>
      <c r="I205" s="23" t="s">
        <v>22</v>
      </c>
      <c r="J205" s="18"/>
      <c r="K205" s="18"/>
      <c r="L205" s="18"/>
      <c r="M205" s="18"/>
      <c r="N205" s="18"/>
      <c r="O205" s="18"/>
    </row>
    <row r="206" spans="2:15" ht="15.75" x14ac:dyDescent="0.25">
      <c r="B206" s="105">
        <v>34</v>
      </c>
      <c r="C206" s="93" t="s">
        <v>311</v>
      </c>
      <c r="D206" s="93"/>
      <c r="E206" s="93"/>
      <c r="F206" s="93"/>
      <c r="G206" s="93"/>
      <c r="H206" s="31"/>
      <c r="I206" s="21" t="s">
        <v>2</v>
      </c>
      <c r="J206" s="52" t="s">
        <v>42</v>
      </c>
      <c r="K206" s="98" t="s">
        <v>3</v>
      </c>
      <c r="L206" s="98"/>
      <c r="M206" s="98"/>
      <c r="N206" s="98"/>
      <c r="O206" s="98"/>
    </row>
    <row r="207" spans="2:15" ht="18" x14ac:dyDescent="0.25">
      <c r="B207" s="106"/>
      <c r="C207" s="89" t="s">
        <v>312</v>
      </c>
      <c r="D207" s="89"/>
      <c r="E207" s="89"/>
      <c r="F207" s="89"/>
      <c r="G207" s="89"/>
      <c r="H207" s="63">
        <f>2*(parameters!F11+parameters!F12)-(2*parameters!F15*(parameters!F7+parameters!F8))</f>
        <v>6.45E-3</v>
      </c>
      <c r="I207" s="23" t="s">
        <v>35</v>
      </c>
      <c r="J207" s="18"/>
      <c r="K207" s="18"/>
      <c r="L207" s="18"/>
      <c r="M207" s="18"/>
      <c r="N207" s="18"/>
      <c r="O207" s="18"/>
    </row>
    <row r="208" spans="2:15" ht="15.75" x14ac:dyDescent="0.25">
      <c r="B208" s="106"/>
      <c r="C208" s="90" t="s">
        <v>321</v>
      </c>
      <c r="D208" s="91"/>
      <c r="E208" s="91"/>
      <c r="F208" s="91"/>
      <c r="G208" s="92"/>
      <c r="H208" s="63">
        <f>4*(parameters!F6+parameters!F7)+2*parameters!F8</f>
        <v>0.76</v>
      </c>
      <c r="I208" s="23"/>
      <c r="J208" s="18"/>
      <c r="K208" s="18"/>
      <c r="L208" s="18"/>
      <c r="M208" s="18"/>
      <c r="N208" s="18"/>
      <c r="O208" s="18"/>
    </row>
    <row r="209" spans="2:15" ht="15.75" x14ac:dyDescent="0.25">
      <c r="B209" s="106"/>
      <c r="C209" s="90" t="s">
        <v>323</v>
      </c>
      <c r="D209" s="91"/>
      <c r="E209" s="91"/>
      <c r="F209" s="91"/>
      <c r="G209" s="92"/>
      <c r="H209" s="63">
        <f>H207/H208</f>
        <v>8.4868421052631572E-3</v>
      </c>
      <c r="I209" s="23" t="s">
        <v>23</v>
      </c>
      <c r="J209" s="18"/>
      <c r="K209" s="18"/>
      <c r="L209" s="18"/>
      <c r="M209" s="18"/>
      <c r="N209" s="18"/>
      <c r="O209" s="18"/>
    </row>
    <row r="210" spans="2:15" ht="15.75" x14ac:dyDescent="0.25">
      <c r="B210" s="107"/>
      <c r="C210" s="89" t="s">
        <v>313</v>
      </c>
      <c r="D210" s="89"/>
      <c r="E210" s="89"/>
      <c r="F210" s="89"/>
      <c r="G210" s="89"/>
      <c r="H210" s="44">
        <f>H207</f>
        <v>6.45E-3</v>
      </c>
      <c r="I210" s="23" t="s">
        <v>22</v>
      </c>
      <c r="J210" s="18"/>
      <c r="K210" s="18"/>
      <c r="L210" s="18"/>
      <c r="M210" s="18"/>
      <c r="N210" s="18"/>
      <c r="O210" s="18"/>
    </row>
    <row r="211" spans="2:15" ht="15.75" x14ac:dyDescent="0.25">
      <c r="B211" s="105">
        <v>35</v>
      </c>
      <c r="C211" s="93" t="s">
        <v>315</v>
      </c>
      <c r="D211" s="93"/>
      <c r="E211" s="93"/>
      <c r="F211" s="93"/>
      <c r="G211" s="93"/>
      <c r="H211" s="31"/>
      <c r="I211" s="21" t="s">
        <v>2</v>
      </c>
      <c r="J211" s="52" t="s">
        <v>42</v>
      </c>
      <c r="K211" s="98" t="s">
        <v>3</v>
      </c>
      <c r="L211" s="98"/>
      <c r="M211" s="98"/>
      <c r="N211" s="98"/>
      <c r="O211" s="98"/>
    </row>
    <row r="212" spans="2:15" ht="18" x14ac:dyDescent="0.25">
      <c r="B212" s="106"/>
      <c r="C212" s="89" t="s">
        <v>318</v>
      </c>
      <c r="D212" s="89"/>
      <c r="E212" s="89"/>
      <c r="F212" s="89"/>
      <c r="G212" s="89"/>
      <c r="H212" s="63">
        <f xml:space="preserve"> parameters!F22</f>
        <v>0.22</v>
      </c>
      <c r="I212" s="23" t="s">
        <v>35</v>
      </c>
      <c r="J212" s="18"/>
      <c r="K212" s="18"/>
      <c r="L212" s="18"/>
      <c r="M212" s="18"/>
      <c r="N212" s="18"/>
      <c r="O212" s="18"/>
    </row>
    <row r="213" spans="2:15" ht="15.75" x14ac:dyDescent="0.25">
      <c r="B213" s="106"/>
      <c r="C213" s="89" t="s">
        <v>321</v>
      </c>
      <c r="D213" s="89"/>
      <c r="E213" s="89"/>
      <c r="F213" s="89"/>
      <c r="G213" s="89"/>
      <c r="H213" s="63">
        <f>2*(parameters!F20+parameters!F21)</f>
        <v>1.88</v>
      </c>
      <c r="I213" s="23"/>
      <c r="J213" s="18"/>
      <c r="K213" s="18"/>
      <c r="L213" s="18"/>
      <c r="M213" s="18"/>
      <c r="N213" s="18"/>
      <c r="O213" s="18"/>
    </row>
    <row r="214" spans="2:15" ht="15.75" x14ac:dyDescent="0.25">
      <c r="B214" s="106"/>
      <c r="C214" s="89" t="s">
        <v>323</v>
      </c>
      <c r="D214" s="89"/>
      <c r="E214" s="89"/>
      <c r="F214" s="89"/>
      <c r="G214" s="89"/>
      <c r="H214" s="63">
        <f>H212/H213</f>
        <v>0.11702127659574468</v>
      </c>
      <c r="I214" s="23" t="s">
        <v>23</v>
      </c>
      <c r="J214" s="18"/>
      <c r="K214" s="18"/>
      <c r="L214" s="18"/>
      <c r="M214" s="18"/>
      <c r="N214" s="18"/>
      <c r="O214" s="18"/>
    </row>
    <row r="215" spans="2:15" ht="15.75" x14ac:dyDescent="0.25">
      <c r="B215" s="107"/>
      <c r="C215" s="89" t="s">
        <v>314</v>
      </c>
      <c r="D215" s="89"/>
      <c r="E215" s="89"/>
      <c r="F215" s="89"/>
      <c r="G215" s="89"/>
      <c r="H215" s="44">
        <f>H212</f>
        <v>0.22</v>
      </c>
      <c r="I215" s="23" t="s">
        <v>22</v>
      </c>
      <c r="J215" s="18"/>
      <c r="K215" s="18"/>
      <c r="L215" s="18"/>
      <c r="M215" s="18"/>
      <c r="N215" s="18"/>
      <c r="O215" s="18"/>
    </row>
    <row r="216" spans="2:15" ht="15.75" x14ac:dyDescent="0.25">
      <c r="B216" s="105">
        <v>36</v>
      </c>
      <c r="C216" s="93" t="s">
        <v>316</v>
      </c>
      <c r="D216" s="93"/>
      <c r="E216" s="93"/>
      <c r="F216" s="93"/>
      <c r="G216" s="93"/>
      <c r="H216" s="31"/>
      <c r="I216" s="21" t="s">
        <v>2</v>
      </c>
      <c r="J216" s="52" t="s">
        <v>42</v>
      </c>
      <c r="K216" s="98" t="s">
        <v>3</v>
      </c>
      <c r="L216" s="98"/>
      <c r="M216" s="98"/>
      <c r="N216" s="98"/>
      <c r="O216" s="98"/>
    </row>
    <row r="217" spans="2:15" ht="18" x14ac:dyDescent="0.25">
      <c r="B217" s="106"/>
      <c r="C217" s="89" t="s">
        <v>317</v>
      </c>
      <c r="D217" s="89"/>
      <c r="E217" s="89"/>
      <c r="F217" s="89"/>
      <c r="G217" s="89"/>
      <c r="H217" s="63">
        <f>parameters!F26</f>
        <v>0.22</v>
      </c>
      <c r="I217" s="23" t="s">
        <v>35</v>
      </c>
      <c r="J217" s="18"/>
      <c r="K217" s="18"/>
      <c r="L217" s="18"/>
      <c r="M217" s="18"/>
      <c r="N217" s="18"/>
      <c r="O217" s="18"/>
    </row>
    <row r="218" spans="2:15" ht="15.75" x14ac:dyDescent="0.25">
      <c r="B218" s="106"/>
      <c r="C218" s="89" t="s">
        <v>321</v>
      </c>
      <c r="D218" s="89"/>
      <c r="E218" s="89"/>
      <c r="F218" s="89"/>
      <c r="G218" s="89"/>
      <c r="H218" s="63">
        <f>2*(parameters!F20+parameters!F21)</f>
        <v>1.88</v>
      </c>
      <c r="I218" s="23"/>
      <c r="J218" s="18"/>
      <c r="K218" s="18"/>
      <c r="L218" s="18"/>
      <c r="M218" s="18"/>
      <c r="N218" s="18"/>
      <c r="O218" s="18"/>
    </row>
    <row r="219" spans="2:15" ht="15.75" x14ac:dyDescent="0.25">
      <c r="B219" s="106"/>
      <c r="C219" s="89" t="s">
        <v>323</v>
      </c>
      <c r="D219" s="89"/>
      <c r="E219" s="89"/>
      <c r="F219" s="89"/>
      <c r="G219" s="89"/>
      <c r="H219" s="63">
        <f>H217/H218</f>
        <v>0.11702127659574468</v>
      </c>
      <c r="I219" s="23" t="s">
        <v>23</v>
      </c>
      <c r="J219" s="18"/>
      <c r="K219" s="18"/>
      <c r="L219" s="18"/>
      <c r="M219" s="18"/>
      <c r="N219" s="18"/>
      <c r="O219" s="18"/>
    </row>
    <row r="220" spans="2:15" ht="15.75" x14ac:dyDescent="0.25">
      <c r="B220" s="107"/>
      <c r="C220" s="89" t="s">
        <v>319</v>
      </c>
      <c r="D220" s="89"/>
      <c r="E220" s="89"/>
      <c r="F220" s="89"/>
      <c r="G220" s="89"/>
      <c r="H220" s="44">
        <f>H217</f>
        <v>0.22</v>
      </c>
      <c r="I220" s="23" t="s">
        <v>22</v>
      </c>
      <c r="J220" s="18"/>
      <c r="K220" s="18"/>
      <c r="L220" s="18"/>
      <c r="M220" s="18"/>
      <c r="N220" s="18"/>
      <c r="O220" s="18"/>
    </row>
    <row r="221" spans="2:15" ht="15.75" x14ac:dyDescent="0.25">
      <c r="B221" s="105">
        <v>37</v>
      </c>
      <c r="C221" s="93" t="s">
        <v>286</v>
      </c>
      <c r="D221" s="93"/>
      <c r="E221" s="93"/>
      <c r="F221" s="93"/>
      <c r="G221" s="93"/>
      <c r="H221" s="31"/>
      <c r="I221" s="21" t="s">
        <v>2</v>
      </c>
      <c r="J221" s="52" t="s">
        <v>42</v>
      </c>
      <c r="K221" s="98" t="s">
        <v>3</v>
      </c>
      <c r="L221" s="98"/>
      <c r="M221" s="98"/>
      <c r="N221" s="98"/>
      <c r="O221" s="98"/>
    </row>
    <row r="222" spans="2:15" ht="18" x14ac:dyDescent="0.25">
      <c r="B222" s="106"/>
      <c r="C222" s="89" t="s">
        <v>287</v>
      </c>
      <c r="D222" s="89"/>
      <c r="E222" s="89"/>
      <c r="F222" s="89"/>
      <c r="G222" s="89"/>
      <c r="H222" s="63">
        <f>parameters!F17</f>
        <v>0.03</v>
      </c>
      <c r="I222" s="23" t="s">
        <v>35</v>
      </c>
      <c r="J222" s="18"/>
      <c r="K222" s="18"/>
      <c r="L222" s="18"/>
      <c r="M222" s="18"/>
      <c r="N222" s="18"/>
      <c r="O222" s="18"/>
    </row>
    <row r="223" spans="2:15" ht="15.75" x14ac:dyDescent="0.25">
      <c r="B223" s="106"/>
      <c r="C223" s="90" t="s">
        <v>321</v>
      </c>
      <c r="D223" s="91"/>
      <c r="E223" s="91"/>
      <c r="F223" s="91"/>
      <c r="G223" s="92"/>
      <c r="H223" s="63">
        <f>(2*parameters!F20+parameters!F36)</f>
        <v>1.08</v>
      </c>
      <c r="I223" s="23"/>
      <c r="J223" s="18"/>
      <c r="K223" s="18"/>
      <c r="L223" s="18"/>
      <c r="M223" s="18"/>
      <c r="N223" s="18"/>
      <c r="O223" s="18"/>
    </row>
    <row r="224" spans="2:15" ht="15.75" x14ac:dyDescent="0.25">
      <c r="B224" s="106"/>
      <c r="C224" s="89" t="s">
        <v>323</v>
      </c>
      <c r="D224" s="89"/>
      <c r="E224" s="89"/>
      <c r="F224" s="89"/>
      <c r="G224" s="89"/>
      <c r="H224" s="63">
        <f>H222/H223</f>
        <v>2.7777777777777776E-2</v>
      </c>
      <c r="I224" s="23" t="s">
        <v>23</v>
      </c>
      <c r="J224" s="18"/>
      <c r="K224" s="18"/>
      <c r="L224" s="18"/>
      <c r="M224" s="18"/>
      <c r="N224" s="18"/>
      <c r="O224" s="18"/>
    </row>
    <row r="225" spans="2:15" ht="15.75" x14ac:dyDescent="0.25">
      <c r="B225" s="107"/>
      <c r="C225" s="89" t="s">
        <v>343</v>
      </c>
      <c r="D225" s="89"/>
      <c r="E225" s="89"/>
      <c r="F225" s="89"/>
      <c r="G225" s="89"/>
      <c r="H225" s="44">
        <f>2*H222</f>
        <v>0.06</v>
      </c>
      <c r="I225" s="23" t="s">
        <v>22</v>
      </c>
      <c r="J225" s="18"/>
      <c r="K225" s="18"/>
      <c r="L225" s="18"/>
      <c r="M225" s="18"/>
      <c r="N225" s="18"/>
      <c r="O225" s="18"/>
    </row>
    <row r="226" spans="2:15" ht="17.25" x14ac:dyDescent="0.25">
      <c r="C226" s="128" t="s">
        <v>342</v>
      </c>
      <c r="D226" s="128"/>
      <c r="E226" s="22">
        <f>parameters!I9</f>
        <v>5.5000000000000003E-4</v>
      </c>
      <c r="F226" s="69" t="s">
        <v>298</v>
      </c>
    </row>
    <row r="227" spans="2:15" ht="15.75" x14ac:dyDescent="0.25">
      <c r="C227" s="87" t="s">
        <v>336</v>
      </c>
      <c r="D227" s="87"/>
      <c r="E227" s="71" t="s">
        <v>337</v>
      </c>
      <c r="F227" s="21" t="s">
        <v>2</v>
      </c>
      <c r="G227" s="72" t="s">
        <v>338</v>
      </c>
      <c r="H227" s="21" t="s">
        <v>2</v>
      </c>
    </row>
    <row r="228" spans="2:15" ht="15.75" x14ac:dyDescent="0.25">
      <c r="C228" s="88" t="s">
        <v>59</v>
      </c>
      <c r="D228" s="88"/>
      <c r="E228" s="73">
        <f>parameters!Q21</f>
        <v>0.25</v>
      </c>
      <c r="F228" s="68" t="s">
        <v>303</v>
      </c>
      <c r="G228" s="22">
        <f>parameters!Q28</f>
        <v>995</v>
      </c>
      <c r="H228" s="68" t="s">
        <v>24</v>
      </c>
    </row>
    <row r="229" spans="2:15" ht="15.75" x14ac:dyDescent="0.25">
      <c r="C229" s="86" t="s">
        <v>341</v>
      </c>
      <c r="D229" s="86"/>
      <c r="E229" s="73">
        <f>parameters!Q23</f>
        <v>0.1</v>
      </c>
      <c r="F229" s="68" t="s">
        <v>303</v>
      </c>
      <c r="G229" s="45">
        <f>parameters!Q30</f>
        <v>1050</v>
      </c>
      <c r="H229" s="68" t="s">
        <v>24</v>
      </c>
    </row>
    <row r="230" spans="2:15" ht="15.75" x14ac:dyDescent="0.25">
      <c r="C230" s="86" t="s">
        <v>339</v>
      </c>
      <c r="D230" s="86"/>
      <c r="E230" s="73">
        <f>parameters!Q22</f>
        <v>0.15</v>
      </c>
      <c r="F230" s="68" t="s">
        <v>303</v>
      </c>
      <c r="G230" s="45">
        <f>parameters!Q29</f>
        <v>904</v>
      </c>
      <c r="H230" s="68" t="s">
        <v>24</v>
      </c>
    </row>
    <row r="231" spans="2:15" ht="15.75" x14ac:dyDescent="0.25">
      <c r="C231" s="86" t="s">
        <v>340</v>
      </c>
      <c r="D231" s="86"/>
      <c r="E231" s="73">
        <f>parameters!Q24</f>
        <v>0.1</v>
      </c>
      <c r="F231" s="68" t="s">
        <v>303</v>
      </c>
      <c r="G231" s="45">
        <f>parameters!Q31</f>
        <v>780</v>
      </c>
      <c r="H231" s="68" t="s">
        <v>24</v>
      </c>
    </row>
  </sheetData>
  <mergeCells count="319">
    <mergeCell ref="C226:D226"/>
    <mergeCell ref="B146:B151"/>
    <mergeCell ref="K187:O187"/>
    <mergeCell ref="C10:G10"/>
    <mergeCell ref="K95:O98"/>
    <mergeCell ref="K146:O146"/>
    <mergeCell ref="K160:O160"/>
    <mergeCell ref="K165:O165"/>
    <mergeCell ref="K170:O170"/>
    <mergeCell ref="K175:O175"/>
    <mergeCell ref="K181:O181"/>
    <mergeCell ref="K13:O13"/>
    <mergeCell ref="K33:O33"/>
    <mergeCell ref="C23:G23"/>
    <mergeCell ref="C146:G146"/>
    <mergeCell ref="C152:G152"/>
    <mergeCell ref="C153:G153"/>
    <mergeCell ref="K71:O71"/>
    <mergeCell ref="K77:O77"/>
    <mergeCell ref="K83:O83"/>
    <mergeCell ref="K89:O89"/>
    <mergeCell ref="C73:G73"/>
    <mergeCell ref="C74:G74"/>
    <mergeCell ref="C77:G77"/>
    <mergeCell ref="C147:G147"/>
    <mergeCell ref="K94:O94"/>
    <mergeCell ref="C186:G186"/>
    <mergeCell ref="C188:G188"/>
    <mergeCell ref="C187:G187"/>
    <mergeCell ref="C192:G192"/>
    <mergeCell ref="C189:G189"/>
    <mergeCell ref="C190:G190"/>
    <mergeCell ref="C191:G191"/>
    <mergeCell ref="C184:G184"/>
    <mergeCell ref="C185:G185"/>
    <mergeCell ref="C182:G182"/>
    <mergeCell ref="C183:G183"/>
    <mergeCell ref="C181:G181"/>
    <mergeCell ref="C176:G176"/>
    <mergeCell ref="C177:G177"/>
    <mergeCell ref="C178:G178"/>
    <mergeCell ref="C158:G158"/>
    <mergeCell ref="C170:G170"/>
    <mergeCell ref="C168:G168"/>
    <mergeCell ref="C169:G169"/>
    <mergeCell ref="C166:G166"/>
    <mergeCell ref="C167:G167"/>
    <mergeCell ref="C179:G179"/>
    <mergeCell ref="C2:I2"/>
    <mergeCell ref="C16:G16"/>
    <mergeCell ref="C18:G18"/>
    <mergeCell ref="C19:G19"/>
    <mergeCell ref="C84:G84"/>
    <mergeCell ref="C85:G85"/>
    <mergeCell ref="C86:G86"/>
    <mergeCell ref="C87:G87"/>
    <mergeCell ref="C78:G78"/>
    <mergeCell ref="C79:G79"/>
    <mergeCell ref="C80:G80"/>
    <mergeCell ref="C81:G81"/>
    <mergeCell ref="C82:G82"/>
    <mergeCell ref="C83:G83"/>
    <mergeCell ref="C68:G68"/>
    <mergeCell ref="C71:G71"/>
    <mergeCell ref="C58:G58"/>
    <mergeCell ref="C59:G59"/>
    <mergeCell ref="C38:G38"/>
    <mergeCell ref="C36:G36"/>
    <mergeCell ref="C37:G37"/>
    <mergeCell ref="C51:G51"/>
    <mergeCell ref="C52:G52"/>
    <mergeCell ref="C39:G39"/>
    <mergeCell ref="C4:G4"/>
    <mergeCell ref="C48:G48"/>
    <mergeCell ref="C49:G49"/>
    <mergeCell ref="C50:G50"/>
    <mergeCell ref="C11:G11"/>
    <mergeCell ref="C28:G28"/>
    <mergeCell ref="C33:G33"/>
    <mergeCell ref="C5:G5"/>
    <mergeCell ref="C6:G6"/>
    <mergeCell ref="C7:G7"/>
    <mergeCell ref="C8:G8"/>
    <mergeCell ref="C9:G9"/>
    <mergeCell ref="C17:G17"/>
    <mergeCell ref="C29:G29"/>
    <mergeCell ref="C14:G14"/>
    <mergeCell ref="C15:G15"/>
    <mergeCell ref="C24:G24"/>
    <mergeCell ref="C13:G13"/>
    <mergeCell ref="C27:G27"/>
    <mergeCell ref="C43:G43"/>
    <mergeCell ref="C44:G44"/>
    <mergeCell ref="C46:G46"/>
    <mergeCell ref="C34:G34"/>
    <mergeCell ref="C35:G35"/>
    <mergeCell ref="K17:O17"/>
    <mergeCell ref="B13:B17"/>
    <mergeCell ref="B18:B22"/>
    <mergeCell ref="B23:B27"/>
    <mergeCell ref="B28:B32"/>
    <mergeCell ref="B33:B38"/>
    <mergeCell ref="B39:B44"/>
    <mergeCell ref="B45:B50"/>
    <mergeCell ref="K51:O51"/>
    <mergeCell ref="K22:O22"/>
    <mergeCell ref="K27:O27"/>
    <mergeCell ref="K32:O32"/>
    <mergeCell ref="K38:O38"/>
    <mergeCell ref="K44:O44"/>
    <mergeCell ref="K50:O50"/>
    <mergeCell ref="K28:O28"/>
    <mergeCell ref="C42:G42"/>
    <mergeCell ref="K39:O39"/>
    <mergeCell ref="K45:O45"/>
    <mergeCell ref="K18:O18"/>
    <mergeCell ref="K23:O23"/>
    <mergeCell ref="C30:G30"/>
    <mergeCell ref="C32:G32"/>
    <mergeCell ref="C22:G22"/>
    <mergeCell ref="K60:O60"/>
    <mergeCell ref="K65:O65"/>
    <mergeCell ref="K70:O70"/>
    <mergeCell ref="B56:B60"/>
    <mergeCell ref="B61:B65"/>
    <mergeCell ref="B66:B70"/>
    <mergeCell ref="K56:O56"/>
    <mergeCell ref="K61:O61"/>
    <mergeCell ref="K66:O66"/>
    <mergeCell ref="C57:G57"/>
    <mergeCell ref="C45:G45"/>
    <mergeCell ref="C56:G56"/>
    <mergeCell ref="C47:G47"/>
    <mergeCell ref="C40:G40"/>
    <mergeCell ref="C41:G41"/>
    <mergeCell ref="B71:B76"/>
    <mergeCell ref="B77:B82"/>
    <mergeCell ref="B83:B88"/>
    <mergeCell ref="C60:G60"/>
    <mergeCell ref="C62:G62"/>
    <mergeCell ref="C72:G72"/>
    <mergeCell ref="C75:G75"/>
    <mergeCell ref="C76:G76"/>
    <mergeCell ref="C88:G88"/>
    <mergeCell ref="C66:G66"/>
    <mergeCell ref="C61:G61"/>
    <mergeCell ref="C67:G67"/>
    <mergeCell ref="C70:G70"/>
    <mergeCell ref="C65:G65"/>
    <mergeCell ref="B112:B116"/>
    <mergeCell ref="C112:G112"/>
    <mergeCell ref="K112:O112"/>
    <mergeCell ref="C113:G113"/>
    <mergeCell ref="C114:G114"/>
    <mergeCell ref="C116:G116"/>
    <mergeCell ref="K116:O116"/>
    <mergeCell ref="B89:B93"/>
    <mergeCell ref="B94:B98"/>
    <mergeCell ref="C95:G95"/>
    <mergeCell ref="C96:G96"/>
    <mergeCell ref="C97:G97"/>
    <mergeCell ref="C98:G98"/>
    <mergeCell ref="C90:G90"/>
    <mergeCell ref="C91:G91"/>
    <mergeCell ref="C92:G92"/>
    <mergeCell ref="C93:G93"/>
    <mergeCell ref="C89:G89"/>
    <mergeCell ref="C94:G94"/>
    <mergeCell ref="C99:G99"/>
    <mergeCell ref="C100:G100"/>
    <mergeCell ref="B102:B106"/>
    <mergeCell ref="C102:G102"/>
    <mergeCell ref="K102:O102"/>
    <mergeCell ref="C103:G103"/>
    <mergeCell ref="C104:G104"/>
    <mergeCell ref="C105:G105"/>
    <mergeCell ref="C106:G106"/>
    <mergeCell ref="K106:O106"/>
    <mergeCell ref="B107:B111"/>
    <mergeCell ref="C107:G107"/>
    <mergeCell ref="K107:O107"/>
    <mergeCell ref="C108:G108"/>
    <mergeCell ref="C109:G109"/>
    <mergeCell ref="C111:G111"/>
    <mergeCell ref="K111:O111"/>
    <mergeCell ref="K117:O117"/>
    <mergeCell ref="C118:G118"/>
    <mergeCell ref="C119:G119"/>
    <mergeCell ref="C120:G120"/>
    <mergeCell ref="C121:G121"/>
    <mergeCell ref="C122:G122"/>
    <mergeCell ref="B123:B128"/>
    <mergeCell ref="C123:G123"/>
    <mergeCell ref="K123:O123"/>
    <mergeCell ref="C124:G124"/>
    <mergeCell ref="C125:G125"/>
    <mergeCell ref="C126:G126"/>
    <mergeCell ref="C127:G127"/>
    <mergeCell ref="C128:G128"/>
    <mergeCell ref="K140:O140"/>
    <mergeCell ref="C141:G141"/>
    <mergeCell ref="K141:O145"/>
    <mergeCell ref="C142:G142"/>
    <mergeCell ref="C143:G143"/>
    <mergeCell ref="C145:G145"/>
    <mergeCell ref="K67:O67"/>
    <mergeCell ref="B129:B134"/>
    <mergeCell ref="C129:G129"/>
    <mergeCell ref="K129:O129"/>
    <mergeCell ref="C130:G130"/>
    <mergeCell ref="C131:G131"/>
    <mergeCell ref="C132:G132"/>
    <mergeCell ref="C133:G133"/>
    <mergeCell ref="C134:G134"/>
    <mergeCell ref="B135:B139"/>
    <mergeCell ref="C135:G135"/>
    <mergeCell ref="K135:O135"/>
    <mergeCell ref="C136:G136"/>
    <mergeCell ref="C137:G137"/>
    <mergeCell ref="C138:G138"/>
    <mergeCell ref="C139:G139"/>
    <mergeCell ref="B117:B122"/>
    <mergeCell ref="C117:G117"/>
    <mergeCell ref="B216:B220"/>
    <mergeCell ref="B221:B225"/>
    <mergeCell ref="C21:G21"/>
    <mergeCell ref="C20:G20"/>
    <mergeCell ref="C25:G25"/>
    <mergeCell ref="C26:G26"/>
    <mergeCell ref="C31:G31"/>
    <mergeCell ref="C209:G209"/>
    <mergeCell ref="C210:G210"/>
    <mergeCell ref="C211:G211"/>
    <mergeCell ref="C213:G213"/>
    <mergeCell ref="C200:G200"/>
    <mergeCell ref="C201:G201"/>
    <mergeCell ref="C202:G202"/>
    <mergeCell ref="C204:G204"/>
    <mergeCell ref="C205:G205"/>
    <mergeCell ref="C206:G206"/>
    <mergeCell ref="C207:G207"/>
    <mergeCell ref="B170:B174"/>
    <mergeCell ref="B175:B180"/>
    <mergeCell ref="B181:B186"/>
    <mergeCell ref="B187:B192"/>
    <mergeCell ref="C196:G196"/>
    <mergeCell ref="C197:G197"/>
    <mergeCell ref="B12:G12"/>
    <mergeCell ref="B55:G55"/>
    <mergeCell ref="B101:G101"/>
    <mergeCell ref="B154:G154"/>
    <mergeCell ref="B195:G195"/>
    <mergeCell ref="B196:B200"/>
    <mergeCell ref="B201:B205"/>
    <mergeCell ref="B206:B210"/>
    <mergeCell ref="B211:B215"/>
    <mergeCell ref="C199:G199"/>
    <mergeCell ref="C159:G159"/>
    <mergeCell ref="B155:B159"/>
    <mergeCell ref="B160:B164"/>
    <mergeCell ref="B165:B169"/>
    <mergeCell ref="C161:G161"/>
    <mergeCell ref="C162:G162"/>
    <mergeCell ref="C163:G163"/>
    <mergeCell ref="C164:G164"/>
    <mergeCell ref="C165:G165"/>
    <mergeCell ref="C160:G160"/>
    <mergeCell ref="C155:G155"/>
    <mergeCell ref="C156:G156"/>
    <mergeCell ref="B140:B145"/>
    <mergeCell ref="C140:G140"/>
    <mergeCell ref="C144:G144"/>
    <mergeCell ref="C150:G150"/>
    <mergeCell ref="C148:G148"/>
    <mergeCell ref="C151:G151"/>
    <mergeCell ref="C157:G157"/>
    <mergeCell ref="K221:O221"/>
    <mergeCell ref="C222:G222"/>
    <mergeCell ref="C224:G224"/>
    <mergeCell ref="C225:G225"/>
    <mergeCell ref="K211:O211"/>
    <mergeCell ref="K216:O216"/>
    <mergeCell ref="K201:O201"/>
    <mergeCell ref="K206:O206"/>
    <mergeCell ref="K196:O196"/>
    <mergeCell ref="K155:O155"/>
    <mergeCell ref="K159:O159"/>
    <mergeCell ref="K164:O164"/>
    <mergeCell ref="K169:O169"/>
    <mergeCell ref="C180:G180"/>
    <mergeCell ref="C175:G175"/>
    <mergeCell ref="C174:G174"/>
    <mergeCell ref="C171:G171"/>
    <mergeCell ref="C173:G173"/>
    <mergeCell ref="C149:G149"/>
    <mergeCell ref="C231:D231"/>
    <mergeCell ref="C227:D227"/>
    <mergeCell ref="C228:D228"/>
    <mergeCell ref="C229:D229"/>
    <mergeCell ref="C230:D230"/>
    <mergeCell ref="C218:G218"/>
    <mergeCell ref="C223:G223"/>
    <mergeCell ref="C63:G63"/>
    <mergeCell ref="C64:G64"/>
    <mergeCell ref="C69:G69"/>
    <mergeCell ref="C110:G110"/>
    <mergeCell ref="C115:G115"/>
    <mergeCell ref="C172:G172"/>
    <mergeCell ref="C198:G198"/>
    <mergeCell ref="C203:G203"/>
    <mergeCell ref="C208:G208"/>
    <mergeCell ref="C217:G217"/>
    <mergeCell ref="C219:G219"/>
    <mergeCell ref="C220:G220"/>
    <mergeCell ref="C221:G221"/>
    <mergeCell ref="C212:G212"/>
    <mergeCell ref="C214:G214"/>
    <mergeCell ref="C215:G215"/>
    <mergeCell ref="C216:G2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workbookViewId="0">
      <selection activeCell="K13" sqref="K13"/>
    </sheetView>
  </sheetViews>
  <sheetFormatPr defaultRowHeight="15" x14ac:dyDescent="0.25"/>
  <cols>
    <col min="3" max="3" width="15.28515625" customWidth="1"/>
    <col min="4" max="4" width="18" customWidth="1"/>
    <col min="5" max="5" width="19.85546875" customWidth="1"/>
    <col min="6" max="6" width="26.85546875" customWidth="1"/>
    <col min="7" max="7" width="23.7109375" customWidth="1"/>
    <col min="8" max="8" width="27" customWidth="1"/>
    <col min="9" max="9" width="16.140625" customWidth="1"/>
  </cols>
  <sheetData>
    <row r="1" spans="2:17" ht="45" x14ac:dyDescent="0.25">
      <c r="B1" s="65" t="s">
        <v>328</v>
      </c>
      <c r="C1" s="66" t="s">
        <v>327</v>
      </c>
      <c r="D1" s="66" t="s">
        <v>329</v>
      </c>
      <c r="E1" s="66" t="s">
        <v>330</v>
      </c>
      <c r="F1" s="66" t="s">
        <v>331</v>
      </c>
      <c r="G1" s="66" t="s">
        <v>332</v>
      </c>
      <c r="H1" s="66" t="s">
        <v>333</v>
      </c>
      <c r="I1" s="66" t="s">
        <v>326</v>
      </c>
      <c r="J1" s="67"/>
      <c r="K1" s="67"/>
    </row>
    <row r="2" spans="2:17" x14ac:dyDescent="0.25">
      <c r="B2" s="65">
        <v>-150</v>
      </c>
      <c r="C2" s="65">
        <f>B2+273.15</f>
        <v>123.14999999999998</v>
      </c>
      <c r="D2" s="65">
        <v>2.8660000000000001</v>
      </c>
      <c r="E2" s="65">
        <v>983</v>
      </c>
      <c r="F2" s="65">
        <v>1.171E-2</v>
      </c>
      <c r="G2" s="29">
        <v>8.636E-6</v>
      </c>
      <c r="H2" s="29">
        <f>G2/D2</f>
        <v>3.0132588974180039E-6</v>
      </c>
      <c r="I2" s="65">
        <f>(G2*E2)/F2</f>
        <v>0.72495200683176775</v>
      </c>
    </row>
    <row r="3" spans="2:17" ht="33" customHeight="1" x14ac:dyDescent="0.25">
      <c r="B3" s="65">
        <v>-100</v>
      </c>
      <c r="C3" s="65">
        <f t="shared" ref="C3:C31" si="0">B3+273.15</f>
        <v>173.14999999999998</v>
      </c>
      <c r="D3" s="65">
        <v>2.0379999999999998</v>
      </c>
      <c r="E3" s="65">
        <v>966</v>
      </c>
      <c r="F3" s="65">
        <v>1.5820000000000001E-2</v>
      </c>
      <c r="G3" s="29">
        <v>1.189E-6</v>
      </c>
      <c r="H3" s="29">
        <f t="shared" ref="H3:H31" si="1">G3/D3</f>
        <v>5.8341511285574094E-7</v>
      </c>
      <c r="I3" s="65">
        <f t="shared" ref="I3:I31" si="2">(G3*E3)/F3</f>
        <v>7.260265486725663E-2</v>
      </c>
    </row>
    <row r="4" spans="2:17" x14ac:dyDescent="0.25">
      <c r="B4" s="65">
        <v>-50</v>
      </c>
      <c r="C4" s="65">
        <f t="shared" si="0"/>
        <v>223.14999999999998</v>
      </c>
      <c r="D4" s="65">
        <v>1.5820000000000001</v>
      </c>
      <c r="E4" s="65">
        <v>999</v>
      </c>
      <c r="F4" s="65">
        <v>1.9789999999999999E-2</v>
      </c>
      <c r="G4" s="29">
        <v>1.4739999999999999E-5</v>
      </c>
      <c r="H4" s="29">
        <f t="shared" si="1"/>
        <v>9.3173198482932984E-6</v>
      </c>
      <c r="I4" s="65">
        <f t="shared" si="2"/>
        <v>0.74407579585649319</v>
      </c>
      <c r="K4" s="129" t="s">
        <v>344</v>
      </c>
      <c r="L4" s="129"/>
      <c r="M4" s="129"/>
      <c r="N4" s="129"/>
      <c r="O4" s="129"/>
      <c r="P4" s="129"/>
      <c r="Q4" s="129"/>
    </row>
    <row r="5" spans="2:17" x14ac:dyDescent="0.25">
      <c r="B5" s="65">
        <v>-40</v>
      </c>
      <c r="C5" s="65">
        <f t="shared" si="0"/>
        <v>233.14999999999998</v>
      </c>
      <c r="D5" s="65">
        <v>1.514</v>
      </c>
      <c r="E5" s="65">
        <v>1002</v>
      </c>
      <c r="F5" s="65">
        <v>2.0570000000000001E-2</v>
      </c>
      <c r="G5" s="29">
        <v>1.5270000000000001E-5</v>
      </c>
      <c r="H5" s="29">
        <f t="shared" si="1"/>
        <v>1.0085865257595774E-5</v>
      </c>
      <c r="I5" s="65">
        <f t="shared" si="2"/>
        <v>0.74382790471560523</v>
      </c>
    </row>
    <row r="6" spans="2:17" x14ac:dyDescent="0.25">
      <c r="B6" s="65">
        <v>-30</v>
      </c>
      <c r="C6" s="65">
        <f t="shared" si="0"/>
        <v>243.14999999999998</v>
      </c>
      <c r="D6" s="65">
        <v>1.4510000000000001</v>
      </c>
      <c r="E6" s="65">
        <v>1004</v>
      </c>
      <c r="F6" s="65">
        <v>2.1340000000000001E-2</v>
      </c>
      <c r="G6" s="29">
        <v>1.579E-5</v>
      </c>
      <c r="H6" s="29">
        <f t="shared" si="1"/>
        <v>1.0882150241212956E-5</v>
      </c>
      <c r="I6" s="65">
        <f t="shared" si="2"/>
        <v>0.74288472352389867</v>
      </c>
    </row>
    <row r="7" spans="2:17" x14ac:dyDescent="0.25">
      <c r="B7" s="65">
        <v>-20</v>
      </c>
      <c r="C7" s="65">
        <f t="shared" si="0"/>
        <v>253.14999999999998</v>
      </c>
      <c r="D7" s="65">
        <v>1.3939999999999999</v>
      </c>
      <c r="E7" s="65">
        <v>1005</v>
      </c>
      <c r="F7" s="65">
        <v>2.2110000000000001E-2</v>
      </c>
      <c r="G7" s="29">
        <v>1.63E-5</v>
      </c>
      <c r="H7" s="29">
        <f t="shared" si="1"/>
        <v>1.169296987087518E-5</v>
      </c>
      <c r="I7" s="65">
        <f t="shared" si="2"/>
        <v>0.74090909090909085</v>
      </c>
    </row>
    <row r="8" spans="2:17" x14ac:dyDescent="0.25">
      <c r="B8" s="65">
        <v>-10</v>
      </c>
      <c r="C8" s="65">
        <f t="shared" si="0"/>
        <v>263.14999999999998</v>
      </c>
      <c r="D8" s="65">
        <v>1.341</v>
      </c>
      <c r="E8" s="65">
        <v>1006</v>
      </c>
      <c r="F8" s="65">
        <v>2.2880000000000001E-2</v>
      </c>
      <c r="G8" s="29">
        <v>1.6799999999999998E-5</v>
      </c>
      <c r="H8" s="29">
        <f t="shared" si="1"/>
        <v>1.2527964205816554E-5</v>
      </c>
      <c r="I8" s="65">
        <f t="shared" si="2"/>
        <v>0.73867132867132856</v>
      </c>
    </row>
    <row r="9" spans="2:17" x14ac:dyDescent="0.25">
      <c r="B9" s="65">
        <v>0</v>
      </c>
      <c r="C9" s="65">
        <f t="shared" si="0"/>
        <v>273.14999999999998</v>
      </c>
      <c r="D9" s="65">
        <v>1.292</v>
      </c>
      <c r="E9" s="65">
        <v>1006</v>
      </c>
      <c r="F9" s="65">
        <v>2.3640000000000001E-2</v>
      </c>
      <c r="G9" s="29">
        <v>1.7289999999999999E-5</v>
      </c>
      <c r="H9" s="29">
        <f t="shared" si="1"/>
        <v>1.3382352941176469E-5</v>
      </c>
      <c r="I9" s="65">
        <f t="shared" si="2"/>
        <v>0.73577580372250406</v>
      </c>
    </row>
    <row r="10" spans="2:17" x14ac:dyDescent="0.25">
      <c r="B10" s="65">
        <v>5</v>
      </c>
      <c r="C10" s="65">
        <f t="shared" si="0"/>
        <v>278.14999999999998</v>
      </c>
      <c r="D10" s="65">
        <v>1.2689999999999999</v>
      </c>
      <c r="E10" s="65">
        <v>1006</v>
      </c>
      <c r="F10" s="65">
        <v>2.401E-2</v>
      </c>
      <c r="G10" s="29">
        <v>1.7540000000000001E-5</v>
      </c>
      <c r="H10" s="29">
        <f t="shared" si="1"/>
        <v>1.3821907013396378E-5</v>
      </c>
      <c r="I10" s="65">
        <f t="shared" si="2"/>
        <v>0.73491211995002093</v>
      </c>
    </row>
    <row r="11" spans="2:17" x14ac:dyDescent="0.25">
      <c r="B11" s="65">
        <v>10</v>
      </c>
      <c r="C11" s="65">
        <f t="shared" si="0"/>
        <v>283.14999999999998</v>
      </c>
      <c r="D11" s="65">
        <v>1.246</v>
      </c>
      <c r="E11" s="65">
        <v>1006</v>
      </c>
      <c r="F11" s="65">
        <v>2.4389999999999998E-2</v>
      </c>
      <c r="G11" s="29">
        <v>1.7779999999999999E-5</v>
      </c>
      <c r="H11" s="29">
        <f t="shared" si="1"/>
        <v>1.4269662921348314E-5</v>
      </c>
      <c r="I11" s="65">
        <f t="shared" si="2"/>
        <v>0.73336121361213613</v>
      </c>
    </row>
    <row r="12" spans="2:17" x14ac:dyDescent="0.25">
      <c r="B12" s="65">
        <v>15</v>
      </c>
      <c r="C12" s="65">
        <f t="shared" si="0"/>
        <v>288.14999999999998</v>
      </c>
      <c r="D12" s="65">
        <v>1.2250000000000001</v>
      </c>
      <c r="E12" s="65">
        <v>1007</v>
      </c>
      <c r="F12" s="65">
        <v>2.4760000000000001E-2</v>
      </c>
      <c r="G12" s="29">
        <v>1.802E-5</v>
      </c>
      <c r="H12" s="29">
        <f t="shared" si="1"/>
        <v>1.4710204081632652E-5</v>
      </c>
      <c r="I12" s="65">
        <f t="shared" si="2"/>
        <v>0.73288126009693055</v>
      </c>
    </row>
    <row r="13" spans="2:17" x14ac:dyDescent="0.25">
      <c r="B13" s="65">
        <v>20</v>
      </c>
      <c r="C13" s="65">
        <f t="shared" si="0"/>
        <v>293.14999999999998</v>
      </c>
      <c r="D13" s="65">
        <v>1.204</v>
      </c>
      <c r="E13" s="65">
        <v>1007</v>
      </c>
      <c r="F13" s="65">
        <v>2.5139999999999999E-2</v>
      </c>
      <c r="G13" s="29">
        <v>1.825E-5</v>
      </c>
      <c r="H13" s="29">
        <f t="shared" si="1"/>
        <v>1.5157807308970101E-5</v>
      </c>
      <c r="I13" s="65">
        <f t="shared" si="2"/>
        <v>0.73101630867143985</v>
      </c>
    </row>
    <row r="14" spans="2:17" x14ac:dyDescent="0.25">
      <c r="B14" s="65">
        <v>25</v>
      </c>
      <c r="C14" s="65">
        <f t="shared" si="0"/>
        <v>298.14999999999998</v>
      </c>
      <c r="D14" s="65">
        <v>1.1839999999999999</v>
      </c>
      <c r="E14" s="65">
        <v>1007</v>
      </c>
      <c r="F14" s="65">
        <v>2.5510000000000001E-2</v>
      </c>
      <c r="G14" s="29">
        <v>1.8490000000000001E-5</v>
      </c>
      <c r="H14" s="29">
        <f t="shared" si="1"/>
        <v>1.5616554054054054E-5</v>
      </c>
      <c r="I14" s="65">
        <f t="shared" si="2"/>
        <v>0.72988749509996076</v>
      </c>
    </row>
    <row r="15" spans="2:17" x14ac:dyDescent="0.25">
      <c r="B15" s="65">
        <v>30</v>
      </c>
      <c r="C15" s="65">
        <f t="shared" si="0"/>
        <v>303.14999999999998</v>
      </c>
      <c r="D15" s="65">
        <v>1.1639999999999999</v>
      </c>
      <c r="E15" s="65">
        <v>1007</v>
      </c>
      <c r="F15" s="65">
        <v>2.588E-2</v>
      </c>
      <c r="G15" s="29">
        <v>1.872E-5</v>
      </c>
      <c r="H15" s="29">
        <f t="shared" si="1"/>
        <v>1.6082474226804127E-5</v>
      </c>
      <c r="I15" s="65">
        <f t="shared" si="2"/>
        <v>0.72840185471406493</v>
      </c>
    </row>
    <row r="16" spans="2:17" x14ac:dyDescent="0.25">
      <c r="B16" s="65">
        <v>35</v>
      </c>
      <c r="C16" s="65">
        <f t="shared" si="0"/>
        <v>308.14999999999998</v>
      </c>
      <c r="D16" s="65">
        <v>1.145</v>
      </c>
      <c r="E16" s="65">
        <v>1007</v>
      </c>
      <c r="F16" s="65">
        <v>2.6249999999999999E-2</v>
      </c>
      <c r="G16" s="29">
        <v>1.895E-5</v>
      </c>
      <c r="H16" s="29">
        <f t="shared" si="1"/>
        <v>1.6550218340611354E-5</v>
      </c>
      <c r="I16" s="65">
        <f t="shared" si="2"/>
        <v>0.72695809523809529</v>
      </c>
    </row>
    <row r="17" spans="2:9" x14ac:dyDescent="0.25">
      <c r="B17" s="65">
        <v>40</v>
      </c>
      <c r="C17" s="65">
        <f t="shared" si="0"/>
        <v>313.14999999999998</v>
      </c>
      <c r="D17" s="65">
        <v>1.127</v>
      </c>
      <c r="E17" s="65">
        <v>1007</v>
      </c>
      <c r="F17" s="65">
        <v>2.6620000000000001E-2</v>
      </c>
      <c r="G17" s="29">
        <v>1.9179999999999999E-5</v>
      </c>
      <c r="H17" s="29">
        <f t="shared" si="1"/>
        <v>1.7018633540372672E-5</v>
      </c>
      <c r="I17" s="65">
        <f t="shared" si="2"/>
        <v>0.7255544703230653</v>
      </c>
    </row>
    <row r="18" spans="2:9" x14ac:dyDescent="0.25">
      <c r="B18" s="65">
        <v>45</v>
      </c>
      <c r="C18" s="65">
        <f t="shared" si="0"/>
        <v>318.14999999999998</v>
      </c>
      <c r="D18" s="65">
        <v>1.109</v>
      </c>
      <c r="E18" s="65">
        <v>1007</v>
      </c>
      <c r="F18" s="65">
        <v>2.699E-2</v>
      </c>
      <c r="G18" s="29">
        <v>1.9409999999999999E-5</v>
      </c>
      <c r="H18" s="29">
        <f t="shared" si="1"/>
        <v>1.7502254283137962E-5</v>
      </c>
      <c r="I18" s="65">
        <f t="shared" si="2"/>
        <v>0.72418932938125236</v>
      </c>
    </row>
    <row r="19" spans="2:9" x14ac:dyDescent="0.25">
      <c r="B19" s="65">
        <v>50</v>
      </c>
      <c r="C19" s="65">
        <f t="shared" si="0"/>
        <v>323.14999999999998</v>
      </c>
      <c r="D19" s="65">
        <v>1.0920000000000001</v>
      </c>
      <c r="E19" s="65">
        <v>1007</v>
      </c>
      <c r="F19" s="65">
        <v>2.7349999999999999E-2</v>
      </c>
      <c r="G19" s="29">
        <v>1.963E-5</v>
      </c>
      <c r="H19" s="29">
        <f t="shared" si="1"/>
        <v>1.7976190476190476E-5</v>
      </c>
      <c r="I19" s="65">
        <f t="shared" si="2"/>
        <v>0.72275722120658137</v>
      </c>
    </row>
    <row r="20" spans="2:9" x14ac:dyDescent="0.25">
      <c r="B20" s="65">
        <v>60</v>
      </c>
      <c r="C20" s="65">
        <f t="shared" si="0"/>
        <v>333.15</v>
      </c>
      <c r="D20" s="65">
        <v>1.0589999999999999</v>
      </c>
      <c r="E20" s="65">
        <v>1007</v>
      </c>
      <c r="F20" s="65">
        <v>2.8080000000000001E-2</v>
      </c>
      <c r="G20" s="29">
        <v>2.0080000000000001E-5</v>
      </c>
      <c r="H20" s="29">
        <f t="shared" si="1"/>
        <v>1.8961284230406044E-5</v>
      </c>
      <c r="I20" s="65">
        <f t="shared" si="2"/>
        <v>0.72010541310541321</v>
      </c>
    </row>
    <row r="21" spans="2:9" x14ac:dyDescent="0.25">
      <c r="B21" s="65">
        <v>70</v>
      </c>
      <c r="C21" s="65">
        <f t="shared" si="0"/>
        <v>343.15</v>
      </c>
      <c r="D21" s="65">
        <v>1.028</v>
      </c>
      <c r="E21" s="65">
        <v>1007</v>
      </c>
      <c r="F21" s="65">
        <v>2.8809999999999999E-2</v>
      </c>
      <c r="G21" s="29">
        <v>2.052E-5</v>
      </c>
      <c r="H21" s="29">
        <f t="shared" si="1"/>
        <v>1.9961089494163424E-5</v>
      </c>
      <c r="I21" s="65">
        <f t="shared" si="2"/>
        <v>0.7172384588684485</v>
      </c>
    </row>
    <row r="22" spans="2:9" x14ac:dyDescent="0.25">
      <c r="B22" s="65">
        <v>80</v>
      </c>
      <c r="C22" s="65">
        <f t="shared" si="0"/>
        <v>353.15</v>
      </c>
      <c r="D22" s="65">
        <v>0.99939999999999996</v>
      </c>
      <c r="E22" s="65">
        <v>1008</v>
      </c>
      <c r="F22" s="65">
        <v>2.9530000000000001E-2</v>
      </c>
      <c r="G22" s="29">
        <v>2.0959999999999999E-5</v>
      </c>
      <c r="H22" s="29">
        <f t="shared" si="1"/>
        <v>2.0972583550130078E-5</v>
      </c>
      <c r="I22" s="65">
        <f t="shared" si="2"/>
        <v>0.71546495089739248</v>
      </c>
    </row>
    <row r="23" spans="2:9" x14ac:dyDescent="0.25">
      <c r="B23" s="65">
        <v>90</v>
      </c>
      <c r="C23" s="65">
        <f t="shared" si="0"/>
        <v>363.15</v>
      </c>
      <c r="D23" s="65">
        <v>0.9718</v>
      </c>
      <c r="E23" s="65">
        <v>1008</v>
      </c>
      <c r="F23" s="65">
        <v>3.024E-2</v>
      </c>
      <c r="G23" s="29">
        <v>2.139E-5</v>
      </c>
      <c r="H23" s="29">
        <f t="shared" si="1"/>
        <v>2.201070179049187E-5</v>
      </c>
      <c r="I23" s="65">
        <f t="shared" si="2"/>
        <v>0.71299999999999997</v>
      </c>
    </row>
    <row r="24" spans="2:9" x14ac:dyDescent="0.25">
      <c r="B24" s="65">
        <v>100</v>
      </c>
      <c r="C24" s="65">
        <f t="shared" si="0"/>
        <v>373.15</v>
      </c>
      <c r="D24" s="65">
        <v>0.94579999999999997</v>
      </c>
      <c r="E24" s="65">
        <v>1009</v>
      </c>
      <c r="F24" s="65">
        <v>3.0949999999999998E-2</v>
      </c>
      <c r="G24" s="29">
        <v>2.181E-5</v>
      </c>
      <c r="H24" s="29">
        <f t="shared" si="1"/>
        <v>2.3059843518714317E-5</v>
      </c>
      <c r="I24" s="65">
        <f t="shared" si="2"/>
        <v>0.71102714054927307</v>
      </c>
    </row>
    <row r="25" spans="2:9" x14ac:dyDescent="0.25">
      <c r="B25" s="65">
        <v>120</v>
      </c>
      <c r="C25" s="65">
        <f t="shared" si="0"/>
        <v>393.15</v>
      </c>
      <c r="D25" s="65">
        <v>0.89770000000000005</v>
      </c>
      <c r="E25" s="65">
        <v>1011</v>
      </c>
      <c r="F25" s="65">
        <v>3.2349999999999997E-2</v>
      </c>
      <c r="G25" s="29">
        <v>2.264E-5</v>
      </c>
      <c r="H25" s="29">
        <f t="shared" si="1"/>
        <v>2.5220006683747352E-5</v>
      </c>
      <c r="I25" s="65">
        <f t="shared" si="2"/>
        <v>0.70754374034003098</v>
      </c>
    </row>
    <row r="26" spans="2:9" x14ac:dyDescent="0.25">
      <c r="B26" s="65">
        <v>140</v>
      </c>
      <c r="C26" s="65">
        <f t="shared" si="0"/>
        <v>413.15</v>
      </c>
      <c r="D26" s="65">
        <v>0.85419999999999996</v>
      </c>
      <c r="E26" s="65">
        <v>1013</v>
      </c>
      <c r="F26" s="65">
        <v>3.3739999999999999E-2</v>
      </c>
      <c r="G26" s="29">
        <v>2.3450000000000001E-5</v>
      </c>
      <c r="H26" s="29">
        <f t="shared" si="1"/>
        <v>2.7452587216108642E-5</v>
      </c>
      <c r="I26" s="65">
        <f t="shared" si="2"/>
        <v>0.70405601659751038</v>
      </c>
    </row>
    <row r="27" spans="2:9" x14ac:dyDescent="0.25">
      <c r="B27" s="65">
        <v>160</v>
      </c>
      <c r="C27" s="65">
        <f t="shared" si="0"/>
        <v>433.15</v>
      </c>
      <c r="D27" s="65">
        <v>0.81479999999999997</v>
      </c>
      <c r="E27" s="65">
        <v>1016</v>
      </c>
      <c r="F27" s="65">
        <v>3.5110000000000002E-2</v>
      </c>
      <c r="G27" s="29">
        <v>2.4199999999999999E-5</v>
      </c>
      <c r="H27" s="29">
        <f t="shared" si="1"/>
        <v>2.9700540009818359E-5</v>
      </c>
      <c r="I27" s="65">
        <f t="shared" si="2"/>
        <v>0.7002905155226431</v>
      </c>
    </row>
    <row r="28" spans="2:9" x14ac:dyDescent="0.25">
      <c r="B28" s="65">
        <v>180</v>
      </c>
      <c r="C28" s="65">
        <f t="shared" si="0"/>
        <v>453.15</v>
      </c>
      <c r="D28" s="65">
        <v>0.77880000000000005</v>
      </c>
      <c r="E28" s="65">
        <v>1019</v>
      </c>
      <c r="F28" s="65">
        <v>3.6459999999999999E-2</v>
      </c>
      <c r="G28" s="29">
        <v>2.5040000000000001E-5</v>
      </c>
      <c r="H28" s="29">
        <f t="shared" si="1"/>
        <v>3.215202876219825E-5</v>
      </c>
      <c r="I28" s="65">
        <f t="shared" si="2"/>
        <v>0.69982885353812407</v>
      </c>
    </row>
    <row r="29" spans="2:9" x14ac:dyDescent="0.25">
      <c r="B29" s="65">
        <v>200</v>
      </c>
      <c r="C29" s="65">
        <f t="shared" si="0"/>
        <v>473.15</v>
      </c>
      <c r="D29" s="65">
        <v>0.74590000000000001</v>
      </c>
      <c r="E29" s="65">
        <v>1023</v>
      </c>
      <c r="F29" s="65">
        <v>3.7789999999999997E-2</v>
      </c>
      <c r="G29" s="29">
        <v>2.5769999999999999E-5</v>
      </c>
      <c r="H29" s="29">
        <f t="shared" si="1"/>
        <v>3.4548867140367339E-5</v>
      </c>
      <c r="I29" s="65">
        <f t="shared" si="2"/>
        <v>0.69761074358295849</v>
      </c>
    </row>
    <row r="30" spans="2:9" x14ac:dyDescent="0.25">
      <c r="B30" s="65">
        <v>250</v>
      </c>
      <c r="C30" s="65">
        <f t="shared" si="0"/>
        <v>523.15</v>
      </c>
      <c r="D30" s="65">
        <v>0.67459999999999998</v>
      </c>
      <c r="E30" s="65">
        <v>1033</v>
      </c>
      <c r="F30" s="65">
        <v>4.104E-2</v>
      </c>
      <c r="G30" s="29">
        <v>2.76E-5</v>
      </c>
      <c r="H30" s="29">
        <f t="shared" si="1"/>
        <v>4.0913133708864516E-5</v>
      </c>
      <c r="I30" s="65">
        <f t="shared" si="2"/>
        <v>0.69470760233918127</v>
      </c>
    </row>
    <row r="31" spans="2:9" x14ac:dyDescent="0.25">
      <c r="B31" s="65">
        <v>300</v>
      </c>
      <c r="C31" s="65">
        <f t="shared" si="0"/>
        <v>573.15</v>
      </c>
      <c r="D31" s="65">
        <v>0.61580000000000001</v>
      </c>
      <c r="E31" s="65">
        <v>1044</v>
      </c>
      <c r="F31" s="65">
        <v>4.4179999999999997E-2</v>
      </c>
      <c r="G31" s="29">
        <v>2.934E-5</v>
      </c>
      <c r="H31" s="29">
        <f t="shared" si="1"/>
        <v>4.7645339395907763E-5</v>
      </c>
      <c r="I31" s="65">
        <f t="shared" si="2"/>
        <v>0.69332186509732907</v>
      </c>
    </row>
    <row r="34" spans="2:7" ht="15.75" x14ac:dyDescent="0.25">
      <c r="B34" s="131"/>
      <c r="C34" s="131"/>
      <c r="D34" s="76"/>
      <c r="E34" s="75"/>
      <c r="F34" s="77"/>
      <c r="G34" s="75"/>
    </row>
    <row r="35" spans="2:7" ht="15.75" x14ac:dyDescent="0.25">
      <c r="B35" s="132"/>
      <c r="C35" s="132"/>
      <c r="D35" s="78"/>
      <c r="E35" s="74"/>
      <c r="F35" s="74"/>
      <c r="G35" s="74"/>
    </row>
    <row r="36" spans="2:7" ht="15.75" x14ac:dyDescent="0.25">
      <c r="B36" s="130"/>
      <c r="C36" s="130"/>
      <c r="D36" s="78"/>
      <c r="E36" s="74"/>
      <c r="F36" s="75"/>
      <c r="G36" s="74"/>
    </row>
    <row r="37" spans="2:7" ht="15.75" x14ac:dyDescent="0.25">
      <c r="B37" s="130"/>
      <c r="C37" s="130"/>
      <c r="D37" s="78"/>
      <c r="E37" s="74"/>
      <c r="F37" s="75"/>
      <c r="G37" s="74"/>
    </row>
    <row r="38" spans="2:7" ht="15.75" x14ac:dyDescent="0.25">
      <c r="B38" s="130"/>
      <c r="C38" s="130"/>
      <c r="D38" s="78"/>
      <c r="E38" s="74"/>
      <c r="F38" s="75"/>
      <c r="G38" s="74"/>
    </row>
  </sheetData>
  <mergeCells count="6">
    <mergeCell ref="K4:Q4"/>
    <mergeCell ref="B38:C38"/>
    <mergeCell ref="B34:C34"/>
    <mergeCell ref="B35:C35"/>
    <mergeCell ref="B36:C36"/>
    <mergeCell ref="B37:C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123"/>
  <sheetViews>
    <sheetView tabSelected="1" workbookViewId="0">
      <selection activeCell="L25" sqref="L25"/>
    </sheetView>
  </sheetViews>
  <sheetFormatPr defaultRowHeight="15" x14ac:dyDescent="0.25"/>
  <cols>
    <col min="4" max="4" width="10.5703125" customWidth="1"/>
    <col min="5" max="5" width="17" customWidth="1"/>
    <col min="6" max="6" width="23.85546875" style="84" customWidth="1"/>
    <col min="7" max="7" width="28.85546875" customWidth="1"/>
    <col min="8" max="8" width="9.140625" customWidth="1"/>
  </cols>
  <sheetData>
    <row r="1" spans="4:9" x14ac:dyDescent="0.25">
      <c r="D1" s="183" t="s">
        <v>349</v>
      </c>
      <c r="E1" s="85" t="s">
        <v>345</v>
      </c>
      <c r="F1" s="184" t="s">
        <v>327</v>
      </c>
      <c r="G1" s="184" t="s">
        <v>346</v>
      </c>
      <c r="H1" s="183" t="s">
        <v>347</v>
      </c>
      <c r="I1" s="183" t="s">
        <v>348</v>
      </c>
    </row>
    <row r="2" spans="4:9" x14ac:dyDescent="0.25">
      <c r="D2" s="85">
        <v>0</v>
      </c>
      <c r="E2" s="85">
        <v>25</v>
      </c>
      <c r="F2" s="85">
        <f>273.25+E2</f>
        <v>298.25</v>
      </c>
      <c r="G2" s="85">
        <v>832</v>
      </c>
      <c r="H2" s="85">
        <f>parameters!$F$22*parameters!$H$49*G2</f>
        <v>105.43104</v>
      </c>
      <c r="I2" s="85">
        <f>0.3*(parameters!$F$26*parameters!$H$48)*'amb temperature and radiation'!G2</f>
        <v>21.415679999999998</v>
      </c>
    </row>
    <row r="3" spans="4:9" x14ac:dyDescent="0.25">
      <c r="D3" s="85">
        <v>100</v>
      </c>
      <c r="E3" s="85">
        <v>25</v>
      </c>
      <c r="F3" s="85">
        <f t="shared" ref="F3:F66" si="0">273.25+E3</f>
        <v>298.25</v>
      </c>
      <c r="G3" s="85">
        <v>832</v>
      </c>
      <c r="H3" s="85">
        <f>parameters!$F$22*parameters!$H$49*G3</f>
        <v>105.43104</v>
      </c>
      <c r="I3" s="85">
        <f>0.3*(parameters!$F$26*parameters!$H$48)*'amb temperature and radiation'!G3</f>
        <v>21.415679999999998</v>
      </c>
    </row>
    <row r="4" spans="4:9" x14ac:dyDescent="0.25">
      <c r="D4" s="85">
        <v>200</v>
      </c>
      <c r="E4" s="85">
        <v>25</v>
      </c>
      <c r="F4" s="85">
        <f t="shared" si="0"/>
        <v>298.25</v>
      </c>
      <c r="G4" s="85">
        <v>832</v>
      </c>
      <c r="H4" s="85">
        <f>parameters!$F$22*parameters!$H$49*G4</f>
        <v>105.43104</v>
      </c>
      <c r="I4" s="85">
        <f>0.3*(parameters!$F$26*parameters!$H$48)*'amb temperature and radiation'!G4</f>
        <v>21.415679999999998</v>
      </c>
    </row>
    <row r="5" spans="4:9" x14ac:dyDescent="0.25">
      <c r="D5" s="85">
        <v>300</v>
      </c>
      <c r="E5" s="85">
        <v>25</v>
      </c>
      <c r="F5" s="85">
        <f t="shared" si="0"/>
        <v>298.25</v>
      </c>
      <c r="G5" s="85">
        <v>832</v>
      </c>
      <c r="H5" s="85">
        <f>parameters!$F$22*parameters!$H$49*G5</f>
        <v>105.43104</v>
      </c>
      <c r="I5" s="85">
        <f>0.3*(parameters!$F$26*parameters!$H$48)*'amb temperature and radiation'!G5</f>
        <v>21.415679999999998</v>
      </c>
    </row>
    <row r="6" spans="4:9" x14ac:dyDescent="0.25">
      <c r="D6" s="85">
        <v>400</v>
      </c>
      <c r="E6" s="85">
        <v>25</v>
      </c>
      <c r="F6" s="85">
        <f t="shared" si="0"/>
        <v>298.25</v>
      </c>
      <c r="G6" s="85">
        <v>832</v>
      </c>
      <c r="H6" s="85">
        <f>parameters!$F$22*parameters!$H$49*G6</f>
        <v>105.43104</v>
      </c>
      <c r="I6" s="85">
        <f>0.3*(parameters!$F$26*parameters!$H$48)*'amb temperature and radiation'!G6</f>
        <v>21.415679999999998</v>
      </c>
    </row>
    <row r="7" spans="4:9" x14ac:dyDescent="0.25">
      <c r="D7" s="85">
        <v>500</v>
      </c>
      <c r="E7" s="85">
        <v>25</v>
      </c>
      <c r="F7" s="85">
        <f t="shared" si="0"/>
        <v>298.25</v>
      </c>
      <c r="G7" s="85">
        <v>832</v>
      </c>
      <c r="H7" s="85">
        <f>parameters!$F$22*parameters!$H$49*G7</f>
        <v>105.43104</v>
      </c>
      <c r="I7" s="85">
        <f>0.3*(parameters!$F$26*parameters!$H$48)*'amb temperature and radiation'!G7</f>
        <v>21.415679999999998</v>
      </c>
    </row>
    <row r="8" spans="4:9" x14ac:dyDescent="0.25">
      <c r="D8" s="85">
        <v>600</v>
      </c>
      <c r="E8" s="85">
        <v>25</v>
      </c>
      <c r="F8" s="85">
        <f t="shared" si="0"/>
        <v>298.25</v>
      </c>
      <c r="G8" s="85">
        <v>832</v>
      </c>
      <c r="H8" s="85">
        <f>parameters!$F$22*parameters!$H$49*G8</f>
        <v>105.43104</v>
      </c>
      <c r="I8" s="85">
        <f>0.3*(parameters!$F$26*parameters!$H$48)*'amb temperature and radiation'!G8</f>
        <v>21.415679999999998</v>
      </c>
    </row>
    <row r="9" spans="4:9" x14ac:dyDescent="0.25">
      <c r="D9" s="85">
        <v>700</v>
      </c>
      <c r="E9" s="85">
        <v>25</v>
      </c>
      <c r="F9" s="85">
        <f t="shared" si="0"/>
        <v>298.25</v>
      </c>
      <c r="G9" s="85">
        <v>832</v>
      </c>
      <c r="H9" s="85">
        <f>parameters!$F$22*parameters!$H$49*G9</f>
        <v>105.43104</v>
      </c>
      <c r="I9" s="85">
        <f>0.3*(parameters!$F$26*parameters!$H$48)*'amb temperature and radiation'!G9</f>
        <v>21.415679999999998</v>
      </c>
    </row>
    <row r="10" spans="4:9" x14ac:dyDescent="0.25">
      <c r="D10" s="85">
        <v>800</v>
      </c>
      <c r="E10" s="85">
        <v>25</v>
      </c>
      <c r="F10" s="85">
        <f t="shared" si="0"/>
        <v>298.25</v>
      </c>
      <c r="G10" s="85">
        <v>832</v>
      </c>
      <c r="H10" s="85">
        <f>parameters!$F$22*parameters!$H$49*G10</f>
        <v>105.43104</v>
      </c>
      <c r="I10" s="85">
        <f>0.3*(parameters!$F$26*parameters!$H$48)*'amb temperature and radiation'!G10</f>
        <v>21.415679999999998</v>
      </c>
    </row>
    <row r="11" spans="4:9" x14ac:dyDescent="0.25">
      <c r="D11" s="85">
        <v>900</v>
      </c>
      <c r="E11" s="85">
        <v>25</v>
      </c>
      <c r="F11" s="85">
        <f t="shared" si="0"/>
        <v>298.25</v>
      </c>
      <c r="G11" s="85">
        <v>832</v>
      </c>
      <c r="H11" s="85">
        <f>parameters!$F$22*parameters!$H$49*G11</f>
        <v>105.43104</v>
      </c>
      <c r="I11" s="85">
        <f>0.3*(parameters!$F$26*parameters!$H$48)*'amb temperature and radiation'!G11</f>
        <v>21.415679999999998</v>
      </c>
    </row>
    <row r="12" spans="4:9" x14ac:dyDescent="0.25">
      <c r="D12" s="85">
        <v>1000</v>
      </c>
      <c r="E12" s="85">
        <v>25</v>
      </c>
      <c r="F12" s="85">
        <f t="shared" si="0"/>
        <v>298.25</v>
      </c>
      <c r="G12" s="85">
        <v>832</v>
      </c>
      <c r="H12" s="85">
        <f>parameters!$F$22*parameters!$H$49*G12</f>
        <v>105.43104</v>
      </c>
      <c r="I12" s="85">
        <f>0.3*(parameters!$F$26*parameters!$H$48)*'amb temperature and radiation'!G12</f>
        <v>21.415679999999998</v>
      </c>
    </row>
    <row r="13" spans="4:9" x14ac:dyDescent="0.25">
      <c r="D13" s="85">
        <v>1100</v>
      </c>
      <c r="E13" s="85">
        <v>25</v>
      </c>
      <c r="F13" s="85">
        <f t="shared" si="0"/>
        <v>298.25</v>
      </c>
      <c r="G13" s="85">
        <v>832</v>
      </c>
      <c r="H13" s="85">
        <f>parameters!$F$22*parameters!$H$49*G13</f>
        <v>105.43104</v>
      </c>
      <c r="I13" s="85">
        <f>0.3*(parameters!$F$26*parameters!$H$48)*'amb temperature and radiation'!G13</f>
        <v>21.415679999999998</v>
      </c>
    </row>
    <row r="14" spans="4:9" x14ac:dyDescent="0.25">
      <c r="D14" s="85">
        <v>1200</v>
      </c>
      <c r="E14" s="85">
        <v>25</v>
      </c>
      <c r="F14" s="85">
        <f t="shared" si="0"/>
        <v>298.25</v>
      </c>
      <c r="G14" s="85">
        <v>832</v>
      </c>
      <c r="H14" s="85">
        <f>parameters!$F$22*parameters!$H$49*G14</f>
        <v>105.43104</v>
      </c>
      <c r="I14" s="85">
        <f>0.3*(parameters!$F$26*parameters!$H$48)*'amb temperature and radiation'!G14</f>
        <v>21.415679999999998</v>
      </c>
    </row>
    <row r="15" spans="4:9" x14ac:dyDescent="0.25">
      <c r="D15" s="85">
        <v>1300</v>
      </c>
      <c r="E15" s="85">
        <v>25</v>
      </c>
      <c r="F15" s="85">
        <f t="shared" si="0"/>
        <v>298.25</v>
      </c>
      <c r="G15" s="85">
        <v>832</v>
      </c>
      <c r="H15" s="85">
        <f>parameters!$F$22*parameters!$H$49*G15</f>
        <v>105.43104</v>
      </c>
      <c r="I15" s="85">
        <f>0.3*(parameters!$F$26*parameters!$H$48)*'amb temperature and radiation'!G15</f>
        <v>21.415679999999998</v>
      </c>
    </row>
    <row r="16" spans="4:9" x14ac:dyDescent="0.25">
      <c r="D16" s="85">
        <v>1400</v>
      </c>
      <c r="E16" s="85">
        <v>25</v>
      </c>
      <c r="F16" s="85">
        <f t="shared" si="0"/>
        <v>298.25</v>
      </c>
      <c r="G16" s="85">
        <v>832</v>
      </c>
      <c r="H16" s="85">
        <f>parameters!$F$22*parameters!$H$49*G16</f>
        <v>105.43104</v>
      </c>
      <c r="I16" s="85">
        <f>0.3*(parameters!$F$26*parameters!$H$48)*'amb temperature and radiation'!G16</f>
        <v>21.415679999999998</v>
      </c>
    </row>
    <row r="17" spans="4:9" x14ac:dyDescent="0.25">
      <c r="D17" s="85">
        <v>1500</v>
      </c>
      <c r="E17" s="85">
        <v>25</v>
      </c>
      <c r="F17" s="85">
        <f t="shared" si="0"/>
        <v>298.25</v>
      </c>
      <c r="G17" s="85">
        <v>832</v>
      </c>
      <c r="H17" s="85">
        <f>parameters!$F$22*parameters!$H$49*G17</f>
        <v>105.43104</v>
      </c>
      <c r="I17" s="85">
        <f>0.3*(parameters!$F$26*parameters!$H$48)*'amb temperature and radiation'!G17</f>
        <v>21.415679999999998</v>
      </c>
    </row>
    <row r="18" spans="4:9" x14ac:dyDescent="0.25">
      <c r="D18" s="85">
        <v>1600</v>
      </c>
      <c r="E18" s="85">
        <v>25</v>
      </c>
      <c r="F18" s="85">
        <f t="shared" si="0"/>
        <v>298.25</v>
      </c>
      <c r="G18" s="85">
        <v>832</v>
      </c>
      <c r="H18" s="85">
        <f>parameters!$F$22*parameters!$H$49*G18</f>
        <v>105.43104</v>
      </c>
      <c r="I18" s="85">
        <f>0.3*(parameters!$F$26*parameters!$H$48)*'amb temperature and radiation'!G18</f>
        <v>21.415679999999998</v>
      </c>
    </row>
    <row r="19" spans="4:9" x14ac:dyDescent="0.25">
      <c r="D19" s="85">
        <v>1700</v>
      </c>
      <c r="E19" s="85">
        <v>25</v>
      </c>
      <c r="F19" s="85">
        <f t="shared" si="0"/>
        <v>298.25</v>
      </c>
      <c r="G19" s="85">
        <v>832</v>
      </c>
      <c r="H19" s="85">
        <f>parameters!$F$22*parameters!$H$49*G19</f>
        <v>105.43104</v>
      </c>
      <c r="I19" s="85">
        <f>0.3*(parameters!$F$26*parameters!$H$48)*'amb temperature and radiation'!G19</f>
        <v>21.415679999999998</v>
      </c>
    </row>
    <row r="20" spans="4:9" x14ac:dyDescent="0.25">
      <c r="D20" s="85">
        <v>1800</v>
      </c>
      <c r="E20" s="85">
        <v>25</v>
      </c>
      <c r="F20" s="85">
        <f t="shared" si="0"/>
        <v>298.25</v>
      </c>
      <c r="G20" s="85">
        <v>832</v>
      </c>
      <c r="H20" s="85">
        <f>parameters!$F$22*parameters!$H$49*G20</f>
        <v>105.43104</v>
      </c>
      <c r="I20" s="85">
        <f>0.3*(parameters!$F$26*parameters!$H$48)*'amb temperature and radiation'!G20</f>
        <v>21.415679999999998</v>
      </c>
    </row>
    <row r="21" spans="4:9" x14ac:dyDescent="0.25">
      <c r="D21" s="85">
        <v>1900</v>
      </c>
      <c r="E21" s="85">
        <v>25</v>
      </c>
      <c r="F21" s="85">
        <f t="shared" si="0"/>
        <v>298.25</v>
      </c>
      <c r="G21" s="85">
        <v>832</v>
      </c>
      <c r="H21" s="85">
        <f>parameters!$F$22*parameters!$H$49*G21</f>
        <v>105.43104</v>
      </c>
      <c r="I21" s="85">
        <f>0.3*(parameters!$F$26*parameters!$H$48)*'amb temperature and radiation'!G21</f>
        <v>21.415679999999998</v>
      </c>
    </row>
    <row r="22" spans="4:9" x14ac:dyDescent="0.25">
      <c r="D22" s="85">
        <v>2000</v>
      </c>
      <c r="E22" s="85">
        <v>25</v>
      </c>
      <c r="F22" s="85">
        <f t="shared" si="0"/>
        <v>298.25</v>
      </c>
      <c r="G22" s="85">
        <v>832</v>
      </c>
      <c r="H22" s="85">
        <f>parameters!$F$22*parameters!$H$49*G22</f>
        <v>105.43104</v>
      </c>
      <c r="I22" s="85">
        <f>0.3*(parameters!$F$26*parameters!$H$48)*'amb temperature and radiation'!G22</f>
        <v>21.415679999999998</v>
      </c>
    </row>
    <row r="23" spans="4:9" x14ac:dyDescent="0.25">
      <c r="D23" s="85">
        <v>2100</v>
      </c>
      <c r="E23" s="85">
        <v>25</v>
      </c>
      <c r="F23" s="85">
        <f t="shared" si="0"/>
        <v>298.25</v>
      </c>
      <c r="G23" s="85">
        <v>832</v>
      </c>
      <c r="H23" s="85">
        <f>parameters!$F$22*parameters!$H$49*G23</f>
        <v>105.43104</v>
      </c>
      <c r="I23" s="85">
        <f>0.3*(parameters!$F$26*parameters!$H$48)*'amb temperature and radiation'!G23</f>
        <v>21.415679999999998</v>
      </c>
    </row>
    <row r="24" spans="4:9" x14ac:dyDescent="0.25">
      <c r="D24" s="85">
        <v>2200</v>
      </c>
      <c r="E24" s="85">
        <v>25</v>
      </c>
      <c r="F24" s="85">
        <f t="shared" si="0"/>
        <v>298.25</v>
      </c>
      <c r="G24" s="85">
        <v>832</v>
      </c>
      <c r="H24" s="85">
        <f>parameters!$F$22*parameters!$H$49*G24</f>
        <v>105.43104</v>
      </c>
      <c r="I24" s="85">
        <f>0.3*(parameters!$F$26*parameters!$H$48)*'amb temperature and radiation'!G24</f>
        <v>21.415679999999998</v>
      </c>
    </row>
    <row r="25" spans="4:9" x14ac:dyDescent="0.25">
      <c r="D25" s="85">
        <v>2300</v>
      </c>
      <c r="E25" s="85">
        <v>25</v>
      </c>
      <c r="F25" s="85">
        <f t="shared" si="0"/>
        <v>298.25</v>
      </c>
      <c r="G25" s="85">
        <v>832</v>
      </c>
      <c r="H25" s="85">
        <f>parameters!$F$22*parameters!$H$49*G25</f>
        <v>105.43104</v>
      </c>
      <c r="I25" s="85">
        <f>0.3*(parameters!$F$26*parameters!$H$48)*'amb temperature and radiation'!G25</f>
        <v>21.415679999999998</v>
      </c>
    </row>
    <row r="26" spans="4:9" x14ac:dyDescent="0.25">
      <c r="D26" s="85">
        <v>2400</v>
      </c>
      <c r="E26" s="85">
        <v>25</v>
      </c>
      <c r="F26" s="85">
        <f t="shared" si="0"/>
        <v>298.25</v>
      </c>
      <c r="G26" s="85">
        <v>832</v>
      </c>
      <c r="H26" s="85">
        <f>parameters!$F$22*parameters!$H$49*G26</f>
        <v>105.43104</v>
      </c>
      <c r="I26" s="85">
        <f>0.3*(parameters!$F$26*parameters!$H$48)*'amb temperature and radiation'!G26</f>
        <v>21.415679999999998</v>
      </c>
    </row>
    <row r="27" spans="4:9" x14ac:dyDescent="0.25">
      <c r="D27" s="85">
        <v>2500</v>
      </c>
      <c r="E27" s="85">
        <v>25</v>
      </c>
      <c r="F27" s="85">
        <f t="shared" si="0"/>
        <v>298.25</v>
      </c>
      <c r="G27" s="85">
        <v>832</v>
      </c>
      <c r="H27" s="85">
        <f>parameters!$F$22*parameters!$H$49*G27</f>
        <v>105.43104</v>
      </c>
      <c r="I27" s="85">
        <f>0.3*(parameters!$F$26*parameters!$H$48)*'amb temperature and radiation'!G27</f>
        <v>21.415679999999998</v>
      </c>
    </row>
    <row r="28" spans="4:9" x14ac:dyDescent="0.25">
      <c r="D28" s="85">
        <v>2600</v>
      </c>
      <c r="E28" s="85">
        <v>25</v>
      </c>
      <c r="F28" s="85">
        <f t="shared" si="0"/>
        <v>298.25</v>
      </c>
      <c r="G28" s="85">
        <v>832</v>
      </c>
      <c r="H28" s="85">
        <f>parameters!$F$22*parameters!$H$49*G28</f>
        <v>105.43104</v>
      </c>
      <c r="I28" s="85">
        <f>0.3*(parameters!$F$26*parameters!$H$48)*'amb temperature and radiation'!G28</f>
        <v>21.415679999999998</v>
      </c>
    </row>
    <row r="29" spans="4:9" x14ac:dyDescent="0.25">
      <c r="D29" s="85">
        <v>2700</v>
      </c>
      <c r="E29" s="85">
        <v>25</v>
      </c>
      <c r="F29" s="85">
        <f t="shared" si="0"/>
        <v>298.25</v>
      </c>
      <c r="G29" s="85">
        <v>832</v>
      </c>
      <c r="H29" s="85">
        <f>parameters!$F$22*parameters!$H$49*G29</f>
        <v>105.43104</v>
      </c>
      <c r="I29" s="85">
        <f>0.3*(parameters!$F$26*parameters!$H$48)*'amb temperature and radiation'!G29</f>
        <v>21.415679999999998</v>
      </c>
    </row>
    <row r="30" spans="4:9" x14ac:dyDescent="0.25">
      <c r="D30" s="85">
        <v>2800</v>
      </c>
      <c r="E30" s="85">
        <v>25</v>
      </c>
      <c r="F30" s="85">
        <f t="shared" si="0"/>
        <v>298.25</v>
      </c>
      <c r="G30" s="85">
        <v>832</v>
      </c>
      <c r="H30" s="85">
        <f>parameters!$F$22*parameters!$H$49*G30</f>
        <v>105.43104</v>
      </c>
      <c r="I30" s="85">
        <f>0.3*(parameters!$F$26*parameters!$H$48)*'amb temperature and radiation'!G30</f>
        <v>21.415679999999998</v>
      </c>
    </row>
    <row r="31" spans="4:9" x14ac:dyDescent="0.25">
      <c r="D31" s="85">
        <v>2900</v>
      </c>
      <c r="E31" s="85">
        <v>25</v>
      </c>
      <c r="F31" s="85">
        <f t="shared" si="0"/>
        <v>298.25</v>
      </c>
      <c r="G31" s="85">
        <v>832</v>
      </c>
      <c r="H31" s="85">
        <f>parameters!$F$22*parameters!$H$49*G31</f>
        <v>105.43104</v>
      </c>
      <c r="I31" s="85">
        <f>0.3*(parameters!$F$26*parameters!$H$48)*'amb temperature and radiation'!G31</f>
        <v>21.415679999999998</v>
      </c>
    </row>
    <row r="32" spans="4:9" x14ac:dyDescent="0.25">
      <c r="D32" s="85">
        <v>3000</v>
      </c>
      <c r="E32" s="85">
        <v>25</v>
      </c>
      <c r="F32" s="85">
        <f t="shared" si="0"/>
        <v>298.25</v>
      </c>
      <c r="G32" s="85">
        <v>832</v>
      </c>
      <c r="H32" s="85">
        <f>parameters!$F$22*parameters!$H$49*G32</f>
        <v>105.43104</v>
      </c>
      <c r="I32" s="85">
        <f>0.3*(parameters!$F$26*parameters!$H$48)*'amb temperature and radiation'!G32</f>
        <v>21.415679999999998</v>
      </c>
    </row>
    <row r="33" spans="4:9" x14ac:dyDescent="0.25">
      <c r="D33" s="85">
        <v>3100</v>
      </c>
      <c r="E33" s="85">
        <v>25</v>
      </c>
      <c r="F33" s="85">
        <f t="shared" si="0"/>
        <v>298.25</v>
      </c>
      <c r="G33" s="85">
        <v>832</v>
      </c>
      <c r="H33" s="85">
        <f>parameters!$F$22*parameters!$H$49*G33</f>
        <v>105.43104</v>
      </c>
      <c r="I33" s="85">
        <f>0.3*(parameters!$F$26*parameters!$H$48)*'amb temperature and radiation'!G33</f>
        <v>21.415679999999998</v>
      </c>
    </row>
    <row r="34" spans="4:9" x14ac:dyDescent="0.25">
      <c r="D34" s="85">
        <v>3200</v>
      </c>
      <c r="E34" s="85">
        <v>25</v>
      </c>
      <c r="F34" s="85">
        <f t="shared" si="0"/>
        <v>298.25</v>
      </c>
      <c r="G34" s="85">
        <v>832</v>
      </c>
      <c r="H34" s="85">
        <f>parameters!$F$22*parameters!$H$49*G34</f>
        <v>105.43104</v>
      </c>
      <c r="I34" s="85">
        <f>0.3*(parameters!$F$26*parameters!$H$48)*'amb temperature and radiation'!G34</f>
        <v>21.415679999999998</v>
      </c>
    </row>
    <row r="35" spans="4:9" x14ac:dyDescent="0.25">
      <c r="D35" s="85">
        <v>3300</v>
      </c>
      <c r="E35" s="85">
        <v>25</v>
      </c>
      <c r="F35" s="85">
        <f t="shared" si="0"/>
        <v>298.25</v>
      </c>
      <c r="G35" s="85">
        <v>832</v>
      </c>
      <c r="H35" s="85">
        <f>parameters!$F$22*parameters!$H$49*G35</f>
        <v>105.43104</v>
      </c>
      <c r="I35" s="85">
        <f>0.3*(parameters!$F$26*parameters!$H$48)*'amb temperature and radiation'!G35</f>
        <v>21.415679999999998</v>
      </c>
    </row>
    <row r="36" spans="4:9" x14ac:dyDescent="0.25">
      <c r="D36" s="85">
        <v>3400</v>
      </c>
      <c r="E36" s="85">
        <v>25</v>
      </c>
      <c r="F36" s="85">
        <f t="shared" si="0"/>
        <v>298.25</v>
      </c>
      <c r="G36" s="85">
        <v>832</v>
      </c>
      <c r="H36" s="85">
        <f>parameters!$F$22*parameters!$H$49*G36</f>
        <v>105.43104</v>
      </c>
      <c r="I36" s="85">
        <f>0.3*(parameters!$F$26*parameters!$H$48)*'amb temperature and radiation'!G36</f>
        <v>21.415679999999998</v>
      </c>
    </row>
    <row r="37" spans="4:9" x14ac:dyDescent="0.25">
      <c r="D37" s="85">
        <v>3500</v>
      </c>
      <c r="E37" s="85">
        <v>25</v>
      </c>
      <c r="F37" s="85">
        <f t="shared" si="0"/>
        <v>298.25</v>
      </c>
      <c r="G37" s="85">
        <v>832</v>
      </c>
      <c r="H37" s="85">
        <f>parameters!$F$22*parameters!$H$49*G37</f>
        <v>105.43104</v>
      </c>
      <c r="I37" s="85">
        <f>0.3*(parameters!$F$26*parameters!$H$48)*'amb temperature and radiation'!G37</f>
        <v>21.415679999999998</v>
      </c>
    </row>
    <row r="38" spans="4:9" x14ac:dyDescent="0.25">
      <c r="D38" s="85">
        <v>3600</v>
      </c>
      <c r="E38" s="85">
        <v>25</v>
      </c>
      <c r="F38" s="85">
        <f t="shared" si="0"/>
        <v>298.25</v>
      </c>
      <c r="G38" s="85">
        <v>832</v>
      </c>
      <c r="H38" s="85">
        <f>parameters!$F$22*parameters!$H$49*G38</f>
        <v>105.43104</v>
      </c>
      <c r="I38" s="85">
        <f>0.3*(parameters!$F$26*parameters!$H$48)*'amb temperature and radiation'!G38</f>
        <v>21.415679999999998</v>
      </c>
    </row>
    <row r="39" spans="4:9" x14ac:dyDescent="0.25">
      <c r="D39" s="85">
        <v>3700</v>
      </c>
      <c r="E39" s="85">
        <v>25</v>
      </c>
      <c r="F39" s="85">
        <f t="shared" si="0"/>
        <v>298.25</v>
      </c>
      <c r="G39" s="85">
        <v>832</v>
      </c>
      <c r="H39" s="85">
        <f>parameters!$F$22*parameters!$H$49*G39</f>
        <v>105.43104</v>
      </c>
      <c r="I39" s="85">
        <f>0.3*(parameters!$F$26*parameters!$H$48)*'amb temperature and radiation'!G39</f>
        <v>21.415679999999998</v>
      </c>
    </row>
    <row r="40" spans="4:9" x14ac:dyDescent="0.25">
      <c r="D40" s="85">
        <v>3800</v>
      </c>
      <c r="E40" s="85">
        <v>25</v>
      </c>
      <c r="F40" s="85">
        <f t="shared" si="0"/>
        <v>298.25</v>
      </c>
      <c r="G40" s="85">
        <v>832</v>
      </c>
      <c r="H40" s="85">
        <f>parameters!$F$22*parameters!$H$49*G40</f>
        <v>105.43104</v>
      </c>
      <c r="I40" s="85">
        <f>0.3*(parameters!$F$26*parameters!$H$48)*'amb temperature and radiation'!G40</f>
        <v>21.415679999999998</v>
      </c>
    </row>
    <row r="41" spans="4:9" x14ac:dyDescent="0.25">
      <c r="D41" s="85">
        <v>3900</v>
      </c>
      <c r="E41" s="85">
        <v>25</v>
      </c>
      <c r="F41" s="85">
        <f t="shared" si="0"/>
        <v>298.25</v>
      </c>
      <c r="G41" s="85">
        <v>832</v>
      </c>
      <c r="H41" s="85">
        <f>parameters!$F$22*parameters!$H$49*G41</f>
        <v>105.43104</v>
      </c>
      <c r="I41" s="85">
        <f>0.3*(parameters!$F$26*parameters!$H$48)*'amb temperature and radiation'!G41</f>
        <v>21.415679999999998</v>
      </c>
    </row>
    <row r="42" spans="4:9" x14ac:dyDescent="0.25">
      <c r="D42" s="85">
        <v>4000</v>
      </c>
      <c r="E42" s="85">
        <v>25</v>
      </c>
      <c r="F42" s="85">
        <f t="shared" si="0"/>
        <v>298.25</v>
      </c>
      <c r="G42" s="85">
        <v>832</v>
      </c>
      <c r="H42" s="85">
        <f>parameters!$F$22*parameters!$H$49*G42</f>
        <v>105.43104</v>
      </c>
      <c r="I42" s="85">
        <f>0.3*(parameters!$F$26*parameters!$H$48)*'amb temperature and radiation'!G42</f>
        <v>21.415679999999998</v>
      </c>
    </row>
    <row r="43" spans="4:9" x14ac:dyDescent="0.25">
      <c r="D43" s="85">
        <v>4100</v>
      </c>
      <c r="E43" s="85">
        <v>25</v>
      </c>
      <c r="F43" s="85">
        <f t="shared" si="0"/>
        <v>298.25</v>
      </c>
      <c r="G43" s="85">
        <v>832</v>
      </c>
      <c r="H43" s="85">
        <f>parameters!$F$22*parameters!$H$49*G43</f>
        <v>105.43104</v>
      </c>
      <c r="I43" s="85">
        <f>0.3*(parameters!$F$26*parameters!$H$48)*'amb temperature and radiation'!G43</f>
        <v>21.415679999999998</v>
      </c>
    </row>
    <row r="44" spans="4:9" x14ac:dyDescent="0.25">
      <c r="D44" s="85">
        <v>4200</v>
      </c>
      <c r="E44" s="85">
        <v>25</v>
      </c>
      <c r="F44" s="85">
        <f t="shared" si="0"/>
        <v>298.25</v>
      </c>
      <c r="G44" s="85">
        <v>832</v>
      </c>
      <c r="H44" s="85">
        <f>parameters!$F$22*parameters!$H$49*G44</f>
        <v>105.43104</v>
      </c>
      <c r="I44" s="85">
        <f>0.3*(parameters!$F$26*parameters!$H$48)*'amb temperature and radiation'!G44</f>
        <v>21.415679999999998</v>
      </c>
    </row>
    <row r="45" spans="4:9" x14ac:dyDescent="0.25">
      <c r="D45" s="85">
        <v>4300</v>
      </c>
      <c r="E45" s="85">
        <v>25</v>
      </c>
      <c r="F45" s="85">
        <f t="shared" si="0"/>
        <v>298.25</v>
      </c>
      <c r="G45" s="85">
        <v>832</v>
      </c>
      <c r="H45" s="85">
        <f>parameters!$F$22*parameters!$H$49*G45</f>
        <v>105.43104</v>
      </c>
      <c r="I45" s="85">
        <f>0.3*(parameters!$F$26*parameters!$H$48)*'amb temperature and radiation'!G45</f>
        <v>21.415679999999998</v>
      </c>
    </row>
    <row r="46" spans="4:9" x14ac:dyDescent="0.25">
      <c r="D46" s="85">
        <v>4400</v>
      </c>
      <c r="E46" s="85">
        <v>25</v>
      </c>
      <c r="F46" s="85">
        <f t="shared" si="0"/>
        <v>298.25</v>
      </c>
      <c r="G46" s="85">
        <v>832</v>
      </c>
      <c r="H46" s="85">
        <f>parameters!$F$22*parameters!$H$49*G46</f>
        <v>105.43104</v>
      </c>
      <c r="I46" s="85">
        <f>0.3*(parameters!$F$26*parameters!$H$48)*'amb temperature and radiation'!G46</f>
        <v>21.415679999999998</v>
      </c>
    </row>
    <row r="47" spans="4:9" x14ac:dyDescent="0.25">
      <c r="D47" s="85">
        <v>4500</v>
      </c>
      <c r="E47" s="85">
        <v>25</v>
      </c>
      <c r="F47" s="85">
        <f t="shared" si="0"/>
        <v>298.25</v>
      </c>
      <c r="G47" s="85">
        <v>832</v>
      </c>
      <c r="H47" s="85">
        <f>parameters!$F$22*parameters!$H$49*G47</f>
        <v>105.43104</v>
      </c>
      <c r="I47" s="85">
        <f>0.3*(parameters!$F$26*parameters!$H$48)*'amb temperature and radiation'!G47</f>
        <v>21.415679999999998</v>
      </c>
    </row>
    <row r="48" spans="4:9" x14ac:dyDescent="0.25">
      <c r="D48" s="85">
        <v>4600</v>
      </c>
      <c r="E48" s="85">
        <v>25</v>
      </c>
      <c r="F48" s="85">
        <f t="shared" si="0"/>
        <v>298.25</v>
      </c>
      <c r="G48" s="85">
        <v>832</v>
      </c>
      <c r="H48" s="85">
        <f>parameters!$F$22*parameters!$H$49*G48</f>
        <v>105.43104</v>
      </c>
      <c r="I48" s="85">
        <f>0.3*(parameters!$F$26*parameters!$H$48)*'amb temperature and radiation'!G48</f>
        <v>21.415679999999998</v>
      </c>
    </row>
    <row r="49" spans="4:9" x14ac:dyDescent="0.25">
      <c r="D49" s="85">
        <v>4700</v>
      </c>
      <c r="E49" s="85">
        <v>25</v>
      </c>
      <c r="F49" s="85">
        <f t="shared" si="0"/>
        <v>298.25</v>
      </c>
      <c r="G49" s="85">
        <v>832</v>
      </c>
      <c r="H49" s="85">
        <f>parameters!$F$22*parameters!$H$49*G49</f>
        <v>105.43104</v>
      </c>
      <c r="I49" s="85">
        <f>0.3*(parameters!$F$26*parameters!$H$48)*'amb temperature and radiation'!G49</f>
        <v>21.415679999999998</v>
      </c>
    </row>
    <row r="50" spans="4:9" x14ac:dyDescent="0.25">
      <c r="D50" s="85">
        <v>4800</v>
      </c>
      <c r="E50" s="85">
        <v>25</v>
      </c>
      <c r="F50" s="85">
        <f t="shared" si="0"/>
        <v>298.25</v>
      </c>
      <c r="G50" s="85">
        <v>832</v>
      </c>
      <c r="H50" s="85">
        <f>parameters!$F$22*parameters!$H$49*G50</f>
        <v>105.43104</v>
      </c>
      <c r="I50" s="85">
        <f>0.3*(parameters!$F$26*parameters!$H$48)*'amb temperature and radiation'!G50</f>
        <v>21.415679999999998</v>
      </c>
    </row>
    <row r="51" spans="4:9" x14ac:dyDescent="0.25">
      <c r="D51" s="85">
        <v>4900</v>
      </c>
      <c r="E51" s="85">
        <v>25</v>
      </c>
      <c r="F51" s="85">
        <f t="shared" si="0"/>
        <v>298.25</v>
      </c>
      <c r="G51" s="85">
        <v>832</v>
      </c>
      <c r="H51" s="85">
        <f>parameters!$F$22*parameters!$H$49*G51</f>
        <v>105.43104</v>
      </c>
      <c r="I51" s="85">
        <f>0.3*(parameters!$F$26*parameters!$H$48)*'amb temperature and radiation'!G51</f>
        <v>21.415679999999998</v>
      </c>
    </row>
    <row r="52" spans="4:9" x14ac:dyDescent="0.25">
      <c r="D52" s="85">
        <v>5000</v>
      </c>
      <c r="E52" s="85">
        <v>25</v>
      </c>
      <c r="F52" s="85">
        <f t="shared" si="0"/>
        <v>298.25</v>
      </c>
      <c r="G52" s="85">
        <v>832</v>
      </c>
      <c r="H52" s="85">
        <f>parameters!$F$22*parameters!$H$49*G52</f>
        <v>105.43104</v>
      </c>
      <c r="I52" s="85">
        <f>0.3*(parameters!$F$26*parameters!$H$48)*'amb temperature and radiation'!G52</f>
        <v>21.415679999999998</v>
      </c>
    </row>
    <row r="53" spans="4:9" x14ac:dyDescent="0.25">
      <c r="D53" s="85">
        <v>5100</v>
      </c>
      <c r="E53" s="85">
        <v>25</v>
      </c>
      <c r="F53" s="85">
        <f t="shared" si="0"/>
        <v>298.25</v>
      </c>
      <c r="G53" s="85">
        <v>832</v>
      </c>
      <c r="H53" s="85">
        <f>parameters!$F$22*parameters!$H$49*G53</f>
        <v>105.43104</v>
      </c>
      <c r="I53" s="85">
        <f>0.3*(parameters!$F$26*parameters!$H$48)*'amb temperature and radiation'!G53</f>
        <v>21.415679999999998</v>
      </c>
    </row>
    <row r="54" spans="4:9" x14ac:dyDescent="0.25">
      <c r="D54" s="85">
        <v>5200</v>
      </c>
      <c r="E54" s="85">
        <v>25</v>
      </c>
      <c r="F54" s="85">
        <f t="shared" si="0"/>
        <v>298.25</v>
      </c>
      <c r="G54" s="85">
        <v>832</v>
      </c>
      <c r="H54" s="85">
        <f>parameters!$F$22*parameters!$H$49*G54</f>
        <v>105.43104</v>
      </c>
      <c r="I54" s="85">
        <f>0.3*(parameters!$F$26*parameters!$H$48)*'amb temperature and radiation'!G54</f>
        <v>21.415679999999998</v>
      </c>
    </row>
    <row r="55" spans="4:9" x14ac:dyDescent="0.25">
      <c r="D55" s="85">
        <v>5300</v>
      </c>
      <c r="E55" s="85">
        <v>25</v>
      </c>
      <c r="F55" s="85">
        <f t="shared" si="0"/>
        <v>298.25</v>
      </c>
      <c r="G55" s="85">
        <v>832</v>
      </c>
      <c r="H55" s="85">
        <f>parameters!$F$22*parameters!$H$49*G55</f>
        <v>105.43104</v>
      </c>
      <c r="I55" s="85">
        <f>0.3*(parameters!$F$26*parameters!$H$48)*'amb temperature and radiation'!G55</f>
        <v>21.415679999999998</v>
      </c>
    </row>
    <row r="56" spans="4:9" x14ac:dyDescent="0.25">
      <c r="D56" s="85">
        <v>5400</v>
      </c>
      <c r="E56" s="85">
        <v>25</v>
      </c>
      <c r="F56" s="85">
        <f t="shared" si="0"/>
        <v>298.25</v>
      </c>
      <c r="G56" s="85">
        <v>832</v>
      </c>
      <c r="H56" s="85">
        <f>parameters!$F$22*parameters!$H$49*G56</f>
        <v>105.43104</v>
      </c>
      <c r="I56" s="85">
        <f>0.3*(parameters!$F$26*parameters!$H$48)*'amb temperature and radiation'!G56</f>
        <v>21.415679999999998</v>
      </c>
    </row>
    <row r="57" spans="4:9" x14ac:dyDescent="0.25">
      <c r="D57" s="85">
        <v>5500</v>
      </c>
      <c r="E57" s="85">
        <v>25</v>
      </c>
      <c r="F57" s="85">
        <f t="shared" si="0"/>
        <v>298.25</v>
      </c>
      <c r="G57" s="85">
        <v>832</v>
      </c>
      <c r="H57" s="85">
        <f>parameters!$F$22*parameters!$H$49*G57</f>
        <v>105.43104</v>
      </c>
      <c r="I57" s="85">
        <f>0.3*(parameters!$F$26*parameters!$H$48)*'amb temperature and radiation'!G57</f>
        <v>21.415679999999998</v>
      </c>
    </row>
    <row r="58" spans="4:9" x14ac:dyDescent="0.25">
      <c r="D58" s="85">
        <v>5600</v>
      </c>
      <c r="E58" s="85">
        <v>25</v>
      </c>
      <c r="F58" s="85">
        <f t="shared" si="0"/>
        <v>298.25</v>
      </c>
      <c r="G58" s="85">
        <v>832</v>
      </c>
      <c r="H58" s="85">
        <f>parameters!$F$22*parameters!$H$49*G58</f>
        <v>105.43104</v>
      </c>
      <c r="I58" s="85">
        <f>0.3*(parameters!$F$26*parameters!$H$48)*'amb temperature and radiation'!G58</f>
        <v>21.415679999999998</v>
      </c>
    </row>
    <row r="59" spans="4:9" x14ac:dyDescent="0.25">
      <c r="D59" s="85">
        <v>5700</v>
      </c>
      <c r="E59" s="85">
        <v>25</v>
      </c>
      <c r="F59" s="85">
        <f t="shared" si="0"/>
        <v>298.25</v>
      </c>
      <c r="G59" s="85">
        <v>832</v>
      </c>
      <c r="H59" s="85">
        <f>parameters!$F$22*parameters!$H$49*G59</f>
        <v>105.43104</v>
      </c>
      <c r="I59" s="85">
        <f>0.3*(parameters!$F$26*parameters!$H$48)*'amb temperature and radiation'!G59</f>
        <v>21.415679999999998</v>
      </c>
    </row>
    <row r="60" spans="4:9" x14ac:dyDescent="0.25">
      <c r="D60" s="85">
        <v>5800</v>
      </c>
      <c r="E60" s="85">
        <v>25</v>
      </c>
      <c r="F60" s="85">
        <f t="shared" si="0"/>
        <v>298.25</v>
      </c>
      <c r="G60" s="85">
        <v>832</v>
      </c>
      <c r="H60" s="85">
        <f>parameters!$F$22*parameters!$H$49*G60</f>
        <v>105.43104</v>
      </c>
      <c r="I60" s="85">
        <f>0.3*(parameters!$F$26*parameters!$H$48)*'amb temperature and radiation'!G60</f>
        <v>21.415679999999998</v>
      </c>
    </row>
    <row r="61" spans="4:9" x14ac:dyDescent="0.25">
      <c r="D61" s="85">
        <v>5900</v>
      </c>
      <c r="E61" s="85">
        <v>25</v>
      </c>
      <c r="F61" s="85">
        <f t="shared" si="0"/>
        <v>298.25</v>
      </c>
      <c r="G61" s="85">
        <v>832</v>
      </c>
      <c r="H61" s="85">
        <f>parameters!$F$22*parameters!$H$49*G61</f>
        <v>105.43104</v>
      </c>
      <c r="I61" s="85">
        <f>0.3*(parameters!$F$26*parameters!$H$48)*'amb temperature and radiation'!G61</f>
        <v>21.415679999999998</v>
      </c>
    </row>
    <row r="62" spans="4:9" x14ac:dyDescent="0.25">
      <c r="D62" s="85">
        <v>6000</v>
      </c>
      <c r="E62" s="85">
        <v>25</v>
      </c>
      <c r="F62" s="85">
        <f t="shared" si="0"/>
        <v>298.25</v>
      </c>
      <c r="G62" s="85">
        <v>832</v>
      </c>
      <c r="H62" s="85">
        <f>parameters!$F$22*parameters!$H$49*G62</f>
        <v>105.43104</v>
      </c>
      <c r="I62" s="85">
        <f>0.3*(parameters!$F$26*parameters!$H$48)*'amb temperature and radiation'!G62</f>
        <v>21.415679999999998</v>
      </c>
    </row>
    <row r="63" spans="4:9" x14ac:dyDescent="0.25">
      <c r="D63" s="85">
        <v>6100</v>
      </c>
      <c r="E63" s="85">
        <v>25</v>
      </c>
      <c r="F63" s="85">
        <f t="shared" si="0"/>
        <v>298.25</v>
      </c>
      <c r="G63" s="85">
        <v>832</v>
      </c>
      <c r="H63" s="85">
        <f>parameters!$F$22*parameters!$H$49*G63</f>
        <v>105.43104</v>
      </c>
      <c r="I63" s="85">
        <f>0.3*(parameters!$F$26*parameters!$H$48)*'amb temperature and radiation'!G63</f>
        <v>21.415679999999998</v>
      </c>
    </row>
    <row r="64" spans="4:9" x14ac:dyDescent="0.25">
      <c r="D64" s="85">
        <v>6200</v>
      </c>
      <c r="E64" s="85">
        <v>25</v>
      </c>
      <c r="F64" s="85">
        <f t="shared" si="0"/>
        <v>298.25</v>
      </c>
      <c r="G64" s="85">
        <v>832</v>
      </c>
      <c r="H64" s="85">
        <f>parameters!$F$22*parameters!$H$49*G64</f>
        <v>105.43104</v>
      </c>
      <c r="I64" s="85">
        <f>0.3*(parameters!$F$26*parameters!$H$48)*'amb temperature and radiation'!G64</f>
        <v>21.415679999999998</v>
      </c>
    </row>
    <row r="65" spans="4:9" x14ac:dyDescent="0.25">
      <c r="D65" s="85">
        <v>6300</v>
      </c>
      <c r="E65" s="85">
        <v>25</v>
      </c>
      <c r="F65" s="85">
        <f t="shared" si="0"/>
        <v>298.25</v>
      </c>
      <c r="G65" s="85">
        <v>832</v>
      </c>
      <c r="H65" s="85">
        <f>parameters!$F$22*parameters!$H$49*G65</f>
        <v>105.43104</v>
      </c>
      <c r="I65" s="85">
        <f>0.3*(parameters!$F$26*parameters!$H$48)*'amb temperature and radiation'!G65</f>
        <v>21.415679999999998</v>
      </c>
    </row>
    <row r="66" spans="4:9" x14ac:dyDescent="0.25">
      <c r="D66" s="85">
        <v>6400</v>
      </c>
      <c r="E66" s="85">
        <v>25</v>
      </c>
      <c r="F66" s="85">
        <f t="shared" si="0"/>
        <v>298.25</v>
      </c>
      <c r="G66" s="85">
        <v>832</v>
      </c>
      <c r="H66" s="85">
        <f>parameters!$F$22*parameters!$H$49*G66</f>
        <v>105.43104</v>
      </c>
      <c r="I66" s="85">
        <f>0.3*(parameters!$F$26*parameters!$H$48)*'amb temperature and radiation'!G66</f>
        <v>21.415679999999998</v>
      </c>
    </row>
    <row r="67" spans="4:9" x14ac:dyDescent="0.25">
      <c r="D67" s="85">
        <v>6500</v>
      </c>
      <c r="E67" s="85">
        <v>25</v>
      </c>
      <c r="F67" s="85">
        <f t="shared" ref="F67:F125" si="1">273.25+E67</f>
        <v>298.25</v>
      </c>
      <c r="G67" s="85">
        <v>832</v>
      </c>
      <c r="H67" s="85">
        <f>parameters!$F$22*parameters!$H$49*G67</f>
        <v>105.43104</v>
      </c>
      <c r="I67" s="85">
        <f>0.3*(parameters!$F$26*parameters!$H$48)*'amb temperature and radiation'!G67</f>
        <v>21.415679999999998</v>
      </c>
    </row>
    <row r="68" spans="4:9" x14ac:dyDescent="0.25">
      <c r="D68" s="85">
        <v>6600</v>
      </c>
      <c r="E68" s="85">
        <v>25</v>
      </c>
      <c r="F68" s="85">
        <f t="shared" si="1"/>
        <v>298.25</v>
      </c>
      <c r="G68" s="85">
        <v>832</v>
      </c>
      <c r="H68" s="85">
        <f>parameters!$F$22*parameters!$H$49*G68</f>
        <v>105.43104</v>
      </c>
      <c r="I68" s="85">
        <f>0.3*(parameters!$F$26*parameters!$H$48)*'amb temperature and radiation'!G68</f>
        <v>21.415679999999998</v>
      </c>
    </row>
    <row r="69" spans="4:9" x14ac:dyDescent="0.25">
      <c r="D69" s="85">
        <v>6700</v>
      </c>
      <c r="E69" s="85">
        <v>25</v>
      </c>
      <c r="F69" s="85">
        <f t="shared" si="1"/>
        <v>298.25</v>
      </c>
      <c r="G69" s="85">
        <v>832</v>
      </c>
      <c r="H69" s="85">
        <f>parameters!$F$22*parameters!$H$49*G69</f>
        <v>105.43104</v>
      </c>
      <c r="I69" s="85">
        <f>0.3*(parameters!$F$26*parameters!$H$48)*'amb temperature and radiation'!G69</f>
        <v>21.415679999999998</v>
      </c>
    </row>
    <row r="70" spans="4:9" x14ac:dyDescent="0.25">
      <c r="D70" s="85">
        <v>6800</v>
      </c>
      <c r="E70" s="85">
        <v>25</v>
      </c>
      <c r="F70" s="85">
        <f t="shared" si="1"/>
        <v>298.25</v>
      </c>
      <c r="G70" s="85">
        <v>832</v>
      </c>
      <c r="H70" s="85">
        <f>parameters!$F$22*parameters!$H$49*G70</f>
        <v>105.43104</v>
      </c>
      <c r="I70" s="85">
        <f>0.3*(parameters!$F$26*parameters!$H$48)*'amb temperature and radiation'!G70</f>
        <v>21.415679999999998</v>
      </c>
    </row>
    <row r="71" spans="4:9" x14ac:dyDescent="0.25">
      <c r="D71" s="85">
        <v>6900</v>
      </c>
      <c r="E71" s="85">
        <v>25</v>
      </c>
      <c r="F71" s="85">
        <f t="shared" si="1"/>
        <v>298.25</v>
      </c>
      <c r="G71" s="85">
        <v>832</v>
      </c>
      <c r="H71" s="85">
        <f>parameters!$F$22*parameters!$H$49*G71</f>
        <v>105.43104</v>
      </c>
      <c r="I71" s="85">
        <f>0.3*(parameters!$F$26*parameters!$H$48)*'amb temperature and radiation'!G71</f>
        <v>21.415679999999998</v>
      </c>
    </row>
    <row r="72" spans="4:9" x14ac:dyDescent="0.25">
      <c r="D72" s="85">
        <v>7000</v>
      </c>
      <c r="E72" s="85">
        <v>25</v>
      </c>
      <c r="F72" s="85">
        <f t="shared" si="1"/>
        <v>298.25</v>
      </c>
      <c r="G72" s="85">
        <v>832</v>
      </c>
      <c r="H72" s="85">
        <f>parameters!$F$22*parameters!$H$49*G72</f>
        <v>105.43104</v>
      </c>
      <c r="I72" s="85">
        <f>0.3*(parameters!$F$26*parameters!$H$48)*'amb temperature and radiation'!G72</f>
        <v>21.415679999999998</v>
      </c>
    </row>
    <row r="73" spans="4:9" x14ac:dyDescent="0.25">
      <c r="D73" s="85">
        <v>7100</v>
      </c>
      <c r="E73" s="85">
        <v>25</v>
      </c>
      <c r="F73" s="85">
        <f t="shared" si="1"/>
        <v>298.25</v>
      </c>
      <c r="G73" s="85">
        <v>832</v>
      </c>
      <c r="H73" s="85">
        <f>parameters!$F$22*parameters!$H$49*G73</f>
        <v>105.43104</v>
      </c>
      <c r="I73" s="85">
        <f>0.3*(parameters!$F$26*parameters!$H$48)*'amb temperature and radiation'!G73</f>
        <v>21.415679999999998</v>
      </c>
    </row>
    <row r="74" spans="4:9" x14ac:dyDescent="0.25">
      <c r="D74" s="85">
        <v>7200</v>
      </c>
      <c r="E74" s="85">
        <v>25</v>
      </c>
      <c r="F74" s="85">
        <f t="shared" si="1"/>
        <v>298.25</v>
      </c>
      <c r="G74" s="85">
        <v>832</v>
      </c>
      <c r="H74" s="85">
        <f>parameters!$F$22*parameters!$H$49*G74</f>
        <v>105.43104</v>
      </c>
      <c r="I74" s="85">
        <f>0.3*(parameters!$F$26*parameters!$H$48)*'amb temperature and radiation'!G74</f>
        <v>21.415679999999998</v>
      </c>
    </row>
    <row r="75" spans="4:9" x14ac:dyDescent="0.25">
      <c r="D75" s="85">
        <v>7300</v>
      </c>
      <c r="E75" s="85">
        <v>25</v>
      </c>
      <c r="F75" s="85">
        <f t="shared" si="1"/>
        <v>298.25</v>
      </c>
      <c r="G75" s="85">
        <v>832</v>
      </c>
      <c r="H75" s="85">
        <f>parameters!$F$22*parameters!$H$49*G75</f>
        <v>105.43104</v>
      </c>
      <c r="I75" s="85">
        <f>0.3*(parameters!$F$26*parameters!$H$48)*'amb temperature and radiation'!G75</f>
        <v>21.415679999999998</v>
      </c>
    </row>
    <row r="76" spans="4:9" x14ac:dyDescent="0.25">
      <c r="D76" s="85">
        <v>7400</v>
      </c>
      <c r="E76" s="85">
        <v>25</v>
      </c>
      <c r="F76" s="85">
        <f t="shared" si="1"/>
        <v>298.25</v>
      </c>
      <c r="G76" s="85">
        <v>832</v>
      </c>
      <c r="H76" s="85">
        <f>parameters!$F$22*parameters!$H$49*G76</f>
        <v>105.43104</v>
      </c>
      <c r="I76" s="85">
        <f>0.3*(parameters!$F$26*parameters!$H$48)*'amb temperature and radiation'!G76</f>
        <v>21.415679999999998</v>
      </c>
    </row>
    <row r="77" spans="4:9" x14ac:dyDescent="0.25">
      <c r="D77" s="85">
        <v>7500</v>
      </c>
      <c r="E77" s="85">
        <v>25</v>
      </c>
      <c r="F77" s="85">
        <f t="shared" si="1"/>
        <v>298.25</v>
      </c>
      <c r="G77" s="85">
        <v>832</v>
      </c>
      <c r="H77" s="85">
        <f>parameters!$F$22*parameters!$H$49*G77</f>
        <v>105.43104</v>
      </c>
      <c r="I77" s="85">
        <f>0.3*(parameters!$F$26*parameters!$H$48)*'amb temperature and radiation'!G77</f>
        <v>21.415679999999998</v>
      </c>
    </row>
    <row r="78" spans="4:9" x14ac:dyDescent="0.25">
      <c r="D78" s="85">
        <v>7600</v>
      </c>
      <c r="E78" s="85">
        <v>25</v>
      </c>
      <c r="F78" s="85">
        <f t="shared" si="1"/>
        <v>298.25</v>
      </c>
      <c r="G78" s="85">
        <v>832</v>
      </c>
      <c r="H78" s="85">
        <f>parameters!$F$22*parameters!$H$49*G78</f>
        <v>105.43104</v>
      </c>
      <c r="I78" s="85">
        <f>0.3*(parameters!$F$26*parameters!$H$48)*'amb temperature and radiation'!G78</f>
        <v>21.415679999999998</v>
      </c>
    </row>
    <row r="79" spans="4:9" x14ac:dyDescent="0.25">
      <c r="D79" s="85">
        <v>7700</v>
      </c>
      <c r="E79" s="85">
        <v>25</v>
      </c>
      <c r="F79" s="85">
        <f t="shared" si="1"/>
        <v>298.25</v>
      </c>
      <c r="G79" s="85">
        <v>832</v>
      </c>
      <c r="H79" s="85">
        <f>parameters!$F$22*parameters!$H$49*G79</f>
        <v>105.43104</v>
      </c>
      <c r="I79" s="85">
        <f>0.3*(parameters!$F$26*parameters!$H$48)*'amb temperature and radiation'!G79</f>
        <v>21.415679999999998</v>
      </c>
    </row>
    <row r="80" spans="4:9" x14ac:dyDescent="0.25">
      <c r="D80" s="85">
        <v>7800</v>
      </c>
      <c r="E80" s="85">
        <v>25</v>
      </c>
      <c r="F80" s="85">
        <f t="shared" si="1"/>
        <v>298.25</v>
      </c>
      <c r="G80" s="85">
        <v>832</v>
      </c>
      <c r="H80" s="85">
        <f>parameters!$F$22*parameters!$H$49*G80</f>
        <v>105.43104</v>
      </c>
      <c r="I80" s="85">
        <f>0.3*(parameters!$F$26*parameters!$H$48)*'amb temperature and radiation'!G80</f>
        <v>21.415679999999998</v>
      </c>
    </row>
    <row r="81" spans="4:9" x14ac:dyDescent="0.25">
      <c r="D81" s="85">
        <v>7900</v>
      </c>
      <c r="E81" s="85">
        <v>25</v>
      </c>
      <c r="F81" s="85">
        <f t="shared" si="1"/>
        <v>298.25</v>
      </c>
      <c r="G81" s="85">
        <v>832</v>
      </c>
      <c r="H81" s="85">
        <f>parameters!$F$22*parameters!$H$49*G81</f>
        <v>105.43104</v>
      </c>
      <c r="I81" s="85">
        <f>0.3*(parameters!$F$26*parameters!$H$48)*'amb temperature and radiation'!G81</f>
        <v>21.415679999999998</v>
      </c>
    </row>
    <row r="82" spans="4:9" x14ac:dyDescent="0.25">
      <c r="D82" s="85">
        <v>8000</v>
      </c>
      <c r="E82" s="85">
        <v>25</v>
      </c>
      <c r="F82" s="85">
        <f t="shared" si="1"/>
        <v>298.25</v>
      </c>
      <c r="G82" s="85">
        <v>832</v>
      </c>
      <c r="H82" s="85">
        <f>parameters!$F$22*parameters!$H$49*G82</f>
        <v>105.43104</v>
      </c>
      <c r="I82" s="85">
        <f>0.3*(parameters!$F$26*parameters!$H$48)*'amb temperature and radiation'!G82</f>
        <v>21.415679999999998</v>
      </c>
    </row>
    <row r="83" spans="4:9" x14ac:dyDescent="0.25">
      <c r="D83" s="85">
        <v>8100</v>
      </c>
      <c r="E83" s="85">
        <v>25</v>
      </c>
      <c r="F83" s="85">
        <f t="shared" si="1"/>
        <v>298.25</v>
      </c>
      <c r="G83" s="85">
        <v>832</v>
      </c>
      <c r="H83" s="85">
        <f>parameters!$F$22*parameters!$H$49*G83</f>
        <v>105.43104</v>
      </c>
      <c r="I83" s="85">
        <f>0.3*(parameters!$F$26*parameters!$H$48)*'amb temperature and radiation'!G83</f>
        <v>21.415679999999998</v>
      </c>
    </row>
    <row r="84" spans="4:9" x14ac:dyDescent="0.25">
      <c r="D84" s="85">
        <v>8200</v>
      </c>
      <c r="E84" s="85">
        <v>25</v>
      </c>
      <c r="F84" s="85">
        <f t="shared" si="1"/>
        <v>298.25</v>
      </c>
      <c r="G84" s="85">
        <v>832</v>
      </c>
      <c r="H84" s="85">
        <f>parameters!$F$22*parameters!$H$49*G84</f>
        <v>105.43104</v>
      </c>
      <c r="I84" s="85">
        <f>0.3*(parameters!$F$26*parameters!$H$48)*'amb temperature and radiation'!G84</f>
        <v>21.415679999999998</v>
      </c>
    </row>
    <row r="85" spans="4:9" x14ac:dyDescent="0.25">
      <c r="D85" s="85">
        <v>8300</v>
      </c>
      <c r="E85" s="85">
        <v>25</v>
      </c>
      <c r="F85" s="85">
        <f t="shared" si="1"/>
        <v>298.25</v>
      </c>
      <c r="G85" s="85">
        <v>832</v>
      </c>
      <c r="H85" s="85">
        <f>parameters!$F$22*parameters!$H$49*G85</f>
        <v>105.43104</v>
      </c>
      <c r="I85" s="85">
        <f>0.3*(parameters!$F$26*parameters!$H$48)*'amb temperature and radiation'!G85</f>
        <v>21.415679999999998</v>
      </c>
    </row>
    <row r="86" spans="4:9" x14ac:dyDescent="0.25">
      <c r="D86" s="85">
        <v>8400</v>
      </c>
      <c r="E86" s="85">
        <v>25</v>
      </c>
      <c r="F86" s="85">
        <f t="shared" si="1"/>
        <v>298.25</v>
      </c>
      <c r="G86" s="85">
        <v>832</v>
      </c>
      <c r="H86" s="85">
        <f>parameters!$F$22*parameters!$H$49*G86</f>
        <v>105.43104</v>
      </c>
      <c r="I86" s="85">
        <f>0.3*(parameters!$F$26*parameters!$H$48)*'amb temperature and radiation'!G86</f>
        <v>21.415679999999998</v>
      </c>
    </row>
    <row r="87" spans="4:9" x14ac:dyDescent="0.25">
      <c r="D87" s="85">
        <v>8500</v>
      </c>
      <c r="E87" s="85">
        <v>25</v>
      </c>
      <c r="F87" s="85">
        <f t="shared" si="1"/>
        <v>298.25</v>
      </c>
      <c r="G87" s="85">
        <v>832</v>
      </c>
      <c r="H87" s="85">
        <f>parameters!$F$22*parameters!$H$49*G87</f>
        <v>105.43104</v>
      </c>
      <c r="I87" s="85">
        <f>0.3*(parameters!$F$26*parameters!$H$48)*'amb temperature and radiation'!G87</f>
        <v>21.415679999999998</v>
      </c>
    </row>
    <row r="88" spans="4:9" x14ac:dyDescent="0.25">
      <c r="D88" s="85">
        <v>8600</v>
      </c>
      <c r="E88" s="85">
        <v>25</v>
      </c>
      <c r="F88" s="85">
        <f t="shared" si="1"/>
        <v>298.25</v>
      </c>
      <c r="G88" s="85">
        <v>832</v>
      </c>
      <c r="H88" s="85">
        <f>parameters!$F$22*parameters!$H$49*G88</f>
        <v>105.43104</v>
      </c>
      <c r="I88" s="85">
        <f>0.3*(parameters!$F$26*parameters!$H$48)*'amb temperature and radiation'!G88</f>
        <v>21.415679999999998</v>
      </c>
    </row>
    <row r="89" spans="4:9" x14ac:dyDescent="0.25">
      <c r="D89" s="85">
        <v>8700</v>
      </c>
      <c r="E89" s="85">
        <v>25</v>
      </c>
      <c r="F89" s="85">
        <f t="shared" si="1"/>
        <v>298.25</v>
      </c>
      <c r="G89" s="85">
        <v>832</v>
      </c>
      <c r="H89" s="85">
        <f>parameters!$F$22*parameters!$H$49*G89</f>
        <v>105.43104</v>
      </c>
      <c r="I89" s="85">
        <f>0.3*(parameters!$F$26*parameters!$H$48)*'amb temperature and radiation'!G89</f>
        <v>21.415679999999998</v>
      </c>
    </row>
    <row r="90" spans="4:9" x14ac:dyDescent="0.25">
      <c r="D90" s="85">
        <v>8800</v>
      </c>
      <c r="E90" s="85">
        <v>25</v>
      </c>
      <c r="F90" s="85">
        <f t="shared" si="1"/>
        <v>298.25</v>
      </c>
      <c r="G90" s="85">
        <v>832</v>
      </c>
      <c r="H90" s="85">
        <f>parameters!$F$22*parameters!$H$49*G90</f>
        <v>105.43104</v>
      </c>
      <c r="I90" s="85">
        <f>0.3*(parameters!$F$26*parameters!$H$48)*'amb temperature and radiation'!G90</f>
        <v>21.415679999999998</v>
      </c>
    </row>
    <row r="91" spans="4:9" x14ac:dyDescent="0.25">
      <c r="D91" s="85">
        <v>8900</v>
      </c>
      <c r="E91" s="85">
        <v>25</v>
      </c>
      <c r="F91" s="85">
        <f t="shared" si="1"/>
        <v>298.25</v>
      </c>
      <c r="G91" s="85">
        <v>832</v>
      </c>
      <c r="H91" s="85">
        <f>parameters!$F$22*parameters!$H$49*G91</f>
        <v>105.43104</v>
      </c>
      <c r="I91" s="85">
        <f>0.3*(parameters!$F$26*parameters!$H$48)*'amb temperature and radiation'!G91</f>
        <v>21.415679999999998</v>
      </c>
    </row>
    <row r="92" spans="4:9" x14ac:dyDescent="0.25">
      <c r="D92" s="85">
        <v>9000</v>
      </c>
      <c r="E92" s="85">
        <v>25</v>
      </c>
      <c r="F92" s="85">
        <f t="shared" si="1"/>
        <v>298.25</v>
      </c>
      <c r="G92" s="85">
        <v>832</v>
      </c>
      <c r="H92" s="85">
        <f>parameters!$F$22*parameters!$H$49*G92</f>
        <v>105.43104</v>
      </c>
      <c r="I92" s="85">
        <f>0.3*(parameters!$F$26*parameters!$H$48)*'amb temperature and radiation'!G92</f>
        <v>21.415679999999998</v>
      </c>
    </row>
    <row r="93" spans="4:9" x14ac:dyDescent="0.25">
      <c r="D93" s="85">
        <v>9100</v>
      </c>
      <c r="E93" s="85">
        <v>25</v>
      </c>
      <c r="F93" s="85">
        <f t="shared" si="1"/>
        <v>298.25</v>
      </c>
      <c r="G93" s="85">
        <v>832</v>
      </c>
      <c r="H93" s="85">
        <f>parameters!$F$22*parameters!$H$49*G93</f>
        <v>105.43104</v>
      </c>
      <c r="I93" s="85">
        <f>0.3*(parameters!$F$26*parameters!$H$48)*'amb temperature and radiation'!G93</f>
        <v>21.415679999999998</v>
      </c>
    </row>
    <row r="94" spans="4:9" x14ac:dyDescent="0.25">
      <c r="D94" s="85">
        <v>9200</v>
      </c>
      <c r="E94" s="85">
        <v>25</v>
      </c>
      <c r="F94" s="85">
        <f t="shared" si="1"/>
        <v>298.25</v>
      </c>
      <c r="G94" s="85">
        <v>832</v>
      </c>
      <c r="H94" s="85">
        <f>parameters!$F$22*parameters!$H$49*G94</f>
        <v>105.43104</v>
      </c>
      <c r="I94" s="85">
        <f>0.3*(parameters!$F$26*parameters!$H$48)*'amb temperature and radiation'!G94</f>
        <v>21.415679999999998</v>
      </c>
    </row>
    <row r="95" spans="4:9" x14ac:dyDescent="0.25">
      <c r="D95" s="85">
        <v>9300</v>
      </c>
      <c r="E95" s="85">
        <v>25</v>
      </c>
      <c r="F95" s="85">
        <f t="shared" si="1"/>
        <v>298.25</v>
      </c>
      <c r="G95" s="85">
        <v>832</v>
      </c>
      <c r="H95" s="85">
        <f>parameters!$F$22*parameters!$H$49*G95</f>
        <v>105.43104</v>
      </c>
      <c r="I95" s="85">
        <f>0.3*(parameters!$F$26*parameters!$H$48)*'amb temperature and radiation'!G95</f>
        <v>21.415679999999998</v>
      </c>
    </row>
    <row r="96" spans="4:9" x14ac:dyDescent="0.25">
      <c r="D96" s="85">
        <v>9400</v>
      </c>
      <c r="E96" s="85">
        <v>25</v>
      </c>
      <c r="F96" s="85">
        <f t="shared" si="1"/>
        <v>298.25</v>
      </c>
      <c r="G96" s="85">
        <v>832</v>
      </c>
      <c r="H96" s="85">
        <f>parameters!$F$22*parameters!$H$49*G96</f>
        <v>105.43104</v>
      </c>
      <c r="I96" s="85">
        <f>0.3*(parameters!$F$26*parameters!$H$48)*'amb temperature and radiation'!G96</f>
        <v>21.415679999999998</v>
      </c>
    </row>
    <row r="97" spans="4:9" x14ac:dyDescent="0.25">
      <c r="D97" s="85">
        <v>9500</v>
      </c>
      <c r="E97" s="85">
        <v>25</v>
      </c>
      <c r="F97" s="85">
        <f t="shared" si="1"/>
        <v>298.25</v>
      </c>
      <c r="G97" s="85">
        <v>832</v>
      </c>
      <c r="H97" s="85">
        <f>parameters!$F$22*parameters!$H$49*G97</f>
        <v>105.43104</v>
      </c>
      <c r="I97" s="85">
        <f>0.3*(parameters!$F$26*parameters!$H$48)*'amb temperature and radiation'!G97</f>
        <v>21.415679999999998</v>
      </c>
    </row>
    <row r="98" spans="4:9" x14ac:dyDescent="0.25">
      <c r="D98" s="85">
        <v>9600</v>
      </c>
      <c r="E98" s="85">
        <v>25</v>
      </c>
      <c r="F98" s="85">
        <f t="shared" si="1"/>
        <v>298.25</v>
      </c>
      <c r="G98" s="85">
        <v>832</v>
      </c>
      <c r="H98" s="85">
        <f>parameters!$F$22*parameters!$H$49*G98</f>
        <v>105.43104</v>
      </c>
      <c r="I98" s="85">
        <f>0.3*(parameters!$F$26*parameters!$H$48)*'amb temperature and radiation'!G98</f>
        <v>21.415679999999998</v>
      </c>
    </row>
    <row r="99" spans="4:9" x14ac:dyDescent="0.25">
      <c r="D99" s="85">
        <v>9700</v>
      </c>
      <c r="E99" s="85">
        <v>25</v>
      </c>
      <c r="F99" s="85">
        <f t="shared" si="1"/>
        <v>298.25</v>
      </c>
      <c r="G99" s="85">
        <v>832</v>
      </c>
      <c r="H99" s="85">
        <f>parameters!$F$22*parameters!$H$49*G99</f>
        <v>105.43104</v>
      </c>
      <c r="I99" s="85">
        <f>0.3*(parameters!$F$26*parameters!$H$48)*'amb temperature and radiation'!G99</f>
        <v>21.415679999999998</v>
      </c>
    </row>
    <row r="100" spans="4:9" x14ac:dyDescent="0.25">
      <c r="D100" s="85">
        <v>9800</v>
      </c>
      <c r="E100" s="85">
        <v>25</v>
      </c>
      <c r="F100" s="85">
        <f t="shared" si="1"/>
        <v>298.25</v>
      </c>
      <c r="G100" s="85">
        <v>832</v>
      </c>
      <c r="H100" s="85">
        <f>parameters!$F$22*parameters!$H$49*G100</f>
        <v>105.43104</v>
      </c>
      <c r="I100" s="85">
        <f>0.3*(parameters!$F$26*parameters!$H$48)*'amb temperature and radiation'!G100</f>
        <v>21.415679999999998</v>
      </c>
    </row>
    <row r="101" spans="4:9" x14ac:dyDescent="0.25">
      <c r="D101" s="85">
        <v>9900</v>
      </c>
      <c r="E101" s="85">
        <v>25</v>
      </c>
      <c r="F101" s="85">
        <f t="shared" si="1"/>
        <v>298.25</v>
      </c>
      <c r="G101" s="85">
        <v>832</v>
      </c>
      <c r="H101" s="85">
        <f>parameters!$F$22*parameters!$H$49*G101</f>
        <v>105.43104</v>
      </c>
      <c r="I101" s="85">
        <f>0.3*(parameters!$F$26*parameters!$H$48)*'amb temperature and radiation'!G101</f>
        <v>21.415679999999998</v>
      </c>
    </row>
    <row r="102" spans="4:9" x14ac:dyDescent="0.25">
      <c r="D102" s="85">
        <v>10000</v>
      </c>
      <c r="E102" s="85">
        <v>25</v>
      </c>
      <c r="F102" s="85">
        <f t="shared" si="1"/>
        <v>298.25</v>
      </c>
      <c r="G102" s="85">
        <v>832</v>
      </c>
      <c r="H102" s="85">
        <f>parameters!$F$22*parameters!$H$49*G102</f>
        <v>105.43104</v>
      </c>
      <c r="I102" s="85">
        <f>0.3*(parameters!$F$26*parameters!$H$48)*'amb temperature and radiation'!G102</f>
        <v>21.415679999999998</v>
      </c>
    </row>
    <row r="103" spans="4:9" x14ac:dyDescent="0.25">
      <c r="D103" s="85">
        <v>10100</v>
      </c>
      <c r="E103" s="85">
        <v>25</v>
      </c>
      <c r="F103" s="85">
        <f t="shared" si="1"/>
        <v>298.25</v>
      </c>
      <c r="G103" s="85">
        <v>832</v>
      </c>
      <c r="H103" s="85">
        <f>parameters!$F$22*parameters!$H$49*G103</f>
        <v>105.43104</v>
      </c>
      <c r="I103" s="85">
        <f>0.3*(parameters!$F$26*parameters!$H$48)*'amb temperature and radiation'!G103</f>
        <v>21.415679999999998</v>
      </c>
    </row>
    <row r="104" spans="4:9" x14ac:dyDescent="0.25">
      <c r="D104" s="85">
        <v>10200</v>
      </c>
      <c r="E104" s="85">
        <v>25</v>
      </c>
      <c r="F104" s="85">
        <f t="shared" si="1"/>
        <v>298.25</v>
      </c>
      <c r="G104" s="85">
        <v>832</v>
      </c>
      <c r="H104" s="85">
        <f>parameters!$F$22*parameters!$H$49*G104</f>
        <v>105.43104</v>
      </c>
      <c r="I104" s="85">
        <f>0.3*(parameters!$F$26*parameters!$H$48)*'amb temperature and radiation'!G104</f>
        <v>21.415679999999998</v>
      </c>
    </row>
    <row r="105" spans="4:9" x14ac:dyDescent="0.25">
      <c r="D105" s="85">
        <v>10300</v>
      </c>
      <c r="E105" s="85">
        <v>25</v>
      </c>
      <c r="F105" s="85">
        <f t="shared" si="1"/>
        <v>298.25</v>
      </c>
      <c r="G105" s="85">
        <v>832</v>
      </c>
      <c r="H105" s="85">
        <f>parameters!$F$22*parameters!$H$49*G105</f>
        <v>105.43104</v>
      </c>
      <c r="I105" s="85">
        <f>0.3*(parameters!$F$26*parameters!$H$48)*'amb temperature and radiation'!G105</f>
        <v>21.415679999999998</v>
      </c>
    </row>
    <row r="106" spans="4:9" x14ac:dyDescent="0.25">
      <c r="D106" s="85">
        <v>10400</v>
      </c>
      <c r="E106" s="85">
        <v>25</v>
      </c>
      <c r="F106" s="85">
        <f t="shared" si="1"/>
        <v>298.25</v>
      </c>
      <c r="G106" s="85">
        <v>832</v>
      </c>
      <c r="H106" s="85">
        <f>parameters!$F$22*parameters!$H$49*G106</f>
        <v>105.43104</v>
      </c>
      <c r="I106" s="85">
        <f>0.3*(parameters!$F$26*parameters!$H$48)*'amb temperature and radiation'!G106</f>
        <v>21.415679999999998</v>
      </c>
    </row>
    <row r="107" spans="4:9" x14ac:dyDescent="0.25">
      <c r="D107" s="85">
        <v>10500</v>
      </c>
      <c r="E107" s="85">
        <v>25</v>
      </c>
      <c r="F107" s="85">
        <f t="shared" si="1"/>
        <v>298.25</v>
      </c>
      <c r="G107" s="85">
        <v>832</v>
      </c>
      <c r="H107" s="85">
        <f>parameters!$F$22*parameters!$H$49*G107</f>
        <v>105.43104</v>
      </c>
      <c r="I107" s="85">
        <f>0.3*(parameters!$F$26*parameters!$H$48)*'amb temperature and radiation'!G107</f>
        <v>21.415679999999998</v>
      </c>
    </row>
    <row r="108" spans="4:9" x14ac:dyDescent="0.25">
      <c r="D108" s="85">
        <v>10600</v>
      </c>
      <c r="E108" s="85">
        <v>25</v>
      </c>
      <c r="F108" s="85">
        <f t="shared" si="1"/>
        <v>298.25</v>
      </c>
      <c r="G108" s="85">
        <v>832</v>
      </c>
      <c r="H108" s="85">
        <f>parameters!$F$22*parameters!$H$49*G108</f>
        <v>105.43104</v>
      </c>
      <c r="I108" s="85">
        <f>0.3*(parameters!$F$26*parameters!$H$48)*'amb temperature and radiation'!G108</f>
        <v>21.415679999999998</v>
      </c>
    </row>
    <row r="109" spans="4:9" x14ac:dyDescent="0.25">
      <c r="D109" s="85">
        <v>10700</v>
      </c>
      <c r="E109" s="85">
        <v>25</v>
      </c>
      <c r="F109" s="85">
        <f t="shared" si="1"/>
        <v>298.25</v>
      </c>
      <c r="G109" s="85">
        <v>832</v>
      </c>
      <c r="H109" s="85">
        <f>parameters!$F$22*parameters!$H$49*G109</f>
        <v>105.43104</v>
      </c>
      <c r="I109" s="85">
        <f>0.3*(parameters!$F$26*parameters!$H$48)*'amb temperature and radiation'!G109</f>
        <v>21.415679999999998</v>
      </c>
    </row>
    <row r="110" spans="4:9" x14ac:dyDescent="0.25">
      <c r="D110" s="85">
        <v>10800</v>
      </c>
      <c r="E110" s="85">
        <v>25</v>
      </c>
      <c r="F110" s="85">
        <f t="shared" si="1"/>
        <v>298.25</v>
      </c>
      <c r="G110" s="85">
        <v>832</v>
      </c>
      <c r="H110" s="85">
        <f>parameters!$F$22*parameters!$H$49*G110</f>
        <v>105.43104</v>
      </c>
      <c r="I110" s="85">
        <f>0.3*(parameters!$F$26*parameters!$H$48)*'amb temperature and radiation'!G110</f>
        <v>21.415679999999998</v>
      </c>
    </row>
    <row r="111" spans="4:9" x14ac:dyDescent="0.25">
      <c r="D111" s="85">
        <v>10900</v>
      </c>
      <c r="E111" s="85">
        <v>25</v>
      </c>
      <c r="F111" s="85">
        <f t="shared" si="1"/>
        <v>298.25</v>
      </c>
      <c r="G111" s="85">
        <v>832</v>
      </c>
      <c r="H111" s="85">
        <f>parameters!$F$22*parameters!$H$49*G111</f>
        <v>105.43104</v>
      </c>
      <c r="I111" s="85">
        <f>0.3*(parameters!$F$26*parameters!$H$48)*'amb temperature and radiation'!G111</f>
        <v>21.415679999999998</v>
      </c>
    </row>
    <row r="112" spans="4:9" x14ac:dyDescent="0.25">
      <c r="D112" s="85">
        <v>11000</v>
      </c>
      <c r="E112" s="85">
        <v>25</v>
      </c>
      <c r="F112" s="85">
        <f t="shared" si="1"/>
        <v>298.25</v>
      </c>
      <c r="G112" s="85">
        <v>832</v>
      </c>
      <c r="H112" s="85">
        <f>parameters!$F$22*parameters!$H$49*G112</f>
        <v>105.43104</v>
      </c>
      <c r="I112" s="85">
        <f>0.3*(parameters!$F$26*parameters!$H$48)*'amb temperature and radiation'!G112</f>
        <v>21.415679999999998</v>
      </c>
    </row>
    <row r="113" spans="4:9" x14ac:dyDescent="0.25">
      <c r="D113" s="85">
        <v>11100</v>
      </c>
      <c r="E113" s="85">
        <v>25</v>
      </c>
      <c r="F113" s="85">
        <f t="shared" si="1"/>
        <v>298.25</v>
      </c>
      <c r="G113" s="85">
        <v>832</v>
      </c>
      <c r="H113" s="85">
        <f>parameters!$F$22*parameters!$H$49*G113</f>
        <v>105.43104</v>
      </c>
      <c r="I113" s="85">
        <f>0.3*(parameters!$F$26*parameters!$H$48)*'amb temperature and radiation'!G113</f>
        <v>21.415679999999998</v>
      </c>
    </row>
    <row r="114" spans="4:9" x14ac:dyDescent="0.25">
      <c r="D114" s="85">
        <v>11200</v>
      </c>
      <c r="E114" s="85">
        <v>25</v>
      </c>
      <c r="F114" s="85">
        <f t="shared" si="1"/>
        <v>298.25</v>
      </c>
      <c r="G114" s="85">
        <v>832</v>
      </c>
      <c r="H114" s="85">
        <f>parameters!$F$22*parameters!$H$49*G114</f>
        <v>105.43104</v>
      </c>
      <c r="I114" s="85">
        <f>0.3*(parameters!$F$26*parameters!$H$48)*'amb temperature and radiation'!G114</f>
        <v>21.415679999999998</v>
      </c>
    </row>
    <row r="115" spans="4:9" x14ac:dyDescent="0.25">
      <c r="D115" s="85">
        <v>11300</v>
      </c>
      <c r="E115" s="85">
        <v>25</v>
      </c>
      <c r="F115" s="85">
        <f t="shared" si="1"/>
        <v>298.25</v>
      </c>
      <c r="G115" s="85">
        <v>832</v>
      </c>
      <c r="H115" s="85">
        <f>parameters!$F$22*parameters!$H$49*G115</f>
        <v>105.43104</v>
      </c>
      <c r="I115" s="85">
        <f>0.3*(parameters!$F$26*parameters!$H$48)*'amb temperature and radiation'!G115</f>
        <v>21.415679999999998</v>
      </c>
    </row>
    <row r="116" spans="4:9" x14ac:dyDescent="0.25">
      <c r="D116" s="85">
        <v>11400</v>
      </c>
      <c r="E116" s="85">
        <v>25</v>
      </c>
      <c r="F116" s="85">
        <f t="shared" si="1"/>
        <v>298.25</v>
      </c>
      <c r="G116" s="85">
        <v>832</v>
      </c>
      <c r="H116" s="85">
        <f>parameters!$F$22*parameters!$H$49*G116</f>
        <v>105.43104</v>
      </c>
      <c r="I116" s="85">
        <f>0.3*(parameters!$F$26*parameters!$H$48)*'amb temperature and radiation'!G116</f>
        <v>21.415679999999998</v>
      </c>
    </row>
    <row r="117" spans="4:9" x14ac:dyDescent="0.25">
      <c r="D117" s="85">
        <v>11500</v>
      </c>
      <c r="E117" s="85">
        <v>25</v>
      </c>
      <c r="F117" s="85">
        <f t="shared" si="1"/>
        <v>298.25</v>
      </c>
      <c r="G117" s="85">
        <v>832</v>
      </c>
      <c r="H117" s="85">
        <f>parameters!$F$22*parameters!$H$49*G117</f>
        <v>105.43104</v>
      </c>
      <c r="I117" s="85">
        <f>0.3*(parameters!$F$26*parameters!$H$48)*'amb temperature and radiation'!G117</f>
        <v>21.415679999999998</v>
      </c>
    </row>
    <row r="118" spans="4:9" x14ac:dyDescent="0.25">
      <c r="D118" s="85">
        <v>11600</v>
      </c>
      <c r="E118" s="85">
        <v>25</v>
      </c>
      <c r="F118" s="85">
        <f t="shared" si="1"/>
        <v>298.25</v>
      </c>
      <c r="G118" s="85">
        <v>832</v>
      </c>
      <c r="H118" s="85">
        <f>parameters!$F$22*parameters!$H$49*G118</f>
        <v>105.43104</v>
      </c>
      <c r="I118" s="85">
        <f>0.3*(parameters!$F$26*parameters!$H$48)*'amb temperature and radiation'!G118</f>
        <v>21.415679999999998</v>
      </c>
    </row>
    <row r="119" spans="4:9" x14ac:dyDescent="0.25">
      <c r="D119" s="85">
        <v>11700</v>
      </c>
      <c r="E119" s="85">
        <v>25</v>
      </c>
      <c r="F119" s="85">
        <f t="shared" si="1"/>
        <v>298.25</v>
      </c>
      <c r="G119" s="85">
        <v>832</v>
      </c>
      <c r="H119" s="85">
        <f>parameters!$F$22*parameters!$H$49*G119</f>
        <v>105.43104</v>
      </c>
      <c r="I119" s="85">
        <f>0.3*(parameters!$F$26*parameters!$H$48)*'amb temperature and radiation'!G119</f>
        <v>21.415679999999998</v>
      </c>
    </row>
    <row r="120" spans="4:9" x14ac:dyDescent="0.25">
      <c r="D120" s="85">
        <v>11800</v>
      </c>
      <c r="E120" s="85">
        <v>25</v>
      </c>
      <c r="F120" s="85">
        <f t="shared" si="1"/>
        <v>298.25</v>
      </c>
      <c r="G120" s="85">
        <v>832</v>
      </c>
      <c r="H120" s="85">
        <f>parameters!$F$22*parameters!$H$49*G120</f>
        <v>105.43104</v>
      </c>
      <c r="I120" s="85">
        <f>0.3*(parameters!$F$26*parameters!$H$48)*'amb temperature and radiation'!G120</f>
        <v>21.415679999999998</v>
      </c>
    </row>
    <row r="121" spans="4:9" x14ac:dyDescent="0.25">
      <c r="D121" s="85">
        <v>11900</v>
      </c>
      <c r="E121" s="85">
        <v>25</v>
      </c>
      <c r="F121" s="85">
        <f t="shared" si="1"/>
        <v>298.25</v>
      </c>
      <c r="G121" s="85">
        <v>832</v>
      </c>
      <c r="H121" s="85">
        <f>parameters!$F$22*parameters!$H$49*G121</f>
        <v>105.43104</v>
      </c>
      <c r="I121" s="85">
        <f>0.3*(parameters!$F$26*parameters!$H$48)*'amb temperature and radiation'!G121</f>
        <v>21.415679999999998</v>
      </c>
    </row>
    <row r="122" spans="4:9" x14ac:dyDescent="0.25">
      <c r="D122" s="85">
        <v>12000</v>
      </c>
      <c r="E122" s="85">
        <v>25</v>
      </c>
      <c r="F122" s="85">
        <f t="shared" si="1"/>
        <v>298.25</v>
      </c>
      <c r="G122" s="85">
        <v>832</v>
      </c>
      <c r="H122" s="85">
        <f>parameters!$F$22*parameters!$H$49*G122</f>
        <v>105.43104</v>
      </c>
      <c r="I122" s="85">
        <f>0.3*(parameters!$F$26*parameters!$H$48)*'amb temperature and radiation'!G122</f>
        <v>21.415679999999998</v>
      </c>
    </row>
    <row r="123" spans="4:9" x14ac:dyDescent="0.25">
      <c r="D123" s="85">
        <v>12100</v>
      </c>
      <c r="E123" s="85">
        <v>25</v>
      </c>
      <c r="F123" s="85">
        <f t="shared" si="1"/>
        <v>298.25</v>
      </c>
      <c r="G123" s="85">
        <v>832</v>
      </c>
      <c r="H123" s="85">
        <f>parameters!$F$22*parameters!$H$49*G123</f>
        <v>105.43104</v>
      </c>
      <c r="I123" s="85">
        <f>0.3*(parameters!$F$26*parameters!$H$48)*'amb temperature and radiation'!G123</f>
        <v>21.415679999999998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34"/>
  <sheetViews>
    <sheetView zoomScale="76" zoomScaleNormal="110" workbookViewId="0">
      <selection activeCell="J83" sqref="J83"/>
    </sheetView>
  </sheetViews>
  <sheetFormatPr defaultRowHeight="15" x14ac:dyDescent="0.25"/>
  <cols>
    <col min="10" max="10" width="9.5703125" customWidth="1"/>
    <col min="15" max="15" width="13.140625" bestFit="1" customWidth="1"/>
  </cols>
  <sheetData>
    <row r="2" spans="3:20" ht="15.75" x14ac:dyDescent="0.25">
      <c r="D2" s="133" t="s">
        <v>0</v>
      </c>
      <c r="E2" s="133"/>
      <c r="F2" s="133"/>
      <c r="G2" s="133"/>
      <c r="H2" s="133"/>
      <c r="I2" s="133"/>
      <c r="J2" s="133"/>
      <c r="K2" s="18"/>
      <c r="L2" s="18"/>
      <c r="M2" s="18"/>
    </row>
    <row r="3" spans="3:20" ht="15.75" x14ac:dyDescent="0.25">
      <c r="D3" s="138" t="s">
        <v>14</v>
      </c>
      <c r="E3" s="138"/>
      <c r="F3" s="138"/>
      <c r="G3" s="138"/>
      <c r="H3" s="138"/>
      <c r="I3" s="138"/>
      <c r="J3" s="31"/>
      <c r="K3" s="21" t="s">
        <v>2</v>
      </c>
      <c r="L3" s="31"/>
      <c r="M3" s="21" t="s">
        <v>2</v>
      </c>
      <c r="N3" s="7"/>
      <c r="O3" s="7"/>
      <c r="P3" s="7"/>
      <c r="Q3" s="7"/>
      <c r="R3" s="32"/>
      <c r="S3" s="137" t="s">
        <v>12</v>
      </c>
      <c r="T3" s="137"/>
    </row>
    <row r="4" spans="3:20" ht="18" x14ac:dyDescent="0.25">
      <c r="D4" s="89" t="s">
        <v>205</v>
      </c>
      <c r="E4" s="89"/>
      <c r="F4" s="89"/>
      <c r="G4" s="89"/>
      <c r="H4" s="89"/>
      <c r="I4" s="89"/>
      <c r="J4" s="32">
        <v>361.31851207271762</v>
      </c>
      <c r="K4" s="33" t="s">
        <v>11</v>
      </c>
      <c r="L4" s="34">
        <f>J4-273.15</f>
        <v>88.168512072717647</v>
      </c>
      <c r="M4" s="35" t="s">
        <v>140</v>
      </c>
      <c r="N4" s="147" t="s">
        <v>172</v>
      </c>
      <c r="O4" s="147"/>
      <c r="P4" s="147"/>
      <c r="R4" s="37"/>
      <c r="S4" s="97" t="s">
        <v>200</v>
      </c>
      <c r="T4" s="97"/>
    </row>
    <row r="5" spans="3:20" ht="18" x14ac:dyDescent="0.25">
      <c r="D5" s="89" t="s">
        <v>70</v>
      </c>
      <c r="E5" s="89"/>
      <c r="F5" s="89"/>
      <c r="G5" s="89"/>
      <c r="H5" s="89"/>
      <c r="I5" s="89"/>
      <c r="J5" s="36">
        <v>327.02347512800986</v>
      </c>
      <c r="K5" s="33" t="s">
        <v>11</v>
      </c>
      <c r="L5" s="34">
        <f t="shared" ref="L5:L11" si="0">J5-273.15</f>
        <v>53.873475128009886</v>
      </c>
      <c r="M5" s="35" t="s">
        <v>140</v>
      </c>
      <c r="N5" s="148">
        <f>(L4+L9)/2</f>
        <v>87.430399848930165</v>
      </c>
      <c r="O5" s="148"/>
      <c r="P5" s="148"/>
      <c r="Q5" s="1"/>
      <c r="R5" s="22"/>
      <c r="S5" s="18" t="s">
        <v>201</v>
      </c>
      <c r="T5" s="18"/>
    </row>
    <row r="6" spans="3:20" ht="18" x14ac:dyDescent="0.25">
      <c r="D6" s="89" t="s">
        <v>15</v>
      </c>
      <c r="E6" s="89"/>
      <c r="F6" s="89"/>
      <c r="G6" s="89"/>
      <c r="H6" s="89"/>
      <c r="I6" s="89"/>
      <c r="J6" s="32">
        <f>((J51*J50)/(J48*J49))+J5</f>
        <v>327.04367714821188</v>
      </c>
      <c r="K6" s="33" t="s">
        <v>11</v>
      </c>
      <c r="L6" s="34">
        <f t="shared" si="0"/>
        <v>53.893677148211907</v>
      </c>
      <c r="M6" s="35" t="s">
        <v>140</v>
      </c>
      <c r="N6" s="10"/>
      <c r="R6" s="17"/>
      <c r="S6" s="97" t="s">
        <v>202</v>
      </c>
      <c r="T6" s="97"/>
    </row>
    <row r="7" spans="3:20" ht="18" x14ac:dyDescent="0.25">
      <c r="D7" s="89" t="s">
        <v>16</v>
      </c>
      <c r="E7" s="89"/>
      <c r="F7" s="89"/>
      <c r="G7" s="89"/>
      <c r="H7" s="89"/>
      <c r="I7" s="89"/>
      <c r="J7" s="32">
        <v>326.32754934166104</v>
      </c>
      <c r="K7" s="33" t="s">
        <v>11</v>
      </c>
      <c r="L7" s="34">
        <f t="shared" si="0"/>
        <v>53.177549341661063</v>
      </c>
      <c r="M7" s="35" t="s">
        <v>140</v>
      </c>
      <c r="N7" s="10"/>
      <c r="R7" s="19"/>
      <c r="S7" s="97" t="s">
        <v>203</v>
      </c>
      <c r="T7" s="97"/>
    </row>
    <row r="8" spans="3:20" ht="15" customHeight="1" x14ac:dyDescent="0.25">
      <c r="D8" s="89" t="s">
        <v>17</v>
      </c>
      <c r="E8" s="89"/>
      <c r="F8" s="89"/>
      <c r="G8" s="89"/>
      <c r="H8" s="89"/>
      <c r="I8" s="89"/>
      <c r="J8" s="32">
        <f>(J113*J112)/(J110*J111)+J7</f>
        <v>326.34775136186306</v>
      </c>
      <c r="K8" s="33" t="s">
        <v>11</v>
      </c>
      <c r="L8" s="34">
        <f t="shared" si="0"/>
        <v>53.197751361863084</v>
      </c>
      <c r="M8" s="35" t="s">
        <v>140</v>
      </c>
      <c r="N8" s="10"/>
      <c r="O8" s="10"/>
      <c r="P8" s="10"/>
      <c r="Q8" s="1"/>
    </row>
    <row r="9" spans="3:20" ht="18" x14ac:dyDescent="0.25">
      <c r="D9" s="89" t="s">
        <v>206</v>
      </c>
      <c r="E9" s="89"/>
      <c r="F9" s="89"/>
      <c r="G9" s="89"/>
      <c r="H9" s="89"/>
      <c r="I9" s="89"/>
      <c r="J9" s="32">
        <v>359.84228762514266</v>
      </c>
      <c r="K9" s="33" t="s">
        <v>11</v>
      </c>
      <c r="L9" s="34">
        <f t="shared" si="0"/>
        <v>86.692287625142683</v>
      </c>
      <c r="M9" s="35" t="s">
        <v>140</v>
      </c>
      <c r="N9" s="10"/>
      <c r="O9" s="10"/>
      <c r="P9" s="10"/>
      <c r="Q9" s="1"/>
    </row>
    <row r="10" spans="3:20" ht="18" x14ac:dyDescent="0.25">
      <c r="D10" s="89" t="s">
        <v>18</v>
      </c>
      <c r="E10" s="89"/>
      <c r="F10" s="89"/>
      <c r="G10" s="89"/>
      <c r="H10" s="89"/>
      <c r="I10" s="89"/>
      <c r="J10" s="37"/>
      <c r="K10" s="33" t="s">
        <v>11</v>
      </c>
      <c r="L10" s="34">
        <f t="shared" si="0"/>
        <v>-273.14999999999998</v>
      </c>
      <c r="M10" s="35" t="s">
        <v>140</v>
      </c>
      <c r="N10" s="10"/>
      <c r="O10" s="10"/>
      <c r="P10" s="10"/>
      <c r="Q10" s="1"/>
    </row>
    <row r="11" spans="3:20" ht="18" x14ac:dyDescent="0.25">
      <c r="D11" s="89" t="s">
        <v>114</v>
      </c>
      <c r="E11" s="89"/>
      <c r="F11" s="89"/>
      <c r="G11" s="89"/>
      <c r="H11" s="89"/>
      <c r="I11" s="89"/>
      <c r="J11" s="37">
        <f>25+273.15</f>
        <v>298.14999999999998</v>
      </c>
      <c r="K11" s="33" t="s">
        <v>11</v>
      </c>
      <c r="L11" s="34">
        <f t="shared" si="0"/>
        <v>25</v>
      </c>
      <c r="M11" s="35" t="s">
        <v>140</v>
      </c>
      <c r="N11" s="10"/>
      <c r="O11" s="10"/>
      <c r="P11" s="10"/>
      <c r="Q11" s="1"/>
    </row>
    <row r="13" spans="3:20" x14ac:dyDescent="0.25">
      <c r="D13" s="140" t="s">
        <v>207</v>
      </c>
      <c r="E13" s="140"/>
    </row>
    <row r="14" spans="3:20" ht="15.75" x14ac:dyDescent="0.25">
      <c r="C14">
        <v>1</v>
      </c>
      <c r="D14" s="110" t="s">
        <v>36</v>
      </c>
      <c r="E14" s="110"/>
      <c r="F14" s="110"/>
      <c r="G14" s="110"/>
      <c r="H14" s="110"/>
      <c r="I14" s="110"/>
      <c r="J14" s="20"/>
      <c r="K14" s="21" t="s">
        <v>2</v>
      </c>
      <c r="L14" s="134" t="s">
        <v>42</v>
      </c>
      <c r="M14" s="134"/>
      <c r="N14" s="134"/>
      <c r="O14" s="135" t="s">
        <v>3</v>
      </c>
      <c r="P14" s="135"/>
      <c r="Q14" s="135"/>
      <c r="R14" s="135"/>
      <c r="S14" s="135"/>
    </row>
    <row r="15" spans="3:20" ht="17.25" x14ac:dyDescent="0.25">
      <c r="D15" s="97" t="s">
        <v>208</v>
      </c>
      <c r="E15" s="97"/>
      <c r="F15" s="97"/>
      <c r="G15" s="97"/>
      <c r="H15" s="97"/>
      <c r="I15" s="97"/>
      <c r="J15" s="22">
        <f>parameters!F22</f>
        <v>0.22</v>
      </c>
      <c r="K15" s="18" t="s">
        <v>98</v>
      </c>
      <c r="L15" s="23"/>
      <c r="M15" s="18"/>
      <c r="N15" s="18"/>
      <c r="O15" s="136" t="s">
        <v>173</v>
      </c>
      <c r="P15" s="136"/>
      <c r="Q15" s="136"/>
      <c r="R15" s="136"/>
      <c r="S15" s="136"/>
    </row>
    <row r="16" spans="3:20" ht="15.75" x14ac:dyDescent="0.25">
      <c r="D16" s="97" t="s">
        <v>41</v>
      </c>
      <c r="E16" s="97"/>
      <c r="F16" s="97"/>
      <c r="G16" s="97"/>
      <c r="H16" s="97"/>
      <c r="I16" s="97"/>
      <c r="J16" s="15">
        <v>0.39</v>
      </c>
      <c r="K16" s="18"/>
      <c r="L16" s="23"/>
      <c r="M16" s="18"/>
      <c r="N16" s="18"/>
      <c r="O16" s="136"/>
      <c r="P16" s="136"/>
      <c r="Q16" s="136"/>
      <c r="R16" s="136"/>
      <c r="S16" s="136"/>
    </row>
    <row r="17" spans="3:19" ht="17.25" x14ac:dyDescent="0.25">
      <c r="D17" s="97" t="s">
        <v>39</v>
      </c>
      <c r="E17" s="97"/>
      <c r="F17" s="97"/>
      <c r="G17" s="97"/>
      <c r="H17" s="97"/>
      <c r="I17" s="97"/>
      <c r="J17" s="22">
        <f>parameters!P8</f>
        <v>832</v>
      </c>
      <c r="K17" s="18" t="s">
        <v>128</v>
      </c>
      <c r="L17" s="23"/>
      <c r="M17" s="18"/>
      <c r="N17" s="18"/>
      <c r="O17" s="136"/>
      <c r="P17" s="136"/>
      <c r="Q17" s="136"/>
      <c r="R17" s="136"/>
      <c r="S17" s="136"/>
    </row>
    <row r="18" spans="3:19" x14ac:dyDescent="0.25">
      <c r="D18" s="97" t="s">
        <v>209</v>
      </c>
      <c r="E18" s="97"/>
      <c r="F18" s="97"/>
      <c r="G18" s="97"/>
      <c r="H18" s="97"/>
      <c r="I18" s="97"/>
      <c r="J18" s="17">
        <f>J16*J15*J17</f>
        <v>71.385599999999997</v>
      </c>
      <c r="K18" s="18" t="s">
        <v>22</v>
      </c>
      <c r="L18" s="18"/>
      <c r="M18" s="18"/>
      <c r="N18" s="18"/>
      <c r="O18" s="136"/>
      <c r="P18" s="136"/>
      <c r="Q18" s="136"/>
      <c r="R18" s="136"/>
      <c r="S18" s="136"/>
    </row>
    <row r="20" spans="3:19" ht="15.75" x14ac:dyDescent="0.25">
      <c r="C20">
        <v>2</v>
      </c>
      <c r="D20" s="110" t="s">
        <v>111</v>
      </c>
      <c r="E20" s="110"/>
      <c r="F20" s="110"/>
      <c r="G20" s="110"/>
      <c r="H20" s="110"/>
      <c r="I20" s="110"/>
      <c r="J20" s="20"/>
      <c r="K20" s="21" t="s">
        <v>2</v>
      </c>
      <c r="L20" s="134" t="s">
        <v>42</v>
      </c>
      <c r="M20" s="134"/>
      <c r="N20" s="134"/>
      <c r="O20" s="135" t="s">
        <v>3</v>
      </c>
      <c r="P20" s="135"/>
      <c r="Q20" s="135"/>
      <c r="R20" s="135"/>
      <c r="S20" s="135"/>
    </row>
    <row r="21" spans="3:19" x14ac:dyDescent="0.25">
      <c r="D21" s="97" t="s">
        <v>112</v>
      </c>
      <c r="E21" s="97"/>
      <c r="F21" s="97"/>
      <c r="G21" s="97"/>
      <c r="H21" s="97"/>
      <c r="I21" s="97"/>
      <c r="J21" s="18"/>
      <c r="K21" s="18"/>
      <c r="L21" s="18"/>
      <c r="M21" s="18"/>
      <c r="N21" s="18"/>
      <c r="O21" s="149" t="s">
        <v>174</v>
      </c>
      <c r="P21" s="149"/>
      <c r="Q21" s="149"/>
      <c r="R21" s="149"/>
      <c r="S21" s="149"/>
    </row>
    <row r="22" spans="3:19" x14ac:dyDescent="0.25">
      <c r="D22" s="97" t="s">
        <v>137</v>
      </c>
      <c r="E22" s="97"/>
      <c r="F22" s="97"/>
      <c r="G22" s="97"/>
      <c r="H22" s="97"/>
      <c r="I22" s="97"/>
      <c r="J22" s="15">
        <v>2</v>
      </c>
      <c r="K22" s="18" t="s">
        <v>129</v>
      </c>
      <c r="L22" s="18"/>
      <c r="M22" s="18"/>
      <c r="N22" s="18"/>
      <c r="O22" s="149"/>
      <c r="P22" s="149"/>
      <c r="Q22" s="149"/>
      <c r="R22" s="149"/>
      <c r="S22" s="149"/>
    </row>
    <row r="23" spans="3:19" x14ac:dyDescent="0.25">
      <c r="D23" s="139" t="s">
        <v>210</v>
      </c>
      <c r="E23" s="139"/>
      <c r="F23" s="139"/>
      <c r="G23" s="139"/>
      <c r="H23" s="139"/>
      <c r="I23" s="139"/>
      <c r="J23" s="17">
        <f>J18+J22</f>
        <v>73.385599999999997</v>
      </c>
      <c r="K23" s="18" t="s">
        <v>22</v>
      </c>
      <c r="L23" s="18"/>
      <c r="M23" s="18"/>
      <c r="N23" s="18"/>
      <c r="O23" s="149"/>
      <c r="P23" s="149"/>
      <c r="Q23" s="149"/>
      <c r="R23" s="149"/>
      <c r="S23" s="149"/>
    </row>
    <row r="24" spans="3:19" ht="15.75" x14ac:dyDescent="0.25">
      <c r="C24">
        <v>3</v>
      </c>
      <c r="D24" s="110" t="s">
        <v>113</v>
      </c>
      <c r="E24" s="110"/>
      <c r="F24" s="110"/>
      <c r="G24" s="110"/>
      <c r="H24" s="110"/>
      <c r="I24" s="110"/>
      <c r="J24" s="20"/>
      <c r="K24" s="21" t="s">
        <v>2</v>
      </c>
      <c r="L24" s="134" t="s">
        <v>42</v>
      </c>
      <c r="M24" s="134"/>
      <c r="N24" s="134"/>
      <c r="O24" s="135" t="s">
        <v>3</v>
      </c>
      <c r="P24" s="135"/>
      <c r="Q24" s="135"/>
      <c r="R24" s="135"/>
      <c r="S24" s="135"/>
    </row>
    <row r="25" spans="3:19" ht="17.25" x14ac:dyDescent="0.25">
      <c r="D25" s="89" t="s">
        <v>105</v>
      </c>
      <c r="E25" s="89"/>
      <c r="F25" s="89"/>
      <c r="G25" s="89"/>
      <c r="H25" s="89"/>
      <c r="I25" s="89"/>
      <c r="J25" s="24">
        <v>1.845</v>
      </c>
      <c r="K25" s="18" t="s">
        <v>116</v>
      </c>
      <c r="L25" s="18"/>
      <c r="M25" s="18"/>
      <c r="N25" s="18"/>
      <c r="O25" s="150" t="s">
        <v>175</v>
      </c>
      <c r="P25" s="150"/>
      <c r="Q25" s="150"/>
      <c r="R25" s="150"/>
      <c r="S25" s="150"/>
    </row>
    <row r="26" spans="3:19" ht="18.75" x14ac:dyDescent="0.35">
      <c r="D26" s="89" t="s">
        <v>106</v>
      </c>
      <c r="E26" s="89"/>
      <c r="F26" s="89"/>
      <c r="G26" s="89"/>
      <c r="H26" s="89"/>
      <c r="I26" s="89"/>
      <c r="J26" s="24">
        <f>'HEAT TRANSFER COEFFICIENT'!G6</f>
        <v>1006.1</v>
      </c>
      <c r="K26" s="18" t="s">
        <v>24</v>
      </c>
      <c r="L26" s="18"/>
      <c r="M26" s="18"/>
      <c r="N26" s="18"/>
      <c r="O26" s="150"/>
      <c r="P26" s="150"/>
      <c r="Q26" s="150"/>
      <c r="R26" s="150"/>
      <c r="S26" s="150"/>
    </row>
    <row r="27" spans="3:19" ht="15.75" x14ac:dyDescent="0.25">
      <c r="D27" s="89" t="s">
        <v>107</v>
      </c>
      <c r="E27" s="89"/>
      <c r="F27" s="89"/>
      <c r="G27" s="89"/>
      <c r="H27" s="89"/>
      <c r="I27" s="89"/>
      <c r="J27" s="25">
        <v>1.8444000000000002E-5</v>
      </c>
      <c r="K27" s="18" t="s">
        <v>117</v>
      </c>
      <c r="L27" s="18"/>
      <c r="M27" s="18"/>
      <c r="N27" s="18"/>
      <c r="O27" s="150"/>
      <c r="P27" s="150"/>
      <c r="Q27" s="150"/>
      <c r="R27" s="150"/>
      <c r="S27" s="150"/>
    </row>
    <row r="28" spans="3:19" ht="17.25" x14ac:dyDescent="0.25">
      <c r="D28" s="89" t="s">
        <v>108</v>
      </c>
      <c r="E28" s="89"/>
      <c r="F28" s="89"/>
      <c r="G28" s="89"/>
      <c r="H28" s="89"/>
      <c r="I28" s="89"/>
      <c r="J28" s="25">
        <v>1.5571000000000001E-5</v>
      </c>
      <c r="K28" s="18" t="s">
        <v>118</v>
      </c>
      <c r="L28" s="18"/>
      <c r="M28" s="18"/>
      <c r="N28" s="18"/>
      <c r="O28" s="150"/>
      <c r="P28" s="150"/>
      <c r="Q28" s="150"/>
      <c r="R28" s="150"/>
      <c r="S28" s="150"/>
    </row>
    <row r="29" spans="3:19" ht="15.75" x14ac:dyDescent="0.25">
      <c r="D29" s="89" t="s">
        <v>76</v>
      </c>
      <c r="E29" s="89"/>
      <c r="F29" s="89"/>
      <c r="G29" s="89"/>
      <c r="H29" s="89"/>
      <c r="I29" s="89"/>
      <c r="J29" s="24">
        <v>3.3999999999999998E-3</v>
      </c>
      <c r="K29" s="18" t="s">
        <v>119</v>
      </c>
      <c r="L29" s="18"/>
      <c r="M29" s="18"/>
      <c r="N29" s="18"/>
      <c r="O29" s="150"/>
      <c r="P29" s="150"/>
      <c r="Q29" s="150"/>
      <c r="R29" s="150"/>
      <c r="S29" s="150"/>
    </row>
    <row r="30" spans="3:19" ht="15.75" x14ac:dyDescent="0.25">
      <c r="D30" s="89" t="s">
        <v>109</v>
      </c>
      <c r="E30" s="89"/>
      <c r="F30" s="89"/>
      <c r="G30" s="89"/>
      <c r="H30" s="89"/>
      <c r="I30" s="89"/>
      <c r="J30" s="24">
        <v>2.5968999999999999E-2</v>
      </c>
      <c r="K30" s="18" t="s">
        <v>34</v>
      </c>
      <c r="L30" s="18"/>
      <c r="M30" s="18"/>
      <c r="N30" s="18"/>
      <c r="O30" s="150"/>
      <c r="P30" s="150"/>
      <c r="Q30" s="150"/>
      <c r="R30" s="150"/>
      <c r="S30" s="150"/>
    </row>
    <row r="31" spans="3:19" ht="17.25" x14ac:dyDescent="0.25">
      <c r="D31" s="97" t="s">
        <v>120</v>
      </c>
      <c r="E31" s="97"/>
      <c r="F31" s="97"/>
      <c r="G31" s="97"/>
      <c r="H31" s="97"/>
      <c r="I31" s="97"/>
      <c r="J31" s="26">
        <v>9.8000000000000007</v>
      </c>
      <c r="K31" s="18" t="s">
        <v>121</v>
      </c>
      <c r="L31" s="18"/>
      <c r="M31" s="18"/>
      <c r="N31" s="18"/>
      <c r="O31" s="150"/>
      <c r="P31" s="150"/>
      <c r="Q31" s="150"/>
      <c r="R31" s="150"/>
      <c r="S31" s="150"/>
    </row>
    <row r="32" spans="3:19" ht="17.25" x14ac:dyDescent="0.25">
      <c r="D32" s="89" t="s">
        <v>38</v>
      </c>
      <c r="E32" s="89"/>
      <c r="F32" s="89"/>
      <c r="G32" s="89"/>
      <c r="H32" s="89"/>
      <c r="I32" s="89"/>
      <c r="J32" s="22">
        <f>parameters!F22</f>
        <v>0.22</v>
      </c>
      <c r="K32" s="18" t="s">
        <v>98</v>
      </c>
      <c r="L32" s="18"/>
      <c r="M32" s="18"/>
      <c r="N32" s="18"/>
      <c r="O32" s="150"/>
      <c r="P32" s="150"/>
      <c r="Q32" s="150"/>
      <c r="R32" s="150"/>
      <c r="S32" s="150"/>
    </row>
    <row r="33" spans="2:19" x14ac:dyDescent="0.25">
      <c r="D33" s="97" t="s">
        <v>123</v>
      </c>
      <c r="E33" s="97"/>
      <c r="F33" s="97"/>
      <c r="G33" s="97"/>
      <c r="H33" s="97"/>
      <c r="I33" s="97"/>
      <c r="J33" s="27">
        <f>(J31*J29*(parameters!F20)^3)/J28^2</f>
        <v>17178371.728011515</v>
      </c>
      <c r="K33" s="18"/>
      <c r="L33" s="18"/>
      <c r="M33" s="18"/>
      <c r="N33" s="18"/>
      <c r="O33" s="150"/>
      <c r="P33" s="150"/>
      <c r="Q33" s="150"/>
      <c r="R33" s="150"/>
      <c r="S33" s="150"/>
    </row>
    <row r="34" spans="2:19" x14ac:dyDescent="0.25">
      <c r="D34" s="97" t="s">
        <v>124</v>
      </c>
      <c r="E34" s="97"/>
      <c r="F34" s="97"/>
      <c r="G34" s="97"/>
      <c r="H34" s="97"/>
      <c r="I34" s="97"/>
      <c r="J34" s="40">
        <f>(J26*J27)/J30</f>
        <v>0.71456384150333097</v>
      </c>
      <c r="K34" s="18"/>
      <c r="L34" s="18"/>
      <c r="M34" s="18"/>
      <c r="N34" s="18"/>
      <c r="O34" s="150"/>
      <c r="P34" s="150"/>
      <c r="Q34" s="150"/>
      <c r="R34" s="150"/>
      <c r="S34" s="150"/>
    </row>
    <row r="35" spans="2:19" x14ac:dyDescent="0.25">
      <c r="D35" s="97" t="s">
        <v>125</v>
      </c>
      <c r="E35" s="97"/>
      <c r="F35" s="97"/>
      <c r="G35" s="97"/>
      <c r="H35" s="97"/>
      <c r="I35" s="97"/>
      <c r="J35" s="27">
        <f>J34*J33</f>
        <v>12275043.292740121</v>
      </c>
      <c r="K35" s="18"/>
      <c r="L35" s="18"/>
      <c r="M35" s="18"/>
      <c r="N35" s="18"/>
      <c r="O35" s="150"/>
      <c r="P35" s="150"/>
      <c r="Q35" s="150"/>
      <c r="R35" s="150"/>
      <c r="S35" s="150"/>
    </row>
    <row r="36" spans="2:19" x14ac:dyDescent="0.25">
      <c r="D36" s="97" t="s">
        <v>126</v>
      </c>
      <c r="E36" s="97"/>
      <c r="F36" s="97"/>
      <c r="G36" s="97"/>
      <c r="H36" s="97"/>
      <c r="I36" s="97"/>
      <c r="J36" s="40">
        <f>0.15*(J35^(1/3))</f>
        <v>34.601819519904339</v>
      </c>
      <c r="K36" s="18"/>
      <c r="L36" s="18"/>
      <c r="M36" s="18"/>
      <c r="N36" s="18"/>
      <c r="O36" s="150"/>
      <c r="P36" s="150"/>
      <c r="Q36" s="150"/>
      <c r="R36" s="150"/>
      <c r="S36" s="150"/>
    </row>
    <row r="37" spans="2:19" ht="17.25" x14ac:dyDescent="0.25">
      <c r="D37" s="97" t="s">
        <v>127</v>
      </c>
      <c r="E37" s="97"/>
      <c r="F37" s="97"/>
      <c r="G37" s="97"/>
      <c r="H37" s="97"/>
      <c r="I37" s="97"/>
      <c r="J37" s="40">
        <f>(J36*J30)/parameters!F20</f>
        <v>1.7971493022247915</v>
      </c>
      <c r="K37" s="18" t="s">
        <v>178</v>
      </c>
      <c r="L37" s="18"/>
      <c r="M37" s="18"/>
      <c r="N37" s="18"/>
      <c r="O37" s="150"/>
      <c r="P37" s="150"/>
      <c r="Q37" s="150"/>
      <c r="R37" s="150"/>
      <c r="S37" s="150"/>
    </row>
    <row r="38" spans="2:19" x14ac:dyDescent="0.25">
      <c r="D38" s="115"/>
      <c r="E38" s="115"/>
      <c r="F38" s="115"/>
      <c r="G38" s="115"/>
      <c r="H38" s="115"/>
      <c r="I38" s="115"/>
      <c r="J38" s="11"/>
      <c r="O38" s="151"/>
      <c r="P38" s="151"/>
      <c r="Q38" s="151"/>
      <c r="R38" s="151"/>
      <c r="S38" s="151"/>
    </row>
    <row r="39" spans="2:19" ht="15.75" x14ac:dyDescent="0.25">
      <c r="C39">
        <v>4</v>
      </c>
      <c r="D39" s="110" t="s">
        <v>131</v>
      </c>
      <c r="E39" s="110"/>
      <c r="F39" s="110"/>
      <c r="G39" s="110"/>
      <c r="H39" s="110"/>
      <c r="I39" s="110"/>
      <c r="J39" s="20"/>
      <c r="K39" s="21" t="s">
        <v>2</v>
      </c>
      <c r="L39" s="134" t="s">
        <v>42</v>
      </c>
      <c r="M39" s="134"/>
      <c r="N39" s="134"/>
      <c r="O39" s="98" t="s">
        <v>3</v>
      </c>
      <c r="P39" s="98"/>
      <c r="Q39" s="98"/>
      <c r="R39" s="98"/>
      <c r="S39" s="98"/>
    </row>
    <row r="40" spans="2:19" ht="17.25" x14ac:dyDescent="0.25">
      <c r="D40" s="97" t="s">
        <v>38</v>
      </c>
      <c r="E40" s="97"/>
      <c r="F40" s="97"/>
      <c r="G40" s="97"/>
      <c r="H40" s="97"/>
      <c r="I40" s="97"/>
      <c r="J40" s="22">
        <f>parameters!F22</f>
        <v>0.22</v>
      </c>
      <c r="K40" s="18" t="s">
        <v>98</v>
      </c>
      <c r="L40" s="18"/>
      <c r="M40" s="18"/>
      <c r="N40" s="18"/>
      <c r="O40" s="143"/>
      <c r="P40" s="143"/>
      <c r="Q40" s="143"/>
      <c r="R40" s="143"/>
      <c r="S40" s="143"/>
    </row>
    <row r="41" spans="2:19" ht="15.75" x14ac:dyDescent="0.25">
      <c r="D41" s="97" t="s">
        <v>132</v>
      </c>
      <c r="E41" s="97"/>
      <c r="F41" s="97"/>
      <c r="G41" s="97"/>
      <c r="H41" s="97"/>
      <c r="I41" s="97"/>
      <c r="J41" s="22">
        <f>parameters!F48</f>
        <v>0.87</v>
      </c>
      <c r="K41" s="41"/>
      <c r="L41" s="41"/>
      <c r="M41" s="18"/>
      <c r="N41" s="18"/>
      <c r="O41" s="143"/>
      <c r="P41" s="143"/>
      <c r="Q41" s="143"/>
      <c r="R41" s="143"/>
      <c r="S41" s="143"/>
    </row>
    <row r="42" spans="2:19" ht="18" x14ac:dyDescent="0.25">
      <c r="D42" s="97" t="s">
        <v>133</v>
      </c>
      <c r="E42" s="97"/>
      <c r="F42" s="97"/>
      <c r="G42" s="97"/>
      <c r="H42" s="97"/>
      <c r="I42" s="97"/>
      <c r="J42" s="42">
        <v>5.6699999999999998E-8</v>
      </c>
      <c r="K42" s="23" t="s">
        <v>28</v>
      </c>
      <c r="L42" s="23"/>
      <c r="M42" s="18"/>
      <c r="N42" s="18"/>
      <c r="O42" s="143"/>
      <c r="P42" s="143"/>
      <c r="Q42" s="143"/>
      <c r="R42" s="143"/>
      <c r="S42" s="143"/>
    </row>
    <row r="43" spans="2:19" ht="18" x14ac:dyDescent="0.25">
      <c r="D43" s="89" t="s">
        <v>176</v>
      </c>
      <c r="E43" s="89"/>
      <c r="F43" s="89"/>
      <c r="G43" s="89"/>
      <c r="H43" s="89"/>
      <c r="I43" s="89"/>
      <c r="J43" s="43">
        <f>J40*J41*J42</f>
        <v>1.0852379999999999E-8</v>
      </c>
      <c r="K43" s="23" t="s">
        <v>177</v>
      </c>
      <c r="L43" s="38"/>
      <c r="M43" s="18" t="s">
        <v>211</v>
      </c>
      <c r="N43" s="18"/>
      <c r="O43" s="143"/>
      <c r="P43" s="143"/>
      <c r="Q43" s="143"/>
      <c r="R43" s="143"/>
      <c r="S43" s="143"/>
    </row>
    <row r="44" spans="2:19" ht="15.75" x14ac:dyDescent="0.25">
      <c r="D44" s="18"/>
      <c r="E44" s="18"/>
      <c r="F44" s="18"/>
      <c r="G44" s="18"/>
      <c r="H44" s="18"/>
      <c r="I44" s="18"/>
      <c r="J44" s="23"/>
      <c r="K44" s="18"/>
      <c r="L44" s="34"/>
      <c r="M44" s="18"/>
      <c r="N44" s="18"/>
      <c r="O44" s="143"/>
      <c r="P44" s="143"/>
      <c r="Q44" s="143"/>
      <c r="R44" s="143"/>
      <c r="S44" s="143"/>
    </row>
    <row r="45" spans="2:19" ht="15.75" x14ac:dyDescent="0.25">
      <c r="D45" s="99" t="s">
        <v>155</v>
      </c>
      <c r="E45" s="99"/>
      <c r="F45" s="99"/>
      <c r="G45" s="99"/>
      <c r="H45" s="99"/>
      <c r="I45" s="99"/>
      <c r="J45" s="44">
        <f>J23-(J43*(J5^4-J11^4)+J37*J32*(J5-J11)^(4/3))</f>
        <v>1.2711204874449322E-5</v>
      </c>
      <c r="K45" s="23" t="s">
        <v>22</v>
      </c>
      <c r="L45" s="34"/>
      <c r="M45" s="18"/>
      <c r="N45" s="18"/>
      <c r="O45" s="143"/>
      <c r="P45" s="143"/>
      <c r="Q45" s="143"/>
      <c r="R45" s="143"/>
      <c r="S45" s="143"/>
    </row>
    <row r="46" spans="2:19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2:19" ht="15.75" x14ac:dyDescent="0.25">
      <c r="C47">
        <v>5</v>
      </c>
      <c r="D47" s="144" t="s">
        <v>135</v>
      </c>
      <c r="E47" s="144"/>
      <c r="F47" s="144"/>
      <c r="G47" s="144"/>
      <c r="H47" s="144"/>
      <c r="I47" s="144"/>
      <c r="J47" s="20"/>
      <c r="K47" s="21" t="s">
        <v>2</v>
      </c>
      <c r="L47" s="145" t="s">
        <v>42</v>
      </c>
      <c r="M47" s="145"/>
      <c r="N47" s="145"/>
      <c r="O47" s="135" t="s">
        <v>3</v>
      </c>
      <c r="P47" s="135"/>
      <c r="Q47" s="135"/>
      <c r="R47" s="135"/>
      <c r="S47" s="135"/>
    </row>
    <row r="48" spans="2:19" ht="17.25" x14ac:dyDescent="0.25">
      <c r="D48" s="89" t="s">
        <v>134</v>
      </c>
      <c r="E48" s="89"/>
      <c r="F48" s="89"/>
      <c r="G48" s="89"/>
      <c r="H48" s="89"/>
      <c r="I48" s="89"/>
      <c r="J48" s="45">
        <f>parameters!F22</f>
        <v>0.22</v>
      </c>
      <c r="K48" s="18" t="s">
        <v>98</v>
      </c>
      <c r="L48" s="10"/>
      <c r="M48" s="10"/>
      <c r="N48" s="10"/>
      <c r="O48" s="152"/>
      <c r="P48" s="152"/>
      <c r="Q48" s="152"/>
      <c r="R48" s="152"/>
      <c r="S48" s="152"/>
    </row>
    <row r="49" spans="3:19" ht="15.75" x14ac:dyDescent="0.25">
      <c r="D49" s="89" t="s">
        <v>138</v>
      </c>
      <c r="E49" s="89"/>
      <c r="F49" s="89"/>
      <c r="G49" s="89"/>
      <c r="H49" s="89"/>
      <c r="I49" s="89"/>
      <c r="J49" s="45">
        <f>parameters!F42</f>
        <v>0.9</v>
      </c>
      <c r="K49" s="23" t="s">
        <v>34</v>
      </c>
      <c r="L49" s="10"/>
      <c r="M49" s="10"/>
      <c r="N49" s="10"/>
      <c r="O49" s="152"/>
      <c r="P49" s="152"/>
      <c r="Q49" s="152"/>
      <c r="R49" s="152"/>
      <c r="S49" s="152"/>
    </row>
    <row r="50" spans="3:19" ht="15.75" x14ac:dyDescent="0.25">
      <c r="D50" s="89" t="s">
        <v>85</v>
      </c>
      <c r="E50" s="89"/>
      <c r="F50" s="89"/>
      <c r="G50" s="89"/>
      <c r="H50" s="89"/>
      <c r="I50" s="89"/>
      <c r="J50" s="45">
        <f>parameters!F23</f>
        <v>2E-3</v>
      </c>
      <c r="K50" s="23" t="s">
        <v>23</v>
      </c>
      <c r="L50" s="10"/>
      <c r="M50" s="10"/>
      <c r="N50" s="10"/>
      <c r="O50" s="152"/>
      <c r="P50" s="152"/>
      <c r="Q50" s="152"/>
      <c r="R50" s="152"/>
      <c r="S50" s="152"/>
    </row>
    <row r="51" spans="3:19" ht="15.75" x14ac:dyDescent="0.25">
      <c r="D51" s="89" t="s">
        <v>136</v>
      </c>
      <c r="E51" s="89"/>
      <c r="F51" s="89"/>
      <c r="G51" s="89"/>
      <c r="H51" s="89"/>
      <c r="I51" s="89"/>
      <c r="J51" s="37">
        <f>J22</f>
        <v>2</v>
      </c>
      <c r="K51" s="23" t="s">
        <v>22</v>
      </c>
      <c r="L51" s="10"/>
      <c r="M51" s="10"/>
      <c r="N51" s="10"/>
      <c r="O51" s="152"/>
      <c r="P51" s="152"/>
      <c r="Q51" s="152"/>
      <c r="R51" s="152"/>
      <c r="S51" s="152"/>
    </row>
    <row r="52" spans="3:19" ht="15.75" x14ac:dyDescent="0.25">
      <c r="D52" s="140" t="s">
        <v>156</v>
      </c>
      <c r="E52" s="140"/>
      <c r="F52" s="1"/>
      <c r="G52" s="1"/>
      <c r="H52" s="1"/>
      <c r="I52" s="1"/>
      <c r="J52" s="1"/>
      <c r="K52" s="1"/>
      <c r="L52" s="10"/>
      <c r="M52" s="10"/>
      <c r="N52" s="10"/>
      <c r="O52" s="10"/>
      <c r="P52" s="10"/>
      <c r="Q52" s="1"/>
    </row>
    <row r="53" spans="3:19" ht="15.75" x14ac:dyDescent="0.25">
      <c r="C53">
        <v>6</v>
      </c>
      <c r="D53" s="144" t="s">
        <v>139</v>
      </c>
      <c r="E53" s="144"/>
      <c r="F53" s="144"/>
      <c r="G53" s="144"/>
      <c r="H53" s="144"/>
      <c r="I53" s="144"/>
      <c r="J53" s="20"/>
      <c r="K53" s="21" t="s">
        <v>2</v>
      </c>
      <c r="L53" s="134" t="s">
        <v>42</v>
      </c>
      <c r="M53" s="134"/>
      <c r="N53" s="134"/>
      <c r="O53" s="135" t="s">
        <v>3</v>
      </c>
      <c r="P53" s="135"/>
      <c r="Q53" s="135"/>
      <c r="R53" s="135"/>
      <c r="S53" s="135"/>
    </row>
    <row r="54" spans="3:19" ht="17.25" x14ac:dyDescent="0.25">
      <c r="D54" s="97" t="s">
        <v>127</v>
      </c>
      <c r="E54" s="97"/>
      <c r="F54" s="97"/>
      <c r="G54" s="97"/>
      <c r="H54" s="97"/>
      <c r="I54" s="97"/>
      <c r="J54" s="17">
        <f>'HEAT TRANSFER COEFFICIENT'!G39</f>
        <v>1.3094681946191669</v>
      </c>
      <c r="K54" s="18" t="s">
        <v>178</v>
      </c>
      <c r="L54" s="18"/>
      <c r="M54" s="18"/>
      <c r="N54" s="18"/>
      <c r="O54" s="141"/>
      <c r="P54" s="141"/>
      <c r="Q54" s="141"/>
      <c r="R54" s="141"/>
      <c r="S54" s="141"/>
    </row>
    <row r="55" spans="3:19" ht="17.25" x14ac:dyDescent="0.25">
      <c r="D55" s="97" t="s">
        <v>38</v>
      </c>
      <c r="E55" s="97"/>
      <c r="F55" s="97"/>
      <c r="G55" s="97"/>
      <c r="H55" s="97"/>
      <c r="I55" s="97"/>
      <c r="J55" s="22">
        <f>parameters!F9-(2*parameters!F16)</f>
        <v>5.3749999999999996E-3</v>
      </c>
      <c r="K55" s="18" t="s">
        <v>98</v>
      </c>
      <c r="L55" s="18"/>
      <c r="M55" s="18"/>
      <c r="N55" s="18"/>
      <c r="O55" s="141"/>
      <c r="P55" s="141"/>
      <c r="Q55" s="141"/>
      <c r="R55" s="141"/>
      <c r="S55" s="141"/>
    </row>
    <row r="56" spans="3:19" ht="17.25" x14ac:dyDescent="0.25">
      <c r="D56" s="143" t="s">
        <v>181</v>
      </c>
      <c r="E56" s="143"/>
      <c r="F56" s="143"/>
      <c r="G56" s="143"/>
      <c r="H56" s="143"/>
      <c r="I56" s="143"/>
      <c r="J56" s="17">
        <f>J54*J55</f>
        <v>7.0383915460780211E-3</v>
      </c>
      <c r="K56" s="18" t="s">
        <v>179</v>
      </c>
      <c r="L56" s="18"/>
      <c r="M56" s="18"/>
      <c r="N56" s="18"/>
      <c r="O56" s="141"/>
      <c r="P56" s="141"/>
      <c r="Q56" s="141"/>
      <c r="R56" s="141"/>
      <c r="S56" s="141"/>
    </row>
    <row r="57" spans="3:19" ht="15.75" x14ac:dyDescent="0.25">
      <c r="C57">
        <v>7</v>
      </c>
      <c r="D57" s="110" t="s">
        <v>146</v>
      </c>
      <c r="E57" s="110"/>
      <c r="F57" s="110"/>
      <c r="G57" s="110"/>
      <c r="H57" s="110"/>
      <c r="I57" s="110"/>
      <c r="J57" s="20"/>
      <c r="K57" s="21" t="s">
        <v>2</v>
      </c>
      <c r="L57" s="134" t="s">
        <v>42</v>
      </c>
      <c r="M57" s="134"/>
      <c r="N57" s="134"/>
      <c r="O57" s="135" t="s">
        <v>3</v>
      </c>
      <c r="P57" s="135"/>
      <c r="Q57" s="135"/>
      <c r="R57" s="135"/>
      <c r="S57" s="135"/>
    </row>
    <row r="58" spans="3:19" x14ac:dyDescent="0.25">
      <c r="D58" s="97" t="s">
        <v>147</v>
      </c>
      <c r="E58" s="97"/>
      <c r="F58" s="97"/>
      <c r="G58" s="97"/>
      <c r="H58" s="97"/>
      <c r="I58" s="97"/>
      <c r="J58" s="22">
        <f>parameters!F50</f>
        <v>0.46524064171122992</v>
      </c>
      <c r="K58" s="18"/>
      <c r="L58" s="18"/>
      <c r="M58" s="18"/>
      <c r="N58" s="18"/>
      <c r="O58" s="142" t="s">
        <v>182</v>
      </c>
      <c r="P58" s="142"/>
      <c r="Q58" s="142"/>
      <c r="R58" s="142"/>
      <c r="S58" s="142"/>
    </row>
    <row r="59" spans="3:19" ht="17.25" x14ac:dyDescent="0.25">
      <c r="D59" s="97" t="s">
        <v>151</v>
      </c>
      <c r="E59" s="97"/>
      <c r="F59" s="97"/>
      <c r="G59" s="97"/>
      <c r="H59" s="97"/>
      <c r="I59" s="97"/>
      <c r="J59" s="22">
        <f>parameters!F9-(2*parameters!F16)</f>
        <v>5.3749999999999996E-3</v>
      </c>
      <c r="K59" s="18" t="s">
        <v>98</v>
      </c>
      <c r="L59" s="18"/>
      <c r="M59" s="18"/>
      <c r="N59" s="18"/>
      <c r="O59" s="142"/>
      <c r="P59" s="142"/>
      <c r="Q59" s="142"/>
      <c r="R59" s="142"/>
      <c r="S59" s="142"/>
    </row>
    <row r="60" spans="3:19" ht="18" x14ac:dyDescent="0.25">
      <c r="D60" s="97" t="s">
        <v>152</v>
      </c>
      <c r="E60" s="97"/>
      <c r="F60" s="97"/>
      <c r="G60" s="97"/>
      <c r="H60" s="97"/>
      <c r="I60" s="97"/>
      <c r="J60" s="42">
        <v>5.6699999999999998E-8</v>
      </c>
      <c r="K60" s="23" t="s">
        <v>28</v>
      </c>
      <c r="L60" s="18"/>
      <c r="M60" s="18"/>
      <c r="N60" s="18"/>
      <c r="O60" s="142"/>
      <c r="P60" s="142"/>
      <c r="Q60" s="142"/>
      <c r="R60" s="142"/>
      <c r="S60" s="142"/>
    </row>
    <row r="61" spans="3:19" x14ac:dyDescent="0.25">
      <c r="D61" s="143" t="s">
        <v>154</v>
      </c>
      <c r="E61" s="143"/>
      <c r="F61" s="143"/>
      <c r="G61" s="143"/>
      <c r="H61" s="143"/>
      <c r="I61" s="143"/>
      <c r="J61" s="27">
        <f>J58*J59*J60</f>
        <v>1.4178790106951869E-10</v>
      </c>
      <c r="K61" s="18"/>
      <c r="L61" s="18"/>
      <c r="M61" s="18"/>
      <c r="N61" s="18"/>
      <c r="O61" s="142"/>
      <c r="P61" s="142"/>
      <c r="Q61" s="142"/>
      <c r="R61" s="142"/>
      <c r="S61" s="142"/>
    </row>
    <row r="62" spans="3:19" ht="15.75" x14ac:dyDescent="0.25">
      <c r="C62">
        <v>8</v>
      </c>
      <c r="D62" s="110" t="s">
        <v>148</v>
      </c>
      <c r="E62" s="110"/>
      <c r="F62" s="110"/>
      <c r="G62" s="110"/>
      <c r="H62" s="110"/>
      <c r="I62" s="110"/>
      <c r="J62" s="20"/>
      <c r="K62" s="21" t="s">
        <v>2</v>
      </c>
      <c r="L62" s="134" t="s">
        <v>42</v>
      </c>
      <c r="M62" s="134"/>
      <c r="N62" s="134"/>
      <c r="O62" s="135" t="s">
        <v>3</v>
      </c>
      <c r="P62" s="135"/>
      <c r="Q62" s="135"/>
      <c r="R62" s="135"/>
      <c r="S62" s="135"/>
    </row>
    <row r="63" spans="3:19" x14ac:dyDescent="0.25">
      <c r="D63" s="97" t="s">
        <v>149</v>
      </c>
      <c r="E63" s="97"/>
      <c r="F63" s="97"/>
      <c r="G63" s="97"/>
      <c r="H63" s="97"/>
      <c r="I63" s="97"/>
      <c r="J63" s="22">
        <f>parameters!F41</f>
        <v>0.9</v>
      </c>
      <c r="K63" s="18" t="s">
        <v>34</v>
      </c>
      <c r="L63" s="18"/>
      <c r="M63" s="18"/>
      <c r="N63" s="18"/>
      <c r="O63" s="141"/>
      <c r="P63" s="141"/>
      <c r="Q63" s="141"/>
      <c r="R63" s="141"/>
      <c r="S63" s="141"/>
    </row>
    <row r="64" spans="3:19" ht="17.25" x14ac:dyDescent="0.25">
      <c r="D64" s="97" t="s">
        <v>150</v>
      </c>
      <c r="E64" s="97"/>
      <c r="F64" s="97"/>
      <c r="G64" s="97"/>
      <c r="H64" s="97"/>
      <c r="I64" s="97"/>
      <c r="J64" s="22">
        <f>parameters!F16</f>
        <v>7.5000000000000002E-4</v>
      </c>
      <c r="K64" s="18" t="s">
        <v>98</v>
      </c>
      <c r="L64" s="18"/>
      <c r="M64" s="18"/>
      <c r="N64" s="18"/>
      <c r="O64" s="141"/>
      <c r="P64" s="141"/>
      <c r="Q64" s="141"/>
      <c r="R64" s="141"/>
      <c r="S64" s="141"/>
    </row>
    <row r="65" spans="3:19" x14ac:dyDescent="0.25">
      <c r="D65" s="18" t="s">
        <v>153</v>
      </c>
      <c r="E65" s="18"/>
      <c r="F65" s="18"/>
      <c r="G65" s="18"/>
      <c r="H65" s="18"/>
      <c r="I65" s="18"/>
      <c r="J65" s="22">
        <f>parameters!F34</f>
        <v>0.03</v>
      </c>
      <c r="K65" s="18" t="s">
        <v>23</v>
      </c>
      <c r="L65" s="18"/>
      <c r="M65" s="18"/>
      <c r="N65" s="18"/>
      <c r="O65" s="141"/>
      <c r="P65" s="141"/>
      <c r="Q65" s="141"/>
      <c r="R65" s="141"/>
      <c r="S65" s="141"/>
    </row>
    <row r="66" spans="3:19" x14ac:dyDescent="0.25">
      <c r="D66" s="18"/>
      <c r="E66" s="18"/>
      <c r="F66" s="18"/>
      <c r="G66" s="18"/>
      <c r="H66" s="18"/>
      <c r="I66" s="18"/>
      <c r="J66" s="17">
        <f>2*J63*J64</f>
        <v>1.3500000000000001E-3</v>
      </c>
      <c r="K66" s="18" t="s">
        <v>180</v>
      </c>
      <c r="L66" s="18"/>
      <c r="M66" s="18"/>
      <c r="N66" s="18"/>
      <c r="O66" s="141"/>
      <c r="P66" s="141"/>
      <c r="Q66" s="141"/>
      <c r="R66" s="141"/>
      <c r="S66" s="141"/>
    </row>
    <row r="67" spans="3:19" x14ac:dyDescent="0.25"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spans="3:19" x14ac:dyDescent="0.25">
      <c r="D68" s="143" t="s">
        <v>155</v>
      </c>
      <c r="E68" s="143"/>
      <c r="F68" s="143"/>
      <c r="G68" s="143"/>
      <c r="H68" s="143"/>
      <c r="I68" s="143"/>
      <c r="J68" s="46">
        <f>(J56*(J4-J6)^(5/4)+J66*(J4-J6)+J61*(J4^4-J6^4))-J22</f>
        <v>-0.57549381858493254</v>
      </c>
      <c r="K68" s="18" t="s">
        <v>22</v>
      </c>
      <c r="L68" s="18"/>
      <c r="M68" s="18"/>
      <c r="N68" s="18"/>
    </row>
    <row r="70" spans="3:19" x14ac:dyDescent="0.25">
      <c r="D70" s="140" t="s">
        <v>157</v>
      </c>
      <c r="E70" s="140"/>
    </row>
    <row r="71" spans="3:19" ht="15.75" x14ac:dyDescent="0.25">
      <c r="C71">
        <v>9</v>
      </c>
      <c r="D71" s="110" t="s">
        <v>49</v>
      </c>
      <c r="E71" s="110"/>
      <c r="F71" s="110"/>
      <c r="G71" s="110"/>
      <c r="H71" s="110"/>
      <c r="I71" s="110"/>
      <c r="J71" s="20"/>
      <c r="K71" s="21" t="s">
        <v>2</v>
      </c>
      <c r="L71" s="134" t="s">
        <v>42</v>
      </c>
      <c r="M71" s="134"/>
      <c r="N71" s="134"/>
      <c r="O71" s="135" t="s">
        <v>3</v>
      </c>
      <c r="P71" s="135"/>
      <c r="Q71" s="135"/>
      <c r="R71" s="135"/>
      <c r="S71" s="135"/>
    </row>
    <row r="72" spans="3:19" x14ac:dyDescent="0.25">
      <c r="D72" s="97" t="s">
        <v>158</v>
      </c>
      <c r="E72" s="97"/>
      <c r="F72" s="97"/>
      <c r="G72" s="97"/>
      <c r="H72" s="97"/>
      <c r="I72" s="97"/>
      <c r="J72" s="18">
        <v>0.3</v>
      </c>
      <c r="K72" s="18"/>
      <c r="L72" s="18"/>
      <c r="M72" s="18"/>
      <c r="N72" s="18"/>
      <c r="O72" s="146" t="s">
        <v>184</v>
      </c>
      <c r="P72" s="146"/>
      <c r="Q72" s="146"/>
      <c r="R72" s="146"/>
      <c r="S72" s="146"/>
    </row>
    <row r="73" spans="3:19" ht="17.25" x14ac:dyDescent="0.25">
      <c r="D73" s="97" t="s">
        <v>38</v>
      </c>
      <c r="E73" s="97"/>
      <c r="F73" s="97"/>
      <c r="G73" s="97"/>
      <c r="H73" s="97"/>
      <c r="I73" s="97"/>
      <c r="J73" s="22">
        <f>parameters!F26</f>
        <v>0.22</v>
      </c>
      <c r="K73" s="18" t="s">
        <v>98</v>
      </c>
      <c r="L73" s="18"/>
      <c r="M73" s="18"/>
      <c r="N73" s="18"/>
      <c r="O73" s="146"/>
      <c r="P73" s="146"/>
      <c r="Q73" s="146"/>
      <c r="R73" s="146"/>
      <c r="S73" s="146"/>
    </row>
    <row r="74" spans="3:19" ht="18" x14ac:dyDescent="0.25">
      <c r="D74" s="97" t="s">
        <v>159</v>
      </c>
      <c r="E74" s="97"/>
      <c r="F74" s="97"/>
      <c r="G74" s="97"/>
      <c r="H74" s="97"/>
      <c r="I74" s="97"/>
      <c r="J74" s="22">
        <f>parameters!P8</f>
        <v>832</v>
      </c>
      <c r="K74" s="23" t="s">
        <v>183</v>
      </c>
      <c r="L74" s="18"/>
      <c r="M74" s="18"/>
      <c r="N74" s="18"/>
      <c r="O74" s="146"/>
      <c r="P74" s="146"/>
      <c r="Q74" s="146"/>
      <c r="R74" s="146"/>
      <c r="S74" s="146"/>
    </row>
    <row r="75" spans="3:19" x14ac:dyDescent="0.25">
      <c r="D75" s="97" t="s">
        <v>41</v>
      </c>
      <c r="E75" s="97"/>
      <c r="F75" s="97"/>
      <c r="G75" s="97"/>
      <c r="H75" s="97"/>
      <c r="I75" s="97"/>
      <c r="J75" s="22">
        <f>parameters!H48</f>
        <v>0.39</v>
      </c>
      <c r="K75" s="18"/>
      <c r="L75" s="18"/>
      <c r="M75" s="18"/>
      <c r="N75" s="18"/>
      <c r="O75" s="146"/>
      <c r="P75" s="146"/>
      <c r="Q75" s="146"/>
      <c r="R75" s="146"/>
      <c r="S75" s="146"/>
    </row>
    <row r="76" spans="3:19" x14ac:dyDescent="0.25">
      <c r="D76" s="97" t="s">
        <v>160</v>
      </c>
      <c r="E76" s="97"/>
      <c r="F76" s="97"/>
      <c r="G76" s="97"/>
      <c r="H76" s="97"/>
      <c r="I76" s="97"/>
      <c r="J76" s="17">
        <f>J72*J73*J74*J75</f>
        <v>21.415680000000002</v>
      </c>
      <c r="K76" s="18" t="s">
        <v>22</v>
      </c>
      <c r="L76" s="18"/>
      <c r="M76" s="18"/>
      <c r="N76" s="18"/>
      <c r="O76" s="146"/>
      <c r="P76" s="146"/>
      <c r="Q76" s="146"/>
      <c r="R76" s="146"/>
      <c r="S76" s="146"/>
    </row>
    <row r="78" spans="3:19" ht="15.75" x14ac:dyDescent="0.25">
      <c r="C78">
        <v>10</v>
      </c>
      <c r="D78" s="110" t="s">
        <v>161</v>
      </c>
      <c r="E78" s="110"/>
      <c r="F78" s="110"/>
      <c r="G78" s="110"/>
      <c r="H78" s="110"/>
      <c r="I78" s="110"/>
      <c r="J78" s="20"/>
      <c r="K78" s="21" t="s">
        <v>2</v>
      </c>
      <c r="L78" s="134" t="s">
        <v>42</v>
      </c>
      <c r="M78" s="134"/>
      <c r="N78" s="134"/>
      <c r="O78" s="135" t="s">
        <v>3</v>
      </c>
      <c r="P78" s="135"/>
      <c r="Q78" s="135"/>
      <c r="R78" s="135"/>
      <c r="S78" s="135"/>
    </row>
    <row r="79" spans="3:19" ht="17.25" x14ac:dyDescent="0.25">
      <c r="D79" s="97" t="s">
        <v>38</v>
      </c>
      <c r="E79" s="97"/>
      <c r="F79" s="97"/>
      <c r="G79" s="97"/>
      <c r="H79" s="97"/>
      <c r="I79" s="97"/>
      <c r="J79" s="22">
        <f>parameters!F26</f>
        <v>0.22</v>
      </c>
      <c r="K79" s="18" t="s">
        <v>98</v>
      </c>
      <c r="L79" s="18"/>
      <c r="M79" s="18"/>
      <c r="N79" s="18"/>
      <c r="O79" s="141"/>
      <c r="P79" s="141"/>
      <c r="Q79" s="141"/>
      <c r="R79" s="141"/>
      <c r="S79" s="141"/>
    </row>
    <row r="80" spans="3:19" x14ac:dyDescent="0.25">
      <c r="D80" s="97" t="s">
        <v>41</v>
      </c>
      <c r="E80" s="97"/>
      <c r="F80" s="97"/>
      <c r="G80" s="97"/>
      <c r="H80" s="97"/>
      <c r="I80" s="97"/>
      <c r="J80" s="22">
        <f>parameters!H48</f>
        <v>0.39</v>
      </c>
      <c r="K80" s="18"/>
      <c r="L80" s="18"/>
      <c r="M80" s="18"/>
      <c r="N80" s="18"/>
      <c r="O80" s="141"/>
      <c r="P80" s="141"/>
      <c r="Q80" s="141"/>
      <c r="R80" s="141"/>
      <c r="S80" s="141"/>
    </row>
    <row r="81" spans="3:19" x14ac:dyDescent="0.25">
      <c r="D81" s="97" t="s">
        <v>45</v>
      </c>
      <c r="E81" s="97"/>
      <c r="F81" s="97"/>
      <c r="G81" s="97"/>
      <c r="H81" s="97"/>
      <c r="I81" s="97"/>
      <c r="J81" s="42">
        <v>6371000</v>
      </c>
      <c r="K81" s="18" t="s">
        <v>23</v>
      </c>
      <c r="L81" s="18"/>
      <c r="M81" s="18"/>
      <c r="N81" s="18"/>
      <c r="O81" s="141"/>
      <c r="P81" s="141"/>
      <c r="Q81" s="141"/>
      <c r="R81" s="141"/>
      <c r="S81" s="141"/>
    </row>
    <row r="82" spans="3:19" x14ac:dyDescent="0.25">
      <c r="D82" s="97" t="s">
        <v>46</v>
      </c>
      <c r="E82" s="97"/>
      <c r="F82" s="97"/>
      <c r="G82" s="97"/>
      <c r="H82" s="97"/>
      <c r="I82" s="97"/>
      <c r="J82" s="22">
        <f>parameters!N8</f>
        <v>0</v>
      </c>
      <c r="K82" s="18" t="s">
        <v>23</v>
      </c>
      <c r="L82" s="18"/>
      <c r="M82" s="18"/>
      <c r="N82" s="18"/>
      <c r="O82" s="141"/>
      <c r="P82" s="141"/>
      <c r="Q82" s="141"/>
      <c r="R82" s="141"/>
      <c r="S82" s="141"/>
    </row>
    <row r="83" spans="3:19" x14ac:dyDescent="0.25">
      <c r="D83" s="97" t="s">
        <v>162</v>
      </c>
      <c r="E83" s="97"/>
      <c r="F83" s="97"/>
      <c r="G83" s="97"/>
      <c r="H83" s="97"/>
      <c r="I83" s="97"/>
      <c r="J83" s="27">
        <f>237*J79*J80*(J81/(J81+J82))^2</f>
        <v>20.334600000000002</v>
      </c>
      <c r="K83" s="18" t="s">
        <v>22</v>
      </c>
      <c r="L83" s="18"/>
      <c r="M83" s="18"/>
      <c r="N83" s="18"/>
      <c r="O83" s="141"/>
      <c r="P83" s="141"/>
      <c r="Q83" s="141"/>
      <c r="R83" s="141"/>
      <c r="S83" s="141"/>
    </row>
    <row r="84" spans="3:19" x14ac:dyDescent="0.25">
      <c r="D84" s="143" t="s">
        <v>163</v>
      </c>
      <c r="E84" s="143"/>
      <c r="F84" s="143"/>
      <c r="G84" s="143"/>
      <c r="H84" s="143"/>
      <c r="I84" s="143"/>
      <c r="J84" s="17">
        <f>J76+J83</f>
        <v>41.750280000000004</v>
      </c>
      <c r="K84" s="18" t="s">
        <v>22</v>
      </c>
      <c r="L84" s="18"/>
      <c r="M84" s="18"/>
      <c r="N84" s="18"/>
      <c r="O84" s="141"/>
      <c r="P84" s="141"/>
      <c r="Q84" s="141"/>
      <c r="R84" s="141"/>
      <c r="S84" s="141"/>
    </row>
    <row r="85" spans="3:19" x14ac:dyDescent="0.25"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</row>
    <row r="86" spans="3:19" x14ac:dyDescent="0.25">
      <c r="D86" s="97" t="s">
        <v>164</v>
      </c>
      <c r="E86" s="97"/>
      <c r="F86" s="97"/>
      <c r="G86" s="97"/>
      <c r="H86" s="97"/>
      <c r="I86" s="97"/>
      <c r="J86" s="15">
        <v>2</v>
      </c>
      <c r="K86" s="18" t="s">
        <v>22</v>
      </c>
      <c r="L86" s="18"/>
      <c r="M86" s="18"/>
      <c r="N86" s="18"/>
    </row>
    <row r="87" spans="3:19" x14ac:dyDescent="0.25">
      <c r="D87" s="143" t="s">
        <v>165</v>
      </c>
      <c r="E87" s="143"/>
      <c r="F87" s="143"/>
      <c r="G87" s="143"/>
      <c r="H87" s="143"/>
      <c r="I87" s="143"/>
      <c r="J87" s="30">
        <f>J84+J86</f>
        <v>43.750280000000004</v>
      </c>
      <c r="K87" s="18" t="s">
        <v>22</v>
      </c>
      <c r="L87" s="18"/>
      <c r="M87" s="18"/>
      <c r="N87" s="18"/>
    </row>
    <row r="89" spans="3:19" ht="15.75" x14ac:dyDescent="0.25">
      <c r="C89">
        <v>11</v>
      </c>
      <c r="D89" s="110" t="s">
        <v>113</v>
      </c>
      <c r="E89" s="110"/>
      <c r="F89" s="110"/>
      <c r="G89" s="110"/>
      <c r="H89" s="110"/>
      <c r="I89" s="110"/>
      <c r="J89" s="20"/>
      <c r="K89" s="21" t="s">
        <v>2</v>
      </c>
      <c r="L89" s="134" t="s">
        <v>42</v>
      </c>
      <c r="M89" s="134"/>
      <c r="N89" s="134"/>
      <c r="O89" s="135" t="s">
        <v>3</v>
      </c>
      <c r="P89" s="135"/>
      <c r="Q89" s="135"/>
      <c r="R89" s="135"/>
      <c r="S89" s="135"/>
    </row>
    <row r="90" spans="3:19" ht="17.25" x14ac:dyDescent="0.25">
      <c r="D90" s="94" t="s">
        <v>38</v>
      </c>
      <c r="E90" s="95"/>
      <c r="F90" s="95"/>
      <c r="G90" s="95"/>
      <c r="H90" s="95"/>
      <c r="I90" s="96"/>
      <c r="J90" s="22">
        <f>parameters!F26</f>
        <v>0.22</v>
      </c>
      <c r="K90" s="18" t="s">
        <v>98</v>
      </c>
      <c r="L90" s="18"/>
      <c r="M90" s="18"/>
      <c r="N90" s="18"/>
      <c r="O90" s="141" t="s">
        <v>189</v>
      </c>
      <c r="P90" s="141"/>
      <c r="Q90" s="141"/>
      <c r="R90" s="141"/>
      <c r="S90" s="141"/>
    </row>
    <row r="91" spans="3:19" ht="17.25" x14ac:dyDescent="0.25">
      <c r="D91" s="94" t="s">
        <v>127</v>
      </c>
      <c r="E91" s="95"/>
      <c r="F91" s="95"/>
      <c r="G91" s="95"/>
      <c r="H91" s="95"/>
      <c r="I91" s="96"/>
      <c r="J91" s="40">
        <f>'HEAT TRANSFER COEFFICIENT'!G23</f>
        <v>0.78834773121715607</v>
      </c>
      <c r="K91" s="18" t="s">
        <v>185</v>
      </c>
      <c r="L91" s="18"/>
      <c r="M91" s="18"/>
      <c r="N91" s="18"/>
      <c r="O91" s="141"/>
      <c r="P91" s="141"/>
      <c r="Q91" s="141"/>
      <c r="R91" s="141"/>
      <c r="S91" s="141"/>
    </row>
    <row r="92" spans="3:19" ht="17.25" x14ac:dyDescent="0.25">
      <c r="D92" s="94"/>
      <c r="E92" s="95"/>
      <c r="F92" s="95"/>
      <c r="G92" s="95"/>
      <c r="H92" s="95"/>
      <c r="I92" s="96"/>
      <c r="J92" s="17">
        <f>J90*J91</f>
        <v>0.17343650086777435</v>
      </c>
      <c r="K92" s="18" t="s">
        <v>190</v>
      </c>
      <c r="L92" s="18"/>
      <c r="M92" s="18"/>
      <c r="N92" s="18"/>
      <c r="O92" s="141"/>
      <c r="P92" s="141"/>
      <c r="Q92" s="141"/>
      <c r="R92" s="141"/>
      <c r="S92" s="141"/>
    </row>
    <row r="93" spans="3:19" x14ac:dyDescent="0.25">
      <c r="O93" s="141"/>
      <c r="P93" s="141"/>
      <c r="Q93" s="141"/>
      <c r="R93" s="141"/>
      <c r="S93" s="141"/>
    </row>
    <row r="94" spans="3:19" x14ac:dyDescent="0.25">
      <c r="O94" s="141"/>
      <c r="P94" s="141"/>
      <c r="Q94" s="141"/>
      <c r="R94" s="141"/>
      <c r="S94" s="141"/>
    </row>
    <row r="95" spans="3:19" x14ac:dyDescent="0.25">
      <c r="O95" s="141"/>
      <c r="P95" s="141"/>
      <c r="Q95" s="141"/>
      <c r="R95" s="141"/>
      <c r="S95" s="141"/>
    </row>
    <row r="96" spans="3:19" x14ac:dyDescent="0.25">
      <c r="O96" s="141"/>
      <c r="P96" s="141"/>
      <c r="Q96" s="141"/>
      <c r="R96" s="141"/>
      <c r="S96" s="141"/>
    </row>
    <row r="97" spans="3:19" x14ac:dyDescent="0.25">
      <c r="O97" s="141"/>
      <c r="P97" s="141"/>
      <c r="Q97" s="141"/>
      <c r="R97" s="141"/>
      <c r="S97" s="141"/>
    </row>
    <row r="98" spans="3:19" x14ac:dyDescent="0.25">
      <c r="O98" s="141"/>
      <c r="P98" s="141"/>
      <c r="Q98" s="141"/>
      <c r="R98" s="141"/>
      <c r="S98" s="141"/>
    </row>
    <row r="99" spans="3:19" x14ac:dyDescent="0.25">
      <c r="O99" s="141"/>
      <c r="P99" s="141"/>
      <c r="Q99" s="141"/>
      <c r="R99" s="141"/>
      <c r="S99" s="141"/>
    </row>
    <row r="100" spans="3:19" x14ac:dyDescent="0.25">
      <c r="O100" s="141"/>
      <c r="P100" s="141"/>
      <c r="Q100" s="141"/>
      <c r="R100" s="141"/>
      <c r="S100" s="141"/>
    </row>
    <row r="101" spans="3:19" ht="15.75" x14ac:dyDescent="0.25">
      <c r="C101">
        <v>12</v>
      </c>
      <c r="D101" s="110" t="s">
        <v>166</v>
      </c>
      <c r="E101" s="110"/>
      <c r="F101" s="110"/>
      <c r="G101" s="110"/>
      <c r="H101" s="110"/>
      <c r="I101" s="110"/>
      <c r="J101" s="20"/>
      <c r="K101" s="21" t="s">
        <v>2</v>
      </c>
      <c r="L101" s="134" t="s">
        <v>42</v>
      </c>
      <c r="M101" s="134"/>
      <c r="N101" s="134"/>
      <c r="O101" s="135" t="s">
        <v>3</v>
      </c>
      <c r="P101" s="135"/>
      <c r="Q101" s="135"/>
      <c r="R101" s="135"/>
      <c r="S101" s="135"/>
    </row>
    <row r="102" spans="3:19" ht="17.25" x14ac:dyDescent="0.25">
      <c r="D102" s="97" t="s">
        <v>38</v>
      </c>
      <c r="E102" s="97"/>
      <c r="F102" s="97"/>
      <c r="G102" s="97"/>
      <c r="H102" s="97"/>
      <c r="I102" s="97"/>
      <c r="J102" s="22">
        <f>parameters!F26</f>
        <v>0.22</v>
      </c>
      <c r="K102" s="18" t="s">
        <v>98</v>
      </c>
      <c r="L102" s="18"/>
      <c r="M102" s="18"/>
      <c r="N102" s="18"/>
    </row>
    <row r="103" spans="3:19" x14ac:dyDescent="0.25">
      <c r="D103" s="97" t="s">
        <v>132</v>
      </c>
      <c r="E103" s="97"/>
      <c r="F103" s="97"/>
      <c r="G103" s="97"/>
      <c r="H103" s="97"/>
      <c r="I103" s="97"/>
      <c r="J103" s="22">
        <f>parameters!F48</f>
        <v>0.87</v>
      </c>
      <c r="K103" s="18"/>
      <c r="L103" s="18"/>
      <c r="M103" s="18"/>
      <c r="N103" s="18"/>
    </row>
    <row r="104" spans="3:19" ht="18" x14ac:dyDescent="0.25">
      <c r="D104" s="97" t="s">
        <v>133</v>
      </c>
      <c r="E104" s="97"/>
      <c r="F104" s="97"/>
      <c r="G104" s="97"/>
      <c r="H104" s="97"/>
      <c r="I104" s="97"/>
      <c r="J104" s="42">
        <v>5.6699999999999998E-8</v>
      </c>
      <c r="K104" s="23" t="s">
        <v>28</v>
      </c>
      <c r="L104" s="18"/>
      <c r="M104" s="18"/>
      <c r="N104" s="18"/>
    </row>
    <row r="105" spans="3:19" ht="18" x14ac:dyDescent="0.25">
      <c r="D105" s="89" t="s">
        <v>191</v>
      </c>
      <c r="E105" s="89"/>
      <c r="F105" s="89"/>
      <c r="G105" s="89"/>
      <c r="H105" s="89"/>
      <c r="I105" s="89"/>
      <c r="J105" s="27">
        <f>J104*J103*J102</f>
        <v>1.0852379999999999E-8</v>
      </c>
      <c r="K105" s="23" t="s">
        <v>186</v>
      </c>
      <c r="L105" s="18"/>
      <c r="M105" s="18"/>
      <c r="N105" s="18"/>
    </row>
    <row r="107" spans="3:19" x14ac:dyDescent="0.25">
      <c r="D107" t="s">
        <v>167</v>
      </c>
      <c r="J107" s="12">
        <f>J92*(J7-J11)^(6/5)+J105*(J7^4-J11^4)-J87</f>
        <v>3.0887978189968521</v>
      </c>
    </row>
    <row r="108" spans="3:19" x14ac:dyDescent="0.25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3:19" ht="15.75" x14ac:dyDescent="0.25">
      <c r="C109">
        <v>13</v>
      </c>
      <c r="D109" s="110" t="s">
        <v>169</v>
      </c>
      <c r="E109" s="110"/>
      <c r="F109" s="110"/>
      <c r="G109" s="110"/>
      <c r="H109" s="110"/>
      <c r="I109" s="110"/>
      <c r="J109" s="20"/>
      <c r="K109" s="21" t="s">
        <v>2</v>
      </c>
      <c r="L109" s="134" t="s">
        <v>42</v>
      </c>
      <c r="M109" s="134"/>
      <c r="N109" s="134"/>
      <c r="O109" s="135" t="s">
        <v>3</v>
      </c>
      <c r="P109" s="135"/>
      <c r="Q109" s="135"/>
      <c r="R109" s="135"/>
      <c r="S109" s="135"/>
    </row>
    <row r="110" spans="3:19" ht="17.25" x14ac:dyDescent="0.25">
      <c r="D110" s="89" t="s">
        <v>134</v>
      </c>
      <c r="E110" s="89"/>
      <c r="F110" s="89"/>
      <c r="G110" s="89"/>
      <c r="H110" s="89"/>
      <c r="I110" s="89"/>
      <c r="J110" s="22">
        <f>parameters!F26</f>
        <v>0.22</v>
      </c>
      <c r="K110" s="18" t="s">
        <v>98</v>
      </c>
      <c r="L110" s="18"/>
      <c r="M110" s="18"/>
      <c r="N110" s="18"/>
    </row>
    <row r="111" spans="3:19" ht="15.75" x14ac:dyDescent="0.25">
      <c r="D111" s="89" t="s">
        <v>138</v>
      </c>
      <c r="E111" s="89"/>
      <c r="F111" s="89"/>
      <c r="G111" s="89"/>
      <c r="H111" s="89"/>
      <c r="I111" s="89"/>
      <c r="J111" s="22">
        <f>parameters!F42</f>
        <v>0.9</v>
      </c>
      <c r="K111" s="23" t="s">
        <v>187</v>
      </c>
      <c r="L111" s="18"/>
      <c r="M111" s="18"/>
      <c r="N111" s="18"/>
    </row>
    <row r="112" spans="3:19" ht="15.75" x14ac:dyDescent="0.25">
      <c r="D112" s="89" t="s">
        <v>85</v>
      </c>
      <c r="E112" s="89"/>
      <c r="F112" s="89"/>
      <c r="G112" s="89"/>
      <c r="H112" s="89"/>
      <c r="I112" s="89"/>
      <c r="J112" s="22">
        <f>parameters!F27</f>
        <v>2E-3</v>
      </c>
      <c r="K112" s="18" t="s">
        <v>23</v>
      </c>
      <c r="L112" s="18"/>
      <c r="M112" s="18"/>
      <c r="N112" s="18"/>
    </row>
    <row r="113" spans="3:19" ht="15.75" x14ac:dyDescent="0.25">
      <c r="D113" s="89" t="s">
        <v>136</v>
      </c>
      <c r="E113" s="89"/>
      <c r="F113" s="89"/>
      <c r="G113" s="89"/>
      <c r="H113" s="89"/>
      <c r="I113" s="89"/>
      <c r="J113" s="15">
        <v>2</v>
      </c>
      <c r="K113" s="18" t="s">
        <v>22</v>
      </c>
      <c r="L113" s="18"/>
      <c r="M113" s="18"/>
      <c r="N113" s="18"/>
    </row>
    <row r="116" spans="3:19" ht="15.75" x14ac:dyDescent="0.25">
      <c r="D116" s="140" t="s">
        <v>168</v>
      </c>
      <c r="E116" s="140"/>
      <c r="F116" s="1"/>
      <c r="G116" s="1"/>
      <c r="H116" s="1"/>
      <c r="I116" s="1"/>
      <c r="J116" s="1"/>
      <c r="K116" s="1"/>
      <c r="L116" s="10"/>
      <c r="M116" s="10"/>
      <c r="N116" s="10"/>
      <c r="O116" s="10"/>
      <c r="P116" s="10"/>
      <c r="Q116" s="1"/>
    </row>
    <row r="117" spans="3:19" ht="15.75" x14ac:dyDescent="0.25">
      <c r="C117">
        <v>14</v>
      </c>
      <c r="D117" s="144" t="s">
        <v>188</v>
      </c>
      <c r="E117" s="144"/>
      <c r="F117" s="144"/>
      <c r="G117" s="144"/>
      <c r="H117" s="144"/>
      <c r="I117" s="144"/>
      <c r="J117" s="20"/>
      <c r="K117" s="21" t="s">
        <v>2</v>
      </c>
      <c r="L117" s="134" t="s">
        <v>42</v>
      </c>
      <c r="M117" s="134"/>
      <c r="N117" s="134"/>
      <c r="O117" s="135" t="s">
        <v>3</v>
      </c>
      <c r="P117" s="135"/>
      <c r="Q117" s="135"/>
      <c r="R117" s="135"/>
      <c r="S117" s="135"/>
    </row>
    <row r="118" spans="3:19" ht="17.25" x14ac:dyDescent="0.25">
      <c r="D118" s="94" t="s">
        <v>127</v>
      </c>
      <c r="E118" s="95"/>
      <c r="F118" s="95"/>
      <c r="G118" s="95"/>
      <c r="H118" s="95"/>
      <c r="I118" s="96"/>
      <c r="J118" s="17">
        <f>'HEAT TRANSFER COEFFICIENT'!G39</f>
        <v>1.3094681946191669</v>
      </c>
      <c r="K118" s="18" t="s">
        <v>178</v>
      </c>
      <c r="L118" s="18"/>
      <c r="M118" s="18"/>
      <c r="N118" s="18"/>
    </row>
    <row r="119" spans="3:19" x14ac:dyDescent="0.25">
      <c r="D119" s="94" t="s">
        <v>38</v>
      </c>
      <c r="E119" s="95"/>
      <c r="F119" s="95"/>
      <c r="G119" s="95"/>
      <c r="H119" s="95"/>
      <c r="I119" s="96"/>
      <c r="J119" s="22">
        <f>parameters!F10</f>
        <v>6.875E-3</v>
      </c>
      <c r="K119" s="18"/>
      <c r="L119" s="18"/>
      <c r="M119" s="18"/>
      <c r="N119" s="18"/>
    </row>
    <row r="120" spans="3:19" x14ac:dyDescent="0.25">
      <c r="D120" s="94"/>
      <c r="E120" s="95"/>
      <c r="F120" s="95"/>
      <c r="G120" s="95"/>
      <c r="H120" s="95"/>
      <c r="I120" s="96"/>
      <c r="J120" s="17">
        <f>J118*J119</f>
        <v>9.0025938380067731E-3</v>
      </c>
      <c r="K120" s="18"/>
      <c r="L120" s="18"/>
      <c r="M120" s="18"/>
      <c r="N120" s="18"/>
    </row>
    <row r="121" spans="3:19" ht="15.75" x14ac:dyDescent="0.25">
      <c r="C121">
        <v>15</v>
      </c>
      <c r="D121" s="110" t="s">
        <v>146</v>
      </c>
      <c r="E121" s="110"/>
      <c r="F121" s="110"/>
      <c r="G121" s="110"/>
      <c r="H121" s="110"/>
      <c r="I121" s="110"/>
      <c r="J121" s="20"/>
      <c r="K121" s="21" t="s">
        <v>2</v>
      </c>
      <c r="L121" s="134" t="s">
        <v>42</v>
      </c>
      <c r="M121" s="134"/>
      <c r="N121" s="134"/>
      <c r="O121" s="135" t="s">
        <v>3</v>
      </c>
      <c r="P121" s="135"/>
      <c r="Q121" s="135"/>
      <c r="R121" s="135"/>
      <c r="S121" s="135"/>
    </row>
    <row r="122" spans="3:19" x14ac:dyDescent="0.25">
      <c r="D122" s="97" t="s">
        <v>147</v>
      </c>
      <c r="E122" s="97"/>
      <c r="F122" s="97"/>
      <c r="G122" s="97"/>
      <c r="H122" s="97"/>
      <c r="I122" s="97"/>
      <c r="J122" s="22">
        <f>parameters!F50</f>
        <v>0.46524064171122992</v>
      </c>
      <c r="K122" s="18"/>
      <c r="L122" s="18"/>
      <c r="M122" s="18"/>
      <c r="N122" s="18"/>
    </row>
    <row r="123" spans="3:19" x14ac:dyDescent="0.25">
      <c r="D123" s="97" t="s">
        <v>151</v>
      </c>
      <c r="E123" s="97"/>
      <c r="F123" s="97"/>
      <c r="G123" s="97"/>
      <c r="H123" s="97"/>
      <c r="I123" s="97"/>
      <c r="J123" s="22">
        <f>parameters!F10-2*(parameters!F16)</f>
        <v>5.3749999999999996E-3</v>
      </c>
      <c r="K123" s="18"/>
      <c r="L123" s="18"/>
      <c r="M123" s="18"/>
      <c r="N123" s="18"/>
    </row>
    <row r="124" spans="3:19" x14ac:dyDescent="0.25">
      <c r="D124" s="97" t="s">
        <v>152</v>
      </c>
      <c r="E124" s="97"/>
      <c r="F124" s="97"/>
      <c r="G124" s="97"/>
      <c r="H124" s="97"/>
      <c r="I124" s="97"/>
      <c r="J124" s="42">
        <v>5.6699999999999998E-8</v>
      </c>
      <c r="K124" s="18"/>
      <c r="L124" s="18"/>
      <c r="M124" s="18"/>
      <c r="N124" s="18"/>
    </row>
    <row r="125" spans="3:19" x14ac:dyDescent="0.25">
      <c r="D125" s="143" t="s">
        <v>154</v>
      </c>
      <c r="E125" s="143"/>
      <c r="F125" s="143"/>
      <c r="G125" s="143"/>
      <c r="H125" s="143"/>
      <c r="I125" s="143"/>
      <c r="J125" s="27">
        <f>J122*J123*J124</f>
        <v>1.4178790106951869E-10</v>
      </c>
      <c r="K125" s="18"/>
      <c r="L125" s="18"/>
      <c r="M125" s="18"/>
      <c r="N125" s="18"/>
    </row>
    <row r="126" spans="3:19" ht="15.75" x14ac:dyDescent="0.25">
      <c r="C126">
        <v>16</v>
      </c>
      <c r="D126" s="110" t="s">
        <v>148</v>
      </c>
      <c r="E126" s="110"/>
      <c r="F126" s="110"/>
      <c r="G126" s="110"/>
      <c r="H126" s="110"/>
      <c r="I126" s="110"/>
      <c r="J126" s="20"/>
      <c r="K126" s="21" t="s">
        <v>2</v>
      </c>
      <c r="L126" s="134" t="s">
        <v>42</v>
      </c>
      <c r="M126" s="134"/>
      <c r="N126" s="134"/>
      <c r="O126" s="135" t="s">
        <v>3</v>
      </c>
      <c r="P126" s="135"/>
      <c r="Q126" s="135"/>
      <c r="R126" s="135"/>
      <c r="S126" s="135"/>
    </row>
    <row r="127" spans="3:19" x14ac:dyDescent="0.25">
      <c r="D127" s="97" t="s">
        <v>149</v>
      </c>
      <c r="E127" s="97"/>
      <c r="F127" s="97"/>
      <c r="G127" s="97"/>
      <c r="H127" s="97"/>
      <c r="I127" s="97"/>
      <c r="J127" s="22">
        <f>parameters!F41</f>
        <v>0.9</v>
      </c>
      <c r="K127" s="18"/>
      <c r="L127" s="18"/>
      <c r="M127" s="18"/>
      <c r="N127" s="18"/>
    </row>
    <row r="128" spans="3:19" x14ac:dyDescent="0.25">
      <c r="D128" s="97" t="s">
        <v>150</v>
      </c>
      <c r="E128" s="97"/>
      <c r="F128" s="97"/>
      <c r="G128" s="97"/>
      <c r="H128" s="97"/>
      <c r="I128" s="97"/>
      <c r="J128" s="22">
        <f>parameters!F16</f>
        <v>7.5000000000000002E-4</v>
      </c>
      <c r="K128" s="18"/>
      <c r="L128" s="18"/>
      <c r="M128" s="18"/>
      <c r="N128" s="18"/>
    </row>
    <row r="129" spans="4:14" x14ac:dyDescent="0.25">
      <c r="D129" s="18" t="s">
        <v>153</v>
      </c>
      <c r="E129" s="18"/>
      <c r="F129" s="18"/>
      <c r="G129" s="18"/>
      <c r="H129" s="18"/>
      <c r="I129" s="18"/>
      <c r="J129" s="22">
        <f>parameters!F35</f>
        <v>0.03</v>
      </c>
      <c r="K129" s="18"/>
      <c r="L129" s="18"/>
      <c r="M129" s="18"/>
      <c r="N129" s="18"/>
    </row>
    <row r="130" spans="4:14" x14ac:dyDescent="0.25">
      <c r="D130" s="18"/>
      <c r="E130" s="18"/>
      <c r="F130" s="18"/>
      <c r="G130" s="18"/>
      <c r="H130" s="18"/>
      <c r="I130" s="18"/>
      <c r="J130" s="17">
        <f>2*J127*J128</f>
        <v>1.3500000000000001E-3</v>
      </c>
      <c r="K130" s="18"/>
      <c r="L130" s="18"/>
      <c r="M130" s="18"/>
      <c r="N130" s="18"/>
    </row>
    <row r="132" spans="4:14" x14ac:dyDescent="0.25">
      <c r="D132" s="141" t="s">
        <v>155</v>
      </c>
      <c r="E132" s="141"/>
      <c r="F132" s="141"/>
      <c r="G132" s="141"/>
      <c r="H132" s="141"/>
      <c r="I132" s="141"/>
      <c r="J132" s="12">
        <f>(J120*(J9-J8)^(5/4)+J130*(J9-J8)+J125*(J9^4-J8^4))-J86</f>
        <v>-0.46032799340154806</v>
      </c>
    </row>
    <row r="134" spans="4:14" x14ac:dyDescent="0.25">
      <c r="H134" t="s">
        <v>71</v>
      </c>
    </row>
  </sheetData>
  <scenarios current="25">
    <scenario name="solution1" count="1" user="CSMST" comment="Created by CSMST on 6/7/2024">
      <inputCells r="J5" val="329.542264579311" numFmtId="2"/>
    </scenario>
    <scenario name="sol1" count="1" user="CSMST" comment="Created by CSMST on 6/7/2024">
      <inputCells r="J4" val="446.216264221226"/>
    </scenario>
    <scenario name="sol1'" count="1" user="CSMST" comment="Created by CSMST on 6/7/2024">
      <inputCells r="J5" val="326.399526410064" numFmtId="2"/>
    </scenario>
    <scenario name="solution" count="1" user="CSMST" comment="Created by CSMST on 6/7/2024">
      <inputCells r="J5" val="329.54226443558" numFmtId="2"/>
    </scenario>
    <scenario name="solution'" count="1" user="CSMST" comment="Created by CSMST on 6/7/2024">
      <inputCells r="J4" val="446.216226480682"/>
    </scenario>
    <scenario name="solution11" count="1" user="CSMST" comment="Created by CSMST on 6/7/2024">
      <inputCells r="J5" val="326.543877993241" numFmtId="2"/>
    </scenario>
    <scenario name="erf" count="1" user="CSMST" comment="Created by CSMST on 6/7/2024">
      <inputCells r="J5" val="327.975589257594" numFmtId="2"/>
    </scenario>
    <scenario name="tr" count="1" user="CSMST" comment="Created by CSMST on 6/7/2024">
      <inputCells r="J4" val="397.858180358009"/>
    </scenario>
    <scenario name="gdfg" count="1" user="CSMST" comment="Created by CSMST on 6/7/2024">
      <inputCells r="J5" val="326.383473399704" numFmtId="2"/>
    </scenario>
    <scenario name="deg" count="1" user="CSMST" comment="Created by CSMST on 6/7/2024">
      <inputCells r="J5" val="327.023479195665" numFmtId="2"/>
    </scenario>
    <scenario name="dg" count="1" user="CSMST" comment="Created by CSMST on 6/7/2024">
      <inputCells r="J4" val="359.210854587864"/>
    </scenario>
    <scenario name="gsg" count="1" user="CSMST" comment="Created by CSMST on 6/7/2024">
      <inputCells r="J5" val="339.098703727802" numFmtId="2"/>
    </scenario>
    <scenario name="gh" count="1" user="CSMST" comment="Created by CSMST on 6/7/2024">
      <inputCells r="J4" val="368.900479706528"/>
    </scenario>
    <scenario name="fdvg" count="1" user="CSMST" comment="Created by CSMST on 6/7/2024">
      <inputCells r="J5" val="275.674641547061" numFmtId="2"/>
    </scenario>
    <scenario name="sdf" count="1" user="CSMST" comment="Created by CSMST on 6/7/2024">
      <inputCells r="J5" val="339.098682430036" numFmtId="2"/>
    </scenario>
    <scenario name="er" count="1" user="CSMST" comment="Created by CSMST on 6/7/2024">
      <inputCells r="J4" val="368.900479706528"/>
    </scenario>
    <scenario name="tythy" count="1" user="CSMST" comment="Created by CSMST on 6/7/2024">
      <inputCells r="J5" val="327.02347512801" numFmtId="2"/>
    </scenario>
    <scenario name="gfgtf" count="1" user="CSMST" comment="Created by CSMST on 6/7/2024">
      <inputCells r="J4" val="359.210851156359"/>
    </scenario>
    <scenario name="erer" count="1" user="CSMST" comment="Created by CSMST on 6/7/2024">
      <inputCells r="J4" val="359.210851156359"/>
    </scenario>
    <scenario name="trsfser" count="1" user="CSMST" comment="Created by CSMST on 6/7/2024">
      <inputCells r="J7" val="318.130279062698"/>
    </scenario>
    <scenario name="hjg" count="1" user="CSMST" comment="Created by CSMST on 6/7/2024">
      <inputCells r="J7" val="321.205957766476"/>
    </scenario>
    <scenario name="ghgth" count="1" user="CSMST" comment="Created by CSMST on 6/7/2024">
      <inputCells r="J4" val="376.274826881463"/>
    </scenario>
    <scenario name="ygfoi" count="1" user="CSMST" comment="Created by CSMST on 6/7/2024">
      <inputCells r="J4" val="361.318512072718"/>
    </scenario>
    <scenario name="yugtyu" count="1" user="CSMST" comment="Created by CSMST on 6/7/2024">
      <inputCells r="J9" val="355.307252452695"/>
    </scenario>
    <scenario name="yugyuj" count="1" user="CSMST" comment="Created by CSMST on 6/7/2024">
      <inputCells r="J7" val="326.327549341661"/>
    </scenario>
    <scenario name="gfd" count="1" user="CSMST" comment="Created by CSMST on 6/7/2024">
      <inputCells r="J9" val="359.842287625143"/>
    </scenario>
  </scenarios>
  <mergeCells count="153">
    <mergeCell ref="D124:I124"/>
    <mergeCell ref="D82:I82"/>
    <mergeCell ref="D90:I90"/>
    <mergeCell ref="D91:I91"/>
    <mergeCell ref="O72:S76"/>
    <mergeCell ref="O79:S84"/>
    <mergeCell ref="D132:I132"/>
    <mergeCell ref="D109:I109"/>
    <mergeCell ref="N4:P4"/>
    <mergeCell ref="N5:P5"/>
    <mergeCell ref="O21:S23"/>
    <mergeCell ref="O25:S38"/>
    <mergeCell ref="O40:S45"/>
    <mergeCell ref="O48:S51"/>
    <mergeCell ref="D56:I56"/>
    <mergeCell ref="D125:I125"/>
    <mergeCell ref="D126:I126"/>
    <mergeCell ref="L126:N126"/>
    <mergeCell ref="O126:S126"/>
    <mergeCell ref="D127:I127"/>
    <mergeCell ref="D128:I128"/>
    <mergeCell ref="D121:I121"/>
    <mergeCell ref="L121:N121"/>
    <mergeCell ref="O121:S121"/>
    <mergeCell ref="D122:I122"/>
    <mergeCell ref="D123:I123"/>
    <mergeCell ref="D118:I118"/>
    <mergeCell ref="D119:I119"/>
    <mergeCell ref="D120:I120"/>
    <mergeCell ref="L101:N101"/>
    <mergeCell ref="O101:S101"/>
    <mergeCell ref="D101:I101"/>
    <mergeCell ref="D102:I102"/>
    <mergeCell ref="D103:I103"/>
    <mergeCell ref="D104:I104"/>
    <mergeCell ref="D113:I113"/>
    <mergeCell ref="D116:E116"/>
    <mergeCell ref="D117:I117"/>
    <mergeCell ref="L117:N117"/>
    <mergeCell ref="O117:S117"/>
    <mergeCell ref="D105:I105"/>
    <mergeCell ref="L109:N109"/>
    <mergeCell ref="O109:S109"/>
    <mergeCell ref="D110:I110"/>
    <mergeCell ref="D111:I111"/>
    <mergeCell ref="D112:I112"/>
    <mergeCell ref="D92:I92"/>
    <mergeCell ref="D70:E70"/>
    <mergeCell ref="L71:N71"/>
    <mergeCell ref="O71:S71"/>
    <mergeCell ref="D71:I71"/>
    <mergeCell ref="D75:I75"/>
    <mergeCell ref="D72:I72"/>
    <mergeCell ref="D73:I73"/>
    <mergeCell ref="D74:I74"/>
    <mergeCell ref="D76:I76"/>
    <mergeCell ref="D89:I89"/>
    <mergeCell ref="L89:N89"/>
    <mergeCell ref="O89:S89"/>
    <mergeCell ref="D87:I87"/>
    <mergeCell ref="D86:I86"/>
    <mergeCell ref="L78:N78"/>
    <mergeCell ref="O78:S78"/>
    <mergeCell ref="D78:I78"/>
    <mergeCell ref="D80:I80"/>
    <mergeCell ref="D84:I84"/>
    <mergeCell ref="D79:I79"/>
    <mergeCell ref="D81:I81"/>
    <mergeCell ref="D83:I83"/>
    <mergeCell ref="O90:S100"/>
    <mergeCell ref="L57:N57"/>
    <mergeCell ref="O57:S57"/>
    <mergeCell ref="L62:N62"/>
    <mergeCell ref="O62:S62"/>
    <mergeCell ref="D62:I62"/>
    <mergeCell ref="D63:I63"/>
    <mergeCell ref="D64:I64"/>
    <mergeCell ref="D68:I68"/>
    <mergeCell ref="O63:S66"/>
    <mergeCell ref="D45:I45"/>
    <mergeCell ref="D13:E13"/>
    <mergeCell ref="D52:E52"/>
    <mergeCell ref="O54:S56"/>
    <mergeCell ref="O58:S61"/>
    <mergeCell ref="D58:I58"/>
    <mergeCell ref="D59:I59"/>
    <mergeCell ref="D60:I60"/>
    <mergeCell ref="D61:I61"/>
    <mergeCell ref="D51:I51"/>
    <mergeCell ref="D54:I54"/>
    <mergeCell ref="D55:I55"/>
    <mergeCell ref="D57:I57"/>
    <mergeCell ref="D43:I43"/>
    <mergeCell ref="D47:I47"/>
    <mergeCell ref="L47:N47"/>
    <mergeCell ref="O47:S47"/>
    <mergeCell ref="L53:N53"/>
    <mergeCell ref="O53:S53"/>
    <mergeCell ref="D53:I53"/>
    <mergeCell ref="D48:I48"/>
    <mergeCell ref="D49:I49"/>
    <mergeCell ref="D50:I50"/>
    <mergeCell ref="L39:N39"/>
    <mergeCell ref="D41:I41"/>
    <mergeCell ref="D42:I42"/>
    <mergeCell ref="D34:I34"/>
    <mergeCell ref="D35:I35"/>
    <mergeCell ref="D36:I36"/>
    <mergeCell ref="D37:I37"/>
    <mergeCell ref="D38:I38"/>
    <mergeCell ref="D39:I39"/>
    <mergeCell ref="D27:I27"/>
    <mergeCell ref="D28:I28"/>
    <mergeCell ref="D29:I29"/>
    <mergeCell ref="D30:I30"/>
    <mergeCell ref="D31:I31"/>
    <mergeCell ref="D32:I32"/>
    <mergeCell ref="D33:I33"/>
    <mergeCell ref="D5:I5"/>
    <mergeCell ref="D6:I6"/>
    <mergeCell ref="D7:I7"/>
    <mergeCell ref="D8:I8"/>
    <mergeCell ref="D9:I9"/>
    <mergeCell ref="D10:I10"/>
    <mergeCell ref="O39:S39"/>
    <mergeCell ref="D23:I23"/>
    <mergeCell ref="D40:I40"/>
    <mergeCell ref="D25:I25"/>
    <mergeCell ref="D26:I26"/>
    <mergeCell ref="D2:J2"/>
    <mergeCell ref="D20:I20"/>
    <mergeCell ref="L20:N20"/>
    <mergeCell ref="O20:S20"/>
    <mergeCell ref="D21:I21"/>
    <mergeCell ref="D22:I22"/>
    <mergeCell ref="D24:I24"/>
    <mergeCell ref="L24:N24"/>
    <mergeCell ref="O24:S24"/>
    <mergeCell ref="D14:I14"/>
    <mergeCell ref="O14:S14"/>
    <mergeCell ref="D15:I15"/>
    <mergeCell ref="O15:S18"/>
    <mergeCell ref="D16:I16"/>
    <mergeCell ref="D17:I17"/>
    <mergeCell ref="D18:I18"/>
    <mergeCell ref="L14:N14"/>
    <mergeCell ref="S3:T3"/>
    <mergeCell ref="S4:T4"/>
    <mergeCell ref="S6:T6"/>
    <mergeCell ref="S7:T7"/>
    <mergeCell ref="D11:I11"/>
    <mergeCell ref="D3:I3"/>
    <mergeCell ref="D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9"/>
  <sheetViews>
    <sheetView workbookViewId="0">
      <selection activeCell="K9" sqref="K9"/>
    </sheetView>
  </sheetViews>
  <sheetFormatPr defaultRowHeight="15" x14ac:dyDescent="0.25"/>
  <cols>
    <col min="7" max="7" width="12" bestFit="1" customWidth="1"/>
  </cols>
  <sheetData>
    <row r="3" spans="3:14" x14ac:dyDescent="0.25">
      <c r="C3" s="5" t="s">
        <v>130</v>
      </c>
    </row>
    <row r="4" spans="3:14" x14ac:dyDescent="0.25">
      <c r="C4" s="128" t="s">
        <v>110</v>
      </c>
      <c r="D4" s="128"/>
      <c r="E4" s="128"/>
      <c r="F4" s="128"/>
      <c r="G4" s="13" t="s">
        <v>115</v>
      </c>
      <c r="H4" s="14" t="s">
        <v>2</v>
      </c>
    </row>
    <row r="5" spans="3:14" ht="17.25" x14ac:dyDescent="0.25">
      <c r="C5" s="89" t="s">
        <v>105</v>
      </c>
      <c r="D5" s="89"/>
      <c r="E5" s="89"/>
      <c r="F5" s="89"/>
      <c r="G5" s="23">
        <v>1.1845000000000001</v>
      </c>
      <c r="H5" s="18" t="s">
        <v>116</v>
      </c>
    </row>
    <row r="6" spans="3:14" ht="18.75" x14ac:dyDescent="0.35">
      <c r="C6" s="89" t="s">
        <v>106</v>
      </c>
      <c r="D6" s="89"/>
      <c r="E6" s="89"/>
      <c r="F6" s="89"/>
      <c r="G6" s="50">
        <v>1006.1</v>
      </c>
      <c r="H6" s="18" t="s">
        <v>24</v>
      </c>
      <c r="N6" t="s">
        <v>122</v>
      </c>
    </row>
    <row r="7" spans="3:14" ht="15.75" x14ac:dyDescent="0.25">
      <c r="C7" s="89" t="s">
        <v>107</v>
      </c>
      <c r="D7" s="89"/>
      <c r="E7" s="89"/>
      <c r="F7" s="89"/>
      <c r="G7" s="51">
        <v>1.8444000000000002E-5</v>
      </c>
      <c r="H7" s="18" t="s">
        <v>117</v>
      </c>
    </row>
    <row r="8" spans="3:14" ht="17.25" x14ac:dyDescent="0.25">
      <c r="C8" s="89" t="s">
        <v>108</v>
      </c>
      <c r="D8" s="89"/>
      <c r="E8" s="89"/>
      <c r="F8" s="89"/>
      <c r="G8" s="51">
        <v>1.5571000000000001E-5</v>
      </c>
      <c r="H8" s="18" t="s">
        <v>118</v>
      </c>
    </row>
    <row r="9" spans="3:14" ht="15.75" x14ac:dyDescent="0.25">
      <c r="C9" s="89" t="s">
        <v>76</v>
      </c>
      <c r="D9" s="89"/>
      <c r="E9" s="89"/>
      <c r="F9" s="89"/>
      <c r="G9" s="23">
        <v>3.3999999999999998E-3</v>
      </c>
      <c r="H9" s="18" t="s">
        <v>119</v>
      </c>
    </row>
    <row r="10" spans="3:14" ht="15.75" x14ac:dyDescent="0.25">
      <c r="C10" s="89" t="s">
        <v>109</v>
      </c>
      <c r="D10" s="89"/>
      <c r="E10" s="89"/>
      <c r="F10" s="89"/>
      <c r="G10" s="23">
        <v>2.5968999999999999E-2</v>
      </c>
      <c r="H10" s="18" t="s">
        <v>34</v>
      </c>
    </row>
    <row r="11" spans="3:14" ht="17.25" x14ac:dyDescent="0.25">
      <c r="C11" s="97" t="s">
        <v>120</v>
      </c>
      <c r="D11" s="97"/>
      <c r="E11" s="97"/>
      <c r="F11" s="97"/>
      <c r="G11" s="50">
        <v>9.8000000000000007</v>
      </c>
      <c r="H11" s="18" t="s">
        <v>121</v>
      </c>
    </row>
    <row r="12" spans="3:14" x14ac:dyDescent="0.25">
      <c r="C12" s="5" t="s">
        <v>170</v>
      </c>
    </row>
    <row r="13" spans="3:14" x14ac:dyDescent="0.25">
      <c r="C13" s="97" t="s">
        <v>123</v>
      </c>
      <c r="D13" s="97"/>
      <c r="E13" s="97"/>
      <c r="F13" s="97"/>
      <c r="G13" s="29">
        <f>(G11*G9*(parameters!F20)^3)/G8^2</f>
        <v>17178371.728011515</v>
      </c>
      <c r="H13" s="29">
        <f>G13*'temperature calculations'!J38</f>
        <v>0</v>
      </c>
    </row>
    <row r="14" spans="3:14" x14ac:dyDescent="0.25">
      <c r="C14" s="97" t="s">
        <v>124</v>
      </c>
      <c r="D14" s="97"/>
      <c r="E14" s="97"/>
      <c r="F14" s="97"/>
      <c r="G14" s="28">
        <f>(G6*G7)/G10</f>
        <v>0.71456384150333097</v>
      </c>
      <c r="H14" s="18">
        <v>0.71</v>
      </c>
    </row>
    <row r="15" spans="3:14" x14ac:dyDescent="0.25">
      <c r="C15" s="97" t="s">
        <v>125</v>
      </c>
      <c r="D15" s="97"/>
      <c r="E15" s="97"/>
      <c r="F15" s="97"/>
      <c r="G15" s="29">
        <f>G14*G13</f>
        <v>12275043.292740121</v>
      </c>
      <c r="H15" s="29">
        <f>H14*H13</f>
        <v>0</v>
      </c>
    </row>
    <row r="16" spans="3:14" x14ac:dyDescent="0.25">
      <c r="C16" s="97" t="s">
        <v>126</v>
      </c>
      <c r="D16" s="97"/>
      <c r="E16" s="97"/>
      <c r="F16" s="97"/>
      <c r="G16" s="28">
        <f>0.15*(G15^(1/3))</f>
        <v>34.601819519904339</v>
      </c>
      <c r="H16" s="28">
        <f>0.15*(H15^(1/3))</f>
        <v>0</v>
      </c>
    </row>
    <row r="17" spans="3:8" x14ac:dyDescent="0.25">
      <c r="C17" s="97" t="s">
        <v>127</v>
      </c>
      <c r="D17" s="97"/>
      <c r="E17" s="97"/>
      <c r="F17" s="97"/>
      <c r="G17" s="28">
        <f>(G16*G10)/parameters!F20</f>
        <v>1.7971493022247915</v>
      </c>
      <c r="H17" s="28">
        <f>(H16*G10)/parameters!F20</f>
        <v>0</v>
      </c>
    </row>
    <row r="18" spans="3:8" x14ac:dyDescent="0.25">
      <c r="C18" s="5" t="s">
        <v>171</v>
      </c>
    </row>
    <row r="19" spans="3:8" x14ac:dyDescent="0.25">
      <c r="C19" s="97" t="s">
        <v>123</v>
      </c>
      <c r="D19" s="97"/>
      <c r="E19" s="97"/>
      <c r="F19" s="97"/>
      <c r="G19" s="29">
        <f>(G11*G9*(parameters!F20)^3)/G8^2</f>
        <v>17178371.728011515</v>
      </c>
      <c r="H19" s="29">
        <f>G19*'temperature calculations'!J44</f>
        <v>0</v>
      </c>
    </row>
    <row r="20" spans="3:8" x14ac:dyDescent="0.25">
      <c r="C20" s="97" t="s">
        <v>124</v>
      </c>
      <c r="D20" s="97"/>
      <c r="E20" s="97"/>
      <c r="F20" s="97"/>
      <c r="G20" s="28">
        <f>(G6*G7)/G10</f>
        <v>0.71456384150333097</v>
      </c>
      <c r="H20" s="18">
        <v>0.71</v>
      </c>
    </row>
    <row r="21" spans="3:8" ht="19.5" customHeight="1" x14ac:dyDescent="0.25">
      <c r="C21" s="97" t="s">
        <v>125</v>
      </c>
      <c r="D21" s="97"/>
      <c r="E21" s="97"/>
      <c r="F21" s="97"/>
      <c r="G21" s="29">
        <f>G20*G19</f>
        <v>12275043.292740121</v>
      </c>
      <c r="H21" s="29">
        <f>H20*H19</f>
        <v>0</v>
      </c>
    </row>
    <row r="22" spans="3:8" x14ac:dyDescent="0.25">
      <c r="C22" s="97" t="s">
        <v>126</v>
      </c>
      <c r="D22" s="97"/>
      <c r="E22" s="97"/>
      <c r="F22" s="97"/>
      <c r="G22" s="28">
        <f>0.58*(G21^(1/5))</f>
        <v>15.178630891007664</v>
      </c>
      <c r="H22" s="28">
        <f>0.15*(H21^(1/3))</f>
        <v>0</v>
      </c>
    </row>
    <row r="23" spans="3:8" x14ac:dyDescent="0.25">
      <c r="C23" s="97" t="s">
        <v>127</v>
      </c>
      <c r="D23" s="97"/>
      <c r="E23" s="97"/>
      <c r="F23" s="97"/>
      <c r="G23" s="28">
        <f>(G22*G10)/parameters!F20</f>
        <v>0.78834773121715607</v>
      </c>
      <c r="H23" s="28">
        <f>(H22*G16)/parameters!F26</f>
        <v>0</v>
      </c>
    </row>
    <row r="25" spans="3:8" x14ac:dyDescent="0.25">
      <c r="C25" t="s">
        <v>141</v>
      </c>
    </row>
    <row r="26" spans="3:8" x14ac:dyDescent="0.25">
      <c r="C26" s="153" t="s">
        <v>142</v>
      </c>
      <c r="D26" s="153"/>
      <c r="E26" s="153"/>
      <c r="F26" s="153"/>
      <c r="G26" s="4" t="s">
        <v>143</v>
      </c>
      <c r="H26" s="9" t="s">
        <v>2</v>
      </c>
    </row>
    <row r="27" spans="3:8" ht="17.25" x14ac:dyDescent="0.25">
      <c r="C27" s="89" t="s">
        <v>105</v>
      </c>
      <c r="D27" s="89"/>
      <c r="E27" s="89"/>
      <c r="F27" s="89"/>
      <c r="G27" s="18">
        <f>(1.0759+1.0597)/2</f>
        <v>1.0678000000000001</v>
      </c>
      <c r="H27" s="18" t="s">
        <v>116</v>
      </c>
    </row>
    <row r="28" spans="3:8" ht="18.75" x14ac:dyDescent="0.35">
      <c r="C28" s="89" t="s">
        <v>106</v>
      </c>
      <c r="D28" s="89"/>
      <c r="E28" s="89"/>
      <c r="F28" s="89"/>
      <c r="G28" s="18">
        <f>(1007.7+1008.1)/2</f>
        <v>1007.9000000000001</v>
      </c>
      <c r="H28" s="18" t="s">
        <v>24</v>
      </c>
    </row>
    <row r="29" spans="3:8" ht="15.75" x14ac:dyDescent="0.25">
      <c r="C29" s="89" t="s">
        <v>107</v>
      </c>
      <c r="D29" s="89"/>
      <c r="E29" s="89"/>
      <c r="F29" s="89"/>
      <c r="G29" s="29">
        <f>((1.9835+2.0061)/2)*(0.00001)</f>
        <v>1.9948000000000003E-5</v>
      </c>
      <c r="H29" s="18" t="s">
        <v>117</v>
      </c>
    </row>
    <row r="30" spans="3:8" ht="17.25" x14ac:dyDescent="0.25">
      <c r="C30" s="89" t="s">
        <v>108</v>
      </c>
      <c r="D30" s="89"/>
      <c r="E30" s="89"/>
      <c r="F30" s="89"/>
      <c r="G30" s="29">
        <f>((1.8437+1.8931)/2)*(0.00001)</f>
        <v>1.8683999999999999E-5</v>
      </c>
      <c r="H30" s="18" t="s">
        <v>118</v>
      </c>
    </row>
    <row r="31" spans="3:8" ht="15.75" x14ac:dyDescent="0.25">
      <c r="C31" s="89" t="s">
        <v>76</v>
      </c>
      <c r="D31" s="89"/>
      <c r="E31" s="89"/>
      <c r="F31" s="89"/>
      <c r="G31" s="18">
        <v>3.045E-3</v>
      </c>
      <c r="H31" s="18" t="s">
        <v>119</v>
      </c>
    </row>
    <row r="32" spans="3:8" ht="15.75" x14ac:dyDescent="0.25">
      <c r="C32" s="89" t="s">
        <v>109</v>
      </c>
      <c r="D32" s="89"/>
      <c r="E32" s="89"/>
      <c r="F32" s="89"/>
      <c r="G32" s="18">
        <f>(0.02816+0.028517)/2</f>
        <v>2.8338500000000003E-2</v>
      </c>
      <c r="H32" s="18" t="s">
        <v>34</v>
      </c>
    </row>
    <row r="33" spans="3:8" ht="17.25" x14ac:dyDescent="0.25">
      <c r="C33" s="94" t="s">
        <v>120</v>
      </c>
      <c r="D33" s="95"/>
      <c r="E33" s="95"/>
      <c r="F33" s="96"/>
      <c r="G33" s="18">
        <v>9.8000000000000007</v>
      </c>
      <c r="H33" s="18" t="s">
        <v>121</v>
      </c>
    </row>
    <row r="34" spans="3:8" x14ac:dyDescent="0.25">
      <c r="C34" s="18"/>
      <c r="D34" s="18"/>
      <c r="E34" s="18"/>
      <c r="F34" s="18"/>
      <c r="G34" s="18"/>
      <c r="H34" s="18"/>
    </row>
    <row r="35" spans="3:8" x14ac:dyDescent="0.25">
      <c r="C35" s="97" t="s">
        <v>123</v>
      </c>
      <c r="D35" s="97"/>
      <c r="E35" s="97"/>
      <c r="F35" s="97"/>
      <c r="G35" s="18">
        <f>(G33*G31*(parameters!F34)^3)/G30^2</f>
        <v>2308.0085832767181</v>
      </c>
      <c r="H35" s="18"/>
    </row>
    <row r="36" spans="3:8" x14ac:dyDescent="0.25">
      <c r="C36" s="97" t="s">
        <v>124</v>
      </c>
      <c r="D36" s="97"/>
      <c r="E36" s="97"/>
      <c r="F36" s="97"/>
      <c r="G36" s="18">
        <f>(G29*G28)/G32</f>
        <v>0.70947965488646203</v>
      </c>
      <c r="H36" s="18"/>
    </row>
    <row r="37" spans="3:8" ht="18" x14ac:dyDescent="0.35">
      <c r="C37" s="97" t="s">
        <v>144</v>
      </c>
      <c r="D37" s="97"/>
      <c r="E37" s="97"/>
      <c r="F37" s="97"/>
      <c r="G37" s="18">
        <f>0.2*(G35)^(1/4)</f>
        <v>1.3862429502709184</v>
      </c>
      <c r="H37" s="18"/>
    </row>
    <row r="38" spans="3:8" ht="18" x14ac:dyDescent="0.35">
      <c r="C38" s="97" t="s">
        <v>145</v>
      </c>
      <c r="D38" s="97"/>
      <c r="E38" s="97"/>
      <c r="F38" s="97"/>
      <c r="G38" s="18">
        <f>0.073*(G35*G36^1.65)^(1/3)</f>
        <v>0.79876489605128709</v>
      </c>
      <c r="H38" s="18"/>
    </row>
    <row r="39" spans="3:8" x14ac:dyDescent="0.25">
      <c r="C39" s="97" t="s">
        <v>127</v>
      </c>
      <c r="D39" s="97"/>
      <c r="E39" s="97"/>
      <c r="F39" s="97"/>
      <c r="G39" s="18">
        <f>(1.38624295*G32)/parameters!F34</f>
        <v>1.3094681946191669</v>
      </c>
      <c r="H39" s="18"/>
    </row>
  </sheetData>
  <mergeCells count="31">
    <mergeCell ref="C36:F36"/>
    <mergeCell ref="C37:F37"/>
    <mergeCell ref="C38:F38"/>
    <mergeCell ref="C39:F39"/>
    <mergeCell ref="C30:F30"/>
    <mergeCell ref="C31:F31"/>
    <mergeCell ref="C32:F32"/>
    <mergeCell ref="C35:F35"/>
    <mergeCell ref="C26:F26"/>
    <mergeCell ref="C27:F27"/>
    <mergeCell ref="C14:F14"/>
    <mergeCell ref="C15:F15"/>
    <mergeCell ref="C16:F16"/>
    <mergeCell ref="C17:F17"/>
    <mergeCell ref="C19:F19"/>
    <mergeCell ref="C9:F9"/>
    <mergeCell ref="C33:F33"/>
    <mergeCell ref="C11:F11"/>
    <mergeCell ref="C4:F4"/>
    <mergeCell ref="C5:F5"/>
    <mergeCell ref="C6:F6"/>
    <mergeCell ref="C7:F7"/>
    <mergeCell ref="C8:F8"/>
    <mergeCell ref="C28:F28"/>
    <mergeCell ref="C29:F29"/>
    <mergeCell ref="C21:F21"/>
    <mergeCell ref="C22:F22"/>
    <mergeCell ref="C23:F23"/>
    <mergeCell ref="C20:F20"/>
    <mergeCell ref="C10:F10"/>
    <mergeCell ref="C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61"/>
  <sheetViews>
    <sheetView topLeftCell="A33" zoomScale="115" workbookViewId="0">
      <selection activeCell="M4" sqref="M4"/>
    </sheetView>
  </sheetViews>
  <sheetFormatPr defaultRowHeight="15" x14ac:dyDescent="0.25"/>
  <cols>
    <col min="5" max="5" width="28.85546875" customWidth="1"/>
    <col min="8" max="8" width="39" customWidth="1"/>
    <col min="13" max="13" width="13.42578125" customWidth="1"/>
    <col min="14" max="14" width="9.140625" customWidth="1"/>
    <col min="17" max="17" width="9.140625" customWidth="1"/>
    <col min="18" max="18" width="9.5703125" bestFit="1" customWidth="1"/>
  </cols>
  <sheetData>
    <row r="4" spans="3:19" x14ac:dyDescent="0.25">
      <c r="C4" s="178" t="s">
        <v>192</v>
      </c>
      <c r="D4" s="178"/>
      <c r="E4" s="178"/>
      <c r="F4" s="178"/>
      <c r="G4" s="178"/>
      <c r="H4" s="178"/>
      <c r="I4" s="178"/>
      <c r="J4" s="178"/>
    </row>
    <row r="5" spans="3:19" x14ac:dyDescent="0.25">
      <c r="C5" s="173" t="s">
        <v>193</v>
      </c>
      <c r="D5" s="173"/>
      <c r="E5" s="173"/>
      <c r="F5" s="13" t="s">
        <v>62</v>
      </c>
      <c r="G5" s="14" t="s">
        <v>2</v>
      </c>
      <c r="N5" s="155" t="s">
        <v>238</v>
      </c>
      <c r="O5" s="155"/>
    </row>
    <row r="6" spans="3:19" x14ac:dyDescent="0.25">
      <c r="C6" s="97" t="s">
        <v>95</v>
      </c>
      <c r="D6" s="97"/>
      <c r="E6" s="97"/>
      <c r="F6" s="15">
        <v>0.125</v>
      </c>
      <c r="G6" s="16" t="s">
        <v>23</v>
      </c>
      <c r="N6" s="160" t="s">
        <v>36</v>
      </c>
      <c r="O6" s="160"/>
      <c r="P6" s="160"/>
      <c r="Q6" s="160"/>
      <c r="R6" s="160"/>
      <c r="S6" s="160"/>
    </row>
    <row r="7" spans="3:19" x14ac:dyDescent="0.25">
      <c r="C7" s="174" t="s">
        <v>96</v>
      </c>
      <c r="D7" s="174"/>
      <c r="E7" s="174"/>
      <c r="F7" s="15">
        <v>5.5E-2</v>
      </c>
      <c r="G7" s="16" t="s">
        <v>23</v>
      </c>
      <c r="N7" s="57" t="s">
        <v>104</v>
      </c>
      <c r="O7" s="14" t="s">
        <v>2</v>
      </c>
      <c r="P7" s="13" t="s">
        <v>100</v>
      </c>
      <c r="Q7" s="47" t="s">
        <v>101</v>
      </c>
      <c r="R7" s="14" t="s">
        <v>2</v>
      </c>
      <c r="S7" s="39" t="s">
        <v>102</v>
      </c>
    </row>
    <row r="8" spans="3:19" x14ac:dyDescent="0.25">
      <c r="C8" s="174" t="s">
        <v>97</v>
      </c>
      <c r="D8" s="174"/>
      <c r="E8" s="174"/>
      <c r="F8" s="15">
        <v>0.02</v>
      </c>
      <c r="G8" s="16" t="s">
        <v>23</v>
      </c>
      <c r="I8" s="156" t="s">
        <v>297</v>
      </c>
      <c r="J8" s="156"/>
      <c r="K8" s="156"/>
      <c r="L8" s="14" t="s">
        <v>2</v>
      </c>
      <c r="N8" s="16">
        <v>0</v>
      </c>
      <c r="O8" s="16" t="s">
        <v>23</v>
      </c>
      <c r="P8" s="49">
        <v>832</v>
      </c>
      <c r="Q8" s="49">
        <v>0</v>
      </c>
      <c r="R8" s="18"/>
      <c r="S8" s="18"/>
    </row>
    <row r="9" spans="3:19" ht="17.25" x14ac:dyDescent="0.25">
      <c r="C9" s="97" t="s">
        <v>60</v>
      </c>
      <c r="D9" s="97"/>
      <c r="E9" s="97"/>
      <c r="F9" s="17">
        <f>F6*F7</f>
        <v>6.875E-3</v>
      </c>
      <c r="G9" s="16" t="s">
        <v>98</v>
      </c>
      <c r="I9" s="143">
        <f>F6* F7*F36</f>
        <v>5.5000000000000003E-4</v>
      </c>
      <c r="J9" s="143"/>
      <c r="K9" s="143"/>
      <c r="L9" s="16" t="s">
        <v>298</v>
      </c>
      <c r="N9" s="48">
        <v>5000</v>
      </c>
      <c r="O9" s="16" t="s">
        <v>23</v>
      </c>
      <c r="P9" s="49"/>
      <c r="Q9" s="49"/>
      <c r="R9" s="18"/>
      <c r="S9" s="18"/>
    </row>
    <row r="10" spans="3:19" ht="17.25" x14ac:dyDescent="0.25">
      <c r="C10" s="97" t="s">
        <v>61</v>
      </c>
      <c r="D10" s="97"/>
      <c r="E10" s="97"/>
      <c r="F10" s="17">
        <f>F6*F7</f>
        <v>6.875E-3</v>
      </c>
      <c r="G10" s="16" t="s">
        <v>98</v>
      </c>
      <c r="K10" t="s">
        <v>103</v>
      </c>
      <c r="N10" s="48">
        <v>10000</v>
      </c>
      <c r="O10" s="16" t="s">
        <v>23</v>
      </c>
      <c r="P10" s="49"/>
      <c r="Q10" s="49"/>
      <c r="R10" s="18"/>
      <c r="S10" s="18"/>
    </row>
    <row r="11" spans="3:19" ht="17.25" x14ac:dyDescent="0.25">
      <c r="C11" s="97" t="s">
        <v>92</v>
      </c>
      <c r="D11" s="97"/>
      <c r="E11" s="97"/>
      <c r="F11" s="17">
        <f>F8*F7</f>
        <v>1.1000000000000001E-3</v>
      </c>
      <c r="G11" s="16" t="s">
        <v>98</v>
      </c>
      <c r="N11" s="48">
        <v>15000</v>
      </c>
      <c r="O11" s="16" t="s">
        <v>23</v>
      </c>
      <c r="P11" s="15"/>
      <c r="Q11" s="15"/>
      <c r="R11" s="18"/>
      <c r="S11" s="18"/>
    </row>
    <row r="12" spans="3:19" ht="17.25" x14ac:dyDescent="0.25">
      <c r="C12" s="97" t="s">
        <v>93</v>
      </c>
      <c r="D12" s="97"/>
      <c r="E12" s="97"/>
      <c r="F12" s="17">
        <f>F8*F6</f>
        <v>2.5000000000000001E-3</v>
      </c>
      <c r="G12" s="16" t="s">
        <v>98</v>
      </c>
      <c r="N12" s="48">
        <v>20000</v>
      </c>
      <c r="O12" s="16" t="s">
        <v>23</v>
      </c>
      <c r="P12" s="15"/>
      <c r="Q12" s="15"/>
      <c r="R12" s="18"/>
      <c r="S12" s="18"/>
    </row>
    <row r="13" spans="3:19" x14ac:dyDescent="0.25">
      <c r="N13" s="157" t="s">
        <v>239</v>
      </c>
      <c r="O13" s="157"/>
      <c r="P13" s="157"/>
      <c r="Q13" s="157"/>
      <c r="R13" s="158"/>
      <c r="S13" s="158"/>
    </row>
    <row r="14" spans="3:19" x14ac:dyDescent="0.25">
      <c r="C14" s="175" t="s">
        <v>194</v>
      </c>
      <c r="D14" s="175"/>
      <c r="E14" s="175"/>
      <c r="F14" s="18"/>
      <c r="G14" s="18"/>
      <c r="J14" t="s">
        <v>50</v>
      </c>
      <c r="N14" s="159" t="s">
        <v>240</v>
      </c>
      <c r="O14" s="159"/>
      <c r="P14" s="19" t="s">
        <v>68</v>
      </c>
      <c r="Q14" s="14" t="s">
        <v>2</v>
      </c>
    </row>
    <row r="15" spans="3:19" ht="15.75" x14ac:dyDescent="0.25">
      <c r="C15" s="164" t="s">
        <v>249</v>
      </c>
      <c r="D15" s="164"/>
      <c r="E15" s="164"/>
      <c r="F15" s="15">
        <v>5.0000000000000001E-3</v>
      </c>
      <c r="G15" s="16" t="s">
        <v>23</v>
      </c>
      <c r="M15" s="1"/>
      <c r="N15" s="97" t="s">
        <v>13</v>
      </c>
      <c r="O15" s="97"/>
      <c r="P15" s="15">
        <v>0.2</v>
      </c>
      <c r="Q15" s="18" t="s">
        <v>22</v>
      </c>
    </row>
    <row r="16" spans="3:19" ht="17.25" x14ac:dyDescent="0.25">
      <c r="C16" s="164" t="s">
        <v>94</v>
      </c>
      <c r="D16" s="164"/>
      <c r="E16" s="164"/>
      <c r="F16" s="17">
        <f>2*F15*(F7+F8)</f>
        <v>7.5000000000000002E-4</v>
      </c>
      <c r="G16" s="16" t="s">
        <v>98</v>
      </c>
      <c r="M16" s="1"/>
      <c r="N16" s="89"/>
      <c r="O16" s="89"/>
      <c r="P16" s="23"/>
      <c r="Q16" s="23"/>
      <c r="R16" s="1"/>
      <c r="S16" s="1"/>
    </row>
    <row r="17" spans="3:18" ht="17.25" x14ac:dyDescent="0.25">
      <c r="C17" s="164" t="s">
        <v>288</v>
      </c>
      <c r="D17" s="164"/>
      <c r="E17" s="164"/>
      <c r="F17" s="15">
        <v>0.03</v>
      </c>
      <c r="G17" s="16" t="s">
        <v>98</v>
      </c>
      <c r="M17" s="1"/>
    </row>
    <row r="18" spans="3:18" ht="18.75" customHeight="1" x14ac:dyDescent="0.25">
      <c r="C18" s="177"/>
      <c r="D18" s="177"/>
      <c r="E18" s="177"/>
      <c r="M18" s="1"/>
    </row>
    <row r="19" spans="3:18" ht="18.75" customHeight="1" x14ac:dyDescent="0.25">
      <c r="C19" s="175" t="s">
        <v>195</v>
      </c>
      <c r="D19" s="175"/>
      <c r="E19" s="175"/>
      <c r="F19" s="18"/>
      <c r="G19" s="18"/>
      <c r="M19" s="1"/>
    </row>
    <row r="20" spans="3:18" ht="15.75" x14ac:dyDescent="0.25">
      <c r="C20" s="97" t="s">
        <v>31</v>
      </c>
      <c r="D20" s="97"/>
      <c r="E20" s="97"/>
      <c r="F20" s="15">
        <v>0.5</v>
      </c>
      <c r="G20" s="16" t="s">
        <v>99</v>
      </c>
      <c r="M20" s="1"/>
      <c r="N20" s="154" t="s">
        <v>299</v>
      </c>
      <c r="O20" s="154"/>
      <c r="P20" s="154"/>
      <c r="Q20" s="18" t="s">
        <v>62</v>
      </c>
      <c r="R20" s="14" t="s">
        <v>2</v>
      </c>
    </row>
    <row r="21" spans="3:18" x14ac:dyDescent="0.25">
      <c r="C21" s="97" t="s">
        <v>197</v>
      </c>
      <c r="D21" s="97"/>
      <c r="E21" s="97"/>
      <c r="F21" s="15">
        <v>0.44</v>
      </c>
      <c r="G21" s="16" t="s">
        <v>23</v>
      </c>
      <c r="N21" s="97" t="s">
        <v>59</v>
      </c>
      <c r="O21" s="97"/>
      <c r="P21" s="97"/>
      <c r="Q21" s="83">
        <v>0.25</v>
      </c>
      <c r="R21" s="18" t="s">
        <v>303</v>
      </c>
    </row>
    <row r="22" spans="3:18" ht="15" customHeight="1" x14ac:dyDescent="0.25">
      <c r="C22" s="176" t="s">
        <v>198</v>
      </c>
      <c r="D22" s="176"/>
      <c r="E22" s="176"/>
      <c r="F22" s="17">
        <f>F20*F21</f>
        <v>0.22</v>
      </c>
      <c r="G22" s="16" t="s">
        <v>98</v>
      </c>
      <c r="N22" s="97" t="s">
        <v>300</v>
      </c>
      <c r="O22" s="97"/>
      <c r="P22" s="97"/>
      <c r="Q22" s="83">
        <v>0.15</v>
      </c>
      <c r="R22" s="18" t="s">
        <v>303</v>
      </c>
    </row>
    <row r="23" spans="3:18" x14ac:dyDescent="0.25">
      <c r="C23" s="97" t="s">
        <v>199</v>
      </c>
      <c r="D23" s="97"/>
      <c r="E23" s="97"/>
      <c r="F23" s="15">
        <v>2E-3</v>
      </c>
      <c r="G23" s="16" t="s">
        <v>23</v>
      </c>
      <c r="N23" s="97" t="s">
        <v>301</v>
      </c>
      <c r="O23" s="97"/>
      <c r="P23" s="97"/>
      <c r="Q23" s="83">
        <v>0.1</v>
      </c>
      <c r="R23" s="18" t="s">
        <v>303</v>
      </c>
    </row>
    <row r="24" spans="3:18" x14ac:dyDescent="0.25">
      <c r="G24" s="2"/>
      <c r="N24" s="97" t="s">
        <v>302</v>
      </c>
      <c r="O24" s="97"/>
      <c r="P24" s="97"/>
      <c r="Q24" s="83">
        <v>0.1</v>
      </c>
      <c r="R24" s="18" t="s">
        <v>303</v>
      </c>
    </row>
    <row r="25" spans="3:18" ht="15.75" customHeight="1" x14ac:dyDescent="0.25">
      <c r="C25" s="175" t="s">
        <v>196</v>
      </c>
      <c r="D25" s="175"/>
      <c r="E25" s="175"/>
      <c r="F25" s="18"/>
      <c r="G25" s="16"/>
      <c r="N25" s="115"/>
      <c r="O25" s="115"/>
      <c r="P25" s="115"/>
    </row>
    <row r="26" spans="3:18" ht="20.25" customHeight="1" x14ac:dyDescent="0.25">
      <c r="C26" s="176" t="s">
        <v>63</v>
      </c>
      <c r="D26" s="176"/>
      <c r="E26" s="176"/>
      <c r="F26" s="17">
        <f>F20*F21</f>
        <v>0.22</v>
      </c>
      <c r="G26" s="16" t="s">
        <v>98</v>
      </c>
    </row>
    <row r="27" spans="3:18" ht="15" customHeight="1" x14ac:dyDescent="0.25">
      <c r="C27" s="97" t="s">
        <v>85</v>
      </c>
      <c r="D27" s="97"/>
      <c r="E27" s="97"/>
      <c r="F27" s="15">
        <v>2E-3</v>
      </c>
      <c r="G27" s="16" t="s">
        <v>99</v>
      </c>
      <c r="N27" s="154" t="s">
        <v>334</v>
      </c>
      <c r="O27" s="154"/>
      <c r="P27" s="154"/>
      <c r="Q27" s="68" t="s">
        <v>62</v>
      </c>
      <c r="R27" s="14" t="s">
        <v>2</v>
      </c>
    </row>
    <row r="28" spans="3:18" ht="18.75" x14ac:dyDescent="0.35">
      <c r="G28" s="2"/>
      <c r="N28" s="97" t="s">
        <v>59</v>
      </c>
      <c r="O28" s="97"/>
      <c r="P28" s="97"/>
      <c r="Q28" s="83">
        <v>995</v>
      </c>
      <c r="R28" s="70" t="s">
        <v>335</v>
      </c>
    </row>
    <row r="29" spans="3:18" ht="18.75" x14ac:dyDescent="0.35">
      <c r="C29" s="175" t="s">
        <v>87</v>
      </c>
      <c r="D29" s="175"/>
      <c r="E29" s="175"/>
      <c r="F29" s="18"/>
      <c r="G29" s="16"/>
      <c r="H29" s="165" t="s">
        <v>88</v>
      </c>
      <c r="I29" s="165"/>
      <c r="J29" s="165"/>
      <c r="K29" s="165"/>
      <c r="L29" s="165"/>
      <c r="N29" s="97" t="s">
        <v>300</v>
      </c>
      <c r="O29" s="97"/>
      <c r="P29" s="97"/>
      <c r="Q29" s="83">
        <v>904</v>
      </c>
      <c r="R29" s="70" t="s">
        <v>335</v>
      </c>
    </row>
    <row r="30" spans="3:18" ht="24.75" customHeight="1" x14ac:dyDescent="0.35">
      <c r="C30" s="176" t="s">
        <v>63</v>
      </c>
      <c r="D30" s="176"/>
      <c r="E30" s="176"/>
      <c r="F30" s="18">
        <v>2</v>
      </c>
      <c r="G30" s="16" t="s">
        <v>98</v>
      </c>
      <c r="H30" t="s">
        <v>89</v>
      </c>
      <c r="I30">
        <f>1/((F27/(F42*F26))+(F31/(F43*F30)))</f>
        <v>89.189189189189193</v>
      </c>
      <c r="N30" s="97" t="s">
        <v>301</v>
      </c>
      <c r="O30" s="97"/>
      <c r="P30" s="97"/>
      <c r="Q30" s="83">
        <v>1050</v>
      </c>
      <c r="R30" s="70" t="s">
        <v>335</v>
      </c>
    </row>
    <row r="31" spans="3:18" ht="17.25" customHeight="1" x14ac:dyDescent="0.35">
      <c r="C31" s="97" t="s">
        <v>85</v>
      </c>
      <c r="D31" s="97"/>
      <c r="E31" s="97"/>
      <c r="F31" s="15">
        <v>2E-3</v>
      </c>
      <c r="G31" s="16" t="s">
        <v>99</v>
      </c>
      <c r="N31" s="97" t="s">
        <v>302</v>
      </c>
      <c r="O31" s="97"/>
      <c r="P31" s="97"/>
      <c r="Q31" s="83">
        <v>780</v>
      </c>
      <c r="R31" s="70" t="s">
        <v>335</v>
      </c>
    </row>
    <row r="33" spans="3:10" x14ac:dyDescent="0.25">
      <c r="C33" s="175" t="s">
        <v>73</v>
      </c>
      <c r="D33" s="175"/>
      <c r="E33" s="175"/>
      <c r="F33" s="18"/>
      <c r="G33" s="18"/>
    </row>
    <row r="34" spans="3:10" x14ac:dyDescent="0.25">
      <c r="C34" s="18" t="s">
        <v>74</v>
      </c>
      <c r="D34" s="18"/>
      <c r="E34" s="18"/>
      <c r="F34" s="15">
        <v>0.03</v>
      </c>
      <c r="G34" s="18" t="s">
        <v>23</v>
      </c>
    </row>
    <row r="35" spans="3:10" ht="17.25" customHeight="1" x14ac:dyDescent="0.25">
      <c r="C35" s="176" t="s">
        <v>75</v>
      </c>
      <c r="D35" s="176"/>
      <c r="E35" s="176"/>
      <c r="F35" s="15">
        <v>0.03</v>
      </c>
      <c r="G35" s="18"/>
    </row>
    <row r="36" spans="3:10" ht="15.75" customHeight="1" x14ac:dyDescent="0.25">
      <c r="C36" s="176" t="s">
        <v>90</v>
      </c>
      <c r="D36" s="176"/>
      <c r="E36" s="176"/>
      <c r="F36" s="15">
        <v>0.08</v>
      </c>
      <c r="G36" s="18"/>
    </row>
    <row r="37" spans="3:10" x14ac:dyDescent="0.25">
      <c r="C37" s="177"/>
      <c r="D37" s="177"/>
      <c r="E37" s="177"/>
    </row>
    <row r="38" spans="3:10" x14ac:dyDescent="0.25">
      <c r="C38" s="180" t="s">
        <v>64</v>
      </c>
      <c r="D38" s="180"/>
      <c r="E38" s="180"/>
      <c r="F38" s="180"/>
      <c r="G38" s="180"/>
      <c r="H38" s="180"/>
      <c r="I38" s="180"/>
      <c r="J38" s="180"/>
    </row>
    <row r="39" spans="3:10" x14ac:dyDescent="0.25">
      <c r="C39" s="181" t="s">
        <v>65</v>
      </c>
      <c r="D39" s="181"/>
      <c r="E39" s="181"/>
      <c r="F39" s="13" t="s">
        <v>68</v>
      </c>
      <c r="G39" s="14" t="s">
        <v>2</v>
      </c>
      <c r="H39" s="17" t="s">
        <v>69</v>
      </c>
      <c r="I39" s="18"/>
      <c r="J39" s="18"/>
    </row>
    <row r="40" spans="3:10" x14ac:dyDescent="0.25">
      <c r="C40" s="97" t="s">
        <v>59</v>
      </c>
      <c r="D40" s="97"/>
      <c r="E40" s="97"/>
      <c r="F40" s="15">
        <v>0.9</v>
      </c>
      <c r="G40" s="18"/>
      <c r="H40" s="18"/>
      <c r="I40" s="18"/>
      <c r="J40" s="18"/>
    </row>
    <row r="41" spans="3:10" x14ac:dyDescent="0.25">
      <c r="C41" s="97" t="s">
        <v>66</v>
      </c>
      <c r="D41" s="97"/>
      <c r="E41" s="97"/>
      <c r="F41" s="15">
        <v>0.9</v>
      </c>
      <c r="G41" s="18"/>
      <c r="H41" s="18"/>
      <c r="I41" s="18"/>
      <c r="J41" s="18"/>
    </row>
    <row r="42" spans="3:10" x14ac:dyDescent="0.25">
      <c r="C42" s="97" t="s">
        <v>67</v>
      </c>
      <c r="D42" s="97"/>
      <c r="E42" s="97"/>
      <c r="F42" s="15">
        <v>0.9</v>
      </c>
      <c r="G42" s="18"/>
      <c r="H42" s="18"/>
      <c r="I42" s="18"/>
      <c r="J42" s="18"/>
    </row>
    <row r="43" spans="3:10" x14ac:dyDescent="0.25">
      <c r="C43" s="97" t="s">
        <v>87</v>
      </c>
      <c r="D43" s="97"/>
      <c r="E43" s="97"/>
      <c r="F43" s="15">
        <v>0.9</v>
      </c>
      <c r="G43" s="18"/>
      <c r="H43" s="18"/>
      <c r="I43" s="18"/>
      <c r="J43" s="18"/>
    </row>
    <row r="45" spans="3:10" x14ac:dyDescent="0.25">
      <c r="C45" s="182"/>
      <c r="D45" s="182"/>
      <c r="E45" s="182"/>
      <c r="F45" s="167" t="s">
        <v>77</v>
      </c>
      <c r="G45" s="167"/>
      <c r="H45" s="168" t="s">
        <v>204</v>
      </c>
      <c r="I45" s="168"/>
    </row>
    <row r="46" spans="3:10" x14ac:dyDescent="0.25">
      <c r="C46" s="97" t="s">
        <v>59</v>
      </c>
      <c r="D46" s="97"/>
      <c r="E46" s="97"/>
      <c r="F46" s="163">
        <v>0.5</v>
      </c>
      <c r="G46" s="163"/>
      <c r="H46" s="166"/>
      <c r="I46" s="166"/>
    </row>
    <row r="47" spans="3:10" x14ac:dyDescent="0.25">
      <c r="C47" s="97" t="s">
        <v>66</v>
      </c>
      <c r="D47" s="97"/>
      <c r="E47" s="97"/>
      <c r="F47" s="163">
        <v>0.2</v>
      </c>
      <c r="G47" s="163"/>
      <c r="H47" s="166"/>
      <c r="I47" s="166"/>
    </row>
    <row r="48" spans="3:10" x14ac:dyDescent="0.25">
      <c r="C48" s="97" t="s">
        <v>67</v>
      </c>
      <c r="D48" s="97"/>
      <c r="E48" s="97"/>
      <c r="F48" s="163">
        <v>0.87</v>
      </c>
      <c r="G48" s="163"/>
      <c r="H48" s="163">
        <v>0.39</v>
      </c>
      <c r="I48" s="163"/>
    </row>
    <row r="49" spans="3:9" x14ac:dyDescent="0.25">
      <c r="C49" s="97" t="s">
        <v>282</v>
      </c>
      <c r="D49" s="97"/>
      <c r="E49" s="97"/>
      <c r="F49" s="161">
        <v>0.69</v>
      </c>
      <c r="G49" s="162"/>
      <c r="H49" s="163">
        <v>0.57599999999999996</v>
      </c>
      <c r="I49" s="163"/>
    </row>
    <row r="50" spans="3:9" x14ac:dyDescent="0.25">
      <c r="C50" s="143" t="s">
        <v>227</v>
      </c>
      <c r="D50" s="143"/>
      <c r="E50" s="143"/>
      <c r="F50" s="171">
        <f>(F46*F48)/(F46+F48-F46*F48)</f>
        <v>0.46524064171122992</v>
      </c>
      <c r="G50" s="172"/>
      <c r="H50" s="169"/>
      <c r="I50" s="170"/>
    </row>
    <row r="51" spans="3:9" x14ac:dyDescent="0.25">
      <c r="C51" s="143" t="s">
        <v>228</v>
      </c>
      <c r="D51" s="143"/>
      <c r="E51" s="143"/>
      <c r="F51" s="171">
        <f>(F47*F46)/(F47+F46-F47*F46)</f>
        <v>0.16666666666666669</v>
      </c>
      <c r="G51" s="172"/>
      <c r="H51" s="169"/>
      <c r="I51" s="170"/>
    </row>
    <row r="52" spans="3:9" x14ac:dyDescent="0.25">
      <c r="C52" s="143" t="s">
        <v>229</v>
      </c>
      <c r="D52" s="143"/>
      <c r="E52" s="143"/>
      <c r="F52" s="171">
        <f>(F48*F47)/(F48+F47-F48*F47)</f>
        <v>0.19419642857142858</v>
      </c>
      <c r="G52" s="172"/>
      <c r="H52" s="169"/>
      <c r="I52" s="170"/>
    </row>
    <row r="55" spans="3:9" x14ac:dyDescent="0.25">
      <c r="C55" s="179" t="s">
        <v>78</v>
      </c>
      <c r="D55" s="179"/>
      <c r="E55" s="179"/>
      <c r="F55" s="13" t="s">
        <v>68</v>
      </c>
      <c r="G55" s="74"/>
      <c r="H55" s="74"/>
    </row>
    <row r="56" spans="3:9" x14ac:dyDescent="0.25">
      <c r="C56" s="97" t="s">
        <v>79</v>
      </c>
      <c r="D56" s="97"/>
      <c r="E56" s="97"/>
      <c r="F56" s="83">
        <v>1</v>
      </c>
      <c r="G56" s="74"/>
      <c r="H56" s="74"/>
    </row>
    <row r="57" spans="3:9" x14ac:dyDescent="0.25">
      <c r="C57" s="97" t="s">
        <v>80</v>
      </c>
      <c r="D57" s="97"/>
      <c r="E57" s="97"/>
      <c r="F57" s="83">
        <v>1</v>
      </c>
      <c r="G57" s="74"/>
      <c r="H57" s="74"/>
    </row>
    <row r="58" spans="3:9" x14ac:dyDescent="0.25">
      <c r="C58" s="97" t="s">
        <v>81</v>
      </c>
      <c r="D58" s="97"/>
      <c r="E58" s="97"/>
      <c r="F58" s="83">
        <v>1</v>
      </c>
      <c r="G58" s="74"/>
      <c r="H58" s="74"/>
    </row>
    <row r="59" spans="3:9" x14ac:dyDescent="0.25">
      <c r="C59" s="97" t="s">
        <v>82</v>
      </c>
      <c r="D59" s="97"/>
      <c r="E59" s="97"/>
      <c r="F59" s="83">
        <v>1</v>
      </c>
      <c r="G59" s="74"/>
      <c r="H59" s="74"/>
    </row>
    <row r="60" spans="3:9" x14ac:dyDescent="0.25">
      <c r="C60" s="97" t="s">
        <v>83</v>
      </c>
      <c r="D60" s="97"/>
      <c r="E60" s="97"/>
      <c r="F60" s="83">
        <v>1</v>
      </c>
      <c r="G60" s="74"/>
      <c r="H60" s="74"/>
    </row>
    <row r="61" spans="3:9" x14ac:dyDescent="0.25">
      <c r="C61" s="97" t="s">
        <v>84</v>
      </c>
      <c r="D61" s="97"/>
      <c r="E61" s="97"/>
      <c r="F61" s="83">
        <v>1</v>
      </c>
      <c r="G61" s="74"/>
      <c r="H61" s="74"/>
    </row>
  </sheetData>
  <mergeCells count="86">
    <mergeCell ref="C60:E60"/>
    <mergeCell ref="C61:E61"/>
    <mergeCell ref="C27:E27"/>
    <mergeCell ref="C43:E43"/>
    <mergeCell ref="C45:E45"/>
    <mergeCell ref="C42:E42"/>
    <mergeCell ref="C36:E36"/>
    <mergeCell ref="C37:E37"/>
    <mergeCell ref="C46:E46"/>
    <mergeCell ref="C47:E47"/>
    <mergeCell ref="C48:E48"/>
    <mergeCell ref="C56:E56"/>
    <mergeCell ref="C57:E57"/>
    <mergeCell ref="C50:E50"/>
    <mergeCell ref="C51:E51"/>
    <mergeCell ref="C14:E14"/>
    <mergeCell ref="C4:J4"/>
    <mergeCell ref="C15:E15"/>
    <mergeCell ref="C58:E58"/>
    <mergeCell ref="C59:E59"/>
    <mergeCell ref="C55:E55"/>
    <mergeCell ref="C22:E22"/>
    <mergeCell ref="C38:J38"/>
    <mergeCell ref="C39:E39"/>
    <mergeCell ref="C40:E40"/>
    <mergeCell ref="C41:E41"/>
    <mergeCell ref="C33:E33"/>
    <mergeCell ref="C35:E35"/>
    <mergeCell ref="C25:E25"/>
    <mergeCell ref="C26:E26"/>
    <mergeCell ref="C23:E23"/>
    <mergeCell ref="C16:E16"/>
    <mergeCell ref="C5:E5"/>
    <mergeCell ref="C8:E8"/>
    <mergeCell ref="C52:E52"/>
    <mergeCell ref="F52:G52"/>
    <mergeCell ref="C31:E31"/>
    <mergeCell ref="C12:E12"/>
    <mergeCell ref="C6:E6"/>
    <mergeCell ref="C7:E7"/>
    <mergeCell ref="C29:E29"/>
    <mergeCell ref="C30:E30"/>
    <mergeCell ref="C18:E18"/>
    <mergeCell ref="C19:E19"/>
    <mergeCell ref="C9:E9"/>
    <mergeCell ref="C10:E10"/>
    <mergeCell ref="C11:E11"/>
    <mergeCell ref="H52:I52"/>
    <mergeCell ref="F47:G47"/>
    <mergeCell ref="F48:G48"/>
    <mergeCell ref="H47:I47"/>
    <mergeCell ref="H48:I48"/>
    <mergeCell ref="F51:G51"/>
    <mergeCell ref="H51:I51"/>
    <mergeCell ref="F50:G50"/>
    <mergeCell ref="H50:I50"/>
    <mergeCell ref="C20:E20"/>
    <mergeCell ref="C49:E49"/>
    <mergeCell ref="F49:G49"/>
    <mergeCell ref="H49:I49"/>
    <mergeCell ref="C17:E17"/>
    <mergeCell ref="H29:L29"/>
    <mergeCell ref="H46:I46"/>
    <mergeCell ref="C21:E21"/>
    <mergeCell ref="F45:G45"/>
    <mergeCell ref="H45:I45"/>
    <mergeCell ref="F46:G46"/>
    <mergeCell ref="N25:P25"/>
    <mergeCell ref="N5:O5"/>
    <mergeCell ref="I8:K8"/>
    <mergeCell ref="I9:K9"/>
    <mergeCell ref="N20:P20"/>
    <mergeCell ref="N21:P21"/>
    <mergeCell ref="N22:P22"/>
    <mergeCell ref="N13:S13"/>
    <mergeCell ref="N14:O14"/>
    <mergeCell ref="N15:O15"/>
    <mergeCell ref="N16:O16"/>
    <mergeCell ref="N23:P23"/>
    <mergeCell ref="N24:P24"/>
    <mergeCell ref="N6:S6"/>
    <mergeCell ref="N27:P27"/>
    <mergeCell ref="N28:P28"/>
    <mergeCell ref="N29:P29"/>
    <mergeCell ref="N30:P30"/>
    <mergeCell ref="N31:P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modes of heat transfer (wing)</vt:lpstr>
      <vt:lpstr>air_properties in wing cabin</vt:lpstr>
      <vt:lpstr>amb temperature and radiation</vt:lpstr>
      <vt:lpstr>temperature calculations</vt:lpstr>
      <vt:lpstr>HEAT TRANSFER COEFFICIENT</vt:lpstr>
      <vt:lpstr>parameters</vt:lpstr>
      <vt:lpstr>coeff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CSMST</dc:creator>
  <cp:lastModifiedBy>Arun S 54041.</cp:lastModifiedBy>
  <cp:lastPrinted>2024-06-24T07:00:59Z</cp:lastPrinted>
  <dcterms:created xsi:type="dcterms:W3CDTF">1980-01-07T12:28:37Z</dcterms:created>
  <dcterms:modified xsi:type="dcterms:W3CDTF">2024-06-27T06:34:50Z</dcterms:modified>
</cp:coreProperties>
</file>