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9\Dysk Google\Studia Materiały\MOJE\Fizyka\Sprawozdania\"/>
    </mc:Choice>
  </mc:AlternateContent>
  <bookViews>
    <workbookView xWindow="0" yWindow="0" windowWidth="20490" windowHeight="6930" xr2:uid="{A67AF4BB-7A03-4A08-8787-602ACBF952CC}"/>
  </bookViews>
  <sheets>
    <sheet name="U(B)" sheetId="1" r:id="rId1"/>
    <sheet name="U(I)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1" l="1"/>
  <c r="J49" i="1"/>
  <c r="D3" i="1" l="1"/>
  <c r="C46" i="1"/>
  <c r="G46" i="1" l="1"/>
  <c r="O7" i="1"/>
  <c r="H8" i="3"/>
  <c r="L36" i="3"/>
  <c r="H36" i="3" s="1"/>
  <c r="L27" i="3"/>
  <c r="H27" i="3" s="1"/>
  <c r="L28" i="3"/>
  <c r="H28" i="3" s="1"/>
  <c r="L29" i="3"/>
  <c r="H29" i="3" s="1"/>
  <c r="L30" i="3"/>
  <c r="H30" i="3" s="1"/>
  <c r="L31" i="3"/>
  <c r="H31" i="3" s="1"/>
  <c r="L32" i="3"/>
  <c r="L33" i="3"/>
  <c r="H33" i="3" s="1"/>
  <c r="L34" i="3"/>
  <c r="H34" i="3" s="1"/>
  <c r="L35" i="3"/>
  <c r="H35" i="3" s="1"/>
  <c r="L26" i="3"/>
  <c r="L25" i="3"/>
  <c r="H25" i="3" s="1"/>
  <c r="L46" i="3"/>
  <c r="L45" i="3"/>
  <c r="H45" i="3" s="1"/>
  <c r="L44" i="3"/>
  <c r="H44" i="3" s="1"/>
  <c r="L43" i="3"/>
  <c r="H43" i="3" s="1"/>
  <c r="L42" i="3"/>
  <c r="H42" i="3" s="1"/>
  <c r="L41" i="3"/>
  <c r="H41" i="3" s="1"/>
  <c r="L40" i="3"/>
  <c r="H40" i="3" s="1"/>
  <c r="L39" i="3"/>
  <c r="H39" i="3" s="1"/>
  <c r="L38" i="3"/>
  <c r="H38" i="3" s="1"/>
  <c r="L37" i="3"/>
  <c r="H37" i="3" s="1"/>
  <c r="L16" i="3"/>
  <c r="H16" i="3" s="1"/>
  <c r="L6" i="3"/>
  <c r="H6" i="3" s="1"/>
  <c r="L7" i="3"/>
  <c r="H7" i="3" s="1"/>
  <c r="L8" i="3"/>
  <c r="L9" i="3"/>
  <c r="H9" i="3" s="1"/>
  <c r="L10" i="3"/>
  <c r="H10" i="3" s="1"/>
  <c r="L11" i="3"/>
  <c r="H11" i="3" s="1"/>
  <c r="L12" i="3"/>
  <c r="H12" i="3" s="1"/>
  <c r="L13" i="3"/>
  <c r="H13" i="3" s="1"/>
  <c r="L14" i="3"/>
  <c r="H14" i="3" s="1"/>
  <c r="L15" i="3"/>
  <c r="H15" i="3" s="1"/>
  <c r="L17" i="3"/>
  <c r="H17" i="3" s="1"/>
  <c r="L18" i="3"/>
  <c r="H18" i="3" s="1"/>
  <c r="L19" i="3"/>
  <c r="H19" i="3" s="1"/>
  <c r="L20" i="3"/>
  <c r="H20" i="3" s="1"/>
  <c r="L21" i="3"/>
  <c r="H21" i="3" s="1"/>
  <c r="L22" i="3"/>
  <c r="H22" i="3" s="1"/>
  <c r="L23" i="3"/>
  <c r="H23" i="3" s="1"/>
  <c r="L24" i="3"/>
  <c r="H24" i="3" s="1"/>
  <c r="H26" i="3"/>
  <c r="H32" i="3"/>
  <c r="H46" i="3"/>
  <c r="L5" i="3"/>
  <c r="H5" i="3" s="1"/>
  <c r="G5" i="1"/>
  <c r="F5" i="3"/>
  <c r="D26" i="3"/>
  <c r="D5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5" i="1"/>
  <c r="AA14" i="1"/>
  <c r="AA13" i="1"/>
  <c r="AA12" i="1"/>
  <c r="AA11" i="1"/>
  <c r="AA10" i="1"/>
  <c r="AA9" i="1"/>
  <c r="AA8" i="1"/>
  <c r="AA7" i="1"/>
  <c r="Z3" i="1" s="1" a="1"/>
  <c r="Z3" i="1" s="1"/>
  <c r="E46" i="1"/>
  <c r="D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5" i="1"/>
  <c r="AA4" i="1" l="1"/>
  <c r="Z4" i="1"/>
  <c r="AA3" i="1"/>
  <c r="M10" i="1"/>
  <c r="M9" i="1"/>
  <c r="M11" i="1"/>
  <c r="L11" i="1" s="1"/>
  <c r="M12" i="1"/>
  <c r="M13" i="1"/>
  <c r="M14" i="1"/>
  <c r="M15" i="1"/>
  <c r="M16" i="1"/>
  <c r="M17" i="1"/>
  <c r="M18" i="1"/>
  <c r="L18" i="1" s="1"/>
  <c r="M19" i="1"/>
  <c r="M20" i="1"/>
  <c r="L20" i="1" s="1"/>
  <c r="M21" i="1"/>
  <c r="M22" i="1"/>
  <c r="M23" i="1"/>
  <c r="M24" i="1"/>
  <c r="M25" i="1"/>
  <c r="M26" i="1"/>
  <c r="L26" i="1" s="1"/>
  <c r="M27" i="1"/>
  <c r="L27" i="1" s="1"/>
  <c r="M28" i="1"/>
  <c r="M29" i="1"/>
  <c r="M30" i="1"/>
  <c r="M31" i="1"/>
  <c r="M32" i="1"/>
  <c r="M33" i="1"/>
  <c r="M34" i="1"/>
  <c r="M35" i="1"/>
  <c r="L35" i="1" s="1"/>
  <c r="M36" i="1"/>
  <c r="L36" i="1" s="1"/>
  <c r="M37" i="1"/>
  <c r="M38" i="1"/>
  <c r="M39" i="1"/>
  <c r="L39" i="1" s="1"/>
  <c r="M40" i="1"/>
  <c r="M41" i="1"/>
  <c r="M42" i="1"/>
  <c r="M5" i="1"/>
  <c r="M6" i="1"/>
  <c r="M7" i="1"/>
  <c r="L7" i="1" s="1"/>
  <c r="M8" i="1"/>
  <c r="L6" i="1"/>
  <c r="F5" i="1"/>
  <c r="H5" i="1" s="1"/>
  <c r="G19" i="1"/>
  <c r="H19" i="1" s="1"/>
  <c r="G35" i="1"/>
  <c r="H35" i="1" s="1"/>
  <c r="G42" i="1"/>
  <c r="H42" i="1" s="1"/>
  <c r="F41" i="1"/>
  <c r="G41" i="1" s="1"/>
  <c r="H41" i="1" s="1"/>
  <c r="F40" i="1"/>
  <c r="G40" i="1" s="1"/>
  <c r="H40" i="1" s="1"/>
  <c r="F39" i="1"/>
  <c r="G39" i="1" s="1"/>
  <c r="H39" i="1" s="1"/>
  <c r="F38" i="1"/>
  <c r="G38" i="1" s="1"/>
  <c r="H38" i="1" s="1"/>
  <c r="F37" i="1"/>
  <c r="G37" i="1" s="1"/>
  <c r="H37" i="1" s="1"/>
  <c r="F36" i="1"/>
  <c r="G36" i="1" s="1"/>
  <c r="H36" i="1" s="1"/>
  <c r="F35" i="1"/>
  <c r="F34" i="1"/>
  <c r="G34" i="1" s="1"/>
  <c r="H34" i="1" s="1"/>
  <c r="F33" i="1"/>
  <c r="G33" i="1" s="1"/>
  <c r="H33" i="1" s="1"/>
  <c r="F32" i="1"/>
  <c r="G32" i="1" s="1"/>
  <c r="H32" i="1" s="1"/>
  <c r="F31" i="1"/>
  <c r="G31" i="1" s="1"/>
  <c r="H31" i="1" s="1"/>
  <c r="F30" i="1"/>
  <c r="G30" i="1" s="1"/>
  <c r="H30" i="1" s="1"/>
  <c r="F29" i="1"/>
  <c r="G29" i="1" s="1"/>
  <c r="H29" i="1" s="1"/>
  <c r="F28" i="1"/>
  <c r="G28" i="1" s="1"/>
  <c r="H28" i="1" s="1"/>
  <c r="F27" i="1"/>
  <c r="G27" i="1" s="1"/>
  <c r="H27" i="1" s="1"/>
  <c r="F26" i="1"/>
  <c r="G26" i="1" s="1"/>
  <c r="H26" i="1" s="1"/>
  <c r="F25" i="1"/>
  <c r="G25" i="1" s="1"/>
  <c r="H25" i="1" s="1"/>
  <c r="F24" i="1"/>
  <c r="G24" i="1" s="1"/>
  <c r="H24" i="1" s="1"/>
  <c r="F23" i="1"/>
  <c r="G23" i="1" s="1"/>
  <c r="H23" i="1" s="1"/>
  <c r="F22" i="1"/>
  <c r="G22" i="1" s="1"/>
  <c r="H22" i="1" s="1"/>
  <c r="F21" i="1"/>
  <c r="G21" i="1" s="1"/>
  <c r="H21" i="1" s="1"/>
  <c r="F20" i="1"/>
  <c r="G20" i="1" s="1"/>
  <c r="H20" i="1" s="1"/>
  <c r="F19" i="1"/>
  <c r="F18" i="1"/>
  <c r="G18" i="1" s="1"/>
  <c r="H18" i="1" s="1"/>
  <c r="F17" i="1"/>
  <c r="G17" i="1" s="1"/>
  <c r="H17" i="1" s="1"/>
  <c r="F16" i="1"/>
  <c r="G16" i="1" s="1"/>
  <c r="H16" i="1" s="1"/>
  <c r="F15" i="1"/>
  <c r="G15" i="1" s="1"/>
  <c r="H15" i="1" s="1"/>
  <c r="F14" i="1"/>
  <c r="G14" i="1" s="1"/>
  <c r="H14" i="1" s="1"/>
  <c r="F13" i="1"/>
  <c r="G13" i="1" s="1"/>
  <c r="H13" i="1" s="1"/>
  <c r="F12" i="1"/>
  <c r="G12" i="1" s="1"/>
  <c r="H12" i="1" s="1"/>
  <c r="F11" i="1"/>
  <c r="G11" i="1" s="1"/>
  <c r="H11" i="1" s="1"/>
  <c r="F10" i="1"/>
  <c r="G10" i="1" s="1"/>
  <c r="H10" i="1" s="1"/>
  <c r="F9" i="1"/>
  <c r="G9" i="1" s="1"/>
  <c r="H9" i="1" s="1"/>
  <c r="F8" i="1"/>
  <c r="G8" i="1" s="1"/>
  <c r="H8" i="1" s="1"/>
  <c r="F7" i="1"/>
  <c r="G7" i="1" s="1"/>
  <c r="H7" i="1" s="1"/>
  <c r="F6" i="1"/>
  <c r="G6" i="1" s="1"/>
  <c r="H6" i="1" s="1"/>
  <c r="L8" i="1" l="1"/>
  <c r="L31" i="1"/>
  <c r="L42" i="1"/>
  <c r="L38" i="1"/>
  <c r="L34" i="1"/>
  <c r="L30" i="1"/>
  <c r="L22" i="1"/>
  <c r="L14" i="1"/>
  <c r="L10" i="1"/>
  <c r="L23" i="1"/>
  <c r="L19" i="1"/>
  <c r="L15" i="1"/>
  <c r="L40" i="1"/>
  <c r="L32" i="1"/>
  <c r="L28" i="1"/>
  <c r="L24" i="1"/>
  <c r="L16" i="1"/>
  <c r="L12" i="1"/>
  <c r="L37" i="1"/>
  <c r="L29" i="1"/>
  <c r="L17" i="1"/>
  <c r="L5" i="1"/>
  <c r="L41" i="1"/>
  <c r="L33" i="1"/>
  <c r="L25" i="1"/>
  <c r="L21" i="1"/>
  <c r="L13" i="1"/>
  <c r="L9" i="1"/>
  <c r="J19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5" i="1"/>
  <c r="O18" i="1" l="1" a="1"/>
  <c r="O18" i="1" l="1"/>
  <c r="O19" i="1"/>
  <c r="P18" i="1"/>
  <c r="P19" i="1"/>
</calcChain>
</file>

<file path=xl/sharedStrings.xml><?xml version="1.0" encoding="utf-8"?>
<sst xmlns="http://schemas.openxmlformats.org/spreadsheetml/2006/main" count="55" uniqueCount="47">
  <si>
    <t>alfa</t>
  </si>
  <si>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  <charset val="238"/>
        <scheme val="minor"/>
      </rPr>
      <t xml:space="preserve"> [</t>
    </r>
    <r>
      <rPr>
        <sz val="11"/>
        <color theme="1"/>
        <rFont val="Calibri"/>
        <family val="2"/>
        <charset val="238"/>
      </rPr>
      <t>˚]</t>
    </r>
  </si>
  <si>
    <r>
      <t>U(</t>
    </r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  <charset val="238"/>
        <scheme val="minor"/>
      </rPr>
      <t>)</t>
    </r>
  </si>
  <si>
    <t>U=0</t>
  </si>
  <si>
    <t>lp.</t>
  </si>
  <si>
    <t>Bo=0,5 T</t>
  </si>
  <si>
    <t>Bn</t>
  </si>
  <si>
    <r>
      <t>sin</t>
    </r>
    <r>
      <rPr>
        <sz val="11"/>
        <color theme="1"/>
        <rFont val="Calibri"/>
        <family val="2"/>
        <charset val="238"/>
      </rPr>
      <t>α-a0</t>
    </r>
  </si>
  <si>
    <t>u(Bn)</t>
  </si>
  <si>
    <t>cosa-a0</t>
  </si>
  <si>
    <t>u(U) [V]</t>
  </si>
  <si>
    <t>U [V]</t>
  </si>
  <si>
    <t>I [A]</t>
  </si>
  <si>
    <r>
      <t>∆</t>
    </r>
    <r>
      <rPr>
        <sz val="12.65"/>
        <color theme="1"/>
        <rFont val="Calibri"/>
        <family val="2"/>
        <charset val="238"/>
      </rPr>
      <t>I [A]</t>
    </r>
  </si>
  <si>
    <t>u(I) [A]</t>
  </si>
  <si>
    <r>
      <rPr>
        <sz val="11"/>
        <color theme="1"/>
        <rFont val="Calibri"/>
        <family val="2"/>
        <charset val="238"/>
      </rPr>
      <t>∆</t>
    </r>
    <r>
      <rPr>
        <sz val="11"/>
        <color theme="1"/>
        <rFont val="Calibri"/>
        <family val="2"/>
        <charset val="238"/>
        <scheme val="minor"/>
      </rPr>
      <t>(U) [V]</t>
    </r>
  </si>
  <si>
    <t>u(a) [rad]</t>
  </si>
  <si>
    <t>reglinp</t>
  </si>
  <si>
    <t>a</t>
  </si>
  <si>
    <t>ua</t>
  </si>
  <si>
    <t>b</t>
  </si>
  <si>
    <t>ub</t>
  </si>
  <si>
    <t>a/I</t>
  </si>
  <si>
    <t>u(γ)</t>
  </si>
  <si>
    <t>n=1/edγ</t>
  </si>
  <si>
    <t>u(n)</t>
  </si>
  <si>
    <t>Is</t>
  </si>
  <si>
    <r>
      <rPr>
        <sz val="11"/>
        <color theme="1"/>
        <rFont val="Calibri"/>
        <family val="2"/>
        <charset val="238"/>
      </rPr>
      <t>α</t>
    </r>
    <r>
      <rPr>
        <sz val="11"/>
        <color theme="1"/>
        <rFont val="Calibri"/>
        <family val="2"/>
        <charset val="238"/>
        <scheme val="minor"/>
      </rPr>
      <t>0</t>
    </r>
  </si>
  <si>
    <t>UH min</t>
  </si>
  <si>
    <t>UH max</t>
  </si>
  <si>
    <t>gamma alfa</t>
  </si>
  <si>
    <t>[rad]</t>
  </si>
  <si>
    <t>u(a)</t>
  </si>
  <si>
    <t>u(b)</t>
  </si>
  <si>
    <t>γb=</t>
  </si>
  <si>
    <t>U(Is)</t>
  </si>
  <si>
    <t>α</t>
  </si>
  <si>
    <t>U(α)</t>
  </si>
  <si>
    <t>UH</t>
  </si>
  <si>
    <t>U(UH)</t>
  </si>
  <si>
    <t>U(Bn)</t>
  </si>
  <si>
    <t>[mA]</t>
  </si>
  <si>
    <t>[◦]</t>
  </si>
  <si>
    <t>[V]</t>
  </si>
  <si>
    <t>[T]</t>
  </si>
  <si>
    <t>[A]</t>
  </si>
  <si>
    <t>delta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</si>
</sst>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"/>
    <numFmt numFmtId="166" formatCode="0.00000"/>
    <numFmt numFmtId="167" formatCode="0.00000000"/>
    <numFmt numFmtId="168" formatCode="0.00000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2.65"/>
      <color theme="1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Fill="1" applyBorder="1"/>
    <xf numFmtId="165" fontId="0" fillId="0" borderId="1" xfId="0" applyNumberFormat="1" applyBorder="1" applyAlignment="1">
      <alignment horizontal="left" indent="1"/>
    </xf>
    <xf numFmtId="0" fontId="0" fillId="0" borderId="4" xfId="0" applyBorder="1"/>
    <xf numFmtId="164" fontId="0" fillId="0" borderId="0" xfId="0" applyNumberFormat="1"/>
    <xf numFmtId="166" fontId="0" fillId="0" borderId="1" xfId="0" applyNumberFormat="1" applyBorder="1"/>
    <xf numFmtId="166" fontId="0" fillId="0" borderId="2" xfId="0" applyNumberFormat="1" applyBorder="1"/>
    <xf numFmtId="11" fontId="0" fillId="0" borderId="0" xfId="0" applyNumberFormat="1"/>
    <xf numFmtId="0" fontId="0" fillId="0" borderId="1" xfId="0" applyNumberFormat="1" applyBorder="1"/>
    <xf numFmtId="167" fontId="0" fillId="0" borderId="0" xfId="0" applyNumberForma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68" fontId="0" fillId="0" borderId="2" xfId="0" applyNumberFormat="1" applyBorder="1" applyAlignment="1">
      <alignment horizontal="center" vertical="top"/>
    </xf>
    <xf numFmtId="168" fontId="0" fillId="0" borderId="3" xfId="0" applyNumberFormat="1" applyBorder="1" applyAlignment="1">
      <alignment horizontal="center" vertical="top"/>
    </xf>
    <xf numFmtId="168" fontId="0" fillId="0" borderId="5" xfId="0" applyNumberForma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I=10mA=const </a:t>
            </a:r>
            <a:br>
              <a:rPr lang="pl-PL"/>
            </a:br>
            <a:r>
              <a:rPr lang="pl-PL"/>
              <a:t>Wykres U</a:t>
            </a:r>
            <a:r>
              <a:rPr lang="pl-PL" baseline="-25000"/>
              <a:t>H</a:t>
            </a:r>
            <a:r>
              <a:rPr lang="pl-PL"/>
              <a:t>=f(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α</a:t>
            </a:r>
            <a:r>
              <a:rPr lang="pl-PL">
                <a:latin typeface="Calibri" panose="020F0502020204030204" pitchFamily="34" charset="0"/>
                <a:cs typeface="Calibri" panose="020F0502020204030204" pitchFamily="34" charset="0"/>
              </a:rPr>
              <a:t>)</a:t>
            </a:r>
            <a:endParaRPr lang="pl-PL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'U(B)'!$B$3</c:f>
              <c:strCache>
                <c:ptCount val="1"/>
                <c:pt idx="0">
                  <c:v>U(α)</c:v>
                </c:pt>
              </c:strCache>
            </c:strRef>
          </c:tx>
          <c:spPr>
            <a:ln w="9525" cap="flat" cmpd="sng" algn="ctr">
              <a:noFill/>
              <a:prstDash val="sysDot"/>
              <a:round/>
            </a:ln>
            <a:effectLst/>
          </c:spPr>
          <c:marker>
            <c:symbol val="circle"/>
            <c:size val="3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noFill/>
                <a:round/>
              </a:ln>
              <a:effectLst/>
            </c:spPr>
          </c:marker>
          <c:trendline>
            <c:spPr>
              <a:ln w="3175">
                <a:noFill/>
                <a:prstDash val="sysDash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'U(B)'!$H$5:$H$42</c:f>
                <c:numCache>
                  <c:formatCode>General</c:formatCode>
                  <c:ptCount val="38"/>
                  <c:pt idx="0">
                    <c:v>1.9000000000000001E-4</c:v>
                  </c:pt>
                  <c:pt idx="1">
                    <c:v>2.0000000000000001E-4</c:v>
                  </c:pt>
                  <c:pt idx="2">
                    <c:v>2.1000000000000001E-4</c:v>
                  </c:pt>
                  <c:pt idx="3">
                    <c:v>2.2000000000000001E-4</c:v>
                  </c:pt>
                  <c:pt idx="4">
                    <c:v>2.3000000000000001E-4</c:v>
                  </c:pt>
                  <c:pt idx="5">
                    <c:v>2.4000000000000003E-4</c:v>
                  </c:pt>
                  <c:pt idx="6">
                    <c:v>2.5000000000000001E-4</c:v>
                  </c:pt>
                  <c:pt idx="7">
                    <c:v>2.5000000000000001E-4</c:v>
                  </c:pt>
                  <c:pt idx="8">
                    <c:v>2.5000000000000001E-4</c:v>
                  </c:pt>
                  <c:pt idx="9">
                    <c:v>2.5000000000000001E-4</c:v>
                  </c:pt>
                  <c:pt idx="10">
                    <c:v>2.5000000000000001E-4</c:v>
                  </c:pt>
                  <c:pt idx="11">
                    <c:v>2.4000000000000003E-4</c:v>
                  </c:pt>
                  <c:pt idx="12">
                    <c:v>2.4000000000000003E-4</c:v>
                  </c:pt>
                  <c:pt idx="13">
                    <c:v>2.3000000000000001E-4</c:v>
                  </c:pt>
                  <c:pt idx="14">
                    <c:v>2.2000000000000001E-4</c:v>
                  </c:pt>
                  <c:pt idx="15">
                    <c:v>2.1000000000000001E-4</c:v>
                  </c:pt>
                  <c:pt idx="16">
                    <c:v>1.9000000000000001E-4</c:v>
                  </c:pt>
                  <c:pt idx="17">
                    <c:v>1.8000000000000001E-4</c:v>
                  </c:pt>
                  <c:pt idx="18">
                    <c:v>1.9000000000000001E-4</c:v>
                  </c:pt>
                  <c:pt idx="19">
                    <c:v>2.0000000000000001E-4</c:v>
                  </c:pt>
                  <c:pt idx="20">
                    <c:v>2.2000000000000001E-4</c:v>
                  </c:pt>
                  <c:pt idx="21">
                    <c:v>2.3000000000000001E-4</c:v>
                  </c:pt>
                  <c:pt idx="22">
                    <c:v>2.4000000000000003E-4</c:v>
                  </c:pt>
                  <c:pt idx="23">
                    <c:v>2.5000000000000001E-4</c:v>
                  </c:pt>
                  <c:pt idx="24">
                    <c:v>2.5000000000000001E-4</c:v>
                  </c:pt>
                  <c:pt idx="25">
                    <c:v>2.6000000000000003E-4</c:v>
                  </c:pt>
                  <c:pt idx="26">
                    <c:v>2.6000000000000003E-4</c:v>
                  </c:pt>
                  <c:pt idx="27">
                    <c:v>2.6000000000000003E-4</c:v>
                  </c:pt>
                  <c:pt idx="28">
                    <c:v>2.5000000000000001E-4</c:v>
                  </c:pt>
                  <c:pt idx="29">
                    <c:v>2.5000000000000001E-4</c:v>
                  </c:pt>
                  <c:pt idx="30">
                    <c:v>2.4000000000000003E-4</c:v>
                  </c:pt>
                  <c:pt idx="31">
                    <c:v>2.3000000000000001E-4</c:v>
                  </c:pt>
                  <c:pt idx="32">
                    <c:v>2.2000000000000001E-4</c:v>
                  </c:pt>
                  <c:pt idx="33">
                    <c:v>2.1000000000000001E-4</c:v>
                  </c:pt>
                  <c:pt idx="34">
                    <c:v>1.9099999999999998E-4</c:v>
                  </c:pt>
                  <c:pt idx="35">
                    <c:v>2.0000000000000001E-4</c:v>
                  </c:pt>
                  <c:pt idx="36">
                    <c:v>1.9000000000000001E-4</c:v>
                  </c:pt>
                  <c:pt idx="37">
                    <c:v>1.8000000000000001E-4</c:v>
                  </c:pt>
                </c:numCache>
              </c:numRef>
            </c:plus>
            <c:minus>
              <c:numRef>
                <c:f>'U(B)'!$H$5:$H$42</c:f>
                <c:numCache>
                  <c:formatCode>General</c:formatCode>
                  <c:ptCount val="38"/>
                  <c:pt idx="0">
                    <c:v>1.9000000000000001E-4</c:v>
                  </c:pt>
                  <c:pt idx="1">
                    <c:v>2.0000000000000001E-4</c:v>
                  </c:pt>
                  <c:pt idx="2">
                    <c:v>2.1000000000000001E-4</c:v>
                  </c:pt>
                  <c:pt idx="3">
                    <c:v>2.2000000000000001E-4</c:v>
                  </c:pt>
                  <c:pt idx="4">
                    <c:v>2.3000000000000001E-4</c:v>
                  </c:pt>
                  <c:pt idx="5">
                    <c:v>2.4000000000000003E-4</c:v>
                  </c:pt>
                  <c:pt idx="6">
                    <c:v>2.5000000000000001E-4</c:v>
                  </c:pt>
                  <c:pt idx="7">
                    <c:v>2.5000000000000001E-4</c:v>
                  </c:pt>
                  <c:pt idx="8">
                    <c:v>2.5000000000000001E-4</c:v>
                  </c:pt>
                  <c:pt idx="9">
                    <c:v>2.5000000000000001E-4</c:v>
                  </c:pt>
                  <c:pt idx="10">
                    <c:v>2.5000000000000001E-4</c:v>
                  </c:pt>
                  <c:pt idx="11">
                    <c:v>2.4000000000000003E-4</c:v>
                  </c:pt>
                  <c:pt idx="12">
                    <c:v>2.4000000000000003E-4</c:v>
                  </c:pt>
                  <c:pt idx="13">
                    <c:v>2.3000000000000001E-4</c:v>
                  </c:pt>
                  <c:pt idx="14">
                    <c:v>2.2000000000000001E-4</c:v>
                  </c:pt>
                  <c:pt idx="15">
                    <c:v>2.1000000000000001E-4</c:v>
                  </c:pt>
                  <c:pt idx="16">
                    <c:v>1.9000000000000001E-4</c:v>
                  </c:pt>
                  <c:pt idx="17">
                    <c:v>1.8000000000000001E-4</c:v>
                  </c:pt>
                  <c:pt idx="18">
                    <c:v>1.9000000000000001E-4</c:v>
                  </c:pt>
                  <c:pt idx="19">
                    <c:v>2.0000000000000001E-4</c:v>
                  </c:pt>
                  <c:pt idx="20">
                    <c:v>2.2000000000000001E-4</c:v>
                  </c:pt>
                  <c:pt idx="21">
                    <c:v>2.3000000000000001E-4</c:v>
                  </c:pt>
                  <c:pt idx="22">
                    <c:v>2.4000000000000003E-4</c:v>
                  </c:pt>
                  <c:pt idx="23">
                    <c:v>2.5000000000000001E-4</c:v>
                  </c:pt>
                  <c:pt idx="24">
                    <c:v>2.5000000000000001E-4</c:v>
                  </c:pt>
                  <c:pt idx="25">
                    <c:v>2.6000000000000003E-4</c:v>
                  </c:pt>
                  <c:pt idx="26">
                    <c:v>2.6000000000000003E-4</c:v>
                  </c:pt>
                  <c:pt idx="27">
                    <c:v>2.6000000000000003E-4</c:v>
                  </c:pt>
                  <c:pt idx="28">
                    <c:v>2.5000000000000001E-4</c:v>
                  </c:pt>
                  <c:pt idx="29">
                    <c:v>2.5000000000000001E-4</c:v>
                  </c:pt>
                  <c:pt idx="30">
                    <c:v>2.4000000000000003E-4</c:v>
                  </c:pt>
                  <c:pt idx="31">
                    <c:v>2.3000000000000001E-4</c:v>
                  </c:pt>
                  <c:pt idx="32">
                    <c:v>2.2000000000000001E-4</c:v>
                  </c:pt>
                  <c:pt idx="33">
                    <c:v>2.1000000000000001E-4</c:v>
                  </c:pt>
                  <c:pt idx="34">
                    <c:v>1.9099999999999998E-4</c:v>
                  </c:pt>
                  <c:pt idx="35">
                    <c:v>2.0000000000000001E-4</c:v>
                  </c:pt>
                  <c:pt idx="36">
                    <c:v>1.9000000000000001E-4</c:v>
                  </c:pt>
                  <c:pt idx="37">
                    <c:v>1.8000000000000001E-4</c:v>
                  </c:pt>
                </c:numCache>
              </c:numRef>
            </c:minus>
            <c:spPr>
              <a:noFill/>
              <a:ln w="9525" cap="rnd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'U(B)'!$M$5</c:f>
                <c:numCache>
                  <c:formatCode>General</c:formatCode>
                  <c:ptCount val="1"/>
                  <c:pt idx="0">
                    <c:v>2.1000000000000001E-2</c:v>
                  </c:pt>
                </c:numCache>
              </c:numRef>
            </c:plus>
            <c:minus>
              <c:numRef>
                <c:f>'U(B)'!$M$5</c:f>
                <c:numCache>
                  <c:formatCode>General</c:formatCode>
                  <c:ptCount val="1"/>
                  <c:pt idx="0">
                    <c:v>2.1000000000000001E-2</c:v>
                  </c:pt>
                </c:numCache>
              </c:numRef>
            </c:minus>
            <c:spPr>
              <a:noFill/>
              <a:ln w="9525" cap="rnd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'U(B)'!$E$5:$E$41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'U(B)'!$F$5:$F$41</c:f>
              <c:numCache>
                <c:formatCode>0.00000</c:formatCode>
                <c:ptCount val="37"/>
                <c:pt idx="0">
                  <c:v>3.6600000000000001E-2</c:v>
                </c:pt>
                <c:pt idx="1">
                  <c:v>7.9500000000000001E-2</c:v>
                </c:pt>
                <c:pt idx="2">
                  <c:v>0.1227</c:v>
                </c:pt>
                <c:pt idx="3">
                  <c:v>0.15870000000000001</c:v>
                </c:pt>
                <c:pt idx="4">
                  <c:v>0.19020000000000001</c:v>
                </c:pt>
                <c:pt idx="5">
                  <c:v>0.21149999999999999</c:v>
                </c:pt>
                <c:pt idx="6">
                  <c:v>0.23469999999999999</c:v>
                </c:pt>
                <c:pt idx="7">
                  <c:v>0.24890000000000001</c:v>
                </c:pt>
                <c:pt idx="8">
                  <c:v>0.25180000000000002</c:v>
                </c:pt>
                <c:pt idx="9">
                  <c:v>0.25140000000000001</c:v>
                </c:pt>
                <c:pt idx="10">
                  <c:v>0.2412</c:v>
                </c:pt>
                <c:pt idx="11">
                  <c:v>0.2283</c:v>
                </c:pt>
                <c:pt idx="12">
                  <c:v>0.20419999999999999</c:v>
                </c:pt>
                <c:pt idx="13">
                  <c:v>0.17580000000000001</c:v>
                </c:pt>
                <c:pt idx="14">
                  <c:v>0.1426</c:v>
                </c:pt>
                <c:pt idx="15">
                  <c:v>0.1024</c:v>
                </c:pt>
                <c:pt idx="16">
                  <c:v>5.8000000000000003E-2</c:v>
                </c:pt>
                <c:pt idx="17">
                  <c:v>1.0699999999999999E-2</c:v>
                </c:pt>
                <c:pt idx="18">
                  <c:v>-3.6400000000000002E-2</c:v>
                </c:pt>
                <c:pt idx="19">
                  <c:v>-8.43E-2</c:v>
                </c:pt>
                <c:pt idx="20">
                  <c:v>-0.1305</c:v>
                </c:pt>
                <c:pt idx="21">
                  <c:v>-0.17</c:v>
                </c:pt>
                <c:pt idx="22">
                  <c:v>-0.20499999999999999</c:v>
                </c:pt>
                <c:pt idx="23">
                  <c:v>-0.2341</c:v>
                </c:pt>
                <c:pt idx="24">
                  <c:v>-0.25600000000000001</c:v>
                </c:pt>
                <c:pt idx="25">
                  <c:v>-0.2712</c:v>
                </c:pt>
                <c:pt idx="26">
                  <c:v>-0.27700000000000002</c:v>
                </c:pt>
                <c:pt idx="27">
                  <c:v>-0.27289999999999998</c:v>
                </c:pt>
                <c:pt idx="28">
                  <c:v>-0.26250000000000001</c:v>
                </c:pt>
                <c:pt idx="29">
                  <c:v>-0.2427</c:v>
                </c:pt>
                <c:pt idx="30">
                  <c:v>-0.21779999999999999</c:v>
                </c:pt>
                <c:pt idx="31">
                  <c:v>-0.1852</c:v>
                </c:pt>
                <c:pt idx="32">
                  <c:v>-0.14810000000000001</c:v>
                </c:pt>
                <c:pt idx="33">
                  <c:v>-0.1052</c:v>
                </c:pt>
                <c:pt idx="34">
                  <c:v>-0.06</c:v>
                </c:pt>
                <c:pt idx="35">
                  <c:v>-1.23E-2</c:v>
                </c:pt>
                <c:pt idx="36">
                  <c:v>3.1899999999999998E-2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A1-4E19-B80C-E41F67C69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33840"/>
        <c:axId val="1661518016"/>
      </c:scatterChart>
      <c:scatterChart>
        <c:scatterStyle val="lineMarker"/>
        <c:varyColors val="0"/>
        <c:ser>
          <c:idx val="1"/>
          <c:order val="1"/>
          <c:tx>
            <c:strRef>
              <c:f>'U(B)'!$N$2</c:f>
              <c:strCache>
                <c:ptCount val="1"/>
                <c:pt idx="0">
                  <c:v>U=0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8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7.7385232216629907E-2"/>
                  <c:y val="-5.0925925925926013E-2"/>
                </c:manualLayout>
              </c:layout>
              <c:tx>
                <c:rich>
                  <a:bodyPr/>
                  <a:lstStyle/>
                  <a:p>
                    <a:r>
                      <a:rPr lang="el-GR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α</a:t>
                    </a:r>
                    <a:r>
                      <a:rPr lang="el-GR" sz="900" b="0" i="0" u="none" strike="noStrike" kern="1200" baseline="-2500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0</a:t>
                    </a:r>
                    <a:r>
                      <a:rPr lang="el-GR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=354˚</a:t>
                    </a:r>
                    <a:endParaRPr lang="el-GR"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A1-4E19-B80C-E41F67C694A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xVal>
            <c:numRef>
              <c:f>'U(B)'!$O$3</c:f>
              <c:numCache>
                <c:formatCode>General</c:formatCode>
                <c:ptCount val="1"/>
                <c:pt idx="0">
                  <c:v>354</c:v>
                </c:pt>
              </c:numCache>
            </c:numRef>
          </c:xVal>
          <c:yVal>
            <c:numRef>
              <c:f>'U(B)'!$N$3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A1-4E19-B80C-E41F67C694AC}"/>
            </c:ext>
          </c:extLst>
        </c:ser>
        <c:ser>
          <c:idx val="2"/>
          <c:order val="2"/>
          <c:tx>
            <c:strRef>
              <c:f>'U(B)'!$N$2</c:f>
              <c:strCache>
                <c:ptCount val="1"/>
                <c:pt idx="0">
                  <c:v>U=0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  <a:lumOff val="40000"/>
                  <a:alpha val="99000"/>
                </a:schemeClr>
              </a:solidFill>
              <a:ln w="9525" cap="flat" cmpd="sng" algn="ctr">
                <a:solidFill>
                  <a:schemeClr val="accent2">
                    <a:alpha val="99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5.0925925925926013E-2"/>
                </c:manualLayout>
              </c:layout>
              <c:tx>
                <c:rich>
                  <a:bodyPr/>
                  <a:lstStyle/>
                  <a:p>
                    <a:r>
                      <a:rPr lang="el-GR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α</a:t>
                    </a:r>
                    <a:r>
                      <a:rPr lang="el-GR" baseline="-2500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0</a:t>
                    </a:r>
                    <a:r>
                      <a:rPr lang="el-GR" baseline="0">
                        <a:latin typeface="Calibri" panose="020F0502020204030204" pitchFamily="34" charset="0"/>
                        <a:cs typeface="Calibri" panose="020F0502020204030204" pitchFamily="34" charset="0"/>
                      </a:rPr>
                      <a:t>=172˚</a:t>
                    </a:r>
                    <a:endParaRPr lang="el-GR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3A1-4E19-B80C-E41F67C694A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xVal>
            <c:numRef>
              <c:f>'U(B)'!$O$4</c:f>
              <c:numCache>
                <c:formatCode>General</c:formatCode>
                <c:ptCount val="1"/>
                <c:pt idx="0">
                  <c:v>172</c:v>
                </c:pt>
              </c:numCache>
            </c:numRef>
          </c:xVal>
          <c:yVal>
            <c:numRef>
              <c:f>'U(B)'!$N$3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A1-4E19-B80C-E41F67C694AC}"/>
            </c:ext>
          </c:extLst>
        </c:ser>
        <c:ser>
          <c:idx val="3"/>
          <c:order val="3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'U(B)'!$E$19:$E$26</c:f>
              <c:numCache>
                <c:formatCode>General</c:formatCode>
                <c:ptCount val="8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190</c:v>
                </c:pt>
                <c:pt idx="6">
                  <c:v>200</c:v>
                </c:pt>
                <c:pt idx="7">
                  <c:v>210</c:v>
                </c:pt>
              </c:numCache>
            </c:numRef>
          </c:xVal>
          <c:yVal>
            <c:numRef>
              <c:f>'U(B)'!$F$19:$F$26</c:f>
              <c:numCache>
                <c:formatCode>0.00000</c:formatCode>
                <c:ptCount val="8"/>
                <c:pt idx="0">
                  <c:v>0.1426</c:v>
                </c:pt>
                <c:pt idx="1">
                  <c:v>0.1024</c:v>
                </c:pt>
                <c:pt idx="2">
                  <c:v>5.8000000000000003E-2</c:v>
                </c:pt>
                <c:pt idx="3">
                  <c:v>1.0699999999999999E-2</c:v>
                </c:pt>
                <c:pt idx="4">
                  <c:v>-3.6400000000000002E-2</c:v>
                </c:pt>
                <c:pt idx="5">
                  <c:v>-8.43E-2</c:v>
                </c:pt>
                <c:pt idx="6">
                  <c:v>-0.1305</c:v>
                </c:pt>
                <c:pt idx="7">
                  <c:v>-0.17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51-4752-9ACD-81194A842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33840"/>
        <c:axId val="1661518016"/>
      </c:scatterChart>
      <c:valAx>
        <c:axId val="171983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>
                    <a:latin typeface="Calibri" panose="020F0502020204030204" pitchFamily="34" charset="0"/>
                    <a:cs typeface="Calibri" panose="020F0502020204030204" pitchFamily="34" charset="0"/>
                  </a:rPr>
                  <a:t>α [˚]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rnd">
            <a:solidFill>
              <a:schemeClr val="tx1"/>
            </a:solidFill>
            <a:round/>
          </a:ln>
          <a:effectLst>
            <a:outerShdw blurRad="50800" dist="50800" dir="5400000" algn="ctr" rotWithShape="0">
              <a:schemeClr val="bg2"/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1518016"/>
        <c:crosses val="autoZero"/>
        <c:crossBetween val="midCat"/>
      </c:valAx>
      <c:valAx>
        <c:axId val="16615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baseline="-25000"/>
                  <a:t>H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98338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U(Bn)</a:t>
            </a:r>
          </a:p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I=10mA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3543554580799587E-2"/>
                  <c:y val="0.1952011049337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-6.8131340778299132E-2"/>
                  <c:y val="1.6855416083493429E-2"/>
                </c:manualLayout>
              </c:layout>
              <c:numFmt formatCode="General" sourceLinked="0"/>
            </c:trendlineLbl>
          </c:trendline>
          <c:xVal>
            <c:numRef>
              <c:f>'U(B)'!$J$5:$J$42</c:f>
              <c:numCache>
                <c:formatCode>General</c:formatCode>
                <c:ptCount val="38"/>
                <c:pt idx="0">
                  <c:v>-7.0000000000000007E-2</c:v>
                </c:pt>
                <c:pt idx="1">
                  <c:v>-0.155</c:v>
                </c:pt>
                <c:pt idx="2">
                  <c:v>-0.23499999999999999</c:v>
                </c:pt>
                <c:pt idx="3">
                  <c:v>-0.308</c:v>
                </c:pt>
                <c:pt idx="4">
                  <c:v>-0.372</c:v>
                </c:pt>
                <c:pt idx="5">
                  <c:v>-0.42399999999999999</c:v>
                </c:pt>
                <c:pt idx="6">
                  <c:v>-0.46400000000000002</c:v>
                </c:pt>
                <c:pt idx="7">
                  <c:v>-0.48899999999999999</c:v>
                </c:pt>
                <c:pt idx="8">
                  <c:v>-0.5</c:v>
                </c:pt>
                <c:pt idx="9">
                  <c:v>-0.495</c:v>
                </c:pt>
                <c:pt idx="10">
                  <c:v>-0.47599999999999998</c:v>
                </c:pt>
                <c:pt idx="11">
                  <c:v>-0.441</c:v>
                </c:pt>
                <c:pt idx="12">
                  <c:v>-0.39400000000000002</c:v>
                </c:pt>
                <c:pt idx="13">
                  <c:v>-0.33500000000000002</c:v>
                </c:pt>
                <c:pt idx="14">
                  <c:v>-0.26500000000000001</c:v>
                </c:pt>
                <c:pt idx="15">
                  <c:v>-0.187</c:v>
                </c:pt>
                <c:pt idx="16">
                  <c:v>-0.104</c:v>
                </c:pt>
                <c:pt idx="17">
                  <c:v>-1.7000000000000001E-2</c:v>
                </c:pt>
                <c:pt idx="18">
                  <c:v>7.0000000000000007E-2</c:v>
                </c:pt>
                <c:pt idx="19">
                  <c:v>0.155</c:v>
                </c:pt>
                <c:pt idx="20">
                  <c:v>0.23499999999999999</c:v>
                </c:pt>
                <c:pt idx="21">
                  <c:v>0.308</c:v>
                </c:pt>
                <c:pt idx="22">
                  <c:v>0.372</c:v>
                </c:pt>
                <c:pt idx="23">
                  <c:v>0.42399999999999999</c:v>
                </c:pt>
                <c:pt idx="24">
                  <c:v>0.46400000000000002</c:v>
                </c:pt>
                <c:pt idx="25">
                  <c:v>0.48899999999999999</c:v>
                </c:pt>
                <c:pt idx="26">
                  <c:v>0.5</c:v>
                </c:pt>
                <c:pt idx="27">
                  <c:v>0.495</c:v>
                </c:pt>
                <c:pt idx="28">
                  <c:v>0.47599999999999998</c:v>
                </c:pt>
                <c:pt idx="29">
                  <c:v>0.441</c:v>
                </c:pt>
                <c:pt idx="30">
                  <c:v>0.39400000000000002</c:v>
                </c:pt>
                <c:pt idx="31">
                  <c:v>0.33500000000000002</c:v>
                </c:pt>
                <c:pt idx="32">
                  <c:v>0.26500000000000001</c:v>
                </c:pt>
                <c:pt idx="33">
                  <c:v>0.187</c:v>
                </c:pt>
                <c:pt idx="34">
                  <c:v>0.104</c:v>
                </c:pt>
                <c:pt idx="35">
                  <c:v>1.7000000000000001E-2</c:v>
                </c:pt>
                <c:pt idx="36">
                  <c:v>-7.0000000000000007E-2</c:v>
                </c:pt>
                <c:pt idx="37">
                  <c:v>-1.7000000000000001E-2</c:v>
                </c:pt>
              </c:numCache>
            </c:numRef>
          </c:xVal>
          <c:yVal>
            <c:numRef>
              <c:f>'U(B)'!$F$5:$F$42</c:f>
              <c:numCache>
                <c:formatCode>0.00000</c:formatCode>
                <c:ptCount val="38"/>
                <c:pt idx="0">
                  <c:v>3.6600000000000001E-2</c:v>
                </c:pt>
                <c:pt idx="1">
                  <c:v>7.9500000000000001E-2</c:v>
                </c:pt>
                <c:pt idx="2">
                  <c:v>0.1227</c:v>
                </c:pt>
                <c:pt idx="3">
                  <c:v>0.15870000000000001</c:v>
                </c:pt>
                <c:pt idx="4">
                  <c:v>0.19020000000000001</c:v>
                </c:pt>
                <c:pt idx="5">
                  <c:v>0.21149999999999999</c:v>
                </c:pt>
                <c:pt idx="6">
                  <c:v>0.23469999999999999</c:v>
                </c:pt>
                <c:pt idx="7">
                  <c:v>0.24890000000000001</c:v>
                </c:pt>
                <c:pt idx="8">
                  <c:v>0.25180000000000002</c:v>
                </c:pt>
                <c:pt idx="9">
                  <c:v>0.25140000000000001</c:v>
                </c:pt>
                <c:pt idx="10">
                  <c:v>0.2412</c:v>
                </c:pt>
                <c:pt idx="11">
                  <c:v>0.2283</c:v>
                </c:pt>
                <c:pt idx="12">
                  <c:v>0.20419999999999999</c:v>
                </c:pt>
                <c:pt idx="13">
                  <c:v>0.17580000000000001</c:v>
                </c:pt>
                <c:pt idx="14">
                  <c:v>0.1426</c:v>
                </c:pt>
                <c:pt idx="15">
                  <c:v>0.1024</c:v>
                </c:pt>
                <c:pt idx="16">
                  <c:v>5.8000000000000003E-2</c:v>
                </c:pt>
                <c:pt idx="17">
                  <c:v>1.0699999999999999E-2</c:v>
                </c:pt>
                <c:pt idx="18">
                  <c:v>-3.6400000000000002E-2</c:v>
                </c:pt>
                <c:pt idx="19">
                  <c:v>-8.43E-2</c:v>
                </c:pt>
                <c:pt idx="20">
                  <c:v>-0.1305</c:v>
                </c:pt>
                <c:pt idx="21">
                  <c:v>-0.17</c:v>
                </c:pt>
                <c:pt idx="22">
                  <c:v>-0.20499999999999999</c:v>
                </c:pt>
                <c:pt idx="23">
                  <c:v>-0.2341</c:v>
                </c:pt>
                <c:pt idx="24">
                  <c:v>-0.25600000000000001</c:v>
                </c:pt>
                <c:pt idx="25">
                  <c:v>-0.2712</c:v>
                </c:pt>
                <c:pt idx="26">
                  <c:v>-0.27700000000000002</c:v>
                </c:pt>
                <c:pt idx="27">
                  <c:v>-0.27289999999999998</c:v>
                </c:pt>
                <c:pt idx="28">
                  <c:v>-0.26250000000000001</c:v>
                </c:pt>
                <c:pt idx="29">
                  <c:v>-0.2427</c:v>
                </c:pt>
                <c:pt idx="30">
                  <c:v>-0.21779999999999999</c:v>
                </c:pt>
                <c:pt idx="31">
                  <c:v>-0.1852</c:v>
                </c:pt>
                <c:pt idx="32">
                  <c:v>-0.14810000000000001</c:v>
                </c:pt>
                <c:pt idx="33">
                  <c:v>-0.1052</c:v>
                </c:pt>
                <c:pt idx="34">
                  <c:v>-0.06</c:v>
                </c:pt>
                <c:pt idx="35">
                  <c:v>-1.23E-2</c:v>
                </c:pt>
                <c:pt idx="36">
                  <c:v>3.1899999999999998E-2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D8-4C67-8D75-1F4FDEF16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536591"/>
        <c:axId val="1185057535"/>
      </c:scatterChart>
      <c:valAx>
        <c:axId val="118453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Bn [T]</a:t>
                </a:r>
              </a:p>
            </c:rich>
          </c:tx>
          <c:layout>
            <c:manualLayout>
              <c:xMode val="edge"/>
              <c:yMode val="edge"/>
              <c:x val="0.48105437236756571"/>
              <c:y val="0.928444451484876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31750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057535"/>
        <c:crosses val="autoZero"/>
        <c:crossBetween val="midCat"/>
      </c:valAx>
      <c:valAx>
        <c:axId val="118505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1802537049821111E-2"/>
              <c:y val="0.43449691087627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low"/>
        <c:spPr>
          <a:noFill/>
          <a:ln w="31750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453659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H=f</a:t>
            </a:r>
            <a:r>
              <a:rPr lang="en-US"/>
              <a:t>(Is)</a:t>
            </a:r>
            <a:r>
              <a:rPr lang="pl-PL"/>
              <a:t>, gdzie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α</a:t>
            </a:r>
            <a:r>
              <a:rPr lang="pl-PL">
                <a:latin typeface="Calibri" panose="020F0502020204030204" pitchFamily="34" charset="0"/>
                <a:cs typeface="Calibri" panose="020F0502020204030204" pitchFamily="34" charset="0"/>
              </a:rPr>
              <a:t>=80˚</a:t>
            </a:r>
            <a:endParaRPr lang="en-US"/>
          </a:p>
        </c:rich>
      </c:tx>
      <c:layout>
        <c:manualLayout>
          <c:xMode val="edge"/>
          <c:yMode val="edge"/>
          <c:x val="0.3765277777777777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U(Is)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'U(I)'!$B$5:$B$25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'U(I)'!$G$5:$G$25</c:f>
              <c:numCache>
                <c:formatCode>General</c:formatCode>
                <c:ptCount val="21"/>
                <c:pt idx="0">
                  <c:v>0.25</c:v>
                </c:pt>
                <c:pt idx="1">
                  <c:v>0.22600000000000001</c:v>
                </c:pt>
                <c:pt idx="2">
                  <c:v>0.20039999999999999</c:v>
                </c:pt>
                <c:pt idx="3">
                  <c:v>0.1759</c:v>
                </c:pt>
                <c:pt idx="4">
                  <c:v>0.1515</c:v>
                </c:pt>
                <c:pt idx="5">
                  <c:v>0.12740000000000001</c:v>
                </c:pt>
                <c:pt idx="6">
                  <c:v>0.1016</c:v>
                </c:pt>
                <c:pt idx="7">
                  <c:v>7.4800000000000005E-2</c:v>
                </c:pt>
                <c:pt idx="8">
                  <c:v>5.0599999999999999E-2</c:v>
                </c:pt>
                <c:pt idx="9">
                  <c:v>2.46E-2</c:v>
                </c:pt>
                <c:pt idx="10">
                  <c:v>0</c:v>
                </c:pt>
                <c:pt idx="11">
                  <c:v>-2.6700000000000002E-2</c:v>
                </c:pt>
                <c:pt idx="12">
                  <c:v>-5.3499999999999999E-2</c:v>
                </c:pt>
                <c:pt idx="13">
                  <c:v>-7.9100000000000004E-2</c:v>
                </c:pt>
                <c:pt idx="14">
                  <c:v>-0.1019</c:v>
                </c:pt>
                <c:pt idx="15">
                  <c:v>-0.12790000000000001</c:v>
                </c:pt>
                <c:pt idx="16">
                  <c:v>-0.156</c:v>
                </c:pt>
                <c:pt idx="17">
                  <c:v>-0.1812</c:v>
                </c:pt>
                <c:pt idx="18">
                  <c:v>-0.19989999999999999</c:v>
                </c:pt>
                <c:pt idx="19">
                  <c:v>-0.23180000000000001</c:v>
                </c:pt>
                <c:pt idx="20">
                  <c:v>-0.24990000000000001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9C-4744-99F7-1823C88A2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805152"/>
        <c:axId val="1842840016"/>
      </c:scatterChart>
      <c:valAx>
        <c:axId val="178380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2840016"/>
        <c:crosses val="autoZero"/>
        <c:crossBetween val="midCat"/>
      </c:valAx>
      <c:valAx>
        <c:axId val="18428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UH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9444444444444445E-2"/>
              <c:y val="0.44947907553222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38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UH=f(Is), gdzie</a:t>
            </a:r>
            <a:r>
              <a:rPr lang="pl-PL"/>
              <a:t>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α</a:t>
            </a:r>
            <a:r>
              <a:rPr lang="pl-PL">
                <a:latin typeface="Calibri" panose="020F0502020204030204" pitchFamily="34" charset="0"/>
                <a:cs typeface="Calibri" panose="020F0502020204030204" pitchFamily="34" charset="0"/>
              </a:rPr>
              <a:t>=260˚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UH=f(Is), gdzie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'U(I)'!$B$26:$B$46</c:f>
              <c:numCache>
                <c:formatCode>General</c:formatCode>
                <c:ptCount val="21"/>
                <c:pt idx="0">
                  <c:v>0.01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6.0000000000000001E-3</c:v>
                </c:pt>
                <c:pt idx="5">
                  <c:v>5.0000000000000001E-3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2E-3</c:v>
                </c:pt>
                <c:pt idx="9">
                  <c:v>1E-3</c:v>
                </c:pt>
                <c:pt idx="10">
                  <c:v>0</c:v>
                </c:pt>
                <c:pt idx="11">
                  <c:v>-1E-3</c:v>
                </c:pt>
                <c:pt idx="12">
                  <c:v>-2E-3</c:v>
                </c:pt>
                <c:pt idx="13">
                  <c:v>-3.0000000000000001E-3</c:v>
                </c:pt>
                <c:pt idx="14">
                  <c:v>-4.0000000000000001E-3</c:v>
                </c:pt>
                <c:pt idx="15">
                  <c:v>-5.0000000000000001E-3</c:v>
                </c:pt>
                <c:pt idx="16">
                  <c:v>-6.0000000000000001E-3</c:v>
                </c:pt>
                <c:pt idx="17">
                  <c:v>-7.0000000000000001E-3</c:v>
                </c:pt>
                <c:pt idx="18">
                  <c:v>-8.0000000000000002E-3</c:v>
                </c:pt>
                <c:pt idx="19">
                  <c:v>-8.9999999999999993E-3</c:v>
                </c:pt>
                <c:pt idx="20">
                  <c:v>-0.01</c:v>
                </c:pt>
              </c:numCache>
            </c:numRef>
          </c:xVal>
          <c:yVal>
            <c:numRef>
              <c:f>'U(I)'!$G$26:$G$46</c:f>
              <c:numCache>
                <c:formatCode>General</c:formatCode>
                <c:ptCount val="21"/>
                <c:pt idx="0">
                  <c:v>0.28160000000000002</c:v>
                </c:pt>
                <c:pt idx="1">
                  <c:v>0.251</c:v>
                </c:pt>
                <c:pt idx="2">
                  <c:v>0.2218</c:v>
                </c:pt>
                <c:pt idx="3">
                  <c:v>0.1993</c:v>
                </c:pt>
                <c:pt idx="4">
                  <c:v>0.16850000000000001</c:v>
                </c:pt>
                <c:pt idx="5">
                  <c:v>0.14399999999999999</c:v>
                </c:pt>
                <c:pt idx="6">
                  <c:v>0.11459999999999999</c:v>
                </c:pt>
                <c:pt idx="7">
                  <c:v>8.7800000000000003E-2</c:v>
                </c:pt>
                <c:pt idx="8">
                  <c:v>5.8599999999999999E-2</c:v>
                </c:pt>
                <c:pt idx="9">
                  <c:v>3.0099999999999998E-2</c:v>
                </c:pt>
                <c:pt idx="10">
                  <c:v>0</c:v>
                </c:pt>
                <c:pt idx="11">
                  <c:v>-2.5899999999999999E-2</c:v>
                </c:pt>
                <c:pt idx="12">
                  <c:v>-5.8099999999999999E-2</c:v>
                </c:pt>
                <c:pt idx="13">
                  <c:v>-8.5900000000000004E-2</c:v>
                </c:pt>
                <c:pt idx="14">
                  <c:v>-0.1072</c:v>
                </c:pt>
                <c:pt idx="15">
                  <c:v>-0.13739999999999999</c:v>
                </c:pt>
                <c:pt idx="16">
                  <c:v>-0.16420000000000001</c:v>
                </c:pt>
                <c:pt idx="17">
                  <c:v>-0.19320000000000001</c:v>
                </c:pt>
                <c:pt idx="18">
                  <c:v>-0.22159999999999999</c:v>
                </c:pt>
                <c:pt idx="19">
                  <c:v>-0.25040000000000001</c:v>
                </c:pt>
                <c:pt idx="20">
                  <c:v>-0.27729999999999999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3-4152-9504-5C6983C2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801408"/>
        <c:axId val="1778021776"/>
      </c:scatterChart>
      <c:valAx>
        <c:axId val="178380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8021776"/>
        <c:crosses val="autoZero"/>
        <c:crossBetween val="midCat"/>
      </c:valAx>
      <c:valAx>
        <c:axId val="177802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380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280318</xdr:colOff>
      <xdr:row>1</xdr:row>
      <xdr:rowOff>89380</xdr:rowOff>
    </xdr:from>
    <xdr:to>
      <xdr:col>22</xdr:col>
      <xdr:colOff>585118</xdr:colOff>
      <xdr:row>15</xdr:row>
      <xdr:rowOff>165580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2EACCE-E7CC-490D-8EC5-ED60CB5BF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579780</xdr:colOff>
      <xdr:row>20</xdr:row>
      <xdr:rowOff>2200</xdr:rowOff>
    </xdr:from>
    <xdr:to>
      <xdr:col>24</xdr:col>
      <xdr:colOff>317337</xdr:colOff>
      <xdr:row>39</xdr:row>
      <xdr:rowOff>14411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E911F5A-591F-4152-8A7A-C13AFB050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447675</xdr:colOff>
      <xdr:row>2</xdr:row>
      <xdr:rowOff>180975</xdr:rowOff>
    </xdr:from>
    <xdr:to>
      <xdr:col>20</xdr:col>
      <xdr:colOff>142875</xdr:colOff>
      <xdr:row>16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8F7567-ED07-40C7-AB76-0804CCD5B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18</xdr:row>
      <xdr:rowOff>9525</xdr:rowOff>
    </xdr:from>
    <xdr:to>
      <xdr:col>20</xdr:col>
      <xdr:colOff>47625</xdr:colOff>
      <xdr:row>31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318D5B2-3847-474E-BD15-0F6E17EF3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9260-5957-4A16-8465-AB7E3D2A691D}">
  <dimension ref="B2:AB52"/>
  <sheetViews>
    <sheetView tabSelected="1" topLeftCell="A34" zoomScale="85" zoomScaleNormal="85" workbookViewId="0">
      <selection activeCell="J49" sqref="J49"/>
    </sheetView>
  </sheetViews>
  <sheetFormatPr defaultRowHeight="15" x14ac:dyDescent="0.25"/>
  <cols>
    <col min="4" max="4" width="12.7109375" bestFit="1" customWidth="1"/>
    <col min="5" max="5" width="10.5703125" customWidth="1"/>
    <col min="6" max="6" width="10.5703125" bestFit="1" customWidth="1"/>
    <col min="7" max="7" width="28.5703125" bestFit="1" customWidth="1"/>
    <col min="8" max="8" width="10.28515625" bestFit="1" customWidth="1"/>
    <col min="9" max="9" width="12.85546875" bestFit="1" customWidth="1"/>
    <col min="10" max="10" width="12.28515625" bestFit="1" customWidth="1"/>
    <col min="11" max="11" width="10.28515625" bestFit="1" customWidth="1"/>
    <col min="15" max="15" width="10.28515625" customWidth="1"/>
    <col min="26" max="26" width="12.28515625" bestFit="1" customWidth="1"/>
    <col min="27" max="27" width="9.28515625" bestFit="1" customWidth="1"/>
  </cols>
  <sheetData>
    <row r="2" spans="2:28" x14ac:dyDescent="0.25">
      <c r="J2" s="7"/>
      <c r="N2" s="1" t="s">
        <v>3</v>
      </c>
      <c r="O2" s="1" t="s">
        <v>0</v>
      </c>
      <c r="Z2" t="s">
        <v>17</v>
      </c>
    </row>
    <row r="3" spans="2:28" ht="17.25" x14ac:dyDescent="0.3">
      <c r="B3" s="1" t="s">
        <v>2</v>
      </c>
      <c r="C3" s="3" t="s">
        <v>13</v>
      </c>
      <c r="D3" s="1">
        <f>(0.5*0.015)/100</f>
        <v>7.4999999999999993E-5</v>
      </c>
      <c r="F3" s="1" t="s">
        <v>5</v>
      </c>
      <c r="N3" s="1">
        <v>0</v>
      </c>
      <c r="O3" s="1">
        <v>354</v>
      </c>
      <c r="Y3" t="s">
        <v>30</v>
      </c>
      <c r="Z3">
        <f t="array" ref="Z3:AA4">LINEST(AA7:AA14,Z7:Z14,TRUE,TRUE)</f>
        <v>-4.5555952380952388E-3</v>
      </c>
      <c r="AA3">
        <v>0.78379166666666678</v>
      </c>
      <c r="AB3" t="s">
        <v>20</v>
      </c>
    </row>
    <row r="4" spans="2:28" x14ac:dyDescent="0.25">
      <c r="B4" s="1" t="s">
        <v>4</v>
      </c>
      <c r="C4" s="1" t="s">
        <v>12</v>
      </c>
      <c r="D4" s="1" t="s">
        <v>14</v>
      </c>
      <c r="E4" s="1" t="s">
        <v>1</v>
      </c>
      <c r="F4" s="1" t="s">
        <v>11</v>
      </c>
      <c r="G4" s="1" t="s">
        <v>15</v>
      </c>
      <c r="H4" s="4" t="s">
        <v>10</v>
      </c>
      <c r="I4" s="4" t="s">
        <v>7</v>
      </c>
      <c r="J4" s="4" t="s">
        <v>6</v>
      </c>
      <c r="K4" s="4" t="s">
        <v>9</v>
      </c>
      <c r="L4" s="4" t="s">
        <v>8</v>
      </c>
      <c r="M4" s="1" t="s">
        <v>16</v>
      </c>
      <c r="N4" s="6"/>
      <c r="O4" s="1">
        <v>172</v>
      </c>
      <c r="Y4" t="s">
        <v>32</v>
      </c>
      <c r="Z4" s="12">
        <v>4.529325167190308E-5</v>
      </c>
      <c r="AA4">
        <v>7.9939702185145185E-3</v>
      </c>
      <c r="AB4" t="s">
        <v>33</v>
      </c>
    </row>
    <row r="5" spans="2:28" x14ac:dyDescent="0.25">
      <c r="B5" s="1">
        <v>1</v>
      </c>
      <c r="C5" s="27">
        <v>0.01</v>
      </c>
      <c r="D5" s="30">
        <f>SQRT((D3^2)/3)</f>
        <v>4.3301270189221932E-5</v>
      </c>
      <c r="E5" s="1">
        <v>0</v>
      </c>
      <c r="F5" s="8">
        <f>0.0366</f>
        <v>3.6600000000000001E-2</v>
      </c>
      <c r="G5" s="5">
        <f>0.05*0.01*ABS(F5)+3*0.0001</f>
        <v>3.1830000000000004E-4</v>
      </c>
      <c r="H5" s="1">
        <f t="shared" ref="H5:H38" si="0">CEILING(G5/SQRT(3),0.00001)</f>
        <v>1.9000000000000001E-4</v>
      </c>
      <c r="I5" s="1">
        <f>SIN((E5-172)*PI()/180)</f>
        <v>-0.13917310096006574</v>
      </c>
      <c r="J5" s="1">
        <f>ROUND(0.5*I5,3)</f>
        <v>-7.0000000000000007E-2</v>
      </c>
      <c r="K5" s="1">
        <f>COS((E5-172)*PI()/180)</f>
        <v>-0.99026806874157025</v>
      </c>
      <c r="L5" s="1">
        <f>ROUNDUP(SQRT((0.05^2)*(I5^2)+((0.5^2)*(K5^2)*(M5^2))),3)</f>
        <v>1.3000000000000001E-2</v>
      </c>
      <c r="M5" s="1">
        <f t="shared" ref="M5:M42" si="1">ROUNDUP(((2*PI())/(180*SQRT(3))),3)</f>
        <v>2.1000000000000001E-2</v>
      </c>
    </row>
    <row r="6" spans="2:28" x14ac:dyDescent="0.25">
      <c r="B6" s="1">
        <v>2</v>
      </c>
      <c r="C6" s="28"/>
      <c r="D6" s="31"/>
      <c r="E6" s="1">
        <v>10</v>
      </c>
      <c r="F6" s="8">
        <f>0.0795</f>
        <v>7.9500000000000001E-2</v>
      </c>
      <c r="G6" s="5">
        <f t="shared" ref="G6:G32" si="2">0.05*0.01*ABS(F6)+3*0.0001</f>
        <v>3.3975000000000005E-4</v>
      </c>
      <c r="H6" s="1">
        <f t="shared" si="0"/>
        <v>2.0000000000000001E-4</v>
      </c>
      <c r="I6" s="1">
        <f t="shared" ref="I6:I42" si="3">SIN((E6-172)*PI()/180)</f>
        <v>-0.30901699437494751</v>
      </c>
      <c r="J6" s="1">
        <f t="shared" ref="J6:J42" si="4">ROUND(0.5*I6,3)</f>
        <v>-0.155</v>
      </c>
      <c r="K6" s="1">
        <f t="shared" ref="K6:K42" si="5">COS((E6-172)*PI()/180)</f>
        <v>-0.95105651629515353</v>
      </c>
      <c r="L6" s="1">
        <f t="shared" ref="L6:L42" si="6">ROUNDUP(SQRT((0.05^2)*(I6^2)+((0.5^2)*(K6^2)*(M6^2))),3)</f>
        <v>1.9E-2</v>
      </c>
      <c r="M6" s="1">
        <f t="shared" si="1"/>
        <v>2.1000000000000001E-2</v>
      </c>
    </row>
    <row r="7" spans="2:28" x14ac:dyDescent="0.25">
      <c r="B7" s="1">
        <v>3</v>
      </c>
      <c r="C7" s="28"/>
      <c r="D7" s="31"/>
      <c r="E7" s="1">
        <v>20</v>
      </c>
      <c r="F7" s="8">
        <f>0.1227</f>
        <v>0.1227</v>
      </c>
      <c r="G7" s="5">
        <f t="shared" si="2"/>
        <v>3.6135000000000003E-4</v>
      </c>
      <c r="H7" s="1">
        <f t="shared" si="0"/>
        <v>2.1000000000000001E-4</v>
      </c>
      <c r="I7" s="1">
        <f t="shared" si="3"/>
        <v>-0.46947156278589108</v>
      </c>
      <c r="J7" s="1">
        <f t="shared" si="4"/>
        <v>-0.23499999999999999</v>
      </c>
      <c r="K7" s="1">
        <f t="shared" si="5"/>
        <v>-0.88294759285892677</v>
      </c>
      <c r="L7" s="1">
        <f t="shared" si="6"/>
        <v>2.6000000000000002E-2</v>
      </c>
      <c r="M7" s="1">
        <f t="shared" si="1"/>
        <v>2.1000000000000001E-2</v>
      </c>
      <c r="O7" s="3">
        <f>(O4*PI())/180</f>
        <v>3.0019663134302466</v>
      </c>
      <c r="Z7" s="1">
        <v>140</v>
      </c>
      <c r="AA7" s="8">
        <f>0.1426</f>
        <v>0.1426</v>
      </c>
    </row>
    <row r="8" spans="2:28" x14ac:dyDescent="0.25">
      <c r="B8" s="1">
        <v>4</v>
      </c>
      <c r="C8" s="28"/>
      <c r="D8" s="31"/>
      <c r="E8" s="1">
        <v>30</v>
      </c>
      <c r="F8" s="8">
        <f>0.1587</f>
        <v>0.15870000000000001</v>
      </c>
      <c r="G8" s="5">
        <f t="shared" si="2"/>
        <v>3.7935000000000003E-4</v>
      </c>
      <c r="H8" s="1">
        <f t="shared" si="0"/>
        <v>2.2000000000000001E-4</v>
      </c>
      <c r="I8" s="1">
        <f t="shared" si="3"/>
        <v>-0.6156614753256584</v>
      </c>
      <c r="J8" s="1">
        <f t="shared" si="4"/>
        <v>-0.308</v>
      </c>
      <c r="K8" s="1">
        <f t="shared" si="5"/>
        <v>-0.7880107536067219</v>
      </c>
      <c r="L8" s="1">
        <f t="shared" si="6"/>
        <v>3.2000000000000001E-2</v>
      </c>
      <c r="M8" s="1">
        <f>ROUNDUP(((2*PI())/(180*SQRT(3))),3)</f>
        <v>2.1000000000000001E-2</v>
      </c>
      <c r="O8" s="1"/>
      <c r="Z8" s="1">
        <v>150</v>
      </c>
      <c r="AA8" s="8">
        <f>0.1024</f>
        <v>0.1024</v>
      </c>
    </row>
    <row r="9" spans="2:28" x14ac:dyDescent="0.25">
      <c r="B9" s="1">
        <v>5</v>
      </c>
      <c r="C9" s="28"/>
      <c r="D9" s="31"/>
      <c r="E9" s="1">
        <v>40</v>
      </c>
      <c r="F9" s="8">
        <f>0.1902</f>
        <v>0.19020000000000001</v>
      </c>
      <c r="G9" s="5">
        <f t="shared" si="2"/>
        <v>3.9510000000000001E-4</v>
      </c>
      <c r="H9" s="1">
        <f t="shared" si="0"/>
        <v>2.3000000000000001E-4</v>
      </c>
      <c r="I9" s="1">
        <f t="shared" si="3"/>
        <v>-0.74314482547739424</v>
      </c>
      <c r="J9" s="1">
        <f t="shared" si="4"/>
        <v>-0.372</v>
      </c>
      <c r="K9" s="1">
        <f t="shared" si="5"/>
        <v>-0.66913060635885824</v>
      </c>
      <c r="L9" s="1">
        <f t="shared" si="6"/>
        <v>3.7999999999999999E-2</v>
      </c>
      <c r="M9" s="1">
        <f t="shared" si="1"/>
        <v>2.1000000000000001E-2</v>
      </c>
      <c r="O9" s="1"/>
      <c r="Z9" s="1">
        <v>160</v>
      </c>
      <c r="AA9" s="8">
        <f>0.058</f>
        <v>5.8000000000000003E-2</v>
      </c>
    </row>
    <row r="10" spans="2:28" x14ac:dyDescent="0.25">
      <c r="B10" s="1">
        <v>6</v>
      </c>
      <c r="C10" s="28"/>
      <c r="D10" s="31"/>
      <c r="E10" s="1">
        <v>50</v>
      </c>
      <c r="F10" s="8">
        <f>0.2115</f>
        <v>0.21149999999999999</v>
      </c>
      <c r="G10" s="5">
        <f t="shared" si="2"/>
        <v>4.0575000000000002E-4</v>
      </c>
      <c r="H10" s="1">
        <f t="shared" si="0"/>
        <v>2.4000000000000003E-4</v>
      </c>
      <c r="I10" s="1">
        <f t="shared" si="3"/>
        <v>-0.84804809615642607</v>
      </c>
      <c r="J10" s="1">
        <f t="shared" si="4"/>
        <v>-0.42399999999999999</v>
      </c>
      <c r="K10" s="1">
        <f t="shared" si="5"/>
        <v>-0.52991926423320479</v>
      </c>
      <c r="L10" s="1">
        <f t="shared" si="6"/>
        <v>4.3000000000000003E-2</v>
      </c>
      <c r="M10" s="1">
        <f>ROUNDUP(((2*PI())/(180*SQRT(3))),3)</f>
        <v>2.1000000000000001E-2</v>
      </c>
      <c r="O10" s="1"/>
      <c r="Z10" s="1">
        <v>170</v>
      </c>
      <c r="AA10" s="8">
        <f>0.0107</f>
        <v>1.0699999999999999E-2</v>
      </c>
    </row>
    <row r="11" spans="2:28" x14ac:dyDescent="0.25">
      <c r="B11" s="1">
        <v>7</v>
      </c>
      <c r="C11" s="28"/>
      <c r="D11" s="31"/>
      <c r="E11" s="1">
        <v>60</v>
      </c>
      <c r="F11" s="8">
        <f>0.2347</f>
        <v>0.23469999999999999</v>
      </c>
      <c r="G11" s="5">
        <f t="shared" si="2"/>
        <v>4.1735000000000003E-4</v>
      </c>
      <c r="H11" s="1">
        <f t="shared" si="0"/>
        <v>2.5000000000000001E-4</v>
      </c>
      <c r="I11" s="1">
        <f t="shared" si="3"/>
        <v>-0.92718385456678742</v>
      </c>
      <c r="J11" s="1">
        <f t="shared" si="4"/>
        <v>-0.46400000000000002</v>
      </c>
      <c r="K11" s="1">
        <f t="shared" si="5"/>
        <v>-0.37460659341591207</v>
      </c>
      <c r="L11" s="1">
        <f t="shared" si="6"/>
        <v>4.7E-2</v>
      </c>
      <c r="M11" s="1">
        <f t="shared" si="1"/>
        <v>2.1000000000000001E-2</v>
      </c>
      <c r="O11" s="1"/>
      <c r="Z11" s="1">
        <v>180</v>
      </c>
      <c r="AA11" s="8">
        <f>-0.0364</f>
        <v>-3.6400000000000002E-2</v>
      </c>
    </row>
    <row r="12" spans="2:28" x14ac:dyDescent="0.25">
      <c r="B12" s="1">
        <v>8</v>
      </c>
      <c r="C12" s="28"/>
      <c r="D12" s="31"/>
      <c r="E12" s="1">
        <v>70</v>
      </c>
      <c r="F12" s="8">
        <f>0.2489</f>
        <v>0.24890000000000001</v>
      </c>
      <c r="G12" s="5">
        <f t="shared" si="2"/>
        <v>4.2445000000000004E-4</v>
      </c>
      <c r="H12" s="1">
        <f t="shared" si="0"/>
        <v>2.5000000000000001E-4</v>
      </c>
      <c r="I12" s="1">
        <f t="shared" si="3"/>
        <v>-0.97814760073380569</v>
      </c>
      <c r="J12" s="1">
        <f t="shared" si="4"/>
        <v>-0.48899999999999999</v>
      </c>
      <c r="K12" s="1">
        <f t="shared" si="5"/>
        <v>-0.20791169081775912</v>
      </c>
      <c r="L12" s="1">
        <f t="shared" si="6"/>
        <v>4.9000000000000002E-2</v>
      </c>
      <c r="M12" s="1">
        <f t="shared" si="1"/>
        <v>2.1000000000000001E-2</v>
      </c>
      <c r="Z12" s="1">
        <v>190</v>
      </c>
      <c r="AA12" s="8">
        <f>-0.0843</f>
        <v>-8.43E-2</v>
      </c>
    </row>
    <row r="13" spans="2:28" x14ac:dyDescent="0.25">
      <c r="B13" s="1">
        <v>9</v>
      </c>
      <c r="C13" s="28"/>
      <c r="D13" s="31"/>
      <c r="E13" s="1">
        <v>80</v>
      </c>
      <c r="F13" s="8">
        <f>0.2518</f>
        <v>0.25180000000000002</v>
      </c>
      <c r="G13" s="5">
        <f t="shared" si="2"/>
        <v>4.2590000000000005E-4</v>
      </c>
      <c r="H13" s="1">
        <f t="shared" si="0"/>
        <v>2.5000000000000001E-4</v>
      </c>
      <c r="I13" s="1">
        <f t="shared" si="3"/>
        <v>-0.99939082701909576</v>
      </c>
      <c r="J13" s="1">
        <f t="shared" si="4"/>
        <v>-0.5</v>
      </c>
      <c r="K13" s="1">
        <f t="shared" si="5"/>
        <v>-3.4899496702500733E-2</v>
      </c>
      <c r="L13" s="1">
        <f t="shared" si="6"/>
        <v>0.05</v>
      </c>
      <c r="M13" s="1">
        <f t="shared" si="1"/>
        <v>2.1000000000000001E-2</v>
      </c>
      <c r="Z13" s="1">
        <v>200</v>
      </c>
      <c r="AA13" s="8">
        <f>-0.1305</f>
        <v>-0.1305</v>
      </c>
    </row>
    <row r="14" spans="2:28" x14ac:dyDescent="0.25">
      <c r="B14" s="1">
        <v>10</v>
      </c>
      <c r="C14" s="28"/>
      <c r="D14" s="31"/>
      <c r="E14" s="1">
        <v>90</v>
      </c>
      <c r="F14" s="8">
        <f>0.2514</f>
        <v>0.25140000000000001</v>
      </c>
      <c r="G14" s="5">
        <f t="shared" si="2"/>
        <v>4.2570000000000005E-4</v>
      </c>
      <c r="H14" s="1">
        <f t="shared" si="0"/>
        <v>2.5000000000000001E-4</v>
      </c>
      <c r="I14" s="1">
        <f t="shared" si="3"/>
        <v>-0.99026806874157025</v>
      </c>
      <c r="J14" s="1">
        <f t="shared" si="4"/>
        <v>-0.495</v>
      </c>
      <c r="K14" s="1">
        <f t="shared" si="5"/>
        <v>0.13917310096006569</v>
      </c>
      <c r="L14" s="1">
        <f t="shared" si="6"/>
        <v>0.05</v>
      </c>
      <c r="M14" s="1">
        <f t="shared" si="1"/>
        <v>2.1000000000000001E-2</v>
      </c>
      <c r="Z14" s="1">
        <v>210</v>
      </c>
      <c r="AA14" s="8">
        <f>-0.17</f>
        <v>-0.17</v>
      </c>
    </row>
    <row r="15" spans="2:28" x14ac:dyDescent="0.25">
      <c r="B15" s="1">
        <v>11</v>
      </c>
      <c r="C15" s="28"/>
      <c r="D15" s="31"/>
      <c r="E15" s="1">
        <v>100</v>
      </c>
      <c r="F15" s="8">
        <f>0.2412</f>
        <v>0.2412</v>
      </c>
      <c r="G15" s="5">
        <f t="shared" si="2"/>
        <v>4.2060000000000003E-4</v>
      </c>
      <c r="H15" s="1">
        <f t="shared" si="0"/>
        <v>2.5000000000000001E-4</v>
      </c>
      <c r="I15" s="1">
        <f t="shared" si="3"/>
        <v>-0.95105651629515353</v>
      </c>
      <c r="J15" s="1">
        <f t="shared" si="4"/>
        <v>-0.47599999999999998</v>
      </c>
      <c r="K15" s="1">
        <f t="shared" si="5"/>
        <v>0.30901699437494745</v>
      </c>
      <c r="L15" s="1">
        <f t="shared" si="6"/>
        <v>4.8000000000000001E-2</v>
      </c>
      <c r="M15" s="1">
        <f t="shared" si="1"/>
        <v>2.1000000000000001E-2</v>
      </c>
    </row>
    <row r="16" spans="2:28" x14ac:dyDescent="0.25">
      <c r="B16" s="1">
        <v>12</v>
      </c>
      <c r="C16" s="28"/>
      <c r="D16" s="31"/>
      <c r="E16" s="1">
        <v>110</v>
      </c>
      <c r="F16" s="8">
        <f>0.2283</f>
        <v>0.2283</v>
      </c>
      <c r="G16" s="5">
        <f t="shared" si="2"/>
        <v>4.1415000000000006E-4</v>
      </c>
      <c r="H16" s="1">
        <f t="shared" si="0"/>
        <v>2.4000000000000003E-4</v>
      </c>
      <c r="I16" s="1">
        <f t="shared" si="3"/>
        <v>-0.88294759285892688</v>
      </c>
      <c r="J16" s="1">
        <f t="shared" si="4"/>
        <v>-0.441</v>
      </c>
      <c r="K16" s="1">
        <f t="shared" si="5"/>
        <v>0.46947156278589086</v>
      </c>
      <c r="L16" s="1">
        <f t="shared" si="6"/>
        <v>4.4999999999999998E-2</v>
      </c>
      <c r="M16" s="1">
        <f t="shared" si="1"/>
        <v>2.1000000000000001E-2</v>
      </c>
    </row>
    <row r="17" spans="2:21" x14ac:dyDescent="0.25">
      <c r="B17" s="1">
        <v>13</v>
      </c>
      <c r="C17" s="28"/>
      <c r="D17" s="31"/>
      <c r="E17" s="1">
        <v>120</v>
      </c>
      <c r="F17" s="8">
        <f>0.2042</f>
        <v>0.20419999999999999</v>
      </c>
      <c r="G17" s="5">
        <f t="shared" si="2"/>
        <v>4.0210000000000002E-4</v>
      </c>
      <c r="H17" s="1">
        <f t="shared" si="0"/>
        <v>2.4000000000000003E-4</v>
      </c>
      <c r="I17" s="1">
        <f t="shared" si="3"/>
        <v>-0.78801075360672201</v>
      </c>
      <c r="J17" s="1">
        <f t="shared" si="4"/>
        <v>-0.39400000000000002</v>
      </c>
      <c r="K17" s="1">
        <f t="shared" si="5"/>
        <v>0.61566147532565829</v>
      </c>
      <c r="L17" s="1">
        <f t="shared" si="6"/>
        <v>0.04</v>
      </c>
      <c r="M17" s="1">
        <f t="shared" si="1"/>
        <v>2.1000000000000001E-2</v>
      </c>
      <c r="O17" s="1" t="s">
        <v>17</v>
      </c>
      <c r="P17" s="1"/>
    </row>
    <row r="18" spans="2:21" x14ac:dyDescent="0.25">
      <c r="B18" s="1">
        <v>14</v>
      </c>
      <c r="C18" s="28"/>
      <c r="D18" s="31"/>
      <c r="E18" s="1">
        <v>130</v>
      </c>
      <c r="F18" s="8">
        <f>0.1758</f>
        <v>0.17580000000000001</v>
      </c>
      <c r="G18" s="5">
        <f t="shared" si="2"/>
        <v>3.8790000000000005E-4</v>
      </c>
      <c r="H18" s="1">
        <f t="shared" si="0"/>
        <v>2.3000000000000001E-4</v>
      </c>
      <c r="I18" s="1">
        <f t="shared" si="3"/>
        <v>-0.66913060635885824</v>
      </c>
      <c r="J18" s="1">
        <f t="shared" si="4"/>
        <v>-0.33500000000000002</v>
      </c>
      <c r="K18" s="1">
        <f t="shared" si="5"/>
        <v>0.74314482547739424</v>
      </c>
      <c r="L18" s="1">
        <f t="shared" si="6"/>
        <v>3.5000000000000003E-2</v>
      </c>
      <c r="M18" s="1">
        <f t="shared" si="1"/>
        <v>2.1000000000000001E-2</v>
      </c>
      <c r="O18" s="1">
        <f t="array" ref="O18:P19">LINEST(F5:F41,J5:J41,TRUE,TRUE)</f>
        <v>-0.53219036389933683</v>
      </c>
      <c r="P18" s="1">
        <v>-6.1446844722419947E-3</v>
      </c>
      <c r="R18" s="1" t="s">
        <v>18</v>
      </c>
      <c r="S18" s="1">
        <v>0.53220000000000001</v>
      </c>
      <c r="T18" s="1" t="s">
        <v>20</v>
      </c>
      <c r="U18" s="1">
        <v>-6.1399999999999996E-3</v>
      </c>
    </row>
    <row r="19" spans="2:21" x14ac:dyDescent="0.25">
      <c r="B19" s="1">
        <v>15</v>
      </c>
      <c r="C19" s="28"/>
      <c r="D19" s="31"/>
      <c r="E19" s="1">
        <v>140</v>
      </c>
      <c r="F19" s="8">
        <f>0.1426</f>
        <v>0.1426</v>
      </c>
      <c r="G19" s="5">
        <f t="shared" si="2"/>
        <v>3.7130000000000003E-4</v>
      </c>
      <c r="H19" s="1">
        <f t="shared" si="0"/>
        <v>2.2000000000000001E-4</v>
      </c>
      <c r="I19" s="1">
        <f t="shared" si="3"/>
        <v>-0.5299192642332049</v>
      </c>
      <c r="J19" s="1">
        <f>ROUND(0.5*I19,3)</f>
        <v>-0.26500000000000001</v>
      </c>
      <c r="K19" s="1">
        <f t="shared" si="5"/>
        <v>0.84804809615642596</v>
      </c>
      <c r="L19" s="1">
        <f t="shared" si="6"/>
        <v>2.8000000000000001E-2</v>
      </c>
      <c r="M19" s="1">
        <f t="shared" si="1"/>
        <v>2.1000000000000001E-2</v>
      </c>
      <c r="O19" s="1">
        <v>2.23086953279171E-3</v>
      </c>
      <c r="P19" s="1">
        <v>7.7867098471630001E-4</v>
      </c>
      <c r="R19" s="1" t="s">
        <v>19</v>
      </c>
      <c r="S19" s="1">
        <v>2.3E-3</v>
      </c>
      <c r="T19" s="1" t="s">
        <v>21</v>
      </c>
      <c r="U19" s="1">
        <v>7.7999999999999999E-4</v>
      </c>
    </row>
    <row r="20" spans="2:21" x14ac:dyDescent="0.25">
      <c r="B20" s="1">
        <v>16</v>
      </c>
      <c r="C20" s="28"/>
      <c r="D20" s="31"/>
      <c r="E20" s="1">
        <v>150</v>
      </c>
      <c r="F20" s="8">
        <f>0.1024</f>
        <v>0.1024</v>
      </c>
      <c r="G20" s="5">
        <f t="shared" si="2"/>
        <v>3.5120000000000003E-4</v>
      </c>
      <c r="H20" s="1">
        <f t="shared" si="0"/>
        <v>2.1000000000000001E-4</v>
      </c>
      <c r="I20" s="1">
        <f t="shared" si="3"/>
        <v>-0.37460659341591201</v>
      </c>
      <c r="J20" s="1">
        <f t="shared" si="4"/>
        <v>-0.187</v>
      </c>
      <c r="K20" s="1">
        <f t="shared" si="5"/>
        <v>0.92718385456678742</v>
      </c>
      <c r="L20" s="1">
        <f t="shared" si="6"/>
        <v>2.2000000000000002E-2</v>
      </c>
      <c r="M20" s="1">
        <f t="shared" si="1"/>
        <v>2.1000000000000001E-2</v>
      </c>
    </row>
    <row r="21" spans="2:21" x14ac:dyDescent="0.25">
      <c r="B21" s="1">
        <v>17</v>
      </c>
      <c r="C21" s="28"/>
      <c r="D21" s="31"/>
      <c r="E21" s="1">
        <v>160</v>
      </c>
      <c r="F21" s="8">
        <f>0.058</f>
        <v>5.8000000000000003E-2</v>
      </c>
      <c r="G21" s="5">
        <f t="shared" si="2"/>
        <v>3.2900000000000003E-4</v>
      </c>
      <c r="H21" s="1">
        <f t="shared" si="0"/>
        <v>1.9000000000000001E-4</v>
      </c>
      <c r="I21" s="1">
        <f t="shared" si="3"/>
        <v>-0.20791169081775931</v>
      </c>
      <c r="J21" s="1">
        <f t="shared" si="4"/>
        <v>-0.104</v>
      </c>
      <c r="K21" s="1">
        <f t="shared" si="5"/>
        <v>0.97814760073380569</v>
      </c>
      <c r="L21" s="1">
        <f t="shared" si="6"/>
        <v>1.4999999999999999E-2</v>
      </c>
      <c r="M21" s="1">
        <f t="shared" si="1"/>
        <v>2.1000000000000001E-2</v>
      </c>
    </row>
    <row r="22" spans="2:21" x14ac:dyDescent="0.25">
      <c r="B22" s="1">
        <v>18</v>
      </c>
      <c r="C22" s="28"/>
      <c r="D22" s="31"/>
      <c r="E22" s="1">
        <v>170</v>
      </c>
      <c r="F22" s="8">
        <f>0.0107</f>
        <v>1.0699999999999999E-2</v>
      </c>
      <c r="G22" s="5">
        <f t="shared" si="2"/>
        <v>3.0535000000000002E-4</v>
      </c>
      <c r="H22" s="1">
        <f t="shared" si="0"/>
        <v>1.8000000000000001E-4</v>
      </c>
      <c r="I22" s="1">
        <f t="shared" si="3"/>
        <v>-3.4899496702500969E-2</v>
      </c>
      <c r="J22" s="1">
        <f t="shared" si="4"/>
        <v>-1.7000000000000001E-2</v>
      </c>
      <c r="K22" s="1">
        <f t="shared" si="5"/>
        <v>0.99939082701909576</v>
      </c>
      <c r="L22" s="1">
        <f t="shared" si="6"/>
        <v>1.0999999999999999E-2</v>
      </c>
      <c r="M22" s="1">
        <f t="shared" si="1"/>
        <v>2.1000000000000001E-2</v>
      </c>
    </row>
    <row r="23" spans="2:21" x14ac:dyDescent="0.25">
      <c r="B23" s="1">
        <v>19</v>
      </c>
      <c r="C23" s="28"/>
      <c r="D23" s="31"/>
      <c r="E23" s="1">
        <v>180</v>
      </c>
      <c r="F23" s="8">
        <f>-0.0364</f>
        <v>-3.6400000000000002E-2</v>
      </c>
      <c r="G23" s="5">
        <f t="shared" si="2"/>
        <v>3.1820000000000004E-4</v>
      </c>
      <c r="H23" s="1">
        <f t="shared" si="0"/>
        <v>1.9000000000000001E-4</v>
      </c>
      <c r="I23" s="1">
        <f t="shared" si="3"/>
        <v>0.13917310096006544</v>
      </c>
      <c r="J23" s="1">
        <f t="shared" si="4"/>
        <v>7.0000000000000007E-2</v>
      </c>
      <c r="K23" s="1">
        <f t="shared" si="5"/>
        <v>0.99026806874157036</v>
      </c>
      <c r="L23" s="1">
        <f t="shared" si="6"/>
        <v>1.3000000000000001E-2</v>
      </c>
      <c r="M23" s="1">
        <f t="shared" si="1"/>
        <v>2.1000000000000001E-2</v>
      </c>
    </row>
    <row r="24" spans="2:21" x14ac:dyDescent="0.25">
      <c r="B24" s="1">
        <v>20</v>
      </c>
      <c r="C24" s="28"/>
      <c r="D24" s="31"/>
      <c r="E24" s="1">
        <v>190</v>
      </c>
      <c r="F24" s="8">
        <f>-0.0843</f>
        <v>-8.43E-2</v>
      </c>
      <c r="G24" s="5">
        <f t="shared" si="2"/>
        <v>3.4215000000000005E-4</v>
      </c>
      <c r="H24" s="1">
        <f t="shared" si="0"/>
        <v>2.0000000000000001E-4</v>
      </c>
      <c r="I24" s="1">
        <f t="shared" si="3"/>
        <v>0.3090169943749474</v>
      </c>
      <c r="J24" s="1">
        <f t="shared" si="4"/>
        <v>0.155</v>
      </c>
      <c r="K24" s="1">
        <f t="shared" si="5"/>
        <v>0.95105651629515353</v>
      </c>
      <c r="L24" s="1">
        <f t="shared" si="6"/>
        <v>1.9E-2</v>
      </c>
      <c r="M24" s="1">
        <f t="shared" si="1"/>
        <v>2.1000000000000001E-2</v>
      </c>
    </row>
    <row r="25" spans="2:21" x14ac:dyDescent="0.25">
      <c r="B25" s="1">
        <v>21</v>
      </c>
      <c r="C25" s="28"/>
      <c r="D25" s="31"/>
      <c r="E25" s="1">
        <v>200</v>
      </c>
      <c r="F25" s="8">
        <f>-0.1305</f>
        <v>-0.1305</v>
      </c>
      <c r="G25" s="5">
        <f t="shared" si="2"/>
        <v>3.6525000000000001E-4</v>
      </c>
      <c r="H25" s="1">
        <f t="shared" si="0"/>
        <v>2.2000000000000001E-4</v>
      </c>
      <c r="I25" s="1">
        <f t="shared" si="3"/>
        <v>0.46947156278589081</v>
      </c>
      <c r="J25" s="1">
        <f t="shared" si="4"/>
        <v>0.23499999999999999</v>
      </c>
      <c r="K25" s="1">
        <f t="shared" si="5"/>
        <v>0.88294759285892699</v>
      </c>
      <c r="L25" s="1">
        <f t="shared" si="6"/>
        <v>2.6000000000000002E-2</v>
      </c>
      <c r="M25" s="1">
        <f t="shared" si="1"/>
        <v>2.1000000000000001E-2</v>
      </c>
    </row>
    <row r="26" spans="2:21" x14ac:dyDescent="0.25">
      <c r="B26" s="1">
        <v>22</v>
      </c>
      <c r="C26" s="28"/>
      <c r="D26" s="31"/>
      <c r="E26" s="1">
        <v>210</v>
      </c>
      <c r="F26" s="8">
        <f>-0.17</f>
        <v>-0.17</v>
      </c>
      <c r="G26" s="5">
        <f t="shared" si="2"/>
        <v>3.8500000000000003E-4</v>
      </c>
      <c r="H26" s="1">
        <f t="shared" si="0"/>
        <v>2.3000000000000001E-4</v>
      </c>
      <c r="I26" s="1">
        <f t="shared" si="3"/>
        <v>0.61566147532565818</v>
      </c>
      <c r="J26" s="1">
        <f t="shared" si="4"/>
        <v>0.308</v>
      </c>
      <c r="K26" s="1">
        <f t="shared" si="5"/>
        <v>0.78801075360672201</v>
      </c>
      <c r="L26" s="1">
        <f t="shared" si="6"/>
        <v>3.2000000000000001E-2</v>
      </c>
      <c r="M26" s="1">
        <f t="shared" si="1"/>
        <v>2.1000000000000001E-2</v>
      </c>
    </row>
    <row r="27" spans="2:21" x14ac:dyDescent="0.25">
      <c r="B27" s="1">
        <v>23</v>
      </c>
      <c r="C27" s="28"/>
      <c r="D27" s="31"/>
      <c r="E27" s="1">
        <v>220</v>
      </c>
      <c r="F27" s="8">
        <f>-0.205</f>
        <v>-0.20499999999999999</v>
      </c>
      <c r="G27" s="5">
        <f t="shared" si="2"/>
        <v>4.0250000000000003E-4</v>
      </c>
      <c r="H27" s="1">
        <f t="shared" si="0"/>
        <v>2.4000000000000003E-4</v>
      </c>
      <c r="I27" s="1">
        <f t="shared" si="3"/>
        <v>0.74314482547739413</v>
      </c>
      <c r="J27" s="1">
        <f t="shared" si="4"/>
        <v>0.372</v>
      </c>
      <c r="K27" s="1">
        <f t="shared" si="5"/>
        <v>0.66913060635885824</v>
      </c>
      <c r="L27" s="1">
        <f t="shared" si="6"/>
        <v>3.7999999999999999E-2</v>
      </c>
      <c r="M27" s="1">
        <f t="shared" si="1"/>
        <v>2.1000000000000001E-2</v>
      </c>
    </row>
    <row r="28" spans="2:21" x14ac:dyDescent="0.25">
      <c r="B28" s="1">
        <v>24</v>
      </c>
      <c r="C28" s="28"/>
      <c r="D28" s="31"/>
      <c r="E28" s="1">
        <v>230</v>
      </c>
      <c r="F28" s="8">
        <f>-0.2341</f>
        <v>-0.2341</v>
      </c>
      <c r="G28" s="5">
        <f t="shared" si="2"/>
        <v>4.1705000000000003E-4</v>
      </c>
      <c r="H28" s="1">
        <f t="shared" si="0"/>
        <v>2.5000000000000001E-4</v>
      </c>
      <c r="I28" s="1">
        <f t="shared" si="3"/>
        <v>0.84804809615642596</v>
      </c>
      <c r="J28" s="1">
        <f t="shared" si="4"/>
        <v>0.42399999999999999</v>
      </c>
      <c r="K28" s="1">
        <f t="shared" si="5"/>
        <v>0.5299192642332049</v>
      </c>
      <c r="L28" s="1">
        <f t="shared" si="6"/>
        <v>4.3000000000000003E-2</v>
      </c>
      <c r="M28" s="1">
        <f t="shared" si="1"/>
        <v>2.1000000000000001E-2</v>
      </c>
    </row>
    <row r="29" spans="2:21" x14ac:dyDescent="0.25">
      <c r="B29" s="1">
        <v>25</v>
      </c>
      <c r="C29" s="28"/>
      <c r="D29" s="31"/>
      <c r="E29" s="1">
        <v>240</v>
      </c>
      <c r="F29" s="8">
        <f>-0.256</f>
        <v>-0.25600000000000001</v>
      </c>
      <c r="G29" s="5">
        <f t="shared" si="2"/>
        <v>4.28E-4</v>
      </c>
      <c r="H29" s="1">
        <f t="shared" si="0"/>
        <v>2.5000000000000001E-4</v>
      </c>
      <c r="I29" s="1">
        <f t="shared" si="3"/>
        <v>0.92718385456678742</v>
      </c>
      <c r="J29" s="1">
        <f t="shared" si="4"/>
        <v>0.46400000000000002</v>
      </c>
      <c r="K29" s="1">
        <f t="shared" si="5"/>
        <v>0.37460659341591196</v>
      </c>
      <c r="L29" s="1">
        <f t="shared" si="6"/>
        <v>4.7E-2</v>
      </c>
      <c r="M29" s="1">
        <f t="shared" si="1"/>
        <v>2.1000000000000001E-2</v>
      </c>
    </row>
    <row r="30" spans="2:21" x14ac:dyDescent="0.25">
      <c r="B30" s="1">
        <v>26</v>
      </c>
      <c r="C30" s="28"/>
      <c r="D30" s="31"/>
      <c r="E30" s="1">
        <v>250</v>
      </c>
      <c r="F30" s="8">
        <f>-0.2712</f>
        <v>-0.2712</v>
      </c>
      <c r="G30" s="5">
        <f t="shared" si="2"/>
        <v>4.3560000000000002E-4</v>
      </c>
      <c r="H30" s="1">
        <f t="shared" si="0"/>
        <v>2.6000000000000003E-4</v>
      </c>
      <c r="I30" s="1">
        <f t="shared" si="3"/>
        <v>0.97814760073380558</v>
      </c>
      <c r="J30" s="1">
        <f t="shared" si="4"/>
        <v>0.48899999999999999</v>
      </c>
      <c r="K30" s="1">
        <f t="shared" si="5"/>
        <v>0.20791169081775945</v>
      </c>
      <c r="L30" s="1">
        <f t="shared" si="6"/>
        <v>4.9000000000000002E-2</v>
      </c>
      <c r="M30" s="1">
        <f t="shared" si="1"/>
        <v>2.1000000000000001E-2</v>
      </c>
    </row>
    <row r="31" spans="2:21" x14ac:dyDescent="0.25">
      <c r="B31" s="1">
        <v>27</v>
      </c>
      <c r="C31" s="28"/>
      <c r="D31" s="31"/>
      <c r="E31" s="1">
        <v>260</v>
      </c>
      <c r="F31" s="8">
        <f>-0.277</f>
        <v>-0.27700000000000002</v>
      </c>
      <c r="G31" s="5">
        <f t="shared" si="2"/>
        <v>4.3850000000000003E-4</v>
      </c>
      <c r="H31" s="1">
        <f t="shared" si="0"/>
        <v>2.6000000000000003E-4</v>
      </c>
      <c r="I31" s="1">
        <f t="shared" si="3"/>
        <v>0.99939082701909576</v>
      </c>
      <c r="J31" s="1">
        <f t="shared" si="4"/>
        <v>0.5</v>
      </c>
      <c r="K31" s="1">
        <f t="shared" si="5"/>
        <v>3.489949670250108E-2</v>
      </c>
      <c r="L31" s="1">
        <f t="shared" si="6"/>
        <v>0.05</v>
      </c>
      <c r="M31" s="1">
        <f t="shared" si="1"/>
        <v>2.1000000000000001E-2</v>
      </c>
    </row>
    <row r="32" spans="2:21" x14ac:dyDescent="0.25">
      <c r="B32" s="1">
        <v>28</v>
      </c>
      <c r="C32" s="28"/>
      <c r="D32" s="31"/>
      <c r="E32" s="1">
        <v>270</v>
      </c>
      <c r="F32" s="8">
        <f>-0.2729</f>
        <v>-0.27289999999999998</v>
      </c>
      <c r="G32" s="5">
        <f t="shared" si="2"/>
        <v>4.3645000000000001E-4</v>
      </c>
      <c r="H32" s="1">
        <f t="shared" si="0"/>
        <v>2.6000000000000003E-4</v>
      </c>
      <c r="I32" s="1">
        <f t="shared" si="3"/>
        <v>0.99026806874157036</v>
      </c>
      <c r="J32" s="1">
        <f t="shared" si="4"/>
        <v>0.495</v>
      </c>
      <c r="K32" s="1">
        <f t="shared" si="5"/>
        <v>-0.13917310096006535</v>
      </c>
      <c r="L32" s="1">
        <f t="shared" si="6"/>
        <v>0.05</v>
      </c>
      <c r="M32" s="1">
        <f t="shared" si="1"/>
        <v>2.1000000000000001E-2</v>
      </c>
    </row>
    <row r="33" spans="2:16" x14ac:dyDescent="0.25">
      <c r="B33" s="1">
        <v>29</v>
      </c>
      <c r="C33" s="28"/>
      <c r="D33" s="31"/>
      <c r="E33" s="1">
        <v>280</v>
      </c>
      <c r="F33" s="8">
        <f>-0.2625</f>
        <v>-0.26250000000000001</v>
      </c>
      <c r="G33" s="5">
        <f t="shared" ref="G33:G42" si="7">0.05*0.01*ABS(F33)+3*0.0001</f>
        <v>4.3125000000000005E-4</v>
      </c>
      <c r="H33" s="1">
        <f t="shared" si="0"/>
        <v>2.5000000000000001E-4</v>
      </c>
      <c r="I33" s="1">
        <f t="shared" si="3"/>
        <v>0.95105651629515364</v>
      </c>
      <c r="J33" s="1">
        <f t="shared" si="4"/>
        <v>0.47599999999999998</v>
      </c>
      <c r="K33" s="1">
        <f t="shared" si="5"/>
        <v>-0.30901699437494734</v>
      </c>
      <c r="L33" s="1">
        <f t="shared" si="6"/>
        <v>4.8000000000000001E-2</v>
      </c>
      <c r="M33" s="1">
        <f t="shared" si="1"/>
        <v>2.1000000000000001E-2</v>
      </c>
    </row>
    <row r="34" spans="2:16" x14ac:dyDescent="0.25">
      <c r="B34" s="1">
        <v>30</v>
      </c>
      <c r="C34" s="28"/>
      <c r="D34" s="31"/>
      <c r="E34" s="1">
        <v>290</v>
      </c>
      <c r="F34" s="8">
        <f>-0.2427</f>
        <v>-0.2427</v>
      </c>
      <c r="G34" s="5">
        <f t="shared" si="7"/>
        <v>4.2135000000000002E-4</v>
      </c>
      <c r="H34" s="1">
        <f t="shared" si="0"/>
        <v>2.5000000000000001E-4</v>
      </c>
      <c r="I34" s="1">
        <f t="shared" si="3"/>
        <v>0.8829475928589271</v>
      </c>
      <c r="J34" s="1">
        <f t="shared" si="4"/>
        <v>0.441</v>
      </c>
      <c r="K34" s="1">
        <f t="shared" si="5"/>
        <v>-0.46947156278589053</v>
      </c>
      <c r="L34" s="1">
        <f t="shared" si="6"/>
        <v>4.4999999999999998E-2</v>
      </c>
      <c r="M34" s="1">
        <f t="shared" si="1"/>
        <v>2.1000000000000001E-2</v>
      </c>
    </row>
    <row r="35" spans="2:16" x14ac:dyDescent="0.25">
      <c r="B35" s="1">
        <v>31</v>
      </c>
      <c r="C35" s="28"/>
      <c r="D35" s="31"/>
      <c r="E35" s="1">
        <v>300</v>
      </c>
      <c r="F35" s="8">
        <f>-0.2178</f>
        <v>-0.21779999999999999</v>
      </c>
      <c r="G35" s="5">
        <f t="shared" si="7"/>
        <v>4.0890000000000002E-4</v>
      </c>
      <c r="H35" s="1">
        <f t="shared" si="0"/>
        <v>2.4000000000000003E-4</v>
      </c>
      <c r="I35" s="1">
        <f t="shared" si="3"/>
        <v>0.78801075360672201</v>
      </c>
      <c r="J35" s="1">
        <f t="shared" si="4"/>
        <v>0.39400000000000002</v>
      </c>
      <c r="K35" s="1">
        <f t="shared" si="5"/>
        <v>-0.61566147532565829</v>
      </c>
      <c r="L35" s="1">
        <f t="shared" si="6"/>
        <v>0.04</v>
      </c>
      <c r="M35" s="1">
        <f t="shared" si="1"/>
        <v>2.1000000000000001E-2</v>
      </c>
    </row>
    <row r="36" spans="2:16" x14ac:dyDescent="0.25">
      <c r="B36" s="1">
        <v>32</v>
      </c>
      <c r="C36" s="28"/>
      <c r="D36" s="31"/>
      <c r="E36" s="1">
        <v>310</v>
      </c>
      <c r="F36" s="8">
        <f>-0.1852</f>
        <v>-0.1852</v>
      </c>
      <c r="G36" s="5">
        <f t="shared" si="7"/>
        <v>3.926E-4</v>
      </c>
      <c r="H36" s="1">
        <f t="shared" si="0"/>
        <v>2.3000000000000001E-4</v>
      </c>
      <c r="I36" s="1">
        <f t="shared" si="3"/>
        <v>0.66913060635885835</v>
      </c>
      <c r="J36" s="1">
        <f t="shared" si="4"/>
        <v>0.33500000000000002</v>
      </c>
      <c r="K36" s="1">
        <f t="shared" si="5"/>
        <v>-0.74314482547739402</v>
      </c>
      <c r="L36" s="1">
        <f t="shared" si="6"/>
        <v>3.5000000000000003E-2</v>
      </c>
      <c r="M36" s="1">
        <f t="shared" si="1"/>
        <v>2.1000000000000001E-2</v>
      </c>
    </row>
    <row r="37" spans="2:16" x14ac:dyDescent="0.25">
      <c r="B37" s="1">
        <v>33</v>
      </c>
      <c r="C37" s="28"/>
      <c r="D37" s="31"/>
      <c r="E37" s="1">
        <v>320</v>
      </c>
      <c r="F37" s="8">
        <f>-0.1481</f>
        <v>-0.14810000000000001</v>
      </c>
      <c r="G37" s="5">
        <f t="shared" si="7"/>
        <v>3.7405000000000001E-4</v>
      </c>
      <c r="H37" s="1">
        <f t="shared" si="0"/>
        <v>2.2000000000000001E-4</v>
      </c>
      <c r="I37" s="1">
        <f t="shared" si="3"/>
        <v>0.5299192642332049</v>
      </c>
      <c r="J37" s="1">
        <f t="shared" si="4"/>
        <v>0.26500000000000001</v>
      </c>
      <c r="K37" s="1">
        <f t="shared" si="5"/>
        <v>-0.84804809615642596</v>
      </c>
      <c r="L37" s="1">
        <f t="shared" si="6"/>
        <v>2.8000000000000001E-2</v>
      </c>
      <c r="M37" s="1">
        <f t="shared" si="1"/>
        <v>2.1000000000000001E-2</v>
      </c>
    </row>
    <row r="38" spans="2:16" x14ac:dyDescent="0.25">
      <c r="B38" s="1">
        <v>34</v>
      </c>
      <c r="C38" s="28"/>
      <c r="D38" s="31"/>
      <c r="E38" s="1">
        <v>330</v>
      </c>
      <c r="F38" s="8">
        <f>-0.1052</f>
        <v>-0.1052</v>
      </c>
      <c r="G38" s="5">
        <f t="shared" si="7"/>
        <v>3.5260000000000001E-4</v>
      </c>
      <c r="H38" s="1">
        <f t="shared" si="0"/>
        <v>2.1000000000000001E-4</v>
      </c>
      <c r="I38" s="1">
        <f t="shared" si="3"/>
        <v>0.37460659341591224</v>
      </c>
      <c r="J38" s="1">
        <f t="shared" si="4"/>
        <v>0.187</v>
      </c>
      <c r="K38" s="1">
        <f t="shared" si="5"/>
        <v>-0.92718385456678731</v>
      </c>
      <c r="L38" s="1">
        <f t="shared" si="6"/>
        <v>2.2000000000000002E-2</v>
      </c>
      <c r="M38" s="1">
        <f t="shared" si="1"/>
        <v>2.1000000000000001E-2</v>
      </c>
    </row>
    <row r="39" spans="2:16" x14ac:dyDescent="0.25">
      <c r="B39" s="1">
        <v>35</v>
      </c>
      <c r="C39" s="28"/>
      <c r="D39" s="31"/>
      <c r="E39" s="1">
        <v>340</v>
      </c>
      <c r="F39" s="8">
        <f>-0.06</f>
        <v>-0.06</v>
      </c>
      <c r="G39" s="5">
        <f t="shared" si="7"/>
        <v>3.3000000000000005E-4</v>
      </c>
      <c r="H39" s="1">
        <f>CEILING(G39/SQRT(3),0.000001)</f>
        <v>1.9099999999999998E-4</v>
      </c>
      <c r="I39" s="1">
        <f t="shared" si="3"/>
        <v>0.20791169081775931</v>
      </c>
      <c r="J39" s="1">
        <f t="shared" si="4"/>
        <v>0.104</v>
      </c>
      <c r="K39" s="1">
        <f t="shared" si="5"/>
        <v>-0.97814760073380569</v>
      </c>
      <c r="L39" s="1">
        <f t="shared" si="6"/>
        <v>1.4999999999999999E-2</v>
      </c>
      <c r="M39" s="1">
        <f t="shared" si="1"/>
        <v>2.1000000000000001E-2</v>
      </c>
    </row>
    <row r="40" spans="2:16" x14ac:dyDescent="0.25">
      <c r="B40" s="1">
        <v>36</v>
      </c>
      <c r="C40" s="28"/>
      <c r="D40" s="31"/>
      <c r="E40" s="1">
        <v>350</v>
      </c>
      <c r="F40" s="8">
        <f>-0.0123</f>
        <v>-1.23E-2</v>
      </c>
      <c r="G40" s="5">
        <f t="shared" si="7"/>
        <v>3.0615000000000004E-4</v>
      </c>
      <c r="H40" s="1">
        <f>CEILING(G40/SQRT(3),0.0001)</f>
        <v>2.0000000000000001E-4</v>
      </c>
      <c r="I40" s="1">
        <f t="shared" si="3"/>
        <v>3.4899496702500699E-2</v>
      </c>
      <c r="J40" s="1">
        <f t="shared" si="4"/>
        <v>1.7000000000000001E-2</v>
      </c>
      <c r="K40" s="1">
        <f t="shared" si="5"/>
        <v>-0.99939082701909576</v>
      </c>
      <c r="L40" s="1">
        <f t="shared" si="6"/>
        <v>1.0999999999999999E-2</v>
      </c>
      <c r="M40" s="1">
        <f t="shared" si="1"/>
        <v>2.1000000000000001E-2</v>
      </c>
    </row>
    <row r="41" spans="2:16" x14ac:dyDescent="0.25">
      <c r="B41" s="2">
        <v>37</v>
      </c>
      <c r="C41" s="28"/>
      <c r="D41" s="31"/>
      <c r="E41" s="2">
        <v>360</v>
      </c>
      <c r="F41" s="9">
        <f>0.0319</f>
        <v>3.1899999999999998E-2</v>
      </c>
      <c r="G41" s="5">
        <f t="shared" si="7"/>
        <v>3.1595000000000001E-4</v>
      </c>
      <c r="H41" s="1">
        <f>CEILING(G41/SQRT(3),0.00001)</f>
        <v>1.9000000000000001E-4</v>
      </c>
      <c r="I41" s="1">
        <f t="shared" si="3"/>
        <v>-0.13917310096006552</v>
      </c>
      <c r="J41" s="1">
        <f t="shared" si="4"/>
        <v>-7.0000000000000007E-2</v>
      </c>
      <c r="K41" s="1">
        <f t="shared" si="5"/>
        <v>-0.99026806874157025</v>
      </c>
      <c r="L41" s="1">
        <f t="shared" si="6"/>
        <v>1.3000000000000001E-2</v>
      </c>
      <c r="M41" s="1">
        <f t="shared" si="1"/>
        <v>2.1000000000000001E-2</v>
      </c>
    </row>
    <row r="42" spans="2:16" x14ac:dyDescent="0.25">
      <c r="B42" s="4">
        <v>38</v>
      </c>
      <c r="C42" s="29"/>
      <c r="D42" s="32"/>
      <c r="E42" s="4">
        <v>354</v>
      </c>
      <c r="F42" s="8">
        <v>0</v>
      </c>
      <c r="G42" s="5">
        <f t="shared" si="7"/>
        <v>3.0000000000000003E-4</v>
      </c>
      <c r="H42" s="1">
        <f>CEILING(G42/SQRT(3),0.00001)</f>
        <v>1.8000000000000001E-4</v>
      </c>
      <c r="I42" s="1">
        <f t="shared" si="3"/>
        <v>-3.48994967025009E-2</v>
      </c>
      <c r="J42" s="1">
        <f t="shared" si="4"/>
        <v>-1.7000000000000001E-2</v>
      </c>
      <c r="K42" s="1">
        <f t="shared" si="5"/>
        <v>-0.99939082701909576</v>
      </c>
      <c r="L42" s="1">
        <f t="shared" si="6"/>
        <v>1.0999999999999999E-2</v>
      </c>
      <c r="M42" s="1">
        <f t="shared" si="1"/>
        <v>2.1000000000000001E-2</v>
      </c>
    </row>
    <row r="44" spans="2:16" x14ac:dyDescent="0.25">
      <c r="O44" s="1" t="s">
        <v>27</v>
      </c>
      <c r="P44" s="1">
        <v>172</v>
      </c>
    </row>
    <row r="45" spans="2:16" x14ac:dyDescent="0.25">
      <c r="B45" s="3" t="s">
        <v>34</v>
      </c>
      <c r="C45" s="1" t="s">
        <v>22</v>
      </c>
      <c r="E45" s="1" t="s">
        <v>23</v>
      </c>
      <c r="G45" s="1" t="s">
        <v>24</v>
      </c>
      <c r="O45" s="1" t="s">
        <v>29</v>
      </c>
      <c r="P45" s="1">
        <v>80</v>
      </c>
    </row>
    <row r="46" spans="2:16" x14ac:dyDescent="0.25">
      <c r="B46" s="1"/>
      <c r="C46" s="1">
        <f>0.5322/0.01</f>
        <v>53.22</v>
      </c>
      <c r="E46" s="1">
        <f>(SQRT((((1/C5)*S19)^2)+(((-S18)/(C5^2))*(0.00044^2))))</f>
        <v>0.22774911811025741</v>
      </c>
      <c r="G46" s="11">
        <f>1/((1.602E-19)*(2*0.000001)*(C46))</f>
        <v>5.8645220344167687E+22</v>
      </c>
      <c r="O46" s="1" t="s">
        <v>28</v>
      </c>
      <c r="P46" s="1">
        <v>260</v>
      </c>
    </row>
    <row r="47" spans="2:16" x14ac:dyDescent="0.25">
      <c r="B47" s="1">
        <v>1</v>
      </c>
      <c r="C47" s="1">
        <v>170</v>
      </c>
      <c r="I47" s="10"/>
      <c r="O47" s="1" t="s">
        <v>3</v>
      </c>
      <c r="P47" s="1">
        <v>172</v>
      </c>
    </row>
    <row r="48" spans="2:16" x14ac:dyDescent="0.25">
      <c r="B48" s="1"/>
      <c r="C48" s="1">
        <v>5.319</v>
      </c>
      <c r="G48" s="1" t="s">
        <v>25</v>
      </c>
      <c r="O48" s="1" t="s">
        <v>3</v>
      </c>
      <c r="P48" s="1">
        <v>354</v>
      </c>
    </row>
    <row r="49" spans="2:10" x14ac:dyDescent="0.25">
      <c r="B49" s="1">
        <v>2</v>
      </c>
      <c r="C49" s="1">
        <v>250</v>
      </c>
      <c r="G49" s="1">
        <f>SQRT(ABS((((-1)/(1.602E-19)*(2*0.000001)*(C46^2))*((0.023)^2))+(((-1)/(1.602E-19)*((2*0.000001)^2)*(C46))*((1*0.000001)^2))))</f>
        <v>4325003.3500019498</v>
      </c>
      <c r="H49" s="10"/>
      <c r="J49">
        <f>SQRT((((G46/E46)^2)*(0.23^2))+(((G46/0.000002)^2)*(G49^2)))</f>
        <v>1.2682038722506389E+35</v>
      </c>
    </row>
    <row r="50" spans="2:10" x14ac:dyDescent="0.25">
      <c r="B50" s="1"/>
      <c r="C50" s="1">
        <v>1.05</v>
      </c>
    </row>
    <row r="51" spans="2:10" x14ac:dyDescent="0.25">
      <c r="B51" s="1">
        <v>3</v>
      </c>
      <c r="C51" s="1">
        <v>80</v>
      </c>
      <c r="J51" s="10"/>
    </row>
    <row r="52" spans="2:10" x14ac:dyDescent="0.25">
      <c r="B52" s="1"/>
      <c r="C52" s="1">
        <v>0.17</v>
      </c>
    </row>
  </sheetData>
  <mergeCells count="2">
    <mergeCell ref="C5:C42"/>
    <mergeCell ref="D5:D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A556-8271-4293-AD41-9DAA4A2D357B}">
  <dimension ref="B2:L46"/>
  <sheetViews>
    <sheetView topLeftCell="B4" zoomScaleNormal="100" workbookViewId="0">
      <selection activeCell="B10" sqref="B10"/>
    </sheetView>
  </sheetViews>
  <sheetFormatPr defaultRowHeight="15" x14ac:dyDescent="0.25"/>
  <sheetData>
    <row r="2" spans="2:12" ht="15.75" thickBot="1" x14ac:dyDescent="0.3"/>
    <row r="3" spans="2:12" ht="15.75" thickBot="1" x14ac:dyDescent="0.3">
      <c r="B3" s="13" t="s">
        <v>26</v>
      </c>
      <c r="C3" s="14" t="s">
        <v>35</v>
      </c>
      <c r="D3" s="39" t="s">
        <v>36</v>
      </c>
      <c r="E3" s="40"/>
      <c r="F3" s="14" t="s">
        <v>37</v>
      </c>
      <c r="G3" s="14" t="s">
        <v>38</v>
      </c>
      <c r="H3" s="14" t="s">
        <v>39</v>
      </c>
      <c r="I3" s="14" t="s">
        <v>6</v>
      </c>
      <c r="J3" s="14" t="s">
        <v>40</v>
      </c>
      <c r="L3" s="20" t="s">
        <v>46</v>
      </c>
    </row>
    <row r="4" spans="2:12" ht="15.75" thickBot="1" x14ac:dyDescent="0.3">
      <c r="B4" s="15" t="s">
        <v>45</v>
      </c>
      <c r="C4" s="16" t="s">
        <v>41</v>
      </c>
      <c r="D4" s="17" t="s">
        <v>31</v>
      </c>
      <c r="E4" s="15" t="s">
        <v>42</v>
      </c>
      <c r="F4" s="16" t="s">
        <v>31</v>
      </c>
      <c r="G4" s="16" t="s">
        <v>43</v>
      </c>
      <c r="H4" s="16" t="s">
        <v>43</v>
      </c>
      <c r="I4" s="16" t="s">
        <v>44</v>
      </c>
      <c r="J4" s="16" t="s">
        <v>44</v>
      </c>
    </row>
    <row r="5" spans="2:12" ht="15.75" thickBot="1" x14ac:dyDescent="0.3">
      <c r="B5" s="18">
        <v>0.01</v>
      </c>
      <c r="C5" s="33">
        <v>4.4000000000000002E-4</v>
      </c>
      <c r="D5" s="33">
        <f>ROUND((E5*PI())/180,3)</f>
        <v>1.3959999999999999</v>
      </c>
      <c r="E5" s="33">
        <v>80</v>
      </c>
      <c r="F5" s="33">
        <f>ROUNDUP(((2*PI())/(180*SQRT(3))),3)</f>
        <v>2.1000000000000001E-2</v>
      </c>
      <c r="G5" s="19">
        <v>0.25</v>
      </c>
      <c r="H5" s="19">
        <f>CEILING(L5/SQRT(3),0.00001)</f>
        <v>2.5000000000000001E-4</v>
      </c>
      <c r="I5" s="33">
        <v>-0.5</v>
      </c>
      <c r="J5" s="33">
        <v>0.05</v>
      </c>
      <c r="L5">
        <f>0.05*0.01*ABS(G5)+3*0.0001</f>
        <v>4.2500000000000003E-4</v>
      </c>
    </row>
    <row r="6" spans="2:12" ht="15.75" thickBot="1" x14ac:dyDescent="0.3">
      <c r="B6" s="18">
        <v>8.9999999999999993E-3</v>
      </c>
      <c r="C6" s="34"/>
      <c r="D6" s="34"/>
      <c r="E6" s="34"/>
      <c r="F6" s="34"/>
      <c r="G6" s="19">
        <v>0.22600000000000001</v>
      </c>
      <c r="H6" s="19">
        <f t="shared" ref="H6:H46" si="0">CEILING(L6/SQRT(3),0.00001)</f>
        <v>2.4000000000000003E-4</v>
      </c>
      <c r="I6" s="34"/>
      <c r="J6" s="34"/>
      <c r="L6">
        <f t="shared" ref="L6:L15" si="1">0.05*0.01*ABS(G6)+3*0.0001</f>
        <v>4.1300000000000006E-4</v>
      </c>
    </row>
    <row r="7" spans="2:12" ht="15.75" thickBot="1" x14ac:dyDescent="0.3">
      <c r="B7" s="18">
        <v>8.0000000000000002E-3</v>
      </c>
      <c r="C7" s="34"/>
      <c r="D7" s="34"/>
      <c r="E7" s="34"/>
      <c r="F7" s="34"/>
      <c r="G7" s="19">
        <v>0.20039999999999999</v>
      </c>
      <c r="H7" s="19">
        <f t="shared" si="0"/>
        <v>2.4000000000000003E-4</v>
      </c>
      <c r="I7" s="34"/>
      <c r="J7" s="34"/>
      <c r="L7">
        <f t="shared" si="1"/>
        <v>4.0020000000000002E-4</v>
      </c>
    </row>
    <row r="8" spans="2:12" ht="15.75" thickBot="1" x14ac:dyDescent="0.3">
      <c r="B8" s="18">
        <v>7.0000000000000001E-3</v>
      </c>
      <c r="C8" s="34"/>
      <c r="D8" s="34"/>
      <c r="E8" s="34"/>
      <c r="F8" s="34"/>
      <c r="G8" s="19">
        <v>0.1759</v>
      </c>
      <c r="H8" s="19">
        <f>CEILING(L8/SQRT(3),0.00001)</f>
        <v>2.3000000000000001E-4</v>
      </c>
      <c r="I8" s="34"/>
      <c r="J8" s="34"/>
      <c r="L8">
        <f t="shared" si="1"/>
        <v>3.8795000000000002E-4</v>
      </c>
    </row>
    <row r="9" spans="2:12" ht="15.75" thickBot="1" x14ac:dyDescent="0.3">
      <c r="B9" s="18">
        <v>6.0000000000000001E-3</v>
      </c>
      <c r="C9" s="34"/>
      <c r="D9" s="34"/>
      <c r="E9" s="34"/>
      <c r="F9" s="34"/>
      <c r="G9" s="19">
        <v>0.1515</v>
      </c>
      <c r="H9" s="19">
        <f t="shared" si="0"/>
        <v>2.2000000000000001E-4</v>
      </c>
      <c r="I9" s="34"/>
      <c r="J9" s="34"/>
      <c r="L9">
        <f t="shared" si="1"/>
        <v>3.7575E-4</v>
      </c>
    </row>
    <row r="10" spans="2:12" ht="15.75" thickBot="1" x14ac:dyDescent="0.3">
      <c r="B10" s="18">
        <v>5.0000000000000001E-3</v>
      </c>
      <c r="C10" s="34"/>
      <c r="D10" s="34"/>
      <c r="E10" s="34"/>
      <c r="F10" s="34"/>
      <c r="G10" s="19">
        <v>0.12740000000000001</v>
      </c>
      <c r="H10" s="19">
        <f t="shared" si="0"/>
        <v>2.1000000000000001E-4</v>
      </c>
      <c r="I10" s="34"/>
      <c r="J10" s="34"/>
      <c r="L10">
        <f t="shared" si="1"/>
        <v>3.637E-4</v>
      </c>
    </row>
    <row r="11" spans="2:12" ht="15.75" thickBot="1" x14ac:dyDescent="0.3">
      <c r="B11" s="18">
        <v>4.0000000000000001E-3</v>
      </c>
      <c r="C11" s="34"/>
      <c r="D11" s="34"/>
      <c r="E11" s="34"/>
      <c r="F11" s="34"/>
      <c r="G11" s="19">
        <v>0.1016</v>
      </c>
      <c r="H11" s="19">
        <f t="shared" si="0"/>
        <v>2.1000000000000001E-4</v>
      </c>
      <c r="I11" s="34"/>
      <c r="J11" s="34"/>
      <c r="L11">
        <f t="shared" si="1"/>
        <v>3.5080000000000002E-4</v>
      </c>
    </row>
    <row r="12" spans="2:12" ht="15.75" thickBot="1" x14ac:dyDescent="0.3">
      <c r="B12" s="18">
        <v>3.0000000000000001E-3</v>
      </c>
      <c r="C12" s="34"/>
      <c r="D12" s="34"/>
      <c r="E12" s="34"/>
      <c r="F12" s="34"/>
      <c r="G12" s="19">
        <v>7.4800000000000005E-2</v>
      </c>
      <c r="H12" s="19">
        <f t="shared" si="0"/>
        <v>2.0000000000000001E-4</v>
      </c>
      <c r="I12" s="34"/>
      <c r="J12" s="34"/>
      <c r="L12">
        <f t="shared" si="1"/>
        <v>3.3740000000000002E-4</v>
      </c>
    </row>
    <row r="13" spans="2:12" ht="15.75" thickBot="1" x14ac:dyDescent="0.3">
      <c r="B13" s="18">
        <v>2E-3</v>
      </c>
      <c r="C13" s="34"/>
      <c r="D13" s="34"/>
      <c r="E13" s="34"/>
      <c r="F13" s="34"/>
      <c r="G13" s="19">
        <v>5.0599999999999999E-2</v>
      </c>
      <c r="H13" s="19">
        <f t="shared" si="0"/>
        <v>1.9000000000000001E-4</v>
      </c>
      <c r="I13" s="34"/>
      <c r="J13" s="34"/>
      <c r="L13">
        <f t="shared" si="1"/>
        <v>3.2530000000000005E-4</v>
      </c>
    </row>
    <row r="14" spans="2:12" ht="15.75" thickBot="1" x14ac:dyDescent="0.3">
      <c r="B14" s="18">
        <v>1E-3</v>
      </c>
      <c r="C14" s="34"/>
      <c r="D14" s="34"/>
      <c r="E14" s="34"/>
      <c r="F14" s="34"/>
      <c r="G14" s="19">
        <v>2.46E-2</v>
      </c>
      <c r="H14" s="19">
        <f t="shared" si="0"/>
        <v>1.9000000000000001E-4</v>
      </c>
      <c r="I14" s="34"/>
      <c r="J14" s="34"/>
      <c r="L14">
        <f t="shared" si="1"/>
        <v>3.1230000000000006E-4</v>
      </c>
    </row>
    <row r="15" spans="2:12" ht="15.75" thickBot="1" x14ac:dyDescent="0.3">
      <c r="B15" s="18">
        <v>0</v>
      </c>
      <c r="C15" s="34"/>
      <c r="D15" s="34"/>
      <c r="E15" s="34"/>
      <c r="F15" s="34"/>
      <c r="G15" s="19">
        <v>0</v>
      </c>
      <c r="H15" s="19">
        <f t="shared" si="0"/>
        <v>1.8000000000000001E-4</v>
      </c>
      <c r="I15" s="34"/>
      <c r="J15" s="34"/>
      <c r="L15">
        <f t="shared" si="1"/>
        <v>3.0000000000000003E-4</v>
      </c>
    </row>
    <row r="16" spans="2:12" ht="15.75" thickBot="1" x14ac:dyDescent="0.3">
      <c r="B16" s="18">
        <v>-1E-3</v>
      </c>
      <c r="C16" s="34"/>
      <c r="D16" s="34"/>
      <c r="E16" s="34"/>
      <c r="F16" s="34"/>
      <c r="G16" s="19">
        <v>-2.6700000000000002E-2</v>
      </c>
      <c r="H16" s="19">
        <f>CEILING(L16/SQRT(3),0.00001)</f>
        <v>1.9000000000000001E-4</v>
      </c>
      <c r="I16" s="34"/>
      <c r="J16" s="34"/>
      <c r="L16">
        <f>0.05*0.01*ABS(G16)+3*0.0001</f>
        <v>3.1335000000000005E-4</v>
      </c>
    </row>
    <row r="17" spans="2:12" ht="15.75" thickBot="1" x14ac:dyDescent="0.3">
      <c r="B17" s="18">
        <v>-2E-3</v>
      </c>
      <c r="C17" s="34"/>
      <c r="D17" s="34"/>
      <c r="E17" s="34"/>
      <c r="F17" s="34"/>
      <c r="G17" s="19">
        <v>-5.3499999999999999E-2</v>
      </c>
      <c r="H17" s="19">
        <f t="shared" si="0"/>
        <v>1.9000000000000001E-4</v>
      </c>
      <c r="I17" s="34"/>
      <c r="J17" s="34"/>
      <c r="L17">
        <f t="shared" ref="L17:L24" si="2">0.05*0.01*ABS(G16)+3*0.0001</f>
        <v>3.1335000000000005E-4</v>
      </c>
    </row>
    <row r="18" spans="2:12" ht="15.75" thickBot="1" x14ac:dyDescent="0.3">
      <c r="B18" s="18">
        <v>-3.0000000000000001E-3</v>
      </c>
      <c r="C18" s="34"/>
      <c r="D18" s="34"/>
      <c r="E18" s="34"/>
      <c r="F18" s="34"/>
      <c r="G18" s="19">
        <v>-7.9100000000000004E-2</v>
      </c>
      <c r="H18" s="19">
        <f t="shared" si="0"/>
        <v>1.9000000000000001E-4</v>
      </c>
      <c r="I18" s="34"/>
      <c r="J18" s="34"/>
      <c r="L18">
        <f t="shared" si="2"/>
        <v>3.2675E-4</v>
      </c>
    </row>
    <row r="19" spans="2:12" ht="15.75" thickBot="1" x14ac:dyDescent="0.3">
      <c r="B19" s="18">
        <v>-4.0000000000000001E-3</v>
      </c>
      <c r="C19" s="34"/>
      <c r="D19" s="34"/>
      <c r="E19" s="34"/>
      <c r="F19" s="34"/>
      <c r="G19" s="19">
        <v>-0.1019</v>
      </c>
      <c r="H19" s="19">
        <f t="shared" si="0"/>
        <v>2.0000000000000001E-4</v>
      </c>
      <c r="I19" s="34"/>
      <c r="J19" s="34"/>
      <c r="L19">
        <f t="shared" si="2"/>
        <v>3.3955000000000004E-4</v>
      </c>
    </row>
    <row r="20" spans="2:12" ht="15.75" thickBot="1" x14ac:dyDescent="0.3">
      <c r="B20" s="18">
        <v>-5.0000000000000001E-3</v>
      </c>
      <c r="C20" s="34"/>
      <c r="D20" s="34"/>
      <c r="E20" s="34"/>
      <c r="F20" s="34"/>
      <c r="G20" s="19">
        <v>-0.12790000000000001</v>
      </c>
      <c r="H20" s="19">
        <f t="shared" si="0"/>
        <v>2.1000000000000001E-4</v>
      </c>
      <c r="I20" s="34"/>
      <c r="J20" s="34"/>
      <c r="L20">
        <f t="shared" si="2"/>
        <v>3.5095000000000005E-4</v>
      </c>
    </row>
    <row r="21" spans="2:12" ht="15.75" thickBot="1" x14ac:dyDescent="0.3">
      <c r="B21" s="18">
        <v>-6.0000000000000001E-3</v>
      </c>
      <c r="C21" s="34"/>
      <c r="D21" s="34"/>
      <c r="E21" s="34"/>
      <c r="F21" s="34"/>
      <c r="G21" s="19">
        <v>-0.156</v>
      </c>
      <c r="H21" s="19">
        <f t="shared" si="0"/>
        <v>2.2000000000000001E-4</v>
      </c>
      <c r="I21" s="34"/>
      <c r="J21" s="34"/>
      <c r="L21">
        <f t="shared" si="2"/>
        <v>3.6395000000000004E-4</v>
      </c>
    </row>
    <row r="22" spans="2:12" ht="15.75" thickBot="1" x14ac:dyDescent="0.3">
      <c r="B22" s="18">
        <v>-7.0000000000000001E-3</v>
      </c>
      <c r="C22" s="34"/>
      <c r="D22" s="34"/>
      <c r="E22" s="34"/>
      <c r="F22" s="34"/>
      <c r="G22" s="19">
        <v>-0.1812</v>
      </c>
      <c r="H22" s="19">
        <f t="shared" si="0"/>
        <v>2.2000000000000001E-4</v>
      </c>
      <c r="I22" s="34"/>
      <c r="J22" s="34"/>
      <c r="L22">
        <f t="shared" si="2"/>
        <v>3.7800000000000003E-4</v>
      </c>
    </row>
    <row r="23" spans="2:12" ht="15.75" thickBot="1" x14ac:dyDescent="0.3">
      <c r="B23" s="18">
        <v>-8.0000000000000002E-3</v>
      </c>
      <c r="C23" s="34"/>
      <c r="D23" s="34"/>
      <c r="E23" s="34"/>
      <c r="F23" s="34"/>
      <c r="G23" s="19">
        <v>-0.19989999999999999</v>
      </c>
      <c r="H23" s="19">
        <f t="shared" si="0"/>
        <v>2.3000000000000001E-4</v>
      </c>
      <c r="I23" s="34"/>
      <c r="J23" s="34"/>
      <c r="L23">
        <f t="shared" si="2"/>
        <v>3.9060000000000006E-4</v>
      </c>
    </row>
    <row r="24" spans="2:12" ht="15.75" thickBot="1" x14ac:dyDescent="0.3">
      <c r="B24" s="18">
        <v>-8.9999999999999993E-3</v>
      </c>
      <c r="C24" s="34"/>
      <c r="D24" s="34"/>
      <c r="E24" s="34"/>
      <c r="F24" s="34"/>
      <c r="G24" s="21">
        <v>-0.23180000000000001</v>
      </c>
      <c r="H24" s="19">
        <f t="shared" si="0"/>
        <v>2.4000000000000003E-4</v>
      </c>
      <c r="I24" s="34"/>
      <c r="J24" s="34"/>
      <c r="L24">
        <f t="shared" si="2"/>
        <v>3.9995000000000005E-4</v>
      </c>
    </row>
    <row r="25" spans="2:12" ht="15.75" thickBot="1" x14ac:dyDescent="0.3">
      <c r="B25" s="18">
        <v>-0.01</v>
      </c>
      <c r="C25" s="34"/>
      <c r="D25" s="35"/>
      <c r="E25" s="36"/>
      <c r="F25" s="34"/>
      <c r="G25" s="24">
        <v>-0.24990000000000001</v>
      </c>
      <c r="H25" s="19">
        <f t="shared" si="0"/>
        <v>2.5000000000000001E-4</v>
      </c>
      <c r="I25" s="36"/>
      <c r="J25" s="34"/>
      <c r="L25">
        <f>0.05*0.01*ABS(G25)+3*0.0001</f>
        <v>4.2495E-4</v>
      </c>
    </row>
    <row r="26" spans="2:12" ht="15.75" thickBot="1" x14ac:dyDescent="0.3">
      <c r="B26" s="18">
        <v>0.01</v>
      </c>
      <c r="C26" s="34"/>
      <c r="D26" s="33">
        <f>ROUND((E26*PI())/180,3)</f>
        <v>4.5380000000000003</v>
      </c>
      <c r="E26" s="38">
        <v>260</v>
      </c>
      <c r="F26" s="37"/>
      <c r="G26" s="21">
        <v>0.28160000000000002</v>
      </c>
      <c r="H26" s="19">
        <f t="shared" si="0"/>
        <v>2.6000000000000003E-4</v>
      </c>
      <c r="I26" s="38">
        <v>0.5</v>
      </c>
      <c r="J26" s="34"/>
      <c r="L26">
        <f>0.05*0.01*ABS(G26)+3*0.0001</f>
        <v>4.4080000000000004E-4</v>
      </c>
    </row>
    <row r="27" spans="2:12" ht="15.75" thickBot="1" x14ac:dyDescent="0.3">
      <c r="B27" s="18">
        <v>8.9999999999999993E-3</v>
      </c>
      <c r="C27" s="34"/>
      <c r="D27" s="34"/>
      <c r="E27" s="34"/>
      <c r="F27" s="37"/>
      <c r="G27" s="23">
        <v>0.251</v>
      </c>
      <c r="H27" s="19">
        <f t="shared" si="0"/>
        <v>2.5000000000000001E-4</v>
      </c>
      <c r="I27" s="34"/>
      <c r="J27" s="34"/>
      <c r="L27">
        <f t="shared" ref="L27:L35" si="3">0.05*0.01*ABS(G27)+3*0.0001</f>
        <v>4.2550000000000004E-4</v>
      </c>
    </row>
    <row r="28" spans="2:12" ht="15.75" thickBot="1" x14ac:dyDescent="0.3">
      <c r="B28" s="18">
        <v>8.0000000000000002E-3</v>
      </c>
      <c r="C28" s="34"/>
      <c r="D28" s="34"/>
      <c r="E28" s="34"/>
      <c r="F28" s="37"/>
      <c r="G28" s="22">
        <v>0.2218</v>
      </c>
      <c r="H28" s="19">
        <f t="shared" si="0"/>
        <v>2.4000000000000003E-4</v>
      </c>
      <c r="I28" s="34"/>
      <c r="J28" s="34"/>
      <c r="L28">
        <f t="shared" si="3"/>
        <v>4.1090000000000001E-4</v>
      </c>
    </row>
    <row r="29" spans="2:12" ht="15.75" thickBot="1" x14ac:dyDescent="0.3">
      <c r="B29" s="18">
        <v>7.0000000000000001E-3</v>
      </c>
      <c r="C29" s="34"/>
      <c r="D29" s="34"/>
      <c r="E29" s="34"/>
      <c r="F29" s="37"/>
      <c r="G29" s="21">
        <v>0.1993</v>
      </c>
      <c r="H29" s="19">
        <f t="shared" si="0"/>
        <v>2.4000000000000003E-4</v>
      </c>
      <c r="I29" s="34"/>
      <c r="J29" s="34"/>
      <c r="L29">
        <f t="shared" si="3"/>
        <v>3.9965000000000004E-4</v>
      </c>
    </row>
    <row r="30" spans="2:12" ht="15.75" thickBot="1" x14ac:dyDescent="0.3">
      <c r="B30" s="18">
        <v>6.0000000000000001E-3</v>
      </c>
      <c r="C30" s="34"/>
      <c r="D30" s="34"/>
      <c r="E30" s="34"/>
      <c r="F30" s="37"/>
      <c r="G30" s="23">
        <v>0.16850000000000001</v>
      </c>
      <c r="H30" s="19">
        <f t="shared" si="0"/>
        <v>2.3000000000000001E-4</v>
      </c>
      <c r="I30" s="34"/>
      <c r="J30" s="34"/>
      <c r="L30">
        <f t="shared" si="3"/>
        <v>3.8425000000000004E-4</v>
      </c>
    </row>
    <row r="31" spans="2:12" ht="15.75" thickBot="1" x14ac:dyDescent="0.3">
      <c r="B31" s="18">
        <v>5.0000000000000001E-3</v>
      </c>
      <c r="C31" s="34"/>
      <c r="D31" s="34"/>
      <c r="E31" s="34"/>
      <c r="F31" s="37"/>
      <c r="G31" s="21">
        <v>0.14399999999999999</v>
      </c>
      <c r="H31" s="19">
        <f t="shared" si="0"/>
        <v>2.2000000000000001E-4</v>
      </c>
      <c r="I31" s="34"/>
      <c r="J31" s="34"/>
      <c r="L31">
        <f t="shared" si="3"/>
        <v>3.7200000000000004E-4</v>
      </c>
    </row>
    <row r="32" spans="2:12" ht="15.75" thickBot="1" x14ac:dyDescent="0.3">
      <c r="B32" s="18">
        <v>4.0000000000000001E-3</v>
      </c>
      <c r="C32" s="34"/>
      <c r="D32" s="34"/>
      <c r="E32" s="34"/>
      <c r="F32" s="37"/>
      <c r="G32" s="22">
        <v>0.11459999999999999</v>
      </c>
      <c r="H32" s="19">
        <f t="shared" si="0"/>
        <v>2.1000000000000001E-4</v>
      </c>
      <c r="I32" s="34"/>
      <c r="J32" s="34"/>
      <c r="L32">
        <f t="shared" si="3"/>
        <v>3.5730000000000001E-4</v>
      </c>
    </row>
    <row r="33" spans="2:12" ht="15.75" thickBot="1" x14ac:dyDescent="0.3">
      <c r="B33" s="18">
        <v>3.0000000000000001E-3</v>
      </c>
      <c r="C33" s="34"/>
      <c r="D33" s="34"/>
      <c r="E33" s="34"/>
      <c r="F33" s="37"/>
      <c r="G33" s="22">
        <v>8.7800000000000003E-2</v>
      </c>
      <c r="H33" s="19">
        <f t="shared" si="0"/>
        <v>2.0000000000000001E-4</v>
      </c>
      <c r="I33" s="34"/>
      <c r="J33" s="34"/>
      <c r="L33">
        <f t="shared" si="3"/>
        <v>3.4390000000000001E-4</v>
      </c>
    </row>
    <row r="34" spans="2:12" ht="15.75" thickBot="1" x14ac:dyDescent="0.3">
      <c r="B34" s="18">
        <v>2E-3</v>
      </c>
      <c r="C34" s="34"/>
      <c r="D34" s="34"/>
      <c r="E34" s="34"/>
      <c r="F34" s="37"/>
      <c r="G34" s="21">
        <v>5.8599999999999999E-2</v>
      </c>
      <c r="H34" s="19">
        <f t="shared" si="0"/>
        <v>2.0000000000000001E-4</v>
      </c>
      <c r="I34" s="34"/>
      <c r="J34" s="34"/>
      <c r="L34">
        <f t="shared" si="3"/>
        <v>3.2930000000000004E-4</v>
      </c>
    </row>
    <row r="35" spans="2:12" ht="15.75" thickBot="1" x14ac:dyDescent="0.3">
      <c r="B35" s="18">
        <v>1E-3</v>
      </c>
      <c r="C35" s="34"/>
      <c r="D35" s="34"/>
      <c r="E35" s="34"/>
      <c r="F35" s="37"/>
      <c r="G35" s="23">
        <v>3.0099999999999998E-2</v>
      </c>
      <c r="H35" s="19">
        <f t="shared" si="0"/>
        <v>1.9000000000000001E-4</v>
      </c>
      <c r="I35" s="34"/>
      <c r="J35" s="34"/>
      <c r="L35">
        <f t="shared" si="3"/>
        <v>3.1505000000000004E-4</v>
      </c>
    </row>
    <row r="36" spans="2:12" ht="15.75" thickBot="1" x14ac:dyDescent="0.3">
      <c r="B36" s="18">
        <v>0</v>
      </c>
      <c r="C36" s="34"/>
      <c r="D36" s="34"/>
      <c r="E36" s="34"/>
      <c r="F36" s="37"/>
      <c r="G36" s="25">
        <v>0</v>
      </c>
      <c r="H36" s="19">
        <f t="shared" si="0"/>
        <v>1.8000000000000001E-4</v>
      </c>
      <c r="I36" s="34"/>
      <c r="J36" s="34"/>
      <c r="L36">
        <f t="shared" ref="L36:L46" si="4">0.05*0.01*ABS(G36)+3*0.0001</f>
        <v>3.0000000000000003E-4</v>
      </c>
    </row>
    <row r="37" spans="2:12" ht="15.75" thickBot="1" x14ac:dyDescent="0.3">
      <c r="B37" s="18">
        <v>-1E-3</v>
      </c>
      <c r="C37" s="34"/>
      <c r="D37" s="34"/>
      <c r="E37" s="34"/>
      <c r="F37" s="37"/>
      <c r="G37" s="26">
        <v>-2.5899999999999999E-2</v>
      </c>
      <c r="H37" s="19">
        <f t="shared" si="0"/>
        <v>1.9000000000000001E-4</v>
      </c>
      <c r="I37" s="34"/>
      <c r="J37" s="34"/>
      <c r="L37">
        <f t="shared" si="4"/>
        <v>3.1295000000000004E-4</v>
      </c>
    </row>
    <row r="38" spans="2:12" ht="15.75" thickBot="1" x14ac:dyDescent="0.3">
      <c r="B38" s="18">
        <v>-2E-3</v>
      </c>
      <c r="C38" s="34"/>
      <c r="D38" s="34"/>
      <c r="E38" s="34"/>
      <c r="F38" s="34"/>
      <c r="G38" s="19">
        <v>-5.8099999999999999E-2</v>
      </c>
      <c r="H38" s="19">
        <f t="shared" si="0"/>
        <v>1.9000000000000001E-4</v>
      </c>
      <c r="I38" s="34"/>
      <c r="J38" s="34"/>
      <c r="L38">
        <f t="shared" si="4"/>
        <v>3.2905E-4</v>
      </c>
    </row>
    <row r="39" spans="2:12" ht="15.75" thickBot="1" x14ac:dyDescent="0.3">
      <c r="B39" s="18">
        <v>-3.0000000000000001E-3</v>
      </c>
      <c r="C39" s="34"/>
      <c r="D39" s="34"/>
      <c r="E39" s="34"/>
      <c r="F39" s="34"/>
      <c r="G39" s="19">
        <v>-8.5900000000000004E-2</v>
      </c>
      <c r="H39" s="19">
        <f t="shared" si="0"/>
        <v>2.0000000000000001E-4</v>
      </c>
      <c r="I39" s="34"/>
      <c r="J39" s="34"/>
      <c r="L39">
        <f t="shared" si="4"/>
        <v>3.4295000000000001E-4</v>
      </c>
    </row>
    <row r="40" spans="2:12" ht="15.75" thickBot="1" x14ac:dyDescent="0.3">
      <c r="B40" s="18">
        <v>-4.0000000000000001E-3</v>
      </c>
      <c r="C40" s="34"/>
      <c r="D40" s="34"/>
      <c r="E40" s="34"/>
      <c r="F40" s="34"/>
      <c r="G40" s="19">
        <v>-0.1072</v>
      </c>
      <c r="H40" s="19">
        <f t="shared" si="0"/>
        <v>2.1000000000000001E-4</v>
      </c>
      <c r="I40" s="34"/>
      <c r="J40" s="34"/>
      <c r="L40">
        <f t="shared" si="4"/>
        <v>3.5360000000000003E-4</v>
      </c>
    </row>
    <row r="41" spans="2:12" ht="15.75" thickBot="1" x14ac:dyDescent="0.3">
      <c r="B41" s="18">
        <v>-5.0000000000000001E-3</v>
      </c>
      <c r="C41" s="34"/>
      <c r="D41" s="34"/>
      <c r="E41" s="34"/>
      <c r="F41" s="34"/>
      <c r="G41" s="19">
        <v>-0.13739999999999999</v>
      </c>
      <c r="H41" s="19">
        <f t="shared" si="0"/>
        <v>2.2000000000000001E-4</v>
      </c>
      <c r="I41" s="34"/>
      <c r="J41" s="34"/>
      <c r="L41">
        <f t="shared" si="4"/>
        <v>3.6870000000000002E-4</v>
      </c>
    </row>
    <row r="42" spans="2:12" ht="15.75" thickBot="1" x14ac:dyDescent="0.3">
      <c r="B42" s="18">
        <v>-6.0000000000000001E-3</v>
      </c>
      <c r="C42" s="34"/>
      <c r="D42" s="34"/>
      <c r="E42" s="34"/>
      <c r="F42" s="34"/>
      <c r="G42" s="19">
        <v>-0.16420000000000001</v>
      </c>
      <c r="H42" s="19">
        <f t="shared" si="0"/>
        <v>2.3000000000000001E-4</v>
      </c>
      <c r="I42" s="34"/>
      <c r="J42" s="34"/>
      <c r="L42">
        <f t="shared" si="4"/>
        <v>3.8210000000000002E-4</v>
      </c>
    </row>
    <row r="43" spans="2:12" ht="15.75" thickBot="1" x14ac:dyDescent="0.3">
      <c r="B43" s="18">
        <v>-7.0000000000000001E-3</v>
      </c>
      <c r="C43" s="34"/>
      <c r="D43" s="34"/>
      <c r="E43" s="34"/>
      <c r="F43" s="34"/>
      <c r="G43" s="19">
        <v>-0.19320000000000001</v>
      </c>
      <c r="H43" s="19">
        <f t="shared" si="0"/>
        <v>2.3000000000000001E-4</v>
      </c>
      <c r="I43" s="34"/>
      <c r="J43" s="34"/>
      <c r="L43">
        <f t="shared" si="4"/>
        <v>3.9660000000000004E-4</v>
      </c>
    </row>
    <row r="44" spans="2:12" ht="15.75" thickBot="1" x14ac:dyDescent="0.3">
      <c r="B44" s="18">
        <v>-8.0000000000000002E-3</v>
      </c>
      <c r="C44" s="34"/>
      <c r="D44" s="34"/>
      <c r="E44" s="34"/>
      <c r="F44" s="34"/>
      <c r="G44" s="19">
        <v>-0.22159999999999999</v>
      </c>
      <c r="H44" s="19">
        <f>CEILING(L44/SQRT(3),0.00001)</f>
        <v>2.4000000000000003E-4</v>
      </c>
      <c r="I44" s="34"/>
      <c r="J44" s="34"/>
      <c r="L44">
        <f t="shared" si="4"/>
        <v>4.1080000000000001E-4</v>
      </c>
    </row>
    <row r="45" spans="2:12" ht="15.75" thickBot="1" x14ac:dyDescent="0.3">
      <c r="B45" s="18">
        <v>-8.9999999999999993E-3</v>
      </c>
      <c r="C45" s="34"/>
      <c r="D45" s="34"/>
      <c r="E45" s="34"/>
      <c r="F45" s="34"/>
      <c r="G45" s="19">
        <v>-0.25040000000000001</v>
      </c>
      <c r="H45" s="19">
        <f t="shared" si="0"/>
        <v>2.5000000000000001E-4</v>
      </c>
      <c r="I45" s="34"/>
      <c r="J45" s="34"/>
      <c r="L45">
        <f t="shared" si="4"/>
        <v>4.2520000000000004E-4</v>
      </c>
    </row>
    <row r="46" spans="2:12" ht="15.75" thickBot="1" x14ac:dyDescent="0.3">
      <c r="B46" s="18">
        <v>-0.01</v>
      </c>
      <c r="C46" s="35"/>
      <c r="D46" s="35"/>
      <c r="E46" s="36"/>
      <c r="F46" s="35"/>
      <c r="G46" s="19">
        <v>-0.27729999999999999</v>
      </c>
      <c r="H46" s="19">
        <f t="shared" si="0"/>
        <v>2.6000000000000003E-4</v>
      </c>
      <c r="I46" s="36"/>
      <c r="J46" s="36"/>
      <c r="L46">
        <f t="shared" si="4"/>
        <v>4.3865000000000006E-4</v>
      </c>
    </row>
  </sheetData>
  <mergeCells count="10">
    <mergeCell ref="J5:J46"/>
    <mergeCell ref="D26:D46"/>
    <mergeCell ref="E26:E46"/>
    <mergeCell ref="I26:I46"/>
    <mergeCell ref="D3:E3"/>
    <mergeCell ref="C5:C46"/>
    <mergeCell ref="D5:D25"/>
    <mergeCell ref="E5:E25"/>
    <mergeCell ref="F5:F46"/>
    <mergeCell ref="I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U(B)</vt:lpstr>
      <vt:lpstr>U(I)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Chwistek</dc:creator>
  <cp:lastModifiedBy>Łukasz Chwistek</cp:lastModifiedBy>
  <dcterms:created xsi:type="dcterms:W3CDTF">2017-11-12T15:02:57Z</dcterms:created>
  <dcterms:modified xsi:type="dcterms:W3CDTF">2017-11-27T14:11:16Z</dcterms:modified>
</cp:coreProperties>
</file>