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3D8EE843-5F32-4121-A76C-5D10CFA78ABB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Benchmark" sheetId="1" r:id="rId1"/>
    <sheet name="Sheet1" sheetId="9" r:id="rId2"/>
    <sheet name="——&gt;" sheetId="2" r:id="rId3"/>
    <sheet name="营收毛利" sheetId="4" r:id="rId4"/>
    <sheet name="费用净利" sheetId="5" r:id="rId5"/>
    <sheet name="流动资产和应付" sheetId="6" r:id="rId6"/>
    <sheet name="非流资产和负债、权益" sheetId="7" r:id="rId7"/>
    <sheet name="FCF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9" l="1"/>
  <c r="E19" i="9"/>
  <c r="F19" i="9"/>
  <c r="G19" i="9"/>
  <c r="C19" i="9"/>
  <c r="D18" i="9"/>
  <c r="E18" i="9"/>
  <c r="F18" i="9"/>
  <c r="G18" i="9"/>
  <c r="C18" i="9"/>
  <c r="D17" i="9"/>
  <c r="E17" i="9"/>
  <c r="F17" i="9"/>
  <c r="G17" i="9"/>
  <c r="D16" i="9"/>
  <c r="E16" i="9"/>
  <c r="F16" i="9"/>
  <c r="G16" i="9"/>
  <c r="C16" i="9"/>
  <c r="C17" i="9" s="1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E8" i="9"/>
  <c r="F8" i="9"/>
  <c r="G8" i="9"/>
  <c r="H8" i="9"/>
  <c r="D8" i="9"/>
  <c r="H7" i="9"/>
  <c r="G7" i="9"/>
  <c r="F7" i="9"/>
  <c r="E7" i="9"/>
  <c r="D7" i="9"/>
  <c r="E5" i="9"/>
  <c r="F5" i="9"/>
  <c r="G5" i="9"/>
  <c r="H5" i="9"/>
  <c r="D5" i="9"/>
  <c r="H4" i="9"/>
  <c r="G4" i="9"/>
  <c r="F4" i="9"/>
  <c r="E4" i="9"/>
  <c r="D4" i="9"/>
  <c r="H3" i="9"/>
  <c r="G3" i="9"/>
  <c r="F3" i="9"/>
  <c r="E3" i="9"/>
  <c r="D3" i="9"/>
  <c r="I16" i="1" l="1"/>
  <c r="D114" i="1"/>
  <c r="D115" i="1"/>
  <c r="D113" i="1"/>
  <c r="D112" i="1"/>
  <c r="D97" i="1"/>
  <c r="D96" i="1"/>
  <c r="D95" i="1"/>
  <c r="D94" i="1"/>
  <c r="D93" i="1"/>
  <c r="D92" i="1"/>
  <c r="D91" i="1"/>
  <c r="E115" i="1"/>
  <c r="F115" i="1"/>
  <c r="E114" i="1"/>
  <c r="F114" i="1"/>
  <c r="E113" i="1"/>
  <c r="F113" i="1"/>
  <c r="E112" i="1"/>
  <c r="F112" i="1"/>
  <c r="E109" i="1"/>
  <c r="F109" i="1"/>
  <c r="E108" i="1"/>
  <c r="F108" i="1"/>
  <c r="F105" i="1"/>
  <c r="F104" i="1"/>
  <c r="E101" i="1"/>
  <c r="F101" i="1"/>
  <c r="E100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G109" i="1"/>
  <c r="H109" i="1"/>
  <c r="G108" i="1"/>
  <c r="H108" i="1"/>
  <c r="G105" i="1"/>
  <c r="H105" i="1"/>
  <c r="G104" i="1"/>
  <c r="H104" i="1"/>
  <c r="H101" i="1"/>
  <c r="H100" i="1"/>
  <c r="G115" i="1"/>
  <c r="G114" i="1"/>
  <c r="H114" i="1"/>
  <c r="G113" i="1"/>
  <c r="H113" i="1"/>
  <c r="G112" i="1"/>
  <c r="H112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33" i="1" l="1"/>
  <c r="G32" i="1"/>
  <c r="H32" i="1"/>
  <c r="H33" i="1"/>
  <c r="G31" i="1"/>
  <c r="H31" i="1"/>
  <c r="G30" i="1"/>
  <c r="H30" i="1"/>
  <c r="G29" i="1"/>
  <c r="H29" i="1"/>
  <c r="G28" i="1"/>
  <c r="H28" i="1"/>
  <c r="G26" i="1"/>
  <c r="H26" i="1"/>
  <c r="G24" i="1"/>
  <c r="H24" i="1"/>
  <c r="G23" i="1"/>
  <c r="H23" i="1"/>
  <c r="I23" i="1" s="1"/>
  <c r="G22" i="1"/>
  <c r="H22" i="1"/>
  <c r="G21" i="1"/>
  <c r="H21" i="1"/>
  <c r="G20" i="1"/>
  <c r="H20" i="1"/>
  <c r="E33" i="1"/>
  <c r="F33" i="1"/>
  <c r="E32" i="1"/>
  <c r="F32" i="1"/>
  <c r="E31" i="1"/>
  <c r="F31" i="1"/>
  <c r="E30" i="1"/>
  <c r="F30" i="1"/>
  <c r="E29" i="1"/>
  <c r="F29" i="1"/>
  <c r="E28" i="1"/>
  <c r="F28" i="1"/>
  <c r="E26" i="1"/>
  <c r="F26" i="1"/>
  <c r="F25" i="1"/>
  <c r="E23" i="1"/>
  <c r="F23" i="1"/>
  <c r="E22" i="1"/>
  <c r="F22" i="1"/>
  <c r="E21" i="1"/>
  <c r="F21" i="1"/>
  <c r="E20" i="1"/>
  <c r="F20" i="1"/>
  <c r="D33" i="1"/>
  <c r="D32" i="1"/>
  <c r="D31" i="1"/>
  <c r="D30" i="1"/>
  <c r="D29" i="1"/>
  <c r="D28" i="1"/>
  <c r="D26" i="1"/>
  <c r="D25" i="1"/>
  <c r="I25" i="1" s="1"/>
  <c r="D24" i="1"/>
  <c r="D23" i="1"/>
  <c r="D22" i="1"/>
  <c r="D21" i="1"/>
  <c r="D20" i="1"/>
  <c r="D85" i="1"/>
  <c r="D84" i="1"/>
  <c r="D83" i="1"/>
  <c r="D81" i="1"/>
  <c r="E87" i="1"/>
  <c r="E85" i="1"/>
  <c r="E86" i="1" s="1"/>
  <c r="F87" i="1"/>
  <c r="F86" i="1"/>
  <c r="F85" i="1"/>
  <c r="E84" i="1"/>
  <c r="F84" i="1"/>
  <c r="E83" i="1"/>
  <c r="F83" i="1"/>
  <c r="E82" i="1"/>
  <c r="F82" i="1"/>
  <c r="E81" i="1"/>
  <c r="F81" i="1"/>
  <c r="D80" i="1"/>
  <c r="E80" i="1"/>
  <c r="F80" i="1"/>
  <c r="G85" i="1"/>
  <c r="H85" i="1"/>
  <c r="G84" i="1"/>
  <c r="H84" i="1"/>
  <c r="G83" i="1"/>
  <c r="H83" i="1"/>
  <c r="G82" i="1"/>
  <c r="H82" i="1"/>
  <c r="G81" i="1"/>
  <c r="H81" i="1"/>
  <c r="G80" i="1"/>
  <c r="H80" i="1"/>
  <c r="H79" i="1"/>
  <c r="G76" i="1"/>
  <c r="H76" i="1"/>
  <c r="G75" i="1"/>
  <c r="H75" i="1"/>
  <c r="G74" i="1"/>
  <c r="H74" i="1"/>
  <c r="E75" i="1"/>
  <c r="E76" i="1"/>
  <c r="F76" i="1"/>
  <c r="F75" i="1"/>
  <c r="F74" i="1"/>
  <c r="D77" i="1"/>
  <c r="D76" i="1"/>
  <c r="D68" i="1"/>
  <c r="D67" i="1"/>
  <c r="D66" i="1"/>
  <c r="D65" i="1"/>
  <c r="D64" i="1"/>
  <c r="D63" i="1"/>
  <c r="E68" i="1"/>
  <c r="F68" i="1"/>
  <c r="E67" i="1"/>
  <c r="F67" i="1"/>
  <c r="E66" i="1"/>
  <c r="F66" i="1"/>
  <c r="E65" i="1"/>
  <c r="F65" i="1"/>
  <c r="E64" i="1"/>
  <c r="F64" i="1"/>
  <c r="E63" i="1"/>
  <c r="F63" i="1"/>
  <c r="H68" i="1"/>
  <c r="G69" i="1"/>
  <c r="H69" i="1"/>
  <c r="G67" i="1"/>
  <c r="H67" i="1"/>
  <c r="G66" i="1"/>
  <c r="H66" i="1"/>
  <c r="G65" i="1"/>
  <c r="H65" i="1"/>
  <c r="G64" i="1"/>
  <c r="H64" i="1"/>
  <c r="I64" i="1" s="1"/>
  <c r="G63" i="1"/>
  <c r="H63" i="1"/>
  <c r="D60" i="1"/>
  <c r="D59" i="1"/>
  <c r="E60" i="1"/>
  <c r="F60" i="1"/>
  <c r="E59" i="1"/>
  <c r="F59" i="1"/>
  <c r="G61" i="1"/>
  <c r="H61" i="1"/>
  <c r="G60" i="1"/>
  <c r="H60" i="1"/>
  <c r="G59" i="1"/>
  <c r="H59" i="1"/>
  <c r="G50" i="1"/>
  <c r="H50" i="1"/>
  <c r="I83" i="1" l="1"/>
  <c r="I21" i="1"/>
  <c r="I26" i="1"/>
  <c r="I29" i="1"/>
  <c r="I31" i="1"/>
  <c r="I20" i="1"/>
  <c r="I22" i="1"/>
  <c r="I24" i="1"/>
  <c r="I28" i="1"/>
  <c r="I33" i="1"/>
  <c r="I32" i="1"/>
  <c r="I80" i="1"/>
  <c r="I84" i="1"/>
  <c r="I74" i="1"/>
  <c r="I68" i="1"/>
  <c r="I65" i="1"/>
  <c r="G73" i="1"/>
  <c r="D73" i="1"/>
  <c r="I76" i="1"/>
  <c r="I81" i="1"/>
  <c r="I60" i="1"/>
  <c r="I59" i="1"/>
  <c r="H73" i="1"/>
  <c r="I66" i="1"/>
  <c r="E73" i="1"/>
  <c r="F73" i="1"/>
  <c r="I63" i="1"/>
  <c r="I67" i="1"/>
  <c r="I75" i="1"/>
  <c r="I85" i="1"/>
  <c r="S15" i="7"/>
  <c r="S14" i="7"/>
  <c r="S13" i="7"/>
  <c r="I73" i="1" l="1"/>
  <c r="H78" i="1"/>
  <c r="H10" i="5"/>
  <c r="I10" i="5" s="1"/>
  <c r="G10" i="5"/>
  <c r="F10" i="5"/>
  <c r="E10" i="5"/>
  <c r="D10" i="5"/>
  <c r="H9" i="5"/>
  <c r="G9" i="5"/>
  <c r="F9" i="5"/>
  <c r="E9" i="5"/>
  <c r="I9" i="5" s="1"/>
  <c r="D9" i="5"/>
  <c r="E17" i="8"/>
  <c r="F17" i="8"/>
  <c r="G17" i="8"/>
  <c r="H17" i="8"/>
  <c r="D17" i="8"/>
  <c r="H15" i="8"/>
  <c r="G15" i="8"/>
  <c r="F15" i="8"/>
  <c r="E15" i="8"/>
  <c r="D15" i="8"/>
  <c r="H13" i="8"/>
  <c r="G13" i="8"/>
  <c r="F13" i="8"/>
  <c r="E13" i="8"/>
  <c r="D13" i="8"/>
  <c r="H11" i="8"/>
  <c r="E11" i="8"/>
  <c r="D11" i="8"/>
  <c r="H9" i="8"/>
  <c r="G9" i="8"/>
  <c r="F9" i="8"/>
  <c r="E9" i="8"/>
  <c r="D9" i="8"/>
  <c r="H7" i="8"/>
  <c r="G7" i="8"/>
  <c r="F7" i="8"/>
  <c r="E7" i="8"/>
  <c r="D7" i="8"/>
  <c r="D107" i="1"/>
  <c r="E107" i="1"/>
  <c r="D103" i="1"/>
  <c r="E103" i="1"/>
  <c r="F107" i="1"/>
  <c r="G107" i="1"/>
  <c r="H103" i="1"/>
  <c r="H107" i="1"/>
  <c r="I17" i="7"/>
  <c r="E17" i="7"/>
  <c r="F17" i="7"/>
  <c r="G17" i="7"/>
  <c r="H17" i="7"/>
  <c r="D17" i="7"/>
  <c r="E18" i="7"/>
  <c r="F18" i="7"/>
  <c r="G18" i="7"/>
  <c r="H18" i="7"/>
  <c r="D18" i="7"/>
  <c r="H16" i="7"/>
  <c r="G16" i="7"/>
  <c r="F16" i="7"/>
  <c r="E16" i="7"/>
  <c r="D16" i="7"/>
  <c r="I15" i="7"/>
  <c r="I14" i="7"/>
  <c r="I13" i="7"/>
  <c r="H12" i="7"/>
  <c r="G12" i="7"/>
  <c r="F12" i="7"/>
  <c r="E12" i="7"/>
  <c r="D12" i="7"/>
  <c r="H11" i="7"/>
  <c r="I11" i="7" s="1"/>
  <c r="G11" i="7"/>
  <c r="F11" i="7"/>
  <c r="E11" i="7"/>
  <c r="D11" i="7"/>
  <c r="H10" i="7"/>
  <c r="I10" i="7" s="1"/>
  <c r="G10" i="7"/>
  <c r="F10" i="7"/>
  <c r="E10" i="7"/>
  <c r="D10" i="7"/>
  <c r="I9" i="7"/>
  <c r="H8" i="7"/>
  <c r="I8" i="7" s="1"/>
  <c r="G8" i="7"/>
  <c r="F8" i="7"/>
  <c r="E8" i="7"/>
  <c r="D8" i="7"/>
  <c r="G7" i="7"/>
  <c r="H6" i="7"/>
  <c r="G6" i="7"/>
  <c r="F6" i="7"/>
  <c r="E6" i="7"/>
  <c r="D6" i="7"/>
  <c r="I6" i="7" s="1"/>
  <c r="H5" i="7"/>
  <c r="G5" i="7"/>
  <c r="F5" i="7"/>
  <c r="E5" i="7"/>
  <c r="D5" i="7"/>
  <c r="D111" i="1"/>
  <c r="E111" i="1"/>
  <c r="D99" i="1"/>
  <c r="E99" i="1"/>
  <c r="F111" i="1"/>
  <c r="F99" i="1"/>
  <c r="G99" i="1"/>
  <c r="G111" i="1"/>
  <c r="H111" i="1"/>
  <c r="H99" i="1"/>
  <c r="I23" i="6"/>
  <c r="I22" i="6"/>
  <c r="I21" i="6"/>
  <c r="I72" i="1"/>
  <c r="I71" i="1"/>
  <c r="H20" i="6"/>
  <c r="I20" i="6" s="1"/>
  <c r="G20" i="6"/>
  <c r="F20" i="6"/>
  <c r="E20" i="6"/>
  <c r="D20" i="6"/>
  <c r="H19" i="6"/>
  <c r="I19" i="6" s="1"/>
  <c r="G19" i="6"/>
  <c r="F19" i="6"/>
  <c r="E19" i="6"/>
  <c r="H18" i="6"/>
  <c r="G18" i="6"/>
  <c r="F18" i="6"/>
  <c r="E18" i="6"/>
  <c r="D18" i="6"/>
  <c r="I17" i="6"/>
  <c r="H17" i="6"/>
  <c r="G17" i="6"/>
  <c r="F17" i="6"/>
  <c r="E17" i="6"/>
  <c r="D17" i="6"/>
  <c r="I16" i="6"/>
  <c r="H16" i="6"/>
  <c r="G16" i="6"/>
  <c r="F16" i="6"/>
  <c r="E16" i="6"/>
  <c r="D16" i="6"/>
  <c r="I15" i="6"/>
  <c r="H15" i="6"/>
  <c r="G15" i="6"/>
  <c r="F15" i="6"/>
  <c r="E15" i="6"/>
  <c r="D15" i="6"/>
  <c r="H14" i="6"/>
  <c r="G14" i="6"/>
  <c r="F14" i="6"/>
  <c r="E14" i="6"/>
  <c r="D14" i="6"/>
  <c r="H13" i="6"/>
  <c r="G13" i="6"/>
  <c r="F13" i="6"/>
  <c r="E13" i="6"/>
  <c r="D13" i="6"/>
  <c r="H12" i="6"/>
  <c r="G12" i="6"/>
  <c r="F12" i="6"/>
  <c r="E12" i="6"/>
  <c r="D12" i="6"/>
  <c r="H11" i="6"/>
  <c r="G11" i="6"/>
  <c r="F11" i="6"/>
  <c r="E11" i="6"/>
  <c r="D11" i="6"/>
  <c r="H10" i="6"/>
  <c r="G10" i="6"/>
  <c r="F10" i="6"/>
  <c r="E10" i="6"/>
  <c r="D10" i="6"/>
  <c r="H9" i="6"/>
  <c r="G9" i="6"/>
  <c r="F9" i="6"/>
  <c r="E9" i="6"/>
  <c r="D9" i="6"/>
  <c r="I8" i="6"/>
  <c r="H8" i="6"/>
  <c r="G8" i="6"/>
  <c r="F8" i="6"/>
  <c r="E8" i="6"/>
  <c r="D8" i="6"/>
  <c r="I7" i="6"/>
  <c r="H7" i="6"/>
  <c r="G7" i="6"/>
  <c r="F7" i="6"/>
  <c r="E7" i="6"/>
  <c r="D7" i="6"/>
  <c r="I6" i="6"/>
  <c r="H6" i="6"/>
  <c r="G6" i="6"/>
  <c r="F6" i="6"/>
  <c r="E6" i="6"/>
  <c r="D6" i="6"/>
  <c r="D43" i="1"/>
  <c r="D42" i="1"/>
  <c r="D41" i="1"/>
  <c r="D40" i="1"/>
  <c r="D39" i="1"/>
  <c r="D38" i="1"/>
  <c r="E38" i="1"/>
  <c r="F43" i="1"/>
  <c r="F42" i="1"/>
  <c r="F41" i="1"/>
  <c r="F40" i="1"/>
  <c r="F39" i="1"/>
  <c r="F38" i="1"/>
  <c r="G43" i="1"/>
  <c r="G42" i="1"/>
  <c r="G41" i="1"/>
  <c r="G40" i="1"/>
  <c r="G39" i="1"/>
  <c r="G38" i="1"/>
  <c r="H43" i="1"/>
  <c r="H42" i="1"/>
  <c r="H41" i="1"/>
  <c r="H40" i="1"/>
  <c r="H39" i="1"/>
  <c r="H38" i="1"/>
  <c r="E43" i="1"/>
  <c r="E42" i="1"/>
  <c r="E41" i="1"/>
  <c r="E40" i="1"/>
  <c r="E39" i="1"/>
  <c r="D47" i="1"/>
  <c r="E47" i="1"/>
  <c r="F47" i="1"/>
  <c r="G47" i="1"/>
  <c r="H47" i="1"/>
  <c r="H17" i="1"/>
  <c r="H16" i="1"/>
  <c r="F16" i="1"/>
  <c r="F17" i="1"/>
  <c r="G17" i="1"/>
  <c r="G16" i="1"/>
  <c r="D17" i="1"/>
  <c r="E17" i="1"/>
  <c r="D16" i="1"/>
  <c r="E16" i="1"/>
  <c r="I56" i="1"/>
  <c r="I70" i="1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8" i="5"/>
  <c r="G8" i="5"/>
  <c r="F8" i="5"/>
  <c r="E8" i="5"/>
  <c r="D8" i="5"/>
  <c r="H7" i="5"/>
  <c r="G7" i="5"/>
  <c r="F7" i="5"/>
  <c r="E7" i="5"/>
  <c r="D7" i="5"/>
  <c r="H12" i="4"/>
  <c r="G12" i="4"/>
  <c r="F12" i="4"/>
  <c r="E12" i="4"/>
  <c r="D12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H13" i="4" s="1"/>
  <c r="G6" i="4"/>
  <c r="G13" i="4" s="1"/>
  <c r="F6" i="4"/>
  <c r="E6" i="4"/>
  <c r="E13" i="4" s="1"/>
  <c r="D6" i="4"/>
  <c r="D13" i="4" s="1"/>
  <c r="E10" i="1"/>
  <c r="E9" i="1"/>
  <c r="D10" i="1"/>
  <c r="D9" i="1"/>
  <c r="H10" i="1"/>
  <c r="H9" i="1"/>
  <c r="H8" i="1"/>
  <c r="H7" i="1"/>
  <c r="F10" i="1"/>
  <c r="G10" i="1"/>
  <c r="F9" i="1"/>
  <c r="G9" i="1"/>
  <c r="F8" i="1"/>
  <c r="G8" i="1"/>
  <c r="F7" i="1"/>
  <c r="G7" i="1"/>
  <c r="D8" i="1"/>
  <c r="E8" i="1"/>
  <c r="D7" i="1"/>
  <c r="E7" i="1"/>
  <c r="H90" i="1"/>
  <c r="F90" i="1"/>
  <c r="G90" i="1"/>
  <c r="D90" i="1"/>
  <c r="E90" i="1"/>
  <c r="D79" i="1"/>
  <c r="D78" i="1" s="1"/>
  <c r="E79" i="1"/>
  <c r="E78" i="1" s="1"/>
  <c r="F79" i="1"/>
  <c r="F78" i="1" s="1"/>
  <c r="G79" i="1"/>
  <c r="G78" i="1" s="1"/>
  <c r="I79" i="1"/>
  <c r="H62" i="1"/>
  <c r="F62" i="1"/>
  <c r="G62" i="1"/>
  <c r="G87" i="1" s="1"/>
  <c r="G86" i="1" s="1"/>
  <c r="D62" i="1"/>
  <c r="E62" i="1"/>
  <c r="D58" i="1"/>
  <c r="E58" i="1"/>
  <c r="F58" i="1"/>
  <c r="G58" i="1"/>
  <c r="H58" i="1"/>
  <c r="I58" i="1" s="1"/>
  <c r="H57" i="1"/>
  <c r="F57" i="1"/>
  <c r="G57" i="1"/>
  <c r="E57" i="1"/>
  <c r="D57" i="1"/>
  <c r="D55" i="1"/>
  <c r="E55" i="1"/>
  <c r="F55" i="1"/>
  <c r="G55" i="1"/>
  <c r="H55" i="1"/>
  <c r="G54" i="1"/>
  <c r="H53" i="1"/>
  <c r="F53" i="1"/>
  <c r="G53" i="1"/>
  <c r="D53" i="1"/>
  <c r="E53" i="1"/>
  <c r="D51" i="1"/>
  <c r="E51" i="1"/>
  <c r="F51" i="1"/>
  <c r="H51" i="1"/>
  <c r="G51" i="1"/>
  <c r="H49" i="1"/>
  <c r="F49" i="1"/>
  <c r="G49" i="1"/>
  <c r="D49" i="1"/>
  <c r="E49" i="1"/>
  <c r="E48" i="1"/>
  <c r="F48" i="1"/>
  <c r="G48" i="1"/>
  <c r="H48" i="1"/>
  <c r="H46" i="1"/>
  <c r="F46" i="1"/>
  <c r="G46" i="1"/>
  <c r="D46" i="1"/>
  <c r="E46" i="1"/>
  <c r="D45" i="1"/>
  <c r="E45" i="1"/>
  <c r="F45" i="1"/>
  <c r="G45" i="1"/>
  <c r="H45" i="1"/>
  <c r="I45" i="1" s="1"/>
  <c r="H44" i="1"/>
  <c r="F44" i="1"/>
  <c r="G44" i="1"/>
  <c r="D44" i="1"/>
  <c r="E44" i="1"/>
  <c r="D37" i="1"/>
  <c r="E37" i="1"/>
  <c r="F37" i="1"/>
  <c r="G37" i="1"/>
  <c r="H37" i="1"/>
  <c r="I37" i="1" s="1"/>
  <c r="H36" i="1"/>
  <c r="F36" i="1"/>
  <c r="G36" i="1"/>
  <c r="D36" i="1"/>
  <c r="E36" i="1"/>
  <c r="H35" i="1"/>
  <c r="F35" i="1"/>
  <c r="G35" i="1"/>
  <c r="D35" i="1"/>
  <c r="E35" i="1"/>
  <c r="H27" i="1"/>
  <c r="F27" i="1"/>
  <c r="G27" i="1"/>
  <c r="D27" i="1"/>
  <c r="E27" i="1"/>
  <c r="D19" i="1"/>
  <c r="E19" i="1"/>
  <c r="F19" i="1"/>
  <c r="G19" i="1"/>
  <c r="H19" i="1"/>
  <c r="I19" i="1" s="1"/>
  <c r="H18" i="1"/>
  <c r="F18" i="1"/>
  <c r="G18" i="1"/>
  <c r="D18" i="1"/>
  <c r="E18" i="1"/>
  <c r="D15" i="1"/>
  <c r="E15" i="1"/>
  <c r="F15" i="1"/>
  <c r="G15" i="1"/>
  <c r="H15" i="1"/>
  <c r="I15" i="1" s="1"/>
  <c r="H14" i="1"/>
  <c r="F14" i="1"/>
  <c r="G14" i="1"/>
  <c r="D14" i="1"/>
  <c r="E14" i="1"/>
  <c r="H12" i="1"/>
  <c r="F12" i="1"/>
  <c r="G12" i="1"/>
  <c r="D12" i="1"/>
  <c r="E12" i="1"/>
  <c r="H6" i="1"/>
  <c r="F6" i="1"/>
  <c r="G6" i="1"/>
  <c r="E6" i="1"/>
  <c r="D6" i="1"/>
  <c r="I78" i="1" l="1"/>
  <c r="E13" i="1"/>
  <c r="I55" i="1"/>
  <c r="D87" i="1"/>
  <c r="D86" i="1" s="1"/>
  <c r="D61" i="1"/>
  <c r="I61" i="1" s="1"/>
  <c r="F61" i="1"/>
  <c r="I18" i="1"/>
  <c r="I36" i="1"/>
  <c r="I46" i="1"/>
  <c r="E61" i="1"/>
  <c r="I62" i="1"/>
  <c r="F11" i="1"/>
  <c r="I51" i="1"/>
  <c r="I6" i="1"/>
  <c r="I8" i="1"/>
  <c r="I12" i="1"/>
  <c r="I49" i="1"/>
  <c r="I48" i="1"/>
  <c r="I9" i="1"/>
  <c r="G11" i="1"/>
  <c r="I14" i="1"/>
  <c r="I27" i="1"/>
  <c r="I44" i="1"/>
  <c r="I57" i="1"/>
  <c r="I10" i="1"/>
  <c r="I35" i="1"/>
  <c r="I53" i="1"/>
  <c r="I7" i="1"/>
  <c r="D11" i="1"/>
  <c r="H11" i="1"/>
  <c r="D13" i="1"/>
  <c r="H13" i="1"/>
  <c r="F13" i="1"/>
  <c r="H87" i="1"/>
  <c r="G13" i="1"/>
  <c r="E11" i="1"/>
  <c r="I5" i="7"/>
  <c r="I12" i="7"/>
  <c r="I16" i="7"/>
  <c r="I17" i="1"/>
  <c r="G11" i="4"/>
  <c r="F11" i="4"/>
  <c r="E11" i="4"/>
  <c r="D11" i="4"/>
  <c r="H11" i="4"/>
  <c r="F13" i="4"/>
  <c r="I13" i="1" l="1"/>
  <c r="I87" i="1"/>
  <c r="H86" i="1"/>
  <c r="I86" i="1" s="1"/>
  <c r="I11" i="1"/>
</calcChain>
</file>

<file path=xl/sharedStrings.xml><?xml version="1.0" encoding="utf-8"?>
<sst xmlns="http://schemas.openxmlformats.org/spreadsheetml/2006/main" count="231" uniqueCount="149">
  <si>
    <t>Benchmark</t>
    <phoneticPr fontId="2" type="noConversion"/>
  </si>
  <si>
    <t>单位：百万元</t>
    <phoneticPr fontId="2" type="noConversion"/>
  </si>
  <si>
    <t>source：公司合并报表</t>
    <phoneticPr fontId="2" type="noConversion"/>
  </si>
  <si>
    <t>利润表</t>
    <phoneticPr fontId="2" type="noConversion"/>
  </si>
  <si>
    <t>营业收入</t>
    <phoneticPr fontId="2" type="noConversion"/>
  </si>
  <si>
    <t>读写装置</t>
    <phoneticPr fontId="2" type="noConversion"/>
  </si>
  <si>
    <t>电子标签</t>
    <phoneticPr fontId="2" type="noConversion"/>
  </si>
  <si>
    <t>软件</t>
    <phoneticPr fontId="2" type="noConversion"/>
  </si>
  <si>
    <t>备品备件及其他</t>
    <phoneticPr fontId="2" type="noConversion"/>
  </si>
  <si>
    <t>其他业务收入</t>
    <phoneticPr fontId="2" type="noConversion"/>
  </si>
  <si>
    <t>营业成本</t>
    <phoneticPr fontId="2" type="noConversion"/>
  </si>
  <si>
    <t>毛利润</t>
  </si>
  <si>
    <t>毛利润</t>
    <phoneticPr fontId="2" type="noConversion"/>
  </si>
  <si>
    <t>销售费用</t>
    <phoneticPr fontId="2" type="noConversion"/>
  </si>
  <si>
    <t>管理费用</t>
    <phoneticPr fontId="2" type="noConversion"/>
  </si>
  <si>
    <t>财务费用</t>
    <phoneticPr fontId="2" type="noConversion"/>
  </si>
  <si>
    <t>固定资产折旧</t>
    <phoneticPr fontId="2" type="noConversion"/>
  </si>
  <si>
    <t>研发支出</t>
    <phoneticPr fontId="2" type="noConversion"/>
  </si>
  <si>
    <t>资产减值损失</t>
    <phoneticPr fontId="2" type="noConversion"/>
  </si>
  <si>
    <t>净利润</t>
    <phoneticPr fontId="2" type="noConversion"/>
  </si>
  <si>
    <t>资产负债表</t>
    <phoneticPr fontId="2" type="noConversion"/>
  </si>
  <si>
    <t>应收账款</t>
    <phoneticPr fontId="2" type="noConversion"/>
  </si>
  <si>
    <t>一年内</t>
    <phoneticPr fontId="2" type="noConversion"/>
  </si>
  <si>
    <t>1-2年</t>
    <phoneticPr fontId="2" type="noConversion"/>
  </si>
  <si>
    <t>2-3年</t>
    <phoneticPr fontId="2" type="noConversion"/>
  </si>
  <si>
    <t>3-4年</t>
    <phoneticPr fontId="2" type="noConversion"/>
  </si>
  <si>
    <t>4-5年</t>
    <phoneticPr fontId="2" type="noConversion"/>
  </si>
  <si>
    <t>5年以上</t>
    <phoneticPr fontId="2" type="noConversion"/>
  </si>
  <si>
    <t>存货</t>
    <phoneticPr fontId="2" type="noConversion"/>
  </si>
  <si>
    <t>跌价准备</t>
    <phoneticPr fontId="2" type="noConversion"/>
  </si>
  <si>
    <t>无形资产</t>
    <phoneticPr fontId="2" type="noConversion"/>
  </si>
  <si>
    <t>货币资金</t>
    <phoneticPr fontId="2" type="noConversion"/>
  </si>
  <si>
    <t>流动资产合计</t>
    <phoneticPr fontId="2" type="noConversion"/>
  </si>
  <si>
    <t>应收票据</t>
    <phoneticPr fontId="2" type="noConversion"/>
  </si>
  <si>
    <t>预收款项</t>
    <phoneticPr fontId="2" type="noConversion"/>
  </si>
  <si>
    <t>其他应收款项</t>
    <phoneticPr fontId="2" type="noConversion"/>
  </si>
  <si>
    <t>其他流动资产</t>
    <phoneticPr fontId="2" type="noConversion"/>
  </si>
  <si>
    <t>长期股权投资</t>
  </si>
  <si>
    <t>固定资产</t>
    <phoneticPr fontId="2" type="noConversion"/>
  </si>
  <si>
    <t>开发支出</t>
    <phoneticPr fontId="2" type="noConversion"/>
  </si>
  <si>
    <t>商誉</t>
    <phoneticPr fontId="2" type="noConversion"/>
  </si>
  <si>
    <t>资产总计</t>
    <phoneticPr fontId="2" type="noConversion"/>
  </si>
  <si>
    <t>其他应付款</t>
    <phoneticPr fontId="2" type="noConversion"/>
  </si>
  <si>
    <t>保证金</t>
    <phoneticPr fontId="2" type="noConversion"/>
  </si>
  <si>
    <t>往来款</t>
    <phoneticPr fontId="2" type="noConversion"/>
  </si>
  <si>
    <t>负债合计</t>
    <phoneticPr fontId="2" type="noConversion"/>
  </si>
  <si>
    <t>现金流量表</t>
    <phoneticPr fontId="2" type="noConversion"/>
  </si>
  <si>
    <t>经营活动产生的</t>
    <phoneticPr fontId="2" type="noConversion"/>
  </si>
  <si>
    <t>现金流量净额</t>
  </si>
  <si>
    <t>在建工程</t>
    <phoneticPr fontId="2" type="noConversion"/>
  </si>
  <si>
    <t>CAGR</t>
    <phoneticPr fontId="2" type="noConversion"/>
  </si>
  <si>
    <t>观察净值，管理费用的上升是净利润下滑的一个主要因素。</t>
    <phoneticPr fontId="2" type="noConversion"/>
  </si>
  <si>
    <t>备品备件其他业务下滑非常严重。</t>
    <phoneticPr fontId="2" type="noConversion"/>
  </si>
  <si>
    <t>毛利润增长不快。</t>
    <phoneticPr fontId="2" type="noConversion"/>
  </si>
  <si>
    <t>净利润下滑非常严重。</t>
    <phoneticPr fontId="2" type="noConversion"/>
  </si>
  <si>
    <t>骤降1</t>
    <phoneticPr fontId="2" type="noConversion"/>
  </si>
  <si>
    <t>骤降2</t>
    <phoneticPr fontId="2" type="noConversion"/>
  </si>
  <si>
    <t>电子标签业务是增长主力军，也成长为业务主力。</t>
    <phoneticPr fontId="2" type="noConversion"/>
  </si>
  <si>
    <t>管理费用和资产减值</t>
    <phoneticPr fontId="2" type="noConversion"/>
  </si>
  <si>
    <t>财务费用和资产减值损失</t>
    <phoneticPr fontId="2" type="noConversion"/>
  </si>
  <si>
    <t>存货越来越多，说明产品难卖出去。</t>
    <phoneticPr fontId="2" type="noConversion"/>
  </si>
  <si>
    <t>货币资金倒是越来越多了。</t>
    <phoneticPr fontId="2" type="noConversion"/>
  </si>
  <si>
    <t>应收业务管控的不错，说明对下游议价能力提升。</t>
    <phoneticPr fontId="2" type="noConversion"/>
  </si>
  <si>
    <t>预收业务也不错。</t>
    <phoneticPr fontId="2" type="noConversion"/>
  </si>
  <si>
    <t>无伤大雅。</t>
    <phoneticPr fontId="2" type="noConversion"/>
  </si>
  <si>
    <t>基本无视。</t>
    <phoneticPr fontId="2" type="noConversion"/>
  </si>
  <si>
    <t>货币资金非常充足以应付其他应付款。</t>
    <phoneticPr fontId="2" type="noConversion"/>
  </si>
  <si>
    <t>投资活动产生的</t>
    <phoneticPr fontId="2" type="noConversion"/>
  </si>
  <si>
    <t>筹资活动产生的</t>
    <phoneticPr fontId="2" type="noConversion"/>
  </si>
  <si>
    <t>资产负债率</t>
    <phoneticPr fontId="2" type="noConversion"/>
  </si>
  <si>
    <t>所有者权益合计</t>
    <phoneticPr fontId="2" type="noConversion"/>
  </si>
  <si>
    <t>负债率越来越高。</t>
    <phoneticPr fontId="2" type="noConversion"/>
  </si>
  <si>
    <t>应付款越来越多，说明对于上游的控制力也在上升。但是最后一年涨幅较大。</t>
    <phoneticPr fontId="2" type="noConversion"/>
  </si>
  <si>
    <t>处置固定资产、无形资产和其他</t>
    <phoneticPr fontId="2" type="noConversion"/>
  </si>
  <si>
    <t xml:space="preserve">长期资产收回的现金净额 </t>
    <phoneticPr fontId="2" type="noConversion"/>
  </si>
  <si>
    <t xml:space="preserve">购建固定资产、无形资产和其他 </t>
  </si>
  <si>
    <t>长期资产支付的现金</t>
  </si>
  <si>
    <t>企业自由现金流</t>
    <phoneticPr fontId="2" type="noConversion"/>
  </si>
  <si>
    <t>企业自由现金流在16、17年下降得非常厉害。</t>
    <phoneticPr fontId="2" type="noConversion"/>
  </si>
  <si>
    <t>读写装置等业务应该属于“增量”业务，而电子标签是存量的一类业务。</t>
    <phoneticPr fontId="2" type="noConversion"/>
  </si>
  <si>
    <t>电子标签收入的增长，一方面可能是因为市场圈下来以后，根据剃刀+刀片原则，增加刀片价格。</t>
    <phoneticPr fontId="2" type="noConversion"/>
  </si>
  <si>
    <t>读写装置等收入的下滑，或许反映了市场竞争激烈、难以大幅扩大市场份额。因为这个行业并不是一个高技术准入的行业。</t>
    <phoneticPr fontId="2" type="noConversion"/>
  </si>
  <si>
    <t>管理费用中占比大头的是研发和工资。其中工资大幅度上升。</t>
    <phoneticPr fontId="2" type="noConversion"/>
  </si>
  <si>
    <t>无形资产摊销也在上升。或许是和企业的M&amp;A行为有关联。</t>
    <phoneticPr fontId="2" type="noConversion"/>
  </si>
  <si>
    <t>下游溢价能力提升的来源应该是对下游行业的整合，从而得到更大的定价能力。</t>
    <phoneticPr fontId="2" type="noConversion"/>
  </si>
  <si>
    <t>存货也有可能是M&amp;A进入了拥有大量存货的公司。</t>
    <phoneticPr fontId="2" type="noConversion"/>
  </si>
  <si>
    <t>财务费用激增，系公司问银行借款导致。</t>
    <phoneticPr fontId="2" type="noConversion"/>
  </si>
  <si>
    <t>可供出售金融资产</t>
    <phoneticPr fontId="2" type="noConversion"/>
  </si>
  <si>
    <t>投资性房地产</t>
    <phoneticPr fontId="2" type="noConversion"/>
  </si>
  <si>
    <t>长期待摊费用</t>
    <phoneticPr fontId="2" type="noConversion"/>
  </si>
  <si>
    <t>递延所得税资产</t>
    <phoneticPr fontId="2" type="noConversion"/>
  </si>
  <si>
    <t>非流动性资产合计</t>
    <phoneticPr fontId="2" type="noConversion"/>
  </si>
  <si>
    <t>短期借款</t>
    <phoneticPr fontId="2" type="noConversion"/>
  </si>
  <si>
    <t>应付票据</t>
    <phoneticPr fontId="2" type="noConversion"/>
  </si>
  <si>
    <t>应付账款</t>
    <phoneticPr fontId="2" type="noConversion"/>
  </si>
  <si>
    <t>预收款项</t>
    <phoneticPr fontId="2" type="noConversion"/>
  </si>
  <si>
    <t>应付职工薪酬</t>
    <phoneticPr fontId="2" type="noConversion"/>
  </si>
  <si>
    <t>应交税费</t>
    <phoneticPr fontId="2" type="noConversion"/>
  </si>
  <si>
    <t>应付利息</t>
    <phoneticPr fontId="2" type="noConversion"/>
  </si>
  <si>
    <t>流动负债合计</t>
    <phoneticPr fontId="2" type="noConversion"/>
  </si>
  <si>
    <t>长期借款</t>
    <phoneticPr fontId="2" type="noConversion"/>
  </si>
  <si>
    <t>递延收益</t>
    <phoneticPr fontId="2" type="noConversion"/>
  </si>
  <si>
    <t>递延所得税负债</t>
    <phoneticPr fontId="2" type="noConversion"/>
  </si>
  <si>
    <t>非流动负债合计</t>
    <phoneticPr fontId="2" type="noConversion"/>
  </si>
  <si>
    <t>股本</t>
    <phoneticPr fontId="2" type="noConversion"/>
  </si>
  <si>
    <t>资本公积</t>
    <phoneticPr fontId="2" type="noConversion"/>
  </si>
  <si>
    <t>其他综合收益</t>
    <phoneticPr fontId="2" type="noConversion"/>
  </si>
  <si>
    <t>盈余公积</t>
    <phoneticPr fontId="2" type="noConversion"/>
  </si>
  <si>
    <t>未分配利润</t>
    <phoneticPr fontId="2" type="noConversion"/>
  </si>
  <si>
    <t>归属于母公司所有者权益合计</t>
    <phoneticPr fontId="2" type="noConversion"/>
  </si>
  <si>
    <t>少数股东权益</t>
    <phoneticPr fontId="2" type="noConversion"/>
  </si>
  <si>
    <t>其他非流动负债</t>
    <phoneticPr fontId="2" type="noConversion"/>
  </si>
  <si>
    <t>投资收益</t>
    <phoneticPr fontId="2" type="noConversion"/>
  </si>
  <si>
    <t>营业利润</t>
    <phoneticPr fontId="2" type="noConversion"/>
  </si>
  <si>
    <t>营业外收入</t>
    <phoneticPr fontId="2" type="noConversion"/>
  </si>
  <si>
    <t>营业外支出</t>
    <phoneticPr fontId="2" type="noConversion"/>
  </si>
  <si>
    <t>对联营企业和合营企业的投资收益</t>
    <phoneticPr fontId="2" type="noConversion"/>
  </si>
  <si>
    <t>利润总额</t>
    <phoneticPr fontId="2" type="noConversion"/>
  </si>
  <si>
    <t>所得税费用</t>
    <phoneticPr fontId="2" type="noConversion"/>
  </si>
  <si>
    <t xml:space="preserve">归属于母公司所有者的净利润 </t>
    <phoneticPr fontId="2" type="noConversion"/>
  </si>
  <si>
    <t>少数股东损益</t>
    <phoneticPr fontId="2" type="noConversion"/>
  </si>
  <si>
    <t>综合收益总额</t>
    <phoneticPr fontId="2" type="noConversion"/>
  </si>
  <si>
    <t xml:space="preserve">归属于母公司所有者的综合收益总额 </t>
    <phoneticPr fontId="2" type="noConversion"/>
  </si>
  <si>
    <t>归属于少数股东的综合收益总额</t>
    <phoneticPr fontId="2" type="noConversion"/>
  </si>
  <si>
    <t xml:space="preserve">销售商品、提供劳务收到的现金 </t>
    <phoneticPr fontId="2" type="noConversion"/>
  </si>
  <si>
    <t xml:space="preserve">收到的税费返还 </t>
  </si>
  <si>
    <t xml:space="preserve">收到其他与经营活动有关的现金 </t>
  </si>
  <si>
    <t>购买商品、接受劳务支付的现金</t>
  </si>
  <si>
    <t xml:space="preserve">支付给职工以及为职工支付的现金 </t>
    <phoneticPr fontId="2" type="noConversion"/>
  </si>
  <si>
    <t>支付的各项税费</t>
  </si>
  <si>
    <t>支付其他与经营活动有关的现金</t>
  </si>
  <si>
    <t xml:space="preserve">取得借款收到的现金 </t>
  </si>
  <si>
    <t xml:space="preserve">偿还债务支付的现金 </t>
  </si>
  <si>
    <t xml:space="preserve">分配股利、利润或偿付利息支付 的现金 </t>
  </si>
  <si>
    <t xml:space="preserve">支付其他与筹资活动有关的现金 </t>
    <phoneticPr fontId="2" type="noConversion"/>
  </si>
  <si>
    <t>收回投资收到的现金</t>
    <phoneticPr fontId="2" type="noConversion"/>
  </si>
  <si>
    <t xml:space="preserve">取得投资收益收到的现金 </t>
  </si>
  <si>
    <t xml:space="preserve">处置子公司及其他营业单位收到 的现金净额 </t>
  </si>
  <si>
    <t>收到其他与投资活动有关的现金</t>
    <phoneticPr fontId="2" type="noConversion"/>
  </si>
  <si>
    <t>取得子公司及其他营业单位支付 的现金净额</t>
    <phoneticPr fontId="2" type="noConversion"/>
  </si>
  <si>
    <t xml:space="preserve">支付其他与投资活动有关的现金 </t>
    <phoneticPr fontId="2" type="noConversion"/>
  </si>
  <si>
    <t>预收款项/营业收入</t>
    <phoneticPr fontId="2" type="noConversion"/>
  </si>
  <si>
    <t>应收款项/营业收入</t>
    <phoneticPr fontId="2" type="noConversion"/>
  </si>
  <si>
    <t>1-3占比</t>
    <phoneticPr fontId="2" type="noConversion"/>
  </si>
  <si>
    <t>1-3年</t>
    <phoneticPr fontId="2" type="noConversion"/>
  </si>
  <si>
    <t>3以上</t>
    <phoneticPr fontId="2" type="noConversion"/>
  </si>
  <si>
    <t>3以上占比</t>
    <phoneticPr fontId="2" type="noConversion"/>
  </si>
  <si>
    <t>下游</t>
    <phoneticPr fontId="2" type="noConversion"/>
  </si>
  <si>
    <t>上游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</si>
</sst>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#,##0.0"/>
    <numFmt numFmtId="178" formatCode="0.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C5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0" borderId="0" xfId="0" applyFill="1"/>
    <xf numFmtId="0" fontId="4" fillId="5" borderId="0" xfId="0" applyFont="1" applyFill="1" applyAlignment="1">
      <alignment horizontal="center"/>
    </xf>
    <xf numFmtId="0" fontId="5" fillId="0" borderId="0" xfId="0" applyFont="1" applyFill="1"/>
    <xf numFmtId="176" fontId="0" fillId="0" borderId="0" xfId="0" applyNumberFormat="1"/>
    <xf numFmtId="176" fontId="0" fillId="3" borderId="0" xfId="0" applyNumberFormat="1" applyFill="1"/>
    <xf numFmtId="176" fontId="0" fillId="4" borderId="0" xfId="0" applyNumberFormat="1" applyFill="1"/>
    <xf numFmtId="176" fontId="0" fillId="0" borderId="0" xfId="0" applyNumberFormat="1" applyFill="1"/>
    <xf numFmtId="0" fontId="3" fillId="5" borderId="0" xfId="0" applyFont="1" applyFill="1" applyAlignment="1">
      <alignment horizontal="center"/>
    </xf>
    <xf numFmtId="10" fontId="0" fillId="0" borderId="0" xfId="1" applyNumberFormat="1" applyFont="1" applyAlignment="1"/>
    <xf numFmtId="177" fontId="0" fillId="0" borderId="0" xfId="0" applyNumberFormat="1"/>
    <xf numFmtId="10" fontId="0" fillId="3" borderId="0" xfId="1" applyNumberFormat="1" applyFont="1" applyFill="1" applyAlignment="1"/>
    <xf numFmtId="10" fontId="0" fillId="4" borderId="0" xfId="1" applyNumberFormat="1" applyFont="1" applyFill="1" applyAlignment="1"/>
    <xf numFmtId="10" fontId="0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176" fontId="5" fillId="0" borderId="0" xfId="0" applyNumberFormat="1" applyFont="1" applyFill="1"/>
    <xf numFmtId="9" fontId="0" fillId="0" borderId="0" xfId="1" applyFont="1" applyAlignment="1"/>
    <xf numFmtId="178" fontId="0" fillId="0" borderId="0" xfId="1" applyNumberFormat="1" applyFont="1" applyAlignment="1"/>
    <xf numFmtId="58" fontId="5" fillId="0" borderId="0" xfId="0" applyNumberFormat="1" applyFont="1"/>
  </cellXfs>
  <cellStyles count="2">
    <cellStyle name="百分比" xfId="1" builtinId="5"/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19"/>
  <sheetViews>
    <sheetView showGridLines="0" zoomScale="75" zoomScaleNormal="75" workbookViewId="0">
      <pane xSplit="3" ySplit="4" topLeftCell="D98" activePane="bottomRight" state="frozen"/>
      <selection pane="topRight" activeCell="D1" sqref="D1"/>
      <selection pane="bottomLeft" activeCell="A5" sqref="A5"/>
      <selection pane="bottomRight" activeCell="H77" sqref="H77"/>
    </sheetView>
  </sheetViews>
  <sheetFormatPr defaultRowHeight="14" x14ac:dyDescent="0.3"/>
  <cols>
    <col min="1" max="1" width="10" customWidth="1"/>
    <col min="2" max="2" width="13.33203125" customWidth="1"/>
    <col min="3" max="4" width="10.4140625" customWidth="1"/>
    <col min="5" max="5" width="10.83203125" customWidth="1"/>
    <col min="6" max="6" width="9.33203125" customWidth="1"/>
    <col min="7" max="7" width="9.08203125" bestFit="1" customWidth="1"/>
    <col min="8" max="8" width="9" customWidth="1"/>
  </cols>
  <sheetData>
    <row r="1" spans="1:9" ht="14.5" x14ac:dyDescent="0.3">
      <c r="A1" s="2" t="s">
        <v>0</v>
      </c>
      <c r="B1" s="2"/>
      <c r="C1" s="2"/>
    </row>
    <row r="2" spans="1:9" ht="14.5" x14ac:dyDescent="0.3">
      <c r="A2" s="2" t="s">
        <v>1</v>
      </c>
      <c r="B2" s="2"/>
      <c r="C2" s="2"/>
    </row>
    <row r="3" spans="1:9" ht="14.5" x14ac:dyDescent="0.3">
      <c r="A3" s="2" t="s">
        <v>2</v>
      </c>
      <c r="B3" s="2"/>
      <c r="C3" s="2"/>
    </row>
    <row r="4" spans="1:9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9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</row>
    <row r="6" spans="1:9" ht="14.5" x14ac:dyDescent="0.3">
      <c r="A6" s="2"/>
      <c r="B6" s="2" t="s">
        <v>4</v>
      </c>
      <c r="C6" s="2"/>
      <c r="D6" s="10">
        <f>541120086.93/10^6</f>
        <v>541.12008692999996</v>
      </c>
      <c r="E6" s="10">
        <f>642085984.14/10^6</f>
        <v>642.08598413999994</v>
      </c>
      <c r="F6" s="10">
        <f>507283135.69/10^6</f>
        <v>507.28313568999999</v>
      </c>
      <c r="G6" s="10">
        <f>486470680.99/10^6</f>
        <v>486.47068099000001</v>
      </c>
      <c r="H6" s="10">
        <f>508047408.59/10^6</f>
        <v>508.04740858999997</v>
      </c>
      <c r="I6" s="15">
        <f>POWER(H6/D6,1/4)-1</f>
        <v>-1.5642972373999142E-2</v>
      </c>
    </row>
    <row r="7" spans="1:9" ht="14.5" x14ac:dyDescent="0.3">
      <c r="A7" s="2"/>
      <c r="B7" s="2"/>
      <c r="C7" s="2" t="s">
        <v>5</v>
      </c>
      <c r="D7" s="10">
        <f>176766164.31/10^6</f>
        <v>176.76616430999999</v>
      </c>
      <c r="E7" s="10">
        <f>172515900.2/10^6</f>
        <v>172.51590019999998</v>
      </c>
      <c r="F7" s="10">
        <f>170694830.49/10^6</f>
        <v>170.69483049000002</v>
      </c>
      <c r="G7" s="10">
        <f>208930709.89/10^6</f>
        <v>208.93070988999997</v>
      </c>
      <c r="H7" s="10">
        <f>149837947.45/10^6</f>
        <v>149.83794745</v>
      </c>
      <c r="I7" s="15">
        <f t="shared" ref="I7:I87" si="0">POWER(H7/D7,1/4)-1</f>
        <v>-4.0476381532833505E-2</v>
      </c>
    </row>
    <row r="8" spans="1:9" ht="14.5" x14ac:dyDescent="0.3">
      <c r="A8" s="2"/>
      <c r="B8" s="2"/>
      <c r="C8" s="2" t="s">
        <v>6</v>
      </c>
      <c r="D8" s="10">
        <f>90966670.82/10^6</f>
        <v>90.96667081999999</v>
      </c>
      <c r="E8" s="10">
        <f>147911663.61/10^6</f>
        <v>147.91166361000001</v>
      </c>
      <c r="F8" s="10">
        <f>160669499.35/10^6</f>
        <v>160.66949935</v>
      </c>
      <c r="G8" s="10">
        <f>219131998.83/10^6</f>
        <v>219.13199883000001</v>
      </c>
      <c r="H8" s="10">
        <f>256355615.56/10^6</f>
        <v>256.35561555999999</v>
      </c>
      <c r="I8" s="15">
        <f t="shared" si="0"/>
        <v>0.29565726220465116</v>
      </c>
    </row>
    <row r="9" spans="1:9" ht="14.5" x14ac:dyDescent="0.3">
      <c r="A9" s="2"/>
      <c r="B9" s="2"/>
      <c r="C9" s="2" t="s">
        <v>7</v>
      </c>
      <c r="D9" s="10">
        <f>9649945.05/10^6</f>
        <v>9.6499450500000012</v>
      </c>
      <c r="E9" s="10">
        <f>9248543.49/10^6</f>
        <v>9.2485434899999994</v>
      </c>
      <c r="F9" s="10">
        <f>10255341.99/10^6</f>
        <v>10.25534199</v>
      </c>
      <c r="G9" s="10">
        <f>3113198.91/10^6</f>
        <v>3.1131989099999999</v>
      </c>
      <c r="H9" s="10">
        <f>2292241.8/10^6</f>
        <v>2.2922417999999998</v>
      </c>
      <c r="I9" s="15">
        <f t="shared" si="0"/>
        <v>-0.30187386445150821</v>
      </c>
    </row>
    <row r="10" spans="1:9" ht="14.5" x14ac:dyDescent="0.3">
      <c r="A10" s="2"/>
      <c r="B10" s="2"/>
      <c r="C10" s="2" t="s">
        <v>8</v>
      </c>
      <c r="D10" s="10">
        <f>251801879.45/10^6</f>
        <v>251.80187945</v>
      </c>
      <c r="E10" s="10">
        <f>293612868.65/10^6</f>
        <v>293.61286865</v>
      </c>
      <c r="F10" s="10">
        <f>152310180.03/10^6</f>
        <v>152.31018003</v>
      </c>
      <c r="G10" s="10">
        <f>46249641/10^6</f>
        <v>46.249640999999997</v>
      </c>
      <c r="H10" s="10">
        <f>75045193.58/10^6</f>
        <v>75.045193580000003</v>
      </c>
      <c r="I10" s="15">
        <f t="shared" si="0"/>
        <v>-0.26113349575144518</v>
      </c>
    </row>
    <row r="11" spans="1:9" ht="14.5" x14ac:dyDescent="0.3">
      <c r="A11" s="2"/>
      <c r="B11" s="2"/>
      <c r="C11" s="2" t="s">
        <v>9</v>
      </c>
      <c r="D11" s="10">
        <f>D6-D7-D8-D9-D10</f>
        <v>11.935427299999958</v>
      </c>
      <c r="E11" s="10">
        <f t="shared" ref="E11:G11" si="1">E6-E7-E8-E9-E10</f>
        <v>18.797008189999985</v>
      </c>
      <c r="F11" s="10">
        <f t="shared" si="1"/>
        <v>13.353283829999981</v>
      </c>
      <c r="G11" s="10">
        <f t="shared" si="1"/>
        <v>9.0451323599999895</v>
      </c>
      <c r="H11" s="10">
        <f>H6-H7-H8-H9-H10</f>
        <v>24.516410199999982</v>
      </c>
      <c r="I11" s="15">
        <f t="shared" si="0"/>
        <v>0.19716697210674461</v>
      </c>
    </row>
    <row r="12" spans="1:9" ht="14.5" x14ac:dyDescent="0.3">
      <c r="A12" s="2"/>
      <c r="B12" s="2" t="s">
        <v>10</v>
      </c>
      <c r="C12" s="2"/>
      <c r="D12" s="10">
        <f>373343279.5/10^6</f>
        <v>373.34327949999999</v>
      </c>
      <c r="E12" s="10">
        <f>440938394.02/10^6</f>
        <v>440.93839401999998</v>
      </c>
      <c r="F12" s="10">
        <f>311131554.07/10^6</f>
        <v>311.13155406999999</v>
      </c>
      <c r="G12" s="10">
        <f>264885302.64/10^6</f>
        <v>264.88530263999996</v>
      </c>
      <c r="H12" s="10">
        <f>294970639.97/10^6</f>
        <v>294.97063997000004</v>
      </c>
      <c r="I12" s="15">
        <f t="shared" si="0"/>
        <v>-5.7204256553721744E-2</v>
      </c>
    </row>
    <row r="13" spans="1:9" ht="14.5" x14ac:dyDescent="0.3">
      <c r="A13" s="2"/>
      <c r="B13" s="3" t="s">
        <v>12</v>
      </c>
      <c r="C13" s="3"/>
      <c r="D13" s="11">
        <f>D6-D12</f>
        <v>167.77680742999996</v>
      </c>
      <c r="E13" s="11">
        <f t="shared" ref="E13:H13" si="2">E6-E12</f>
        <v>201.14759011999996</v>
      </c>
      <c r="F13" s="11">
        <f t="shared" si="2"/>
        <v>196.15158162</v>
      </c>
      <c r="G13" s="11">
        <f t="shared" si="2"/>
        <v>221.58537835000004</v>
      </c>
      <c r="H13" s="11">
        <f t="shared" si="2"/>
        <v>213.07676861999994</v>
      </c>
      <c r="I13" s="17">
        <f t="shared" si="0"/>
        <v>6.1575883843514978E-2</v>
      </c>
    </row>
    <row r="14" spans="1:9" ht="14.5" x14ac:dyDescent="0.3">
      <c r="A14" s="2"/>
      <c r="B14" s="2" t="s">
        <v>13</v>
      </c>
      <c r="C14" s="2"/>
      <c r="D14" s="10">
        <f>67386082.87/10^6</f>
        <v>67.38608287000001</v>
      </c>
      <c r="E14" s="10">
        <f>70764781.75/10^6</f>
        <v>70.764781749999997</v>
      </c>
      <c r="F14" s="10">
        <f>79849121.12/10^6</f>
        <v>79.849121120000007</v>
      </c>
      <c r="G14" s="10">
        <f>74587529/10^6</f>
        <v>74.587529000000004</v>
      </c>
      <c r="H14" s="10">
        <f>81155143.55/10^6</f>
        <v>81.155143549999991</v>
      </c>
      <c r="I14" s="15">
        <f t="shared" si="0"/>
        <v>4.7578217898258224E-2</v>
      </c>
    </row>
    <row r="15" spans="1:9" ht="14.5" x14ac:dyDescent="0.3">
      <c r="A15" s="2"/>
      <c r="B15" s="2" t="s">
        <v>14</v>
      </c>
      <c r="C15" s="2"/>
      <c r="D15" s="10">
        <f>101756917.29/10^6</f>
        <v>101.75691729</v>
      </c>
      <c r="E15" s="10">
        <f>109701754.79/10^6</f>
        <v>109.70175479000001</v>
      </c>
      <c r="F15" s="10">
        <f>141256434.42/10^6</f>
        <v>141.25643441999998</v>
      </c>
      <c r="G15" s="10">
        <f>172506484.77/10^6</f>
        <v>172.50648477000001</v>
      </c>
      <c r="H15" s="10">
        <f>147455005.14/10^6</f>
        <v>147.45500514</v>
      </c>
      <c r="I15" s="15">
        <f t="shared" si="0"/>
        <v>9.7169924463139656E-2</v>
      </c>
    </row>
    <row r="16" spans="1:9" ht="14.5" x14ac:dyDescent="0.3">
      <c r="A16" s="2"/>
      <c r="B16" s="2"/>
      <c r="C16" s="2" t="s">
        <v>16</v>
      </c>
      <c r="D16" s="16">
        <f>3648244.03/10^6</f>
        <v>3.6482440299999999</v>
      </c>
      <c r="E16" s="10">
        <f>4143131.21/10^6</f>
        <v>4.14313121</v>
      </c>
      <c r="F16" s="10">
        <f>4430805.26/10^6</f>
        <v>4.4308052599999996</v>
      </c>
      <c r="G16" s="10">
        <f>3735226.46/10^6</f>
        <v>3.7352264599999998</v>
      </c>
      <c r="H16" s="10">
        <f>3870016.7/10^6</f>
        <v>3.8700167000000003</v>
      </c>
      <c r="I16" s="15">
        <f t="shared" si="0"/>
        <v>1.4862580368774747E-2</v>
      </c>
    </row>
    <row r="17" spans="1:9" ht="14.5" x14ac:dyDescent="0.3">
      <c r="A17" s="2"/>
      <c r="B17" s="2"/>
      <c r="C17" s="2" t="s">
        <v>17</v>
      </c>
      <c r="D17" s="10">
        <f>38420681.01/10^6</f>
        <v>38.420681009999996</v>
      </c>
      <c r="E17" s="10">
        <f>35038746.52/10^6</f>
        <v>35.038746520000004</v>
      </c>
      <c r="F17" s="10">
        <f>52604444.96/10^6</f>
        <v>52.604444960000002</v>
      </c>
      <c r="G17" s="10">
        <f>52751755.76/10^6</f>
        <v>52.751755759999995</v>
      </c>
      <c r="H17" s="10">
        <f>49553689.15/10^6</f>
        <v>49.553689149999997</v>
      </c>
      <c r="I17" s="15">
        <f t="shared" si="0"/>
        <v>6.5682252916817951E-2</v>
      </c>
    </row>
    <row r="18" spans="1:9" ht="14.5" x14ac:dyDescent="0.3">
      <c r="A18" s="2"/>
      <c r="B18" s="2" t="s">
        <v>15</v>
      </c>
      <c r="C18" s="2"/>
      <c r="D18" s="10">
        <f>2319147.27/10^6</f>
        <v>2.3191472700000002</v>
      </c>
      <c r="E18" s="10">
        <f>2276890.04/10^6</f>
        <v>2.2768900400000001</v>
      </c>
      <c r="F18" s="10">
        <f>422294.24/10^6</f>
        <v>0.42229423999999999</v>
      </c>
      <c r="G18" s="10">
        <f>-944578.49/10^6</f>
        <v>-0.94457848999999994</v>
      </c>
      <c r="H18" s="10">
        <f>13294995.01/10^6</f>
        <v>13.294995009999999</v>
      </c>
      <c r="I18" s="15">
        <f t="shared" si="0"/>
        <v>0.54735500023311268</v>
      </c>
    </row>
    <row r="19" spans="1:9" ht="14.5" x14ac:dyDescent="0.3">
      <c r="A19" s="2"/>
      <c r="B19" s="2" t="s">
        <v>18</v>
      </c>
      <c r="C19" s="2"/>
      <c r="D19" s="10">
        <f>7595348.38/10^6</f>
        <v>7.5953483799999999</v>
      </c>
      <c r="E19" s="10">
        <f>16553372.56/10^6</f>
        <v>16.55337256</v>
      </c>
      <c r="F19" s="10">
        <f>36770924.42/10^6</f>
        <v>36.77092442</v>
      </c>
      <c r="G19" s="10">
        <f>20382127.45/10^6</f>
        <v>20.382127449999999</v>
      </c>
      <c r="H19" s="10">
        <f>29525849.7/10^6</f>
        <v>29.525849699999998</v>
      </c>
      <c r="I19" s="15">
        <f t="shared" si="0"/>
        <v>0.40415055674854039</v>
      </c>
    </row>
    <row r="20" spans="1:9" ht="14.5" x14ac:dyDescent="0.3">
      <c r="A20" s="2"/>
      <c r="B20" s="2" t="s">
        <v>112</v>
      </c>
      <c r="C20" s="2"/>
      <c r="D20" s="10">
        <f>35355804.9/10^6</f>
        <v>35.355804899999995</v>
      </c>
      <c r="E20" s="10">
        <f>44792900.95/10^6</f>
        <v>44.792900950000003</v>
      </c>
      <c r="F20" s="10">
        <f>68036284.85/10^6</f>
        <v>68.036284849999987</v>
      </c>
      <c r="G20" s="10">
        <f>86732093.78/10^6</f>
        <v>86.73209378</v>
      </c>
      <c r="H20" s="10">
        <f>66896916.92/10^6</f>
        <v>66.896916919999995</v>
      </c>
      <c r="I20" s="15">
        <f t="shared" si="0"/>
        <v>0.17283344918542265</v>
      </c>
    </row>
    <row r="21" spans="1:9" ht="14.5" x14ac:dyDescent="0.3">
      <c r="A21" s="2"/>
      <c r="B21" s="2"/>
      <c r="C21" s="2" t="s">
        <v>116</v>
      </c>
      <c r="D21" s="10">
        <f>35515586.85/10^6</f>
        <v>35.515586849999998</v>
      </c>
      <c r="E21" s="10">
        <f>44792900.95/10^6</f>
        <v>44.792900950000003</v>
      </c>
      <c r="F21" s="10">
        <f>57654629.26/10^6</f>
        <v>57.65462926</v>
      </c>
      <c r="G21" s="10">
        <f>30946500.93/10^6</f>
        <v>30.946500929999999</v>
      </c>
      <c r="H21" s="10">
        <f>20653310.11/10^6</f>
        <v>20.65331011</v>
      </c>
      <c r="I21" s="15">
        <f t="shared" si="0"/>
        <v>-0.12674180946420044</v>
      </c>
    </row>
    <row r="22" spans="1:9" ht="14.5" x14ac:dyDescent="0.3">
      <c r="A22" s="2"/>
      <c r="B22" s="2" t="s">
        <v>113</v>
      </c>
      <c r="C22" s="2"/>
      <c r="D22" s="10">
        <f>20454541.66/10^6</f>
        <v>20.45454166</v>
      </c>
      <c r="E22" s="10">
        <f>42791262.47/10^6</f>
        <v>42.791262469999999</v>
      </c>
      <c r="F22" s="10">
        <f>890537.83/10^6</f>
        <v>0.89053782999999997</v>
      </c>
      <c r="G22" s="10">
        <f>32491724.85/10^6</f>
        <v>32.491724850000004</v>
      </c>
      <c r="H22" s="10">
        <f>8420262.08/10^6</f>
        <v>8.4202620800000005</v>
      </c>
      <c r="I22" s="15">
        <f t="shared" si="0"/>
        <v>-0.19899732917703983</v>
      </c>
    </row>
    <row r="23" spans="1:9" ht="14.5" x14ac:dyDescent="0.3">
      <c r="A23" s="2"/>
      <c r="B23" s="2" t="s">
        <v>114</v>
      </c>
      <c r="C23" s="2"/>
      <c r="D23" s="10">
        <f>33214189.69/10^6</f>
        <v>33.214189690000005</v>
      </c>
      <c r="E23" s="10">
        <f>20899405.28/10^6</f>
        <v>20.89940528</v>
      </c>
      <c r="F23" s="10">
        <f>10554993.59/10^6</f>
        <v>10.55499359</v>
      </c>
      <c r="G23" s="10">
        <f>8368334.5/10^6</f>
        <v>8.3683344999999996</v>
      </c>
      <c r="H23" s="10">
        <f>1770521.76/10^6</f>
        <v>1.7705217600000001</v>
      </c>
      <c r="I23" s="15">
        <f t="shared" si="0"/>
        <v>-0.51949888281448608</v>
      </c>
    </row>
    <row r="24" spans="1:9" ht="14.5" x14ac:dyDescent="0.3">
      <c r="A24" s="2"/>
      <c r="B24" s="2" t="s">
        <v>115</v>
      </c>
      <c r="C24" s="2"/>
      <c r="D24" s="10">
        <f>764760.56/10^6</f>
        <v>0.76476056000000003</v>
      </c>
      <c r="E24" s="10">
        <v>1.7</v>
      </c>
      <c r="F24" s="10">
        <v>0.2</v>
      </c>
      <c r="G24" s="10">
        <f>1643140.19/10^6</f>
        <v>1.64314019</v>
      </c>
      <c r="H24" s="10">
        <f>3435530.44/10^6</f>
        <v>3.43553044</v>
      </c>
      <c r="I24" s="15">
        <f t="shared" si="0"/>
        <v>0.45585150445162936</v>
      </c>
    </row>
    <row r="25" spans="1:9" ht="14.5" x14ac:dyDescent="0.3">
      <c r="A25" s="2"/>
      <c r="B25" s="2" t="s">
        <v>117</v>
      </c>
      <c r="C25" s="2"/>
      <c r="D25" s="10">
        <f>52903970.79/10^6</f>
        <v>52.903970790000002</v>
      </c>
      <c r="E25" s="10">
        <v>62</v>
      </c>
      <c r="F25" s="10">
        <f>11238440.64/10^6</f>
        <v>11.23844064</v>
      </c>
      <c r="G25" s="10">
        <v>39.200000000000003</v>
      </c>
      <c r="H25" s="10">
        <v>6.8</v>
      </c>
      <c r="I25" s="15">
        <f t="shared" si="0"/>
        <v>-0.40123671733683952</v>
      </c>
    </row>
    <row r="26" spans="1:9" ht="14.5" x14ac:dyDescent="0.3">
      <c r="A26" s="2"/>
      <c r="B26" s="2" t="s">
        <v>118</v>
      </c>
      <c r="C26" s="2"/>
      <c r="D26" s="10">
        <f>5238282.82/10^6</f>
        <v>5.2382828200000002</v>
      </c>
      <c r="E26" s="10">
        <f>7093940.87/10^6</f>
        <v>7.09394087</v>
      </c>
      <c r="F26" s="10">
        <f>416853.28/10^6</f>
        <v>0.41685328000000005</v>
      </c>
      <c r="G26" s="10">
        <f>1192342.16/10^6</f>
        <v>1.1923421599999999</v>
      </c>
      <c r="H26" s="10">
        <f>5067749.71/10^6</f>
        <v>5.0677497100000002</v>
      </c>
      <c r="I26" s="15">
        <f t="shared" si="0"/>
        <v>-8.2400787993132107E-3</v>
      </c>
    </row>
    <row r="27" spans="1:9" ht="14.5" x14ac:dyDescent="0.3">
      <c r="A27" s="2"/>
      <c r="B27" s="3" t="s">
        <v>19</v>
      </c>
      <c r="C27" s="3"/>
      <c r="D27" s="11">
        <f>47665687.97/10^6</f>
        <v>47.66568797</v>
      </c>
      <c r="E27" s="11">
        <f>54885400.04/10^6</f>
        <v>54.88540004</v>
      </c>
      <c r="F27" s="11">
        <f>12520609/10^6</f>
        <v>12.520609</v>
      </c>
      <c r="G27" s="11">
        <f>38024577/10^6</f>
        <v>38.024577000000001</v>
      </c>
      <c r="H27" s="11">
        <f>1687503.69/10^6</f>
        <v>1.68750369</v>
      </c>
      <c r="I27" s="15">
        <f t="shared" si="0"/>
        <v>-0.56622979631872838</v>
      </c>
    </row>
    <row r="28" spans="1:9" ht="14.5" x14ac:dyDescent="0.3">
      <c r="A28" s="2"/>
      <c r="B28" s="9" t="s">
        <v>119</v>
      </c>
      <c r="C28" s="9"/>
      <c r="D28" s="13">
        <f>39047846.19/10^6</f>
        <v>39.047846189999994</v>
      </c>
      <c r="E28" s="13">
        <f>46194999.29/10^6</f>
        <v>46.194999289999998</v>
      </c>
      <c r="F28" s="13">
        <f>17260270.63/10^6</f>
        <v>17.260270629999997</v>
      </c>
      <c r="G28" s="13">
        <f>40271299.24/10^6</f>
        <v>40.271299240000005</v>
      </c>
      <c r="H28" s="13">
        <f>1523728.43/10^6</f>
        <v>1.52372843</v>
      </c>
      <c r="I28" s="15">
        <f t="shared" si="0"/>
        <v>-0.5555451786417428</v>
      </c>
    </row>
    <row r="29" spans="1:9" ht="14.5" x14ac:dyDescent="0.3">
      <c r="A29" s="2"/>
      <c r="B29" s="9" t="s">
        <v>120</v>
      </c>
      <c r="C29" s="9"/>
      <c r="D29" s="13">
        <f>8617841.78/10^6</f>
        <v>8.6178417799999991</v>
      </c>
      <c r="E29" s="13">
        <f>8690400.75/10^6</f>
        <v>8.6904007500000002</v>
      </c>
      <c r="F29" s="13">
        <f>-6438683.27/10^6</f>
        <v>-6.4386832699999994</v>
      </c>
      <c r="G29" s="13">
        <f>-2246722.24/10^6</f>
        <v>-2.2467222400000004</v>
      </c>
      <c r="H29" s="13">
        <f>163775.26/10^6</f>
        <v>0.16377526000000001</v>
      </c>
      <c r="I29" s="15">
        <f t="shared" si="0"/>
        <v>-0.62871069007456648</v>
      </c>
    </row>
    <row r="30" spans="1:9" ht="14.5" x14ac:dyDescent="0.3">
      <c r="A30" s="2"/>
      <c r="B30" s="9" t="s">
        <v>106</v>
      </c>
      <c r="C30" s="9"/>
      <c r="D30" s="13">
        <f>-101478.99/10^6</f>
        <v>-0.10147899000000001</v>
      </c>
      <c r="E30" s="13">
        <f>-4051108.86/10^6</f>
        <v>-4.0511088600000003</v>
      </c>
      <c r="F30" s="13">
        <f>-1190748.89/10^6</f>
        <v>-1.1907488899999998</v>
      </c>
      <c r="G30" s="13">
        <f>-756613.97/10^6</f>
        <v>-0.75661396999999997</v>
      </c>
      <c r="H30" s="13">
        <f>6268938.95/10^6</f>
        <v>6.2689389499999999</v>
      </c>
      <c r="I30" s="15"/>
    </row>
    <row r="31" spans="1:9" ht="14.5" x14ac:dyDescent="0.3">
      <c r="A31" s="2"/>
      <c r="B31" s="9" t="s">
        <v>121</v>
      </c>
      <c r="C31" s="9"/>
      <c r="D31" s="13">
        <f>47564208.98/10^6</f>
        <v>47.564208979999997</v>
      </c>
      <c r="E31" s="13">
        <f>50834291.18/10^6</f>
        <v>50.834291180000001</v>
      </c>
      <c r="F31" s="13">
        <f>9630838.47/10^6</f>
        <v>9.6308384700000005</v>
      </c>
      <c r="G31" s="13">
        <f>37267963.03/10^6</f>
        <v>37.267963030000004</v>
      </c>
      <c r="H31" s="13">
        <f>7956442.64/10^6</f>
        <v>7.9564426399999997</v>
      </c>
      <c r="I31" s="15">
        <f t="shared" si="0"/>
        <v>-0.36047185161691131</v>
      </c>
    </row>
    <row r="32" spans="1:9" ht="14.5" x14ac:dyDescent="0.3">
      <c r="A32" s="2"/>
      <c r="B32" s="9" t="s">
        <v>122</v>
      </c>
      <c r="C32" s="9"/>
      <c r="D32" s="13">
        <f>38946367.2/10^6</f>
        <v>38.946367200000005</v>
      </c>
      <c r="E32" s="13">
        <f>42143890.43/10^6</f>
        <v>42.143890429999999</v>
      </c>
      <c r="F32" s="13">
        <f>16069521.74/10^6</f>
        <v>16.069521739999999</v>
      </c>
      <c r="G32" s="13">
        <f>39514685.27/10^6</f>
        <v>39.514685270000001</v>
      </c>
      <c r="H32" s="13">
        <f>7792667.38/10^6</f>
        <v>7.7926673800000001</v>
      </c>
      <c r="I32" s="15">
        <f t="shared" si="0"/>
        <v>-0.33118686108948903</v>
      </c>
    </row>
    <row r="33" spans="1:9" ht="14.5" x14ac:dyDescent="0.3">
      <c r="A33" s="2"/>
      <c r="B33" s="9" t="s">
        <v>123</v>
      </c>
      <c r="C33" s="9"/>
      <c r="D33" s="13">
        <f>8617841.78/10^6</f>
        <v>8.6178417799999991</v>
      </c>
      <c r="E33" s="13">
        <f>8690400.75/10^6</f>
        <v>8.6904007500000002</v>
      </c>
      <c r="F33" s="13">
        <f>-6438683.27/10^6</f>
        <v>-6.4386832699999994</v>
      </c>
      <c r="G33" s="13">
        <f>-2246722.24/10^6</f>
        <v>-2.2467222400000004</v>
      </c>
      <c r="H33" s="13">
        <f>163775.26/10^6</f>
        <v>0.16377526000000001</v>
      </c>
      <c r="I33" s="15">
        <f t="shared" si="0"/>
        <v>-0.62871069007456648</v>
      </c>
    </row>
    <row r="34" spans="1:9" ht="14.5" x14ac:dyDescent="0.3">
      <c r="A34" s="5" t="s">
        <v>20</v>
      </c>
      <c r="B34" s="5"/>
      <c r="C34" s="5"/>
      <c r="D34" s="12"/>
      <c r="E34" s="12"/>
      <c r="F34" s="12"/>
      <c r="G34" s="12"/>
      <c r="H34" s="12"/>
      <c r="I34" s="18"/>
    </row>
    <row r="35" spans="1:9" s="7" customFormat="1" ht="14.5" x14ac:dyDescent="0.3">
      <c r="A35" s="9"/>
      <c r="B35" s="9" t="s">
        <v>31</v>
      </c>
      <c r="C35" s="9"/>
      <c r="D35" s="13">
        <f>200226285.12/10^6</f>
        <v>200.22628512</v>
      </c>
      <c r="E35" s="13">
        <f>211597007.46/10^6</f>
        <v>211.59700746000001</v>
      </c>
      <c r="F35" s="13">
        <f>249366713.1/10^6</f>
        <v>249.3667131</v>
      </c>
      <c r="G35" s="13">
        <f>257144283.24/10^6</f>
        <v>257.14428323999999</v>
      </c>
      <c r="H35" s="13">
        <f>277242923.29/10^6</f>
        <v>277.24292329000002</v>
      </c>
      <c r="I35" s="15">
        <f t="shared" si="0"/>
        <v>8.4762953591836832E-2</v>
      </c>
    </row>
    <row r="36" spans="1:9" s="7" customFormat="1" ht="14.5" x14ac:dyDescent="0.3">
      <c r="A36" s="9"/>
      <c r="B36" s="9" t="s">
        <v>33</v>
      </c>
      <c r="C36" s="9"/>
      <c r="D36" s="13">
        <f>6393382.6/10^6</f>
        <v>6.3933825999999998</v>
      </c>
      <c r="E36" s="13">
        <f>11709671.8/10^6</f>
        <v>11.709671800000001</v>
      </c>
      <c r="F36" s="13">
        <f>9114181.45/10^6</f>
        <v>9.1141814499999985</v>
      </c>
      <c r="G36" s="13">
        <f>5862000/10^6</f>
        <v>5.8620000000000001</v>
      </c>
      <c r="H36" s="13">
        <f>6373879.27/10^6</f>
        <v>6.3738792699999998</v>
      </c>
      <c r="I36" s="15">
        <f t="shared" si="0"/>
        <v>-7.6351135070484855E-4</v>
      </c>
    </row>
    <row r="37" spans="1:9" ht="14.5" x14ac:dyDescent="0.3">
      <c r="A37" s="2"/>
      <c r="B37" s="2" t="s">
        <v>21</v>
      </c>
      <c r="C37" s="2"/>
      <c r="D37" s="10">
        <f>300403110.57/10^6</f>
        <v>300.40311056999997</v>
      </c>
      <c r="E37" s="10">
        <f>358698522.72/10^6</f>
        <v>358.69852272000003</v>
      </c>
      <c r="F37" s="10">
        <f>278027722.11/10^6</f>
        <v>278.02772211000001</v>
      </c>
      <c r="G37" s="10">
        <f>241611535.98/10^6</f>
        <v>241.61153597999999</v>
      </c>
      <c r="H37" s="10">
        <f>202967852.8/10^6</f>
        <v>202.9678528</v>
      </c>
      <c r="I37" s="15">
        <f t="shared" si="0"/>
        <v>-9.3368700632509238E-2</v>
      </c>
    </row>
    <row r="38" spans="1:9" ht="14.5" x14ac:dyDescent="0.3">
      <c r="A38" s="2"/>
      <c r="B38" s="2"/>
      <c r="C38" s="2" t="s">
        <v>22</v>
      </c>
      <c r="D38" s="10">
        <f>220491891.35/10^6</f>
        <v>220.49189135</v>
      </c>
      <c r="E38" s="10">
        <f>284993432.92/10^6</f>
        <v>284.99343292000003</v>
      </c>
      <c r="F38" s="10">
        <f>208930204.65/10^6</f>
        <v>208.93020465000001</v>
      </c>
      <c r="G38" s="10">
        <f>173994731.04/10^6</f>
        <v>173.99473104</v>
      </c>
      <c r="H38" s="10">
        <f>164531882.56/10^6</f>
        <v>164.53188256000001</v>
      </c>
      <c r="I38" s="15"/>
    </row>
    <row r="39" spans="1:9" ht="14.5" x14ac:dyDescent="0.3">
      <c r="A39" s="2"/>
      <c r="B39" s="2"/>
      <c r="C39" s="2" t="s">
        <v>23</v>
      </c>
      <c r="D39" s="10">
        <f>47440036.07/10^6</f>
        <v>47.440036069999998</v>
      </c>
      <c r="E39" s="10">
        <f>51897614.98/10^6</f>
        <v>51.89761498</v>
      </c>
      <c r="F39" s="10">
        <f>43826435.43/10^6</f>
        <v>43.826435429999997</v>
      </c>
      <c r="G39" s="10">
        <f>57443772.26/10^6</f>
        <v>57.443772259999996</v>
      </c>
      <c r="H39" s="10">
        <f>30701041.44/10^6</f>
        <v>30.701041440000001</v>
      </c>
      <c r="I39" s="15"/>
    </row>
    <row r="40" spans="1:9" ht="14.5" x14ac:dyDescent="0.3">
      <c r="A40" s="2"/>
      <c r="B40" s="2"/>
      <c r="C40" s="2" t="s">
        <v>24</v>
      </c>
      <c r="D40" s="10">
        <f>53582342.36/10^6</f>
        <v>53.582342359999998</v>
      </c>
      <c r="E40" s="10">
        <f>35333237.16/10^6</f>
        <v>35.333237159999996</v>
      </c>
      <c r="F40" s="10">
        <f>30619498.31/10^6</f>
        <v>30.619498309999997</v>
      </c>
      <c r="G40" s="10">
        <f>17952974.93/10^6</f>
        <v>17.95297493</v>
      </c>
      <c r="H40" s="10">
        <f>15956877.14/10^6</f>
        <v>15.956877140000001</v>
      </c>
      <c r="I40" s="15"/>
    </row>
    <row r="41" spans="1:9" ht="14.5" x14ac:dyDescent="0.3">
      <c r="A41" s="2"/>
      <c r="B41" s="2"/>
      <c r="C41" s="2" t="s">
        <v>25</v>
      </c>
      <c r="D41" s="10">
        <f>8583225.87/10^6</f>
        <v>8.5832258699999997</v>
      </c>
      <c r="E41" s="10">
        <f>21737123.14/10^6</f>
        <v>21.737123140000001</v>
      </c>
      <c r="F41" s="10">
        <f>20970543.77/10^6</f>
        <v>20.970543769999999</v>
      </c>
      <c r="G41" s="10">
        <f>12817116.8/10^6</f>
        <v>12.817116800000001</v>
      </c>
      <c r="H41" s="10">
        <f>8388737.63/10^6</f>
        <v>8.3887376300000014</v>
      </c>
      <c r="I41" s="15"/>
    </row>
    <row r="42" spans="1:9" ht="14.5" x14ac:dyDescent="0.3">
      <c r="A42" s="2"/>
      <c r="B42" s="2"/>
      <c r="C42" s="2" t="s">
        <v>26</v>
      </c>
      <c r="D42" s="10">
        <f>667469/10^6</f>
        <v>0.66746899999999998</v>
      </c>
      <c r="E42" s="10">
        <f>5369021.53/10^6</f>
        <v>5.3690215300000004</v>
      </c>
      <c r="F42" s="10">
        <f>21214182.5/10^6</f>
        <v>21.2141825</v>
      </c>
      <c r="G42" s="10">
        <f>13486663.73/10^6</f>
        <v>13.48666373</v>
      </c>
      <c r="H42" s="10">
        <f>7288678.96/10^6</f>
        <v>7.2886789600000004</v>
      </c>
      <c r="I42" s="15"/>
    </row>
    <row r="43" spans="1:9" ht="14.5" x14ac:dyDescent="0.3">
      <c r="A43" s="2"/>
      <c r="B43" s="2"/>
      <c r="C43" s="2" t="s">
        <v>27</v>
      </c>
      <c r="D43" s="10">
        <f>2123946.19/10^6</f>
        <v>2.1239461899999998</v>
      </c>
      <c r="E43" s="10">
        <f>3448125.08/10^6</f>
        <v>3.4481250800000001</v>
      </c>
      <c r="F43" s="10">
        <f>7661829.11/10^6</f>
        <v>7.6618291100000002</v>
      </c>
      <c r="G43" s="10">
        <f>23179062.76/10^6</f>
        <v>23.179062760000001</v>
      </c>
      <c r="H43" s="10">
        <f>29215467.11/10^6</f>
        <v>29.215467109999999</v>
      </c>
      <c r="I43" s="15"/>
    </row>
    <row r="44" spans="1:9" ht="14.5" x14ac:dyDescent="0.3">
      <c r="A44" s="2"/>
      <c r="B44" s="2" t="s">
        <v>34</v>
      </c>
      <c r="C44" s="2"/>
      <c r="D44" s="10">
        <f>9815526.01/10^6</f>
        <v>9.8155260099999992</v>
      </c>
      <c r="E44" s="10">
        <f>20748765.04/10^6</f>
        <v>20.748765039999999</v>
      </c>
      <c r="F44" s="10">
        <f>13426698.31/10^6</f>
        <v>13.426698310000001</v>
      </c>
      <c r="G44" s="10">
        <f>13597881.85/10^6</f>
        <v>13.59788185</v>
      </c>
      <c r="H44" s="10">
        <f>20535460.54/10^6</f>
        <v>20.535460539999999</v>
      </c>
      <c r="I44" s="15">
        <f t="shared" si="0"/>
        <v>0.2026734320918282</v>
      </c>
    </row>
    <row r="45" spans="1:9" ht="14.5" x14ac:dyDescent="0.3">
      <c r="A45" s="2"/>
      <c r="B45" s="2" t="s">
        <v>35</v>
      </c>
      <c r="C45" s="2"/>
      <c r="D45" s="10">
        <f>16522807.51/10^6</f>
        <v>16.52280751</v>
      </c>
      <c r="E45" s="10">
        <f>21722138.17/10^6</f>
        <v>21.722138170000001</v>
      </c>
      <c r="F45" s="10">
        <f>36764028.16/10^6</f>
        <v>36.764028159999995</v>
      </c>
      <c r="G45" s="10">
        <f>25540102.19/10^6</f>
        <v>25.540102190000002</v>
      </c>
      <c r="H45" s="10">
        <f>25004616.81/10^6</f>
        <v>25.004616809999998</v>
      </c>
      <c r="I45" s="15">
        <f t="shared" si="0"/>
        <v>0.10913418241327832</v>
      </c>
    </row>
    <row r="46" spans="1:9" ht="14.5" x14ac:dyDescent="0.3">
      <c r="A46" s="2"/>
      <c r="B46" s="2" t="s">
        <v>28</v>
      </c>
      <c r="C46" s="2"/>
      <c r="D46" s="10">
        <f>124679839.68/10^6</f>
        <v>124.67983968</v>
      </c>
      <c r="E46" s="10">
        <f>151733740.28/10^6</f>
        <v>151.73374028000001</v>
      </c>
      <c r="F46" s="10">
        <f>153779827.73/10^6</f>
        <v>153.77982772999999</v>
      </c>
      <c r="G46" s="10">
        <f>241657199.05/10^6</f>
        <v>241.65719905</v>
      </c>
      <c r="H46" s="10">
        <f>351654159.68/10^6</f>
        <v>351.65415968000002</v>
      </c>
      <c r="I46" s="15">
        <f t="shared" si="0"/>
        <v>0.29592503859635833</v>
      </c>
    </row>
    <row r="47" spans="1:9" ht="14.5" x14ac:dyDescent="0.3">
      <c r="A47" s="2"/>
      <c r="B47" s="2"/>
      <c r="C47" s="2" t="s">
        <v>29</v>
      </c>
      <c r="D47" s="10">
        <f>690657.94/10^6</f>
        <v>0.69065793999999991</v>
      </c>
      <c r="E47" s="10">
        <f>3138726.22/10^6</f>
        <v>3.1387262200000001</v>
      </c>
      <c r="F47" s="10">
        <f>3473272.53/10^6</f>
        <v>3.4732725299999996</v>
      </c>
      <c r="G47" s="10">
        <f>7954783.42/10^6</f>
        <v>7.95478342</v>
      </c>
      <c r="H47" s="10">
        <f>10543147.17/10^6</f>
        <v>10.543147169999999</v>
      </c>
      <c r="I47" s="15"/>
    </row>
    <row r="48" spans="1:9" ht="14.5" x14ac:dyDescent="0.3">
      <c r="A48" s="2"/>
      <c r="B48" s="2" t="s">
        <v>36</v>
      </c>
      <c r="C48" s="2"/>
      <c r="D48" s="10"/>
      <c r="E48" s="10">
        <f>15257687.5/10^6</f>
        <v>15.257687499999999</v>
      </c>
      <c r="F48" s="10">
        <f>3699365.22/10^6</f>
        <v>3.6993652200000002</v>
      </c>
      <c r="G48" s="10">
        <f>22592265.95/10^6</f>
        <v>22.592265949999998</v>
      </c>
      <c r="H48" s="10">
        <f>14415488.61/10^6</f>
        <v>14.415488609999999</v>
      </c>
      <c r="I48" s="15">
        <f>POWER(H48/E48,1/3)-1</f>
        <v>-1.8748763063268004E-2</v>
      </c>
    </row>
    <row r="49" spans="1:9" ht="14.5" x14ac:dyDescent="0.3">
      <c r="A49" s="2"/>
      <c r="B49" s="3" t="s">
        <v>32</v>
      </c>
      <c r="C49" s="3"/>
      <c r="D49" s="11">
        <f>667271951.49/10^6</f>
        <v>667.27195148999999</v>
      </c>
      <c r="E49" s="11">
        <f>791467532.97/10^6</f>
        <v>791.46753296999998</v>
      </c>
      <c r="F49" s="11">
        <f>740926354.63/10^6</f>
        <v>740.92635462999999</v>
      </c>
      <c r="G49" s="11">
        <f>815313449.71/10^6</f>
        <v>815.31344970999999</v>
      </c>
      <c r="H49" s="11">
        <f>915920681/10^6</f>
        <v>915.92068099999995</v>
      </c>
      <c r="I49" s="17">
        <f t="shared" si="0"/>
        <v>8.2402405755706232E-2</v>
      </c>
    </row>
    <row r="50" spans="1:9" s="7" customFormat="1" ht="14.5" x14ac:dyDescent="0.3">
      <c r="A50" s="9"/>
      <c r="B50" s="9" t="s">
        <v>87</v>
      </c>
      <c r="C50" s="9"/>
      <c r="D50" s="13"/>
      <c r="E50" s="13"/>
      <c r="F50" s="13"/>
      <c r="G50" s="13">
        <f>302701261.52/10^6</f>
        <v>302.70126152</v>
      </c>
      <c r="H50" s="13">
        <f>334627266.28/10^6</f>
        <v>334.62726627999996</v>
      </c>
      <c r="I50" s="19"/>
    </row>
    <row r="51" spans="1:9" ht="14.5" x14ac:dyDescent="0.3">
      <c r="A51" s="2"/>
      <c r="B51" s="9" t="s">
        <v>37</v>
      </c>
      <c r="C51" s="9"/>
      <c r="D51" s="13">
        <f>427669430.21/10^6</f>
        <v>427.66943020999997</v>
      </c>
      <c r="E51" s="13">
        <f>389851193.94/10^6</f>
        <v>389.85119393999997</v>
      </c>
      <c r="F51" s="13">
        <f>650346641.14/10^6</f>
        <v>650.34664113999997</v>
      </c>
      <c r="G51" s="13">
        <f>557896561.17/10^6</f>
        <v>557.89656116999993</v>
      </c>
      <c r="H51" s="13">
        <f>581262808.78/10^6</f>
        <v>581.26280878</v>
      </c>
      <c r="I51" s="15">
        <f t="shared" si="0"/>
        <v>7.9732271729909154E-2</v>
      </c>
    </row>
    <row r="52" spans="1:9" ht="14.5" x14ac:dyDescent="0.3">
      <c r="A52" s="2"/>
      <c r="B52" s="9" t="s">
        <v>88</v>
      </c>
      <c r="C52" s="9"/>
      <c r="D52" s="13"/>
      <c r="E52" s="13"/>
      <c r="F52" s="13"/>
      <c r="G52" s="13"/>
      <c r="H52" s="13"/>
      <c r="I52" s="15"/>
    </row>
    <row r="53" spans="1:9" ht="14.5" x14ac:dyDescent="0.3">
      <c r="A53" s="2"/>
      <c r="B53" s="9" t="s">
        <v>38</v>
      </c>
      <c r="C53" s="9"/>
      <c r="D53" s="13">
        <f>267041161.55/10^6</f>
        <v>267.04116155000003</v>
      </c>
      <c r="E53" s="13">
        <f>261159269.6/10^6</f>
        <v>261.15926960000002</v>
      </c>
      <c r="F53" s="13">
        <f>233783402.04/10^6</f>
        <v>233.78340204</v>
      </c>
      <c r="G53" s="13">
        <f>181490039.52/10^6</f>
        <v>181.49003952000001</v>
      </c>
      <c r="H53" s="13">
        <f>152814780.95/10^6</f>
        <v>152.81478095</v>
      </c>
      <c r="I53" s="15">
        <f t="shared" si="0"/>
        <v>-0.13024529111871141</v>
      </c>
    </row>
    <row r="54" spans="1:9" ht="14.5" x14ac:dyDescent="0.3">
      <c r="A54" s="2"/>
      <c r="B54" s="9"/>
      <c r="C54" s="9" t="s">
        <v>49</v>
      </c>
      <c r="D54" s="13"/>
      <c r="E54" s="13"/>
      <c r="F54" s="13"/>
      <c r="G54" s="13">
        <f>548010/10^6</f>
        <v>0.54801</v>
      </c>
      <c r="H54" s="13"/>
      <c r="I54" s="15"/>
    </row>
    <row r="55" spans="1:9" ht="14.5" x14ac:dyDescent="0.3">
      <c r="A55" s="2"/>
      <c r="B55" s="2" t="s">
        <v>30</v>
      </c>
      <c r="C55" s="2"/>
      <c r="D55" s="10">
        <f>131957313.86/10^6</f>
        <v>131.95731386</v>
      </c>
      <c r="E55" s="10">
        <f>150241574.98/10^6</f>
        <v>150.24157498</v>
      </c>
      <c r="F55" s="10">
        <f>174943366.72/10^6</f>
        <v>174.94336672</v>
      </c>
      <c r="G55" s="10">
        <f>164255856.29/10^6</f>
        <v>164.25585629</v>
      </c>
      <c r="H55" s="10">
        <f>145680201.88/10^6</f>
        <v>145.68020188</v>
      </c>
      <c r="I55" s="15">
        <f t="shared" si="0"/>
        <v>2.5042251471916188E-2</v>
      </c>
    </row>
    <row r="56" spans="1:9" ht="14.5" x14ac:dyDescent="0.3">
      <c r="A56" s="2"/>
      <c r="B56" s="2"/>
      <c r="C56" s="2" t="s">
        <v>17</v>
      </c>
      <c r="D56" s="10">
        <v>52.5</v>
      </c>
      <c r="E56" s="10">
        <v>20.5</v>
      </c>
      <c r="F56" s="10">
        <v>32.6</v>
      </c>
      <c r="G56" s="10">
        <v>11.4</v>
      </c>
      <c r="H56" s="10">
        <v>12</v>
      </c>
      <c r="I56" s="15">
        <f t="shared" si="0"/>
        <v>-0.30855843071611799</v>
      </c>
    </row>
    <row r="57" spans="1:9" ht="14.5" x14ac:dyDescent="0.3">
      <c r="B57" s="2" t="s">
        <v>39</v>
      </c>
      <c r="D57" s="10">
        <f>37236705.74/10^6</f>
        <v>37.236705740000005</v>
      </c>
      <c r="E57" s="10">
        <f>27248223.37/10^6</f>
        <v>27.248223370000002</v>
      </c>
      <c r="F57" s="10">
        <f>9948977.64/10^6</f>
        <v>9.9489776400000007</v>
      </c>
      <c r="G57" s="10">
        <f>5698978.23/10^6</f>
        <v>5.6989782300000007</v>
      </c>
      <c r="H57" s="10">
        <f>10947184.43/10^6</f>
        <v>10.94718443</v>
      </c>
      <c r="I57" s="15">
        <f t="shared" si="0"/>
        <v>-0.2636525358892593</v>
      </c>
    </row>
    <row r="58" spans="1:9" ht="14.5" x14ac:dyDescent="0.3">
      <c r="B58" s="2" t="s">
        <v>40</v>
      </c>
      <c r="D58" s="10">
        <f>42049563.07/10^6</f>
        <v>42.049563069999998</v>
      </c>
      <c r="E58" s="10">
        <f>93178614.17/10^6</f>
        <v>93.178614170000003</v>
      </c>
      <c r="F58" s="10">
        <f>57158813.09/10^6</f>
        <v>57.158813090000002</v>
      </c>
      <c r="G58" s="10">
        <f>57158813.09/10^6</f>
        <v>57.158813090000002</v>
      </c>
      <c r="H58" s="10">
        <f>57158813.09/10^6</f>
        <v>57.158813090000002</v>
      </c>
      <c r="I58" s="15">
        <f t="shared" si="0"/>
        <v>7.9767940485784727E-2</v>
      </c>
    </row>
    <row r="59" spans="1:9" ht="14.5" x14ac:dyDescent="0.3">
      <c r="B59" s="2" t="s">
        <v>89</v>
      </c>
      <c r="D59" s="10">
        <f>4497566.78/10^6</f>
        <v>4.4975667800000005</v>
      </c>
      <c r="E59" s="10">
        <f>3459519.93/10^6</f>
        <v>3.4595199300000004</v>
      </c>
      <c r="F59" s="10">
        <f>2291906.79/10^6</f>
        <v>2.2919067900000001</v>
      </c>
      <c r="G59" s="10">
        <f>1770689.77/10^6</f>
        <v>1.7706897699999999</v>
      </c>
      <c r="H59" s="10">
        <f>1109902.74/10^6</f>
        <v>1.1099027399999999</v>
      </c>
      <c r="I59" s="15">
        <f t="shared" si="0"/>
        <v>-0.29518226131347325</v>
      </c>
    </row>
    <row r="60" spans="1:9" ht="14.5" x14ac:dyDescent="0.3">
      <c r="B60" s="2" t="s">
        <v>90</v>
      </c>
      <c r="D60" s="10">
        <f>7812151.19/10^6</f>
        <v>7.8121511900000007</v>
      </c>
      <c r="E60" s="10">
        <f>8856349.39/10^6</f>
        <v>8.8563493900000001</v>
      </c>
      <c r="F60" s="10">
        <f>11194365.1/10^6</f>
        <v>11.194365099999999</v>
      </c>
      <c r="G60" s="10">
        <f>11813258.32/10^6</f>
        <v>11.813258320000001</v>
      </c>
      <c r="H60" s="10">
        <f>12131152.17/10^6</f>
        <v>12.13115217</v>
      </c>
      <c r="I60" s="15">
        <f t="shared" si="0"/>
        <v>0.11630495556417442</v>
      </c>
    </row>
    <row r="61" spans="1:9" ht="14.5" x14ac:dyDescent="0.3">
      <c r="B61" s="2" t="s">
        <v>91</v>
      </c>
      <c r="D61" s="10">
        <f t="shared" ref="D61:E61" si="3">D62-D49</f>
        <v>908.27541002999988</v>
      </c>
      <c r="E61" s="10">
        <f t="shared" si="3"/>
        <v>943.98322775000008</v>
      </c>
      <c r="F61" s="10">
        <f>F62-F49</f>
        <v>1139.66747252</v>
      </c>
      <c r="G61" s="10">
        <f>1317895477.38/10^6</f>
        <v>1317.8954773800001</v>
      </c>
      <c r="H61" s="10">
        <f>1346709859.22/10^6</f>
        <v>1346.70985922</v>
      </c>
      <c r="I61" s="15">
        <f t="shared" si="0"/>
        <v>0.10347912224530198</v>
      </c>
    </row>
    <row r="62" spans="1:9" ht="14.5" x14ac:dyDescent="0.3">
      <c r="B62" s="3" t="s">
        <v>41</v>
      </c>
      <c r="C62" s="4"/>
      <c r="D62" s="11">
        <f>1575547361.52/10^6</f>
        <v>1575.5473615199999</v>
      </c>
      <c r="E62" s="11">
        <f>1735450760.72/10^6</f>
        <v>1735.4507607200001</v>
      </c>
      <c r="F62" s="11">
        <f>1880593827.15/10^6</f>
        <v>1880.5938271500002</v>
      </c>
      <c r="G62" s="11">
        <f>2133208927.09/10^6</f>
        <v>2133.2089270900001</v>
      </c>
      <c r="H62" s="11">
        <f>2262630540.22/10^6</f>
        <v>2262.6305402199996</v>
      </c>
      <c r="I62" s="17">
        <f t="shared" si="0"/>
        <v>9.4701077383025467E-2</v>
      </c>
    </row>
    <row r="63" spans="1:9" s="7" customFormat="1" ht="14.5" x14ac:dyDescent="0.3">
      <c r="B63" s="9" t="s">
        <v>92</v>
      </c>
      <c r="D63" s="13">
        <f>48000000/10^6</f>
        <v>48</v>
      </c>
      <c r="E63" s="13">
        <f>53000000/10^6</f>
        <v>53</v>
      </c>
      <c r="F63" s="13">
        <f>82868526.8/10^6</f>
        <v>82.868526799999998</v>
      </c>
      <c r="G63" s="13">
        <f>297708882.39/10^6</f>
        <v>297.70888238999999</v>
      </c>
      <c r="H63" s="13">
        <f>331679243.73/10^6</f>
        <v>331.67924373</v>
      </c>
      <c r="I63" s="19">
        <f t="shared" si="0"/>
        <v>0.62132195715600003</v>
      </c>
    </row>
    <row r="64" spans="1:9" s="7" customFormat="1" ht="14.5" x14ac:dyDescent="0.3">
      <c r="B64" s="9" t="s">
        <v>93</v>
      </c>
      <c r="D64" s="13">
        <f>3773008.88/10^6</f>
        <v>3.7730088799999999</v>
      </c>
      <c r="E64" s="13">
        <f>18102183.76/10^6</f>
        <v>18.102183760000003</v>
      </c>
      <c r="F64" s="13">
        <f>20721143.03/10^6</f>
        <v>20.72114303</v>
      </c>
      <c r="G64" s="13">
        <f>28292188.44/10^6</f>
        <v>28.29218844</v>
      </c>
      <c r="H64" s="13">
        <f>17159472.66/10^6</f>
        <v>17.159472659999999</v>
      </c>
      <c r="I64" s="19">
        <f t="shared" si="0"/>
        <v>0.46034015588771604</v>
      </c>
    </row>
    <row r="65" spans="1:9" s="7" customFormat="1" ht="14.5" x14ac:dyDescent="0.3">
      <c r="B65" s="9" t="s">
        <v>94</v>
      </c>
      <c r="D65" s="13">
        <f>44548044.3/10^6</f>
        <v>44.548044299999994</v>
      </c>
      <c r="E65" s="13">
        <f>58878980.89/10^6</f>
        <v>58.878980890000001</v>
      </c>
      <c r="F65" s="13">
        <f>59464199.1/10^6</f>
        <v>59.464199100000002</v>
      </c>
      <c r="G65" s="13">
        <f>65695258.18/10^6</f>
        <v>65.695258179999996</v>
      </c>
      <c r="H65" s="13">
        <f>103760079.51/10^6</f>
        <v>103.76007951000001</v>
      </c>
      <c r="I65" s="19">
        <f t="shared" si="0"/>
        <v>0.23537956517469949</v>
      </c>
    </row>
    <row r="66" spans="1:9" s="7" customFormat="1" ht="14.5" x14ac:dyDescent="0.3">
      <c r="B66" s="9" t="s">
        <v>95</v>
      </c>
      <c r="D66" s="13">
        <f>15062820/10^6</f>
        <v>15.06282</v>
      </c>
      <c r="E66" s="13">
        <f>26691471.57/10^6</f>
        <v>26.691471570000001</v>
      </c>
      <c r="F66" s="13">
        <f>28147987.35/10^6</f>
        <v>28.147987350000001</v>
      </c>
      <c r="G66" s="13">
        <f>18610023.81/10^6</f>
        <v>18.610023809999998</v>
      </c>
      <c r="H66" s="13">
        <f>16395162.7/10^6</f>
        <v>16.3951627</v>
      </c>
      <c r="I66" s="19">
        <f t="shared" si="0"/>
        <v>2.1415305089030667E-2</v>
      </c>
    </row>
    <row r="67" spans="1:9" s="7" customFormat="1" ht="14.5" x14ac:dyDescent="0.3">
      <c r="B67" s="9" t="s">
        <v>96</v>
      </c>
      <c r="D67" s="13">
        <f>1723106.33/10^6</f>
        <v>1.72310633</v>
      </c>
      <c r="E67" s="13">
        <f>7354913.45/10^6</f>
        <v>7.3549134500000006</v>
      </c>
      <c r="F67" s="13">
        <f>9355417.58/10^6</f>
        <v>9.3554175799999992</v>
      </c>
      <c r="G67" s="13">
        <f>13599203.04/10^6</f>
        <v>13.599203039999999</v>
      </c>
      <c r="H67" s="13">
        <f>17005783.37/10^6</f>
        <v>17.00578337</v>
      </c>
      <c r="I67" s="19">
        <f t="shared" si="0"/>
        <v>0.77243836192736048</v>
      </c>
    </row>
    <row r="68" spans="1:9" s="7" customFormat="1" ht="14.5" x14ac:dyDescent="0.3">
      <c r="B68" s="9" t="s">
        <v>97</v>
      </c>
      <c r="D68" s="13">
        <f>13342509/10^6</f>
        <v>13.342509</v>
      </c>
      <c r="E68" s="13">
        <f>21705499.49/10^6</f>
        <v>21.705499489999998</v>
      </c>
      <c r="F68" s="13">
        <f>12632466.74/10^6</f>
        <v>12.63246674</v>
      </c>
      <c r="G68" s="13">
        <v>8.8000000000000007</v>
      </c>
      <c r="H68" s="13">
        <f>9806110.2/10^6</f>
        <v>9.8061101999999991</v>
      </c>
      <c r="I68" s="17">
        <f t="shared" si="0"/>
        <v>-7.4098439039154695E-2</v>
      </c>
    </row>
    <row r="69" spans="1:9" s="7" customFormat="1" ht="14.5" x14ac:dyDescent="0.3">
      <c r="B69" s="9" t="s">
        <v>98</v>
      </c>
      <c r="D69" s="13"/>
      <c r="E69" s="13"/>
      <c r="F69" s="13"/>
      <c r="G69" s="13">
        <f>48142.25/10^6</f>
        <v>4.8142249999999998E-2</v>
      </c>
      <c r="H69" s="13">
        <f>55314.24/10^6</f>
        <v>5.5314240000000001E-2</v>
      </c>
      <c r="I69" s="19"/>
    </row>
    <row r="70" spans="1:9" ht="14.5" x14ac:dyDescent="0.3">
      <c r="B70" s="2" t="s">
        <v>42</v>
      </c>
      <c r="D70" s="10">
        <v>0.8</v>
      </c>
      <c r="E70" s="10">
        <v>14.2</v>
      </c>
      <c r="F70" s="10">
        <v>21.7</v>
      </c>
      <c r="G70" s="10">
        <v>31.3</v>
      </c>
      <c r="H70" s="10">
        <v>65.900000000000006</v>
      </c>
      <c r="I70" s="15">
        <f t="shared" si="0"/>
        <v>2.0126512294548258</v>
      </c>
    </row>
    <row r="71" spans="1:9" ht="14.5" x14ac:dyDescent="0.3">
      <c r="A71" s="2"/>
      <c r="B71" s="2"/>
      <c r="C71" s="2" t="s">
        <v>43</v>
      </c>
      <c r="D71" s="10"/>
      <c r="E71" s="10">
        <v>8.6999999999999993</v>
      </c>
      <c r="F71" s="10">
        <v>11.1</v>
      </c>
      <c r="G71" s="10">
        <v>20.7</v>
      </c>
      <c r="H71" s="10">
        <v>61.3</v>
      </c>
      <c r="I71" s="15">
        <f>POWER(H71/E71,1/3)-1</f>
        <v>0.9171101827995658</v>
      </c>
    </row>
    <row r="72" spans="1:9" ht="14.5" x14ac:dyDescent="0.3">
      <c r="A72" s="2"/>
      <c r="B72" s="2"/>
      <c r="C72" s="2" t="s">
        <v>44</v>
      </c>
      <c r="D72" s="10"/>
      <c r="E72" s="10">
        <v>0.9</v>
      </c>
      <c r="F72" s="10">
        <v>5.9</v>
      </c>
      <c r="G72" s="10">
        <v>1.1000000000000001</v>
      </c>
      <c r="H72" s="10">
        <v>3.1</v>
      </c>
      <c r="I72" s="15">
        <f>POWER(H72/E72,1/3)-1</f>
        <v>0.51021829869449764</v>
      </c>
    </row>
    <row r="73" spans="1:9" ht="14.5" x14ac:dyDescent="0.3">
      <c r="A73" s="2"/>
      <c r="B73" s="3" t="s">
        <v>99</v>
      </c>
      <c r="C73" s="3"/>
      <c r="D73" s="11">
        <f>SUM(D63:D70)</f>
        <v>127.24948850999998</v>
      </c>
      <c r="E73" s="11">
        <f t="shared" ref="E73:H73" si="4">SUM(E63:E70)</f>
        <v>199.93304916</v>
      </c>
      <c r="F73" s="11">
        <f t="shared" si="4"/>
        <v>234.88974059999998</v>
      </c>
      <c r="G73" s="11">
        <f t="shared" si="4"/>
        <v>464.05369811000003</v>
      </c>
      <c r="H73" s="11">
        <f t="shared" si="4"/>
        <v>561.76116640999999</v>
      </c>
      <c r="I73" s="17">
        <f>POWER(H73/E73,1/3)-1</f>
        <v>0.41109322966061534</v>
      </c>
    </row>
    <row r="74" spans="1:9" ht="14.5" x14ac:dyDescent="0.3">
      <c r="A74" s="2"/>
      <c r="B74" s="2" t="s">
        <v>100</v>
      </c>
      <c r="C74" s="2"/>
      <c r="D74" s="10"/>
      <c r="E74" s="10"/>
      <c r="F74" s="10">
        <f>3075498.58/10^6</f>
        <v>3.0754985800000001</v>
      </c>
      <c r="G74" s="10">
        <f>2839405.93/10^6</f>
        <v>2.8394059300000003</v>
      </c>
      <c r="H74" s="10">
        <f>2384607.3/10^6</f>
        <v>2.3846072999999999</v>
      </c>
      <c r="I74" s="15">
        <f>POWER(H74/F74,1/2)-1</f>
        <v>-0.11945679684027477</v>
      </c>
    </row>
    <row r="75" spans="1:9" ht="14.5" x14ac:dyDescent="0.3">
      <c r="A75" s="2"/>
      <c r="B75" s="2" t="s">
        <v>101</v>
      </c>
      <c r="C75" s="2"/>
      <c r="D75" s="10"/>
      <c r="E75" s="10">
        <f>8724333.35/10^6</f>
        <v>8.7243333500000002</v>
      </c>
      <c r="F75" s="10">
        <f>13399000.03/10^6</f>
        <v>13.39900003</v>
      </c>
      <c r="G75" s="10">
        <f>25767272.24/10^6</f>
        <v>25.767272239999997</v>
      </c>
      <c r="H75" s="10">
        <f>23361702.63/10^6</f>
        <v>23.36170263</v>
      </c>
      <c r="I75" s="15">
        <f>POWER(H75/E75,1/3)-1</f>
        <v>0.38864343958602188</v>
      </c>
    </row>
    <row r="76" spans="1:9" ht="14.5" x14ac:dyDescent="0.3">
      <c r="A76" s="2"/>
      <c r="B76" s="2" t="s">
        <v>102</v>
      </c>
      <c r="C76" s="2"/>
      <c r="D76" s="10">
        <f>36141.12/10^6</f>
        <v>3.6141120000000006E-2</v>
      </c>
      <c r="E76" s="10">
        <f>5025929.99/10^6</f>
        <v>5.0259299899999998</v>
      </c>
      <c r="F76" s="10">
        <f>4443830.65/10^6</f>
        <v>4.4438306500000007</v>
      </c>
      <c r="G76" s="10">
        <f>3758554.2/10^6</f>
        <v>3.7585542000000003</v>
      </c>
      <c r="H76" s="10">
        <f>4549652.92/10^6</f>
        <v>4.5496529199999998</v>
      </c>
      <c r="I76" s="15">
        <f>POWER(H76/D76,1/4)-1</f>
        <v>2.349609386889933</v>
      </c>
    </row>
    <row r="77" spans="1:9" ht="14.5" x14ac:dyDescent="0.3">
      <c r="A77" s="2"/>
      <c r="B77" s="2" t="s">
        <v>111</v>
      </c>
      <c r="C77" s="2"/>
      <c r="D77" s="10">
        <f>6265833.34/10^6</f>
        <v>6.2658333399999995</v>
      </c>
      <c r="E77" s="10"/>
      <c r="F77" s="10"/>
      <c r="G77" s="10"/>
      <c r="H77" s="10"/>
      <c r="I77" s="15"/>
    </row>
    <row r="78" spans="1:9" ht="14.5" x14ac:dyDescent="0.3">
      <c r="A78" s="2"/>
      <c r="B78" s="2" t="s">
        <v>103</v>
      </c>
      <c r="C78" s="2"/>
      <c r="D78" s="10">
        <f>D79-D73</f>
        <v>6.2830637400000313</v>
      </c>
      <c r="E78" s="10">
        <f t="shared" ref="E78:H78" si="5">E79-E73</f>
        <v>13.791963019999997</v>
      </c>
      <c r="F78" s="10">
        <f t="shared" si="5"/>
        <v>34.760729029999993</v>
      </c>
      <c r="G78" s="10">
        <f t="shared" si="5"/>
        <v>32.311179269999968</v>
      </c>
      <c r="H78" s="10">
        <f t="shared" si="5"/>
        <v>30.343032410000092</v>
      </c>
      <c r="I78" s="15">
        <f t="shared" ref="I78" si="6">POWER(H78/E78,1/3)-1</f>
        <v>0.30060164504670395</v>
      </c>
    </row>
    <row r="79" spans="1:9" ht="14.5" x14ac:dyDescent="0.3">
      <c r="A79" s="2"/>
      <c r="B79" s="3" t="s">
        <v>45</v>
      </c>
      <c r="C79" s="3"/>
      <c r="D79" s="11">
        <f>133532552.25/10^6</f>
        <v>133.53255225000001</v>
      </c>
      <c r="E79" s="11">
        <f>213725012.18/10^6</f>
        <v>213.72501217999999</v>
      </c>
      <c r="F79" s="11">
        <f>269650469.63/10^6</f>
        <v>269.65046962999998</v>
      </c>
      <c r="G79" s="11">
        <f>496364877.38/10^6</f>
        <v>496.36487738</v>
      </c>
      <c r="H79" s="11">
        <f>592104198.82/10^6</f>
        <v>592.10419882000008</v>
      </c>
      <c r="I79" s="17">
        <f t="shared" si="0"/>
        <v>0.45111806183108905</v>
      </c>
    </row>
    <row r="80" spans="1:9" s="7" customFormat="1" ht="14.5" x14ac:dyDescent="0.3">
      <c r="A80" s="9"/>
      <c r="B80" s="9" t="s">
        <v>104</v>
      </c>
      <c r="C80" s="9"/>
      <c r="D80" s="13">
        <f t="shared" ref="D80:F80" si="7">739757400/10^6</f>
        <v>739.75739999999996</v>
      </c>
      <c r="E80" s="13">
        <f t="shared" si="7"/>
        <v>739.75739999999996</v>
      </c>
      <c r="F80" s="13">
        <f t="shared" si="7"/>
        <v>739.75739999999996</v>
      </c>
      <c r="G80" s="13">
        <f>739757400/10^6</f>
        <v>739.75739999999996</v>
      </c>
      <c r="H80" s="13">
        <f>739757400/10^6</f>
        <v>739.75739999999996</v>
      </c>
      <c r="I80" s="19">
        <f t="shared" si="0"/>
        <v>0</v>
      </c>
    </row>
    <row r="81" spans="1:9" s="7" customFormat="1" ht="14.5" x14ac:dyDescent="0.3">
      <c r="A81" s="9"/>
      <c r="B81" s="9" t="s">
        <v>105</v>
      </c>
      <c r="C81" s="9"/>
      <c r="D81" s="13">
        <f>320791531.81/10^6</f>
        <v>320.79153180999998</v>
      </c>
      <c r="E81" s="13">
        <f>320791531.81/10^6</f>
        <v>320.79153180999998</v>
      </c>
      <c r="F81" s="13">
        <f>461234207.16/10^6</f>
        <v>461.23420716000004</v>
      </c>
      <c r="G81" s="13">
        <f>456983005.13/10^6</f>
        <v>456.98300512999998</v>
      </c>
      <c r="H81" s="13">
        <f>497807507.85/10^6</f>
        <v>497.80750785000004</v>
      </c>
      <c r="I81" s="19">
        <f t="shared" si="0"/>
        <v>0.11611677807228382</v>
      </c>
    </row>
    <row r="82" spans="1:9" s="7" customFormat="1" ht="14.5" x14ac:dyDescent="0.3">
      <c r="A82" s="9"/>
      <c r="B82" s="9" t="s">
        <v>106</v>
      </c>
      <c r="C82" s="9"/>
      <c r="D82" s="13"/>
      <c r="E82" s="13">
        <f>-4139164.28/10^6</f>
        <v>-4.1391642800000001</v>
      </c>
      <c r="F82" s="13">
        <f>-5329913.17/10^6</f>
        <v>-5.3299131700000002</v>
      </c>
      <c r="G82" s="13">
        <f>-6086527.14/10^6</f>
        <v>-6.0865271399999994</v>
      </c>
      <c r="H82" s="13">
        <f>182411.81/10^6</f>
        <v>0.18241181000000001</v>
      </c>
      <c r="I82" s="19"/>
    </row>
    <row r="83" spans="1:9" s="7" customFormat="1" ht="14.5" x14ac:dyDescent="0.3">
      <c r="A83" s="9"/>
      <c r="B83" s="9" t="s">
        <v>107</v>
      </c>
      <c r="C83" s="9"/>
      <c r="D83" s="13">
        <f>56036659.15/10^6</f>
        <v>56.036659149999998</v>
      </c>
      <c r="E83" s="13">
        <f>59912331.7/10^6</f>
        <v>59.912331700000003</v>
      </c>
      <c r="F83" s="13">
        <f>67692905.01/10^6</f>
        <v>67.692905010000004</v>
      </c>
      <c r="G83" s="13">
        <f>70115224.89/10^6</f>
        <v>70.115224890000007</v>
      </c>
      <c r="H83" s="13">
        <f>72694482.46/10^6</f>
        <v>72.694482459999989</v>
      </c>
      <c r="I83" s="19">
        <f t="shared" si="0"/>
        <v>6.7228227297964294E-2</v>
      </c>
    </row>
    <row r="84" spans="1:9" s="7" customFormat="1" ht="14.5" x14ac:dyDescent="0.3">
      <c r="A84" s="9"/>
      <c r="B84" s="9" t="s">
        <v>108</v>
      </c>
      <c r="C84" s="9"/>
      <c r="D84" s="13">
        <f>297059358.58/10^6</f>
        <v>297.05935857999998</v>
      </c>
      <c r="E84" s="13">
        <f>334940140.92/10^6</f>
        <v>334.94014092000003</v>
      </c>
      <c r="F84" s="13">
        <f>339241536.44/10^6</f>
        <v>339.24153644</v>
      </c>
      <c r="G84" s="13">
        <f>348627110.27/10^6</f>
        <v>348.62711027</v>
      </c>
      <c r="H84" s="13">
        <f>337962352.72/10^6</f>
        <v>337.96235272000001</v>
      </c>
      <c r="I84" s="19">
        <f t="shared" si="0"/>
        <v>3.2776319515589902E-2</v>
      </c>
    </row>
    <row r="85" spans="1:9" s="7" customFormat="1" ht="14.5" x14ac:dyDescent="0.3">
      <c r="A85" s="9"/>
      <c r="B85" s="3" t="s">
        <v>109</v>
      </c>
      <c r="C85" s="3"/>
      <c r="D85" s="11">
        <f>1413556894.12/10^6</f>
        <v>1413.5568941199999</v>
      </c>
      <c r="E85" s="11">
        <f>1451262240.15/10^6</f>
        <v>1451.26224015</v>
      </c>
      <c r="F85" s="11">
        <f>1602596135.44/10^6</f>
        <v>1602.5961354400001</v>
      </c>
      <c r="G85" s="11">
        <f>1609396213.15/10^6</f>
        <v>1609.39621315</v>
      </c>
      <c r="H85" s="11">
        <f>1648404154.84/10^6</f>
        <v>1648.4041548399998</v>
      </c>
      <c r="I85" s="17">
        <f t="shared" si="0"/>
        <v>3.9172396004224064E-2</v>
      </c>
    </row>
    <row r="86" spans="1:9" s="7" customFormat="1" ht="14.5" x14ac:dyDescent="0.3">
      <c r="A86" s="9"/>
      <c r="B86" s="9" t="s">
        <v>110</v>
      </c>
      <c r="C86" s="9"/>
      <c r="D86" s="13">
        <f t="shared" ref="D86:G86" si="8">D87-D85</f>
        <v>28.457915149999963</v>
      </c>
      <c r="E86" s="13">
        <f t="shared" si="8"/>
        <v>70.463508390000015</v>
      </c>
      <c r="F86" s="13">
        <f>31632325.81/10^6</f>
        <v>31.632325809999998</v>
      </c>
      <c r="G86" s="13">
        <f t="shared" si="8"/>
        <v>27.447836560000042</v>
      </c>
      <c r="H86" s="13">
        <f>H87-H85</f>
        <v>22.122186559999818</v>
      </c>
      <c r="I86" s="17">
        <f t="shared" si="0"/>
        <v>-6.1020214987156263E-2</v>
      </c>
    </row>
    <row r="87" spans="1:9" ht="14.5" x14ac:dyDescent="0.3">
      <c r="A87" s="2"/>
      <c r="B87" s="3" t="s">
        <v>70</v>
      </c>
      <c r="C87" s="3"/>
      <c r="D87" s="11">
        <f>D62-D79</f>
        <v>1442.0148092699999</v>
      </c>
      <c r="E87" s="11">
        <f>1521725748.54/10^6</f>
        <v>1521.72574854</v>
      </c>
      <c r="F87" s="11">
        <f>1634228461.25/10^6</f>
        <v>1634.22846125</v>
      </c>
      <c r="G87" s="11">
        <f>G62-G79</f>
        <v>1636.84404971</v>
      </c>
      <c r="H87" s="11">
        <f>H62-H79</f>
        <v>1670.5263413999996</v>
      </c>
      <c r="I87" s="17">
        <f t="shared" si="0"/>
        <v>3.7458902847905318E-2</v>
      </c>
    </row>
    <row r="88" spans="1:9" ht="14.5" x14ac:dyDescent="0.3">
      <c r="A88" s="5" t="s">
        <v>46</v>
      </c>
      <c r="B88" s="5"/>
      <c r="C88" s="5"/>
      <c r="D88" s="12"/>
      <c r="E88" s="12"/>
      <c r="F88" s="12"/>
      <c r="G88" s="12"/>
      <c r="H88" s="12"/>
      <c r="I88" s="19"/>
    </row>
    <row r="89" spans="1:9" ht="14.5" x14ac:dyDescent="0.3">
      <c r="A89" s="2"/>
      <c r="B89" s="3" t="s">
        <v>47</v>
      </c>
      <c r="C89" s="3"/>
      <c r="D89" s="11"/>
      <c r="E89" s="11"/>
      <c r="F89" s="11"/>
      <c r="G89" s="11"/>
      <c r="H89" s="11"/>
      <c r="I89" s="19"/>
    </row>
    <row r="90" spans="1:9" ht="14.5" x14ac:dyDescent="0.3">
      <c r="A90" s="2"/>
      <c r="B90" s="3" t="s">
        <v>48</v>
      </c>
      <c r="C90" s="3"/>
      <c r="D90" s="11">
        <f>57651547.58/10^6</f>
        <v>57.651547579999999</v>
      </c>
      <c r="E90" s="11">
        <f>27603265.23/10^6</f>
        <v>27.603265230000002</v>
      </c>
      <c r="F90" s="11">
        <f>42051679.09/10^6</f>
        <v>42.05167909</v>
      </c>
      <c r="G90" s="11">
        <f>-16564701.73/10^6</f>
        <v>-16.564701729999999</v>
      </c>
      <c r="H90" s="11">
        <f>-18284428.06/10^6</f>
        <v>-18.28442806</v>
      </c>
      <c r="I90" s="19"/>
    </row>
    <row r="91" spans="1:9" ht="14.5" x14ac:dyDescent="0.3">
      <c r="A91" s="2"/>
      <c r="B91" s="2" t="s">
        <v>124</v>
      </c>
      <c r="C91" s="2"/>
      <c r="D91" s="10">
        <f>576330373.05/10^6</f>
        <v>576.33037304999993</v>
      </c>
      <c r="E91" s="10">
        <f>657531312.3/10^6</f>
        <v>657.53131229999997</v>
      </c>
      <c r="F91" s="10">
        <f>568431889.48/10^6</f>
        <v>568.43188948</v>
      </c>
      <c r="G91" s="10">
        <f>524500271.07/10^6</f>
        <v>524.50027106999994</v>
      </c>
      <c r="H91" s="10">
        <f>574584544.69/10^6</f>
        <v>574.58454469000003</v>
      </c>
      <c r="I91" s="19"/>
    </row>
    <row r="92" spans="1:9" ht="14.5" x14ac:dyDescent="0.3">
      <c r="A92" s="2"/>
      <c r="B92" s="2" t="s">
        <v>125</v>
      </c>
      <c r="C92" s="2"/>
      <c r="D92" s="10">
        <f>3984847.17/10^6</f>
        <v>3.9848471700000001</v>
      </c>
      <c r="E92" s="10">
        <f>1686461.18/10^6</f>
        <v>1.68646118</v>
      </c>
      <c r="F92" s="10">
        <f>1537001.84/10^6</f>
        <v>1.5370018400000001</v>
      </c>
      <c r="G92" s="10">
        <f>19766.22/10^6</f>
        <v>1.9766220000000001E-2</v>
      </c>
      <c r="H92" s="10">
        <f>389161.62/10^6</f>
        <v>0.38916161999999999</v>
      </c>
      <c r="I92" s="19"/>
    </row>
    <row r="93" spans="1:9" ht="14.5" x14ac:dyDescent="0.3">
      <c r="A93" s="2"/>
      <c r="B93" s="2" t="s">
        <v>126</v>
      </c>
      <c r="C93" s="2"/>
      <c r="D93" s="10">
        <f>32825114.71/10^6</f>
        <v>32.825114710000001</v>
      </c>
      <c r="E93" s="10">
        <f>21124508.74/10^6</f>
        <v>21.12450874</v>
      </c>
      <c r="F93" s="10">
        <f>24426250.43/10^6</f>
        <v>24.42625043</v>
      </c>
      <c r="G93" s="10">
        <f>16838167.21/10^6</f>
        <v>16.838167210000002</v>
      </c>
      <c r="H93" s="10">
        <f>10346197.85/10^6</f>
        <v>10.346197849999999</v>
      </c>
      <c r="I93" s="19"/>
    </row>
    <row r="94" spans="1:9" ht="14.5" x14ac:dyDescent="0.3">
      <c r="A94" s="2"/>
      <c r="B94" s="2" t="s">
        <v>127</v>
      </c>
      <c r="C94" s="2"/>
      <c r="D94" s="10">
        <f>382258879.91/10^6</f>
        <v>382.25887991000002</v>
      </c>
      <c r="E94" s="10">
        <f>476547136.07/10^6</f>
        <v>476.54713606999997</v>
      </c>
      <c r="F94" s="10">
        <f>331403856.37/10^6</f>
        <v>331.40385637000003</v>
      </c>
      <c r="G94" s="10">
        <f>288227690.22/10^6</f>
        <v>288.22769022000006</v>
      </c>
      <c r="H94" s="10">
        <f>334224360.62/10^6</f>
        <v>334.22436062000003</v>
      </c>
      <c r="I94" s="19"/>
    </row>
    <row r="95" spans="1:9" ht="14.5" x14ac:dyDescent="0.3">
      <c r="A95" s="2"/>
      <c r="B95" s="2" t="s">
        <v>128</v>
      </c>
      <c r="C95" s="2"/>
      <c r="D95" s="10">
        <f>61731061.2/10^6</f>
        <v>61.731061200000006</v>
      </c>
      <c r="E95" s="10">
        <f>63798660.58/10^6</f>
        <v>63.798660579999996</v>
      </c>
      <c r="F95" s="10">
        <f>94752196.37/10^6</f>
        <v>94.752196370000007</v>
      </c>
      <c r="G95" s="10">
        <f>139148947.92/10^6</f>
        <v>139.14894791999998</v>
      </c>
      <c r="H95" s="10">
        <f>151840688.53/10^6</f>
        <v>151.84068852999999</v>
      </c>
      <c r="I95" s="19"/>
    </row>
    <row r="96" spans="1:9" ht="14.5" x14ac:dyDescent="0.3">
      <c r="A96" s="2"/>
      <c r="B96" s="2" t="s">
        <v>129</v>
      </c>
      <c r="C96" s="2"/>
      <c r="D96" s="10">
        <f>37759986.68/10^6</f>
        <v>37.759986679999997</v>
      </c>
      <c r="E96" s="10">
        <f>28619245.16/10^6</f>
        <v>28.619245159999998</v>
      </c>
      <c r="F96" s="10">
        <f>35496963.76/10^6</f>
        <v>35.49696376</v>
      </c>
      <c r="G96" s="10">
        <f>24296011.3/10^6</f>
        <v>24.2960113</v>
      </c>
      <c r="H96" s="10">
        <f>23364267.15/10^6</f>
        <v>23.36426715</v>
      </c>
      <c r="I96" s="19"/>
    </row>
    <row r="97" spans="1:9" ht="14.5" x14ac:dyDescent="0.3">
      <c r="A97" s="2"/>
      <c r="B97" s="2" t="s">
        <v>130</v>
      </c>
      <c r="C97" s="2"/>
      <c r="D97" s="10">
        <f>73738859.56/10^6</f>
        <v>73.738859560000009</v>
      </c>
      <c r="E97" s="10">
        <f>83773975.18/10^6</f>
        <v>83.773975180000008</v>
      </c>
      <c r="F97" s="10">
        <f>90690446.16/10^6</f>
        <v>90.690446159999993</v>
      </c>
      <c r="G97" s="10">
        <f>106250256.79/10^6</f>
        <v>106.25025679000001</v>
      </c>
      <c r="H97" s="10">
        <f>94175015.92/10^6</f>
        <v>94.175015920000007</v>
      </c>
      <c r="I97" s="19"/>
    </row>
    <row r="98" spans="1:9" ht="14.5" x14ac:dyDescent="0.3">
      <c r="B98" s="3" t="s">
        <v>67</v>
      </c>
      <c r="C98" s="4"/>
      <c r="D98" s="11"/>
      <c r="E98" s="11"/>
      <c r="F98" s="11"/>
      <c r="G98" s="11"/>
      <c r="H98" s="11"/>
      <c r="I98" s="19"/>
    </row>
    <row r="99" spans="1:9" ht="14.5" x14ac:dyDescent="0.3">
      <c r="B99" s="3" t="s">
        <v>48</v>
      </c>
      <c r="C99" s="4"/>
      <c r="D99" s="11">
        <f>-87682236.03/10^6</f>
        <v>-87.682236029999999</v>
      </c>
      <c r="E99" s="11">
        <f>-1923407.2/10^6</f>
        <v>-1.9234072</v>
      </c>
      <c r="F99" s="11">
        <f>-15001584.51/10^6</f>
        <v>-15.001584509999999</v>
      </c>
      <c r="G99" s="11">
        <f>-277468802.65/10^6</f>
        <v>-277.46880264999999</v>
      </c>
      <c r="H99" s="11">
        <f>86925480.622/10^6</f>
        <v>86.925480621999995</v>
      </c>
      <c r="I99" s="19"/>
    </row>
    <row r="100" spans="1:9" ht="14.5" x14ac:dyDescent="0.3">
      <c r="B100" s="2" t="s">
        <v>135</v>
      </c>
      <c r="D100" s="10"/>
      <c r="E100" s="10">
        <f>68226766/10^6</f>
        <v>68.226765999999998</v>
      </c>
      <c r="F100" s="10"/>
      <c r="G100" s="10"/>
      <c r="H100" s="10">
        <f>5000000/10^6</f>
        <v>5</v>
      </c>
      <c r="I100" s="19"/>
    </row>
    <row r="101" spans="1:9" ht="14.5" x14ac:dyDescent="0.3">
      <c r="B101" s="2" t="s">
        <v>136</v>
      </c>
      <c r="D101" s="10"/>
      <c r="E101" s="10">
        <f>9231000/10^6</f>
        <v>9.2309999999999999</v>
      </c>
      <c r="F101" s="10">
        <f>5160000/10^6</f>
        <v>5.16</v>
      </c>
      <c r="G101" s="10"/>
      <c r="H101" s="10">
        <f>8245376.91/10^6</f>
        <v>8.2453769100000009</v>
      </c>
      <c r="I101" s="19"/>
    </row>
    <row r="102" spans="1:9" ht="14.5" x14ac:dyDescent="0.3">
      <c r="B102" s="2"/>
      <c r="C102" s="2" t="s">
        <v>73</v>
      </c>
      <c r="D102" s="10"/>
      <c r="E102" s="10"/>
      <c r="F102" s="10"/>
      <c r="G102" s="10"/>
      <c r="H102" s="10"/>
      <c r="I102" s="19"/>
    </row>
    <row r="103" spans="1:9" ht="14.5" x14ac:dyDescent="0.3">
      <c r="B103" s="2"/>
      <c r="C103" s="2" t="s">
        <v>74</v>
      </c>
      <c r="D103" s="10">
        <f>152917.32/10^6</f>
        <v>0.15291732</v>
      </c>
      <c r="E103" s="10">
        <f>745562.61/10^6</f>
        <v>0.74556261000000001</v>
      </c>
      <c r="F103" s="10"/>
      <c r="G103" s="10"/>
      <c r="H103" s="10">
        <f>30848683.34/10^6</f>
        <v>30.848683340000001</v>
      </c>
      <c r="I103" s="19"/>
    </row>
    <row r="104" spans="1:9" ht="14.5" x14ac:dyDescent="0.3">
      <c r="B104" s="2" t="s">
        <v>137</v>
      </c>
      <c r="C104" s="2"/>
      <c r="D104" s="10"/>
      <c r="E104" s="10"/>
      <c r="F104" s="10">
        <f>9123014.95/10^6</f>
        <v>9.12301495</v>
      </c>
      <c r="G104" s="10">
        <f>90479410.89/10^6</f>
        <v>90.479410889999997</v>
      </c>
      <c r="H104" s="10">
        <f>65581230.34/10^6</f>
        <v>65.581230340000005</v>
      </c>
      <c r="I104" s="19"/>
    </row>
    <row r="105" spans="1:9" ht="14.5" x14ac:dyDescent="0.3">
      <c r="B105" s="2" t="s">
        <v>138</v>
      </c>
      <c r="C105" s="2"/>
      <c r="D105" s="10"/>
      <c r="E105" s="10"/>
      <c r="F105" s="10">
        <f>14900000/10^6</f>
        <v>14.9</v>
      </c>
      <c r="G105" s="10">
        <f>16100000/10^6</f>
        <v>16.100000000000001</v>
      </c>
      <c r="H105" s="10">
        <f>118627614.1/10^6</f>
        <v>118.62761409999999</v>
      </c>
      <c r="I105" s="19"/>
    </row>
    <row r="106" spans="1:9" ht="14.5" x14ac:dyDescent="0.3">
      <c r="B106" s="2"/>
      <c r="C106" s="2" t="s">
        <v>75</v>
      </c>
      <c r="D106" s="10"/>
      <c r="E106" s="10"/>
      <c r="F106" s="10"/>
      <c r="G106" s="10"/>
      <c r="H106" s="10"/>
      <c r="I106" s="19"/>
    </row>
    <row r="107" spans="1:9" ht="14.5" x14ac:dyDescent="0.3">
      <c r="B107" s="2"/>
      <c r="C107" s="2" t="s">
        <v>76</v>
      </c>
      <c r="D107" s="10">
        <f>28835153.35/10^6</f>
        <v>28.835153350000002</v>
      </c>
      <c r="E107" s="10">
        <f>26607070.55/10^6</f>
        <v>26.60707055</v>
      </c>
      <c r="F107" s="10">
        <f>9007670.23/10^6</f>
        <v>9.0076702300000004</v>
      </c>
      <c r="G107" s="10">
        <f>8887555.62/10^6</f>
        <v>8.8875556199999988</v>
      </c>
      <c r="H107" s="10">
        <f>39552230.62/10^6</f>
        <v>39.552230619999996</v>
      </c>
      <c r="I107" s="19"/>
    </row>
    <row r="108" spans="1:9" ht="14.5" x14ac:dyDescent="0.3">
      <c r="B108" s="2" t="s">
        <v>139</v>
      </c>
      <c r="C108" s="2"/>
      <c r="D108" s="10"/>
      <c r="E108" s="10">
        <f>36219665.26/10^6</f>
        <v>36.219665259999999</v>
      </c>
      <c r="F108" s="10">
        <f>17690148.15/10^6</f>
        <v>17.690148149999999</v>
      </c>
      <c r="G108" s="10">
        <f>220666140.31/10^6</f>
        <v>220.66614031</v>
      </c>
      <c r="H108" s="10">
        <f>51042084.38/10^6</f>
        <v>51.042084380000006</v>
      </c>
      <c r="I108" s="19"/>
    </row>
    <row r="109" spans="1:9" ht="14.5" x14ac:dyDescent="0.3">
      <c r="B109" s="2" t="s">
        <v>140</v>
      </c>
      <c r="C109" s="2"/>
      <c r="D109" s="10"/>
      <c r="E109" s="10">
        <f>14900000/10^6</f>
        <v>14.9</v>
      </c>
      <c r="F109" s="10">
        <f>1348857.3/10^6</f>
        <v>1.3488573000000001</v>
      </c>
      <c r="G109" s="10">
        <f>98844997.9/10^6</f>
        <v>98.84499790000001</v>
      </c>
      <c r="H109" s="10">
        <f>50783109.07/10^6</f>
        <v>50.783109070000002</v>
      </c>
      <c r="I109" s="19"/>
    </row>
    <row r="110" spans="1:9" ht="14.5" x14ac:dyDescent="0.3">
      <c r="B110" s="3" t="s">
        <v>68</v>
      </c>
      <c r="C110" s="4"/>
      <c r="D110" s="11"/>
      <c r="E110" s="11"/>
      <c r="F110" s="11"/>
      <c r="G110" s="11"/>
      <c r="H110" s="11"/>
      <c r="I110" s="19"/>
    </row>
    <row r="111" spans="1:9" ht="14.5" x14ac:dyDescent="0.3">
      <c r="B111" s="3" t="s">
        <v>48</v>
      </c>
      <c r="C111" s="4"/>
      <c r="D111" s="11">
        <f>-253423347.43/10^6</f>
        <v>-253.42334743000001</v>
      </c>
      <c r="E111" s="11">
        <f>-8578523.73/10^6</f>
        <v>-8.5785237300000006</v>
      </c>
      <c r="F111" s="11">
        <f>10448403.61/10^6</f>
        <v>10.44840361</v>
      </c>
      <c r="G111" s="11">
        <f>209313712.89/10^6</f>
        <v>209.31371288999998</v>
      </c>
      <c r="H111" s="11">
        <f>5337613.19/10^6</f>
        <v>5.3376131900000008</v>
      </c>
      <c r="I111" s="19"/>
    </row>
    <row r="112" spans="1:9" ht="14.5" x14ac:dyDescent="0.3">
      <c r="B112" s="2" t="s">
        <v>131</v>
      </c>
      <c r="C112" s="2"/>
      <c r="D112" s="10">
        <f>123000000/10^6</f>
        <v>123</v>
      </c>
      <c r="E112" s="10">
        <f>48000000/10^6</f>
        <v>48</v>
      </c>
      <c r="F112" s="10">
        <f>112412569.23/10^6</f>
        <v>112.41256923</v>
      </c>
      <c r="G112" s="10">
        <f>322926810.29/10^6</f>
        <v>322.92681029000005</v>
      </c>
      <c r="H112" s="10">
        <f>469320893.93/10^6</f>
        <v>469.32089393000001</v>
      </c>
    </row>
    <row r="113" spans="2:8" ht="14.5" x14ac:dyDescent="0.3">
      <c r="B113" s="2" t="s">
        <v>132</v>
      </c>
      <c r="C113" s="2"/>
      <c r="D113" s="10">
        <f>334000000/10^6</f>
        <v>334</v>
      </c>
      <c r="E113" s="10">
        <f>73000000/10^6</f>
        <v>73</v>
      </c>
      <c r="F113" s="10">
        <f>98413261.99/10^6</f>
        <v>98.413261989999995</v>
      </c>
      <c r="G113" s="10">
        <f>98072547.35/10^6</f>
        <v>98.072547349999994</v>
      </c>
      <c r="H113" s="10">
        <f>435805331.22/10^6</f>
        <v>435.80533122000003</v>
      </c>
    </row>
    <row r="114" spans="2:8" ht="14.5" x14ac:dyDescent="0.3">
      <c r="B114" s="2" t="s">
        <v>133</v>
      </c>
      <c r="C114" s="2"/>
      <c r="D114" s="10">
        <f>42359194.45/10^6</f>
        <v>42.359194450000004</v>
      </c>
      <c r="E114" s="10">
        <f>7232630.88/10^6</f>
        <v>7.2326308800000003</v>
      </c>
      <c r="F114" s="10">
        <f>9747453.06/10^6</f>
        <v>9.7474530599999998</v>
      </c>
      <c r="G114" s="10">
        <f>14529973.9/10^6</f>
        <v>14.5299739</v>
      </c>
      <c r="H114" s="10">
        <f>28177949.52/10^6</f>
        <v>28.177949519999999</v>
      </c>
    </row>
    <row r="115" spans="2:8" ht="14.5" x14ac:dyDescent="0.3">
      <c r="B115" s="2" t="s">
        <v>134</v>
      </c>
      <c r="C115" s="2"/>
      <c r="D115" s="10">
        <f>64152.98/10^6</f>
        <v>6.4152979999999998E-2</v>
      </c>
      <c r="E115" s="10">
        <f>8972.85/10^6</f>
        <v>8.972850000000001E-3</v>
      </c>
      <c r="F115" s="10">
        <f>10576.57/10^6</f>
        <v>1.057657E-2</v>
      </c>
      <c r="G115" s="10">
        <f>1010576.15/10^6</f>
        <v>1.0105761500000001</v>
      </c>
      <c r="H115" s="10"/>
    </row>
    <row r="116" spans="2:8" ht="14.5" x14ac:dyDescent="0.3">
      <c r="B116" s="2"/>
      <c r="C116" s="2"/>
    </row>
    <row r="117" spans="2:8" ht="14.5" x14ac:dyDescent="0.3">
      <c r="B117" s="2"/>
      <c r="C117" s="2"/>
    </row>
    <row r="118" spans="2:8" ht="14.5" x14ac:dyDescent="0.3">
      <c r="B118" s="2"/>
      <c r="C118" s="2"/>
    </row>
    <row r="119" spans="2:8" ht="14.5" x14ac:dyDescent="0.3">
      <c r="B119" s="2"/>
      <c r="C119" s="2"/>
    </row>
  </sheetData>
  <phoneticPr fontId="2" type="noConversion"/>
  <conditionalFormatting sqref="I6:I111">
    <cfRule type="cellIs" dxfId="12" priority="3" operator="lessThan">
      <formula>0</formula>
    </cfRule>
  </conditionalFormatting>
  <conditionalFormatting sqref="G32">
    <cfRule type="cellIs" dxfId="11" priority="1" operator="lessThan">
      <formula>0</formula>
    </cfRule>
  </conditionalFormatting>
  <pageMargins left="0.7" right="0.7" top="0.75" bottom="0.75" header="0.3" footer="0.3"/>
  <ignoredErrors>
    <ignoredError sqref="F86 I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75DC-E9F0-4A1A-B031-C451BB2CEB4C}">
  <dimension ref="B2:H21"/>
  <sheetViews>
    <sheetView tabSelected="1" topLeftCell="A7" workbookViewId="0">
      <selection activeCell="C21" sqref="C21"/>
    </sheetView>
  </sheetViews>
  <sheetFormatPr defaultRowHeight="14" x14ac:dyDescent="0.3"/>
  <sheetData>
    <row r="2" spans="2:8" x14ac:dyDescent="0.3">
      <c r="B2" t="s">
        <v>147</v>
      </c>
    </row>
    <row r="3" spans="2:8" ht="14.5" x14ac:dyDescent="0.3">
      <c r="B3" s="2" t="s">
        <v>34</v>
      </c>
      <c r="C3" s="2"/>
      <c r="D3" s="10">
        <f>9815526.01/10^6</f>
        <v>9.8155260099999992</v>
      </c>
      <c r="E3" s="10">
        <f>20748765.04/10^6</f>
        <v>20.748765039999999</v>
      </c>
      <c r="F3" s="10">
        <f>13426698.31/10^6</f>
        <v>13.426698310000001</v>
      </c>
      <c r="G3" s="10">
        <f>13597881.85/10^6</f>
        <v>13.59788185</v>
      </c>
      <c r="H3" s="10">
        <f>20535460.54/10^6</f>
        <v>20.535460539999999</v>
      </c>
    </row>
    <row r="4" spans="2:8" ht="14.5" x14ac:dyDescent="0.3">
      <c r="B4" s="2" t="s">
        <v>4</v>
      </c>
      <c r="C4" s="2"/>
      <c r="D4" s="10">
        <f>541120086.93/10^6</f>
        <v>541.12008692999996</v>
      </c>
      <c r="E4" s="10">
        <f>642085984.14/10^6</f>
        <v>642.08598413999994</v>
      </c>
      <c r="F4" s="10">
        <f>507283135.69/10^6</f>
        <v>507.28313568999999</v>
      </c>
      <c r="G4" s="10">
        <f>486470680.99/10^6</f>
        <v>486.47068099000001</v>
      </c>
      <c r="H4" s="10">
        <f>508047408.59/10^6</f>
        <v>508.04740858999997</v>
      </c>
    </row>
    <row r="5" spans="2:8" x14ac:dyDescent="0.3">
      <c r="B5" t="s">
        <v>141</v>
      </c>
      <c r="D5" s="23">
        <f>D3/D4</f>
        <v>1.8139274898641398E-2</v>
      </c>
      <c r="E5" s="23">
        <f t="shared" ref="E5:H5" si="0">E3/E4</f>
        <v>3.2314620708923547E-2</v>
      </c>
      <c r="F5" s="23">
        <f t="shared" si="0"/>
        <v>2.6467858608658808E-2</v>
      </c>
      <c r="G5" s="23">
        <f t="shared" si="0"/>
        <v>2.7952109718775674E-2</v>
      </c>
      <c r="H5" s="23">
        <f t="shared" si="0"/>
        <v>4.0420362731487428E-2</v>
      </c>
    </row>
    <row r="7" spans="2:8" ht="14.5" x14ac:dyDescent="0.3">
      <c r="B7" s="2" t="s">
        <v>21</v>
      </c>
      <c r="C7" s="2"/>
      <c r="D7" s="10">
        <f>300403110.57/10^6</f>
        <v>300.40311056999997</v>
      </c>
      <c r="E7" s="10">
        <f>358698522.72/10^6</f>
        <v>358.69852272000003</v>
      </c>
      <c r="F7" s="10">
        <f>278027722.11/10^6</f>
        <v>278.02772211000001</v>
      </c>
      <c r="G7" s="10">
        <f>241611535.98/10^6</f>
        <v>241.61153597999999</v>
      </c>
      <c r="H7" s="10">
        <f>202967852.8/10^6</f>
        <v>202.9678528</v>
      </c>
    </row>
    <row r="8" spans="2:8" ht="14.5" x14ac:dyDescent="0.3">
      <c r="B8" s="2" t="s">
        <v>142</v>
      </c>
      <c r="D8" s="23">
        <f>D7/D4</f>
        <v>0.55515054389185992</v>
      </c>
      <c r="E8" s="23">
        <f t="shared" ref="E8:H8" si="1">E7/E4</f>
        <v>0.55864562002616414</v>
      </c>
      <c r="F8" s="23">
        <f t="shared" si="1"/>
        <v>0.54807207760185106</v>
      </c>
      <c r="G8" s="23">
        <f t="shared" si="1"/>
        <v>0.49666207116183142</v>
      </c>
      <c r="H8" s="23">
        <f t="shared" si="1"/>
        <v>0.39950573385130161</v>
      </c>
    </row>
    <row r="9" spans="2:8" ht="14.5" x14ac:dyDescent="0.3">
      <c r="B9" s="2" t="s">
        <v>22</v>
      </c>
      <c r="C9" s="10">
        <f>220491891.35/10^6</f>
        <v>220.49189135</v>
      </c>
      <c r="D9" s="10">
        <f>284993432.92/10^6</f>
        <v>284.99343292000003</v>
      </c>
      <c r="E9" s="10">
        <f>208930204.65/10^6</f>
        <v>208.93020465000001</v>
      </c>
      <c r="F9" s="10">
        <f>173994731.04/10^6</f>
        <v>173.99473104</v>
      </c>
      <c r="G9" s="10">
        <f>164531882.56/10^6</f>
        <v>164.53188256000001</v>
      </c>
    </row>
    <row r="10" spans="2:8" ht="14.5" x14ac:dyDescent="0.3">
      <c r="B10" s="2" t="s">
        <v>23</v>
      </c>
      <c r="C10" s="10">
        <f>47440036.07/10^6</f>
        <v>47.440036069999998</v>
      </c>
      <c r="D10" s="10">
        <f>51897614.98/10^6</f>
        <v>51.89761498</v>
      </c>
      <c r="E10" s="10">
        <f>43826435.43/10^6</f>
        <v>43.826435429999997</v>
      </c>
      <c r="F10" s="10">
        <f>57443772.26/10^6</f>
        <v>57.443772259999996</v>
      </c>
      <c r="G10" s="10">
        <f>30701041.44/10^6</f>
        <v>30.701041440000001</v>
      </c>
    </row>
    <row r="11" spans="2:8" ht="14.5" x14ac:dyDescent="0.3">
      <c r="B11" s="2" t="s">
        <v>24</v>
      </c>
      <c r="C11" s="10">
        <f>53582342.36/10^6</f>
        <v>53.582342359999998</v>
      </c>
      <c r="D11" s="10">
        <f>35333237.16/10^6</f>
        <v>35.333237159999996</v>
      </c>
      <c r="E11" s="10">
        <f>30619498.31/10^6</f>
        <v>30.619498309999997</v>
      </c>
      <c r="F11" s="10">
        <f>17952974.93/10^6</f>
        <v>17.95297493</v>
      </c>
      <c r="G11" s="10">
        <f>15956877.14/10^6</f>
        <v>15.956877140000001</v>
      </c>
    </row>
    <row r="12" spans="2:8" ht="14.5" x14ac:dyDescent="0.3">
      <c r="B12" s="2" t="s">
        <v>25</v>
      </c>
      <c r="C12" s="10">
        <f>8583225.87/10^6</f>
        <v>8.5832258699999997</v>
      </c>
      <c r="D12" s="10">
        <f>21737123.14/10^6</f>
        <v>21.737123140000001</v>
      </c>
      <c r="E12" s="10">
        <f>20970543.77/10^6</f>
        <v>20.970543769999999</v>
      </c>
      <c r="F12" s="10">
        <f>12817116.8/10^6</f>
        <v>12.817116800000001</v>
      </c>
      <c r="G12" s="10">
        <f>8388737.63/10^6</f>
        <v>8.3887376300000014</v>
      </c>
    </row>
    <row r="13" spans="2:8" ht="14.5" x14ac:dyDescent="0.3">
      <c r="B13" s="2" t="s">
        <v>26</v>
      </c>
      <c r="C13" s="10">
        <f>667469/10^6</f>
        <v>0.66746899999999998</v>
      </c>
      <c r="D13" s="10">
        <f>5369021.53/10^6</f>
        <v>5.3690215300000004</v>
      </c>
      <c r="E13" s="10">
        <f>21214182.5/10^6</f>
        <v>21.2141825</v>
      </c>
      <c r="F13" s="10">
        <f>13486663.73/10^6</f>
        <v>13.48666373</v>
      </c>
      <c r="G13" s="10">
        <f>7288678.96/10^6</f>
        <v>7.2886789600000004</v>
      </c>
    </row>
    <row r="14" spans="2:8" ht="14.5" x14ac:dyDescent="0.3">
      <c r="B14" s="2" t="s">
        <v>27</v>
      </c>
      <c r="C14" s="10">
        <f>2123946.19/10^6</f>
        <v>2.1239461899999998</v>
      </c>
      <c r="D14" s="10">
        <f>3448125.08/10^6</f>
        <v>3.4481250800000001</v>
      </c>
      <c r="E14" s="10">
        <f>7661829.11/10^6</f>
        <v>7.6618291100000002</v>
      </c>
      <c r="F14" s="10">
        <f>23179062.76/10^6</f>
        <v>23.179062760000001</v>
      </c>
      <c r="G14" s="10">
        <f>29215467.11/10^6</f>
        <v>29.215467109999999</v>
      </c>
    </row>
    <row r="16" spans="2:8" ht="14.5" x14ac:dyDescent="0.3">
      <c r="B16" s="24" t="s">
        <v>144</v>
      </c>
      <c r="C16" s="10">
        <f>SUM(C10:C11)</f>
        <v>101.02237843</v>
      </c>
      <c r="D16" s="10">
        <f t="shared" ref="D16:G16" si="2">SUM(D10:D11)</f>
        <v>87.230852139999996</v>
      </c>
      <c r="E16" s="10">
        <f t="shared" si="2"/>
        <v>74.445933739999987</v>
      </c>
      <c r="F16" s="10">
        <f t="shared" si="2"/>
        <v>75.396747189999999</v>
      </c>
      <c r="G16" s="10">
        <f t="shared" si="2"/>
        <v>46.65791858</v>
      </c>
    </row>
    <row r="17" spans="2:7" ht="14.5" x14ac:dyDescent="0.3">
      <c r="B17" s="2" t="s">
        <v>143</v>
      </c>
      <c r="C17" s="23">
        <f>C16/D7</f>
        <v>0.33628938874272996</v>
      </c>
      <c r="D17" s="23">
        <f t="shared" ref="D17:G17" si="3">D16/E7</f>
        <v>0.24318709616792142</v>
      </c>
      <c r="E17" s="23">
        <f t="shared" si="3"/>
        <v>0.26776442714063564</v>
      </c>
      <c r="F17" s="23">
        <f t="shared" si="3"/>
        <v>0.31205772888361238</v>
      </c>
      <c r="G17" s="23">
        <f t="shared" si="3"/>
        <v>0.22987836712238205</v>
      </c>
    </row>
    <row r="18" spans="2:7" ht="14.5" x14ac:dyDescent="0.3">
      <c r="B18" s="2" t="s">
        <v>145</v>
      </c>
      <c r="C18" s="10">
        <f>SUM(C12:C14)</f>
        <v>11.37464106</v>
      </c>
      <c r="D18" s="10">
        <f t="shared" ref="D18:G18" si="4">SUM(D12:D14)</f>
        <v>30.554269750000003</v>
      </c>
      <c r="E18" s="10">
        <f t="shared" si="4"/>
        <v>49.846555379999998</v>
      </c>
      <c r="F18" s="10">
        <f t="shared" si="4"/>
        <v>49.482843290000005</v>
      </c>
      <c r="G18" s="10">
        <f t="shared" si="4"/>
        <v>44.892883699999999</v>
      </c>
    </row>
    <row r="19" spans="2:7" ht="14.5" x14ac:dyDescent="0.3">
      <c r="B19" s="2" t="s">
        <v>146</v>
      </c>
      <c r="C19" s="22">
        <f>C18/D7</f>
        <v>3.7864591476490322E-2</v>
      </c>
      <c r="D19" s="22">
        <f t="shared" ref="D19:G19" si="5">D18/E7</f>
        <v>8.5180918834869737E-2</v>
      </c>
      <c r="E19" s="22">
        <f t="shared" si="5"/>
        <v>0.17928627764780414</v>
      </c>
      <c r="F19" s="22">
        <f t="shared" si="5"/>
        <v>0.20480331408553304</v>
      </c>
      <c r="G19" s="22">
        <f t="shared" si="5"/>
        <v>0.22118223689461033</v>
      </c>
    </row>
    <row r="21" spans="2:7" ht="14.5" x14ac:dyDescent="0.3">
      <c r="B21" s="2" t="s">
        <v>148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B7E4-25D6-4415-A9EF-AC917DBB9D63}">
  <sheetPr>
    <tabColor theme="0"/>
  </sheetPr>
  <dimension ref="A1"/>
  <sheetViews>
    <sheetView workbookViewId="0">
      <selection activeCell="A2" sqref="A2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6C80-F5C4-4849-BC96-D7D8F42514A6}">
  <dimension ref="A4:K17"/>
  <sheetViews>
    <sheetView showGridLines="0" topLeftCell="B1" workbookViewId="0">
      <selection activeCell="D17" sqref="D17"/>
    </sheetView>
  </sheetViews>
  <sheetFormatPr defaultRowHeight="14" x14ac:dyDescent="0.3"/>
  <cols>
    <col min="3" max="3" width="14.83203125" customWidth="1"/>
  </cols>
  <sheetData>
    <row r="4" spans="1:11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1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</row>
    <row r="6" spans="1:11" ht="14.5" x14ac:dyDescent="0.3">
      <c r="A6" s="2"/>
      <c r="B6" s="2" t="s">
        <v>4</v>
      </c>
      <c r="C6" s="2"/>
      <c r="D6" s="10">
        <f>541120086.93/10^6</f>
        <v>541.12008692999996</v>
      </c>
      <c r="E6" s="10">
        <f>642085984.14/10^6</f>
        <v>642.08598413999994</v>
      </c>
      <c r="F6" s="10">
        <f>507283135.69/10^6</f>
        <v>507.28313568999999</v>
      </c>
      <c r="G6" s="10">
        <f>486470680.99/10^6</f>
        <v>486.47068099000001</v>
      </c>
      <c r="H6" s="10">
        <f>508047408.59/10^6</f>
        <v>508.04740858999997</v>
      </c>
      <c r="I6" s="15">
        <v>-1.5642972373999142E-2</v>
      </c>
    </row>
    <row r="7" spans="1:11" ht="14.5" x14ac:dyDescent="0.3">
      <c r="A7" s="2"/>
      <c r="B7" s="2"/>
      <c r="C7" s="2" t="s">
        <v>5</v>
      </c>
      <c r="D7" s="10">
        <f>176766164.31/10^6</f>
        <v>176.76616430999999</v>
      </c>
      <c r="E7" s="10">
        <f>172515900.2/10^6</f>
        <v>172.51590019999998</v>
      </c>
      <c r="F7" s="10">
        <f>170694830.49/10^6</f>
        <v>170.69483049000002</v>
      </c>
      <c r="G7" s="10">
        <f>208930709.89/10^6</f>
        <v>208.93070988999997</v>
      </c>
      <c r="H7" s="10">
        <f>149837947.45/10^6</f>
        <v>149.83794745</v>
      </c>
      <c r="I7" s="15">
        <v>-4.0476381532833505E-2</v>
      </c>
    </row>
    <row r="8" spans="1:11" ht="14.5" x14ac:dyDescent="0.3">
      <c r="A8" s="2"/>
      <c r="B8" s="2"/>
      <c r="C8" s="2" t="s">
        <v>6</v>
      </c>
      <c r="D8" s="10">
        <f>90966670.82/10^6</f>
        <v>90.96667081999999</v>
      </c>
      <c r="E8" s="10">
        <f>147911663.61/10^6</f>
        <v>147.91166361000001</v>
      </c>
      <c r="F8" s="10">
        <f>160669499.35/10^6</f>
        <v>160.66949935</v>
      </c>
      <c r="G8" s="10">
        <f>219131998.83/10^6</f>
        <v>219.13199883000001</v>
      </c>
      <c r="H8" s="10">
        <f>256355615.56/10^6</f>
        <v>256.35561555999999</v>
      </c>
      <c r="I8" s="15">
        <v>0.29565726220465116</v>
      </c>
      <c r="K8" s="2" t="s">
        <v>57</v>
      </c>
    </row>
    <row r="9" spans="1:11" ht="14.5" x14ac:dyDescent="0.3">
      <c r="A9" s="2"/>
      <c r="B9" s="2"/>
      <c r="C9" s="2" t="s">
        <v>7</v>
      </c>
      <c r="D9" s="10">
        <f>9649945.05/10^6</f>
        <v>9.6499450500000012</v>
      </c>
      <c r="E9" s="10">
        <f>9248543.49/10^6</f>
        <v>9.2485434899999994</v>
      </c>
      <c r="F9" s="10">
        <f>10255341.99/10^6</f>
        <v>10.25534199</v>
      </c>
      <c r="G9" s="10">
        <f>3113198.91/10^6</f>
        <v>3.1131989099999999</v>
      </c>
      <c r="H9" s="10">
        <f>2292241.8/10^6</f>
        <v>2.2922417999999998</v>
      </c>
      <c r="I9" s="15">
        <v>-0.30187386445150821</v>
      </c>
      <c r="K9" s="2"/>
    </row>
    <row r="10" spans="1:11" ht="14.5" x14ac:dyDescent="0.3">
      <c r="A10" s="2"/>
      <c r="B10" s="2"/>
      <c r="C10" s="2" t="s">
        <v>8</v>
      </c>
      <c r="D10" s="10">
        <f>251801879.45/10^6</f>
        <v>251.80187945</v>
      </c>
      <c r="E10" s="10">
        <f>293612868.65/10^6</f>
        <v>293.61286865</v>
      </c>
      <c r="F10" s="10">
        <f>152310180.03/10^6</f>
        <v>152.31018003</v>
      </c>
      <c r="G10" s="10">
        <f>46249641/10^6</f>
        <v>46.249640999999997</v>
      </c>
      <c r="H10" s="10">
        <f>75045193.58/10^6</f>
        <v>75.045193580000003</v>
      </c>
      <c r="I10" s="15">
        <v>-0.26113349575144518</v>
      </c>
      <c r="K10" s="2" t="s">
        <v>52</v>
      </c>
    </row>
    <row r="11" spans="1:11" ht="14.5" x14ac:dyDescent="0.3">
      <c r="A11" s="2"/>
      <c r="B11" s="2"/>
      <c r="C11" s="2" t="s">
        <v>9</v>
      </c>
      <c r="D11" s="10">
        <f>D6-D7-D8-D9-D10</f>
        <v>11.935427299999958</v>
      </c>
      <c r="E11" s="10">
        <f t="shared" ref="E11:G11" si="0">E6-E7-E8-E9-E10</f>
        <v>18.797008189999985</v>
      </c>
      <c r="F11" s="10">
        <f t="shared" si="0"/>
        <v>13.353283829999981</v>
      </c>
      <c r="G11" s="10">
        <f t="shared" si="0"/>
        <v>9.0451323599999895</v>
      </c>
      <c r="H11" s="10">
        <f>H6-H7-H8-H9-H10</f>
        <v>24.516410199999982</v>
      </c>
      <c r="I11" s="15">
        <v>0.19716697210674461</v>
      </c>
      <c r="K11" s="2"/>
    </row>
    <row r="12" spans="1:11" ht="14.5" x14ac:dyDescent="0.3">
      <c r="A12" s="2"/>
      <c r="B12" s="2" t="s">
        <v>10</v>
      </c>
      <c r="C12" s="2"/>
      <c r="D12" s="10">
        <f>373343279.5/10^6</f>
        <v>373.34327949999999</v>
      </c>
      <c r="E12" s="10">
        <f>440938394.02/10^6</f>
        <v>440.93839401999998</v>
      </c>
      <c r="F12" s="10">
        <f>311131554.07/10^6</f>
        <v>311.13155406999999</v>
      </c>
      <c r="G12" s="10">
        <f>264885302.64/10^6</f>
        <v>264.88530263999996</v>
      </c>
      <c r="H12" s="10">
        <f>294970639.97/10^6</f>
        <v>294.97063997000004</v>
      </c>
      <c r="I12" s="15">
        <v>-5.7204256553721744E-2</v>
      </c>
      <c r="K12" s="2"/>
    </row>
    <row r="13" spans="1:11" ht="14.5" x14ac:dyDescent="0.3">
      <c r="A13" s="2"/>
      <c r="B13" s="3" t="s">
        <v>12</v>
      </c>
      <c r="C13" s="3"/>
      <c r="D13" s="11">
        <f>D6-D12</f>
        <v>167.77680742999996</v>
      </c>
      <c r="E13" s="11">
        <f t="shared" ref="E13:H13" si="1">E6-E12</f>
        <v>201.14759011999996</v>
      </c>
      <c r="F13" s="11">
        <f t="shared" si="1"/>
        <v>196.15158162</v>
      </c>
      <c r="G13" s="11">
        <f t="shared" si="1"/>
        <v>221.58537835000004</v>
      </c>
      <c r="H13" s="11">
        <f t="shared" si="1"/>
        <v>213.07676861999994</v>
      </c>
      <c r="I13" s="17">
        <v>6.1575883843514978E-2</v>
      </c>
      <c r="K13" s="2" t="s">
        <v>53</v>
      </c>
    </row>
    <row r="15" spans="1:11" ht="14.5" x14ac:dyDescent="0.3">
      <c r="D15" s="2" t="s">
        <v>79</v>
      </c>
    </row>
    <row r="16" spans="1:11" ht="14.5" x14ac:dyDescent="0.3">
      <c r="D16" s="2" t="s">
        <v>80</v>
      </c>
    </row>
    <row r="17" spans="4:4" ht="14.5" x14ac:dyDescent="0.3">
      <c r="D17" s="2" t="s">
        <v>81</v>
      </c>
    </row>
  </sheetData>
  <phoneticPr fontId="2" type="noConversion"/>
  <conditionalFormatting sqref="I6:I13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144-723F-4B2B-8526-E22B81EDBAB1}">
  <dimension ref="A4:Q20"/>
  <sheetViews>
    <sheetView showGridLines="0" workbookViewId="0">
      <selection activeCell="K14" sqref="K14"/>
    </sheetView>
  </sheetViews>
  <sheetFormatPr defaultRowHeight="14" x14ac:dyDescent="0.3"/>
  <cols>
    <col min="3" max="3" width="11.83203125" customWidth="1"/>
  </cols>
  <sheetData>
    <row r="4" spans="1:17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7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  <c r="K5" s="9"/>
      <c r="L5" s="9"/>
      <c r="M5" s="13"/>
      <c r="N5" s="13"/>
      <c r="O5" s="13"/>
      <c r="P5" s="13"/>
      <c r="Q5" s="13"/>
    </row>
    <row r="6" spans="1:17" s="7" customFormat="1" ht="14.5" x14ac:dyDescent="0.3">
      <c r="A6" s="9"/>
      <c r="B6" s="3" t="s">
        <v>11</v>
      </c>
      <c r="C6" s="3"/>
      <c r="D6" s="4">
        <v>167.77680742999996</v>
      </c>
      <c r="E6" s="4">
        <v>201.14759011999996</v>
      </c>
      <c r="F6" s="4">
        <v>196.15158162</v>
      </c>
      <c r="G6" s="4">
        <v>221.58537835000004</v>
      </c>
      <c r="H6" s="4">
        <v>213.07676861999994</v>
      </c>
      <c r="I6" s="17">
        <v>6.1575883843514978E-2</v>
      </c>
      <c r="K6" s="9"/>
      <c r="L6" s="9"/>
      <c r="M6" s="13"/>
      <c r="N6" s="13"/>
      <c r="O6" s="13"/>
      <c r="P6" s="13"/>
      <c r="Q6" s="13"/>
    </row>
    <row r="7" spans="1:17" ht="14.5" x14ac:dyDescent="0.3">
      <c r="A7" s="2"/>
      <c r="B7" s="2" t="s">
        <v>13</v>
      </c>
      <c r="C7" s="2"/>
      <c r="D7" s="10">
        <f>67386082.87/10^6</f>
        <v>67.38608287000001</v>
      </c>
      <c r="E7" s="10">
        <f>70764781.75/10^6</f>
        <v>70.764781749999997</v>
      </c>
      <c r="F7" s="10">
        <f>79849121.12/10^6</f>
        <v>79.849121120000007</v>
      </c>
      <c r="G7" s="10">
        <f>74587529/10^6</f>
        <v>74.587529000000004</v>
      </c>
      <c r="H7" s="10">
        <f>81155143.55/10^6</f>
        <v>81.155143549999991</v>
      </c>
      <c r="I7" s="15">
        <v>4.7578217898258224E-2</v>
      </c>
    </row>
    <row r="8" spans="1:17" ht="14.5" x14ac:dyDescent="0.3">
      <c r="A8" s="2"/>
      <c r="B8" s="2" t="s">
        <v>14</v>
      </c>
      <c r="C8" s="2"/>
      <c r="D8" s="10">
        <f>101756917.29/10^6</f>
        <v>101.75691729</v>
      </c>
      <c r="E8" s="10">
        <f>109701754.79/10^6</f>
        <v>109.70175479000001</v>
      </c>
      <c r="F8" s="10">
        <f>141256434.42/10^6</f>
        <v>141.25643441999998</v>
      </c>
      <c r="G8" s="10">
        <f>172506484.77/10^6</f>
        <v>172.50648477000001</v>
      </c>
      <c r="H8" s="10">
        <f>147455005.14/10^6</f>
        <v>147.45500514</v>
      </c>
      <c r="I8" s="15">
        <v>9.7169924463139656E-2</v>
      </c>
      <c r="K8" s="2" t="s">
        <v>51</v>
      </c>
    </row>
    <row r="9" spans="1:17" ht="14.5" x14ac:dyDescent="0.3">
      <c r="A9" s="2"/>
      <c r="B9" s="2"/>
      <c r="C9" s="2" t="s">
        <v>16</v>
      </c>
      <c r="D9" s="16">
        <f>3648244.03/10^6</f>
        <v>3.6482440299999999</v>
      </c>
      <c r="E9" s="10">
        <f>4143131.21/10^6</f>
        <v>4.14313121</v>
      </c>
      <c r="F9" s="10">
        <f>4430805.26/10^6</f>
        <v>4.4308052599999996</v>
      </c>
      <c r="G9" s="10">
        <f>3735226.46/10^6</f>
        <v>3.7352264599999998</v>
      </c>
      <c r="H9" s="10">
        <f>3870016.7/10^6</f>
        <v>3.8700167000000003</v>
      </c>
      <c r="I9" s="15">
        <f>POWER(H9/E9,1/4)-1</f>
        <v>-1.6903753509460495E-2</v>
      </c>
      <c r="K9" s="2"/>
    </row>
    <row r="10" spans="1:17" ht="14.5" x14ac:dyDescent="0.3">
      <c r="A10" s="2"/>
      <c r="B10" s="2"/>
      <c r="C10" s="2" t="s">
        <v>17</v>
      </c>
      <c r="D10" s="10">
        <f>38420681.01/10^6</f>
        <v>38.420681009999996</v>
      </c>
      <c r="E10" s="10">
        <f>35038746.52/10^6</f>
        <v>35.038746520000004</v>
      </c>
      <c r="F10" s="10">
        <f>52604444.96/10^6</f>
        <v>52.604444960000002</v>
      </c>
      <c r="G10" s="10">
        <f>52751755.76/10^6</f>
        <v>52.751755759999995</v>
      </c>
      <c r="H10" s="10">
        <f>49553689.15/10^6</f>
        <v>49.553689149999997</v>
      </c>
      <c r="I10" s="15">
        <f t="shared" ref="I10" si="0">POWER(H10/D10,1/4)-1</f>
        <v>6.5682252916817951E-2</v>
      </c>
      <c r="K10" s="2"/>
    </row>
    <row r="11" spans="1:17" ht="14.5" x14ac:dyDescent="0.3">
      <c r="A11" s="2"/>
      <c r="B11" s="2" t="s">
        <v>15</v>
      </c>
      <c r="C11" s="2"/>
      <c r="D11" s="10">
        <f>2319147.27/10^6</f>
        <v>2.3191472700000002</v>
      </c>
      <c r="E11" s="10">
        <f>2276890.04/10^6</f>
        <v>2.2768900400000001</v>
      </c>
      <c r="F11" s="10">
        <f>422294.24/10^6</f>
        <v>0.42229423999999999</v>
      </c>
      <c r="G11" s="10">
        <f>-944578.49/10^6</f>
        <v>-0.94457848999999994</v>
      </c>
      <c r="H11" s="10">
        <f>13294995.01/10^6</f>
        <v>13.294995009999999</v>
      </c>
      <c r="I11" s="15">
        <v>0.54735500023311268</v>
      </c>
      <c r="K11" s="2" t="s">
        <v>86</v>
      </c>
    </row>
    <row r="12" spans="1:17" ht="14.5" x14ac:dyDescent="0.3">
      <c r="A12" s="2"/>
      <c r="B12" s="2" t="s">
        <v>18</v>
      </c>
      <c r="C12" s="2"/>
      <c r="D12" s="10">
        <f>7595348.38/10^6</f>
        <v>7.5953483799999999</v>
      </c>
      <c r="E12" s="10">
        <f>16553372.56/10^6</f>
        <v>16.55337256</v>
      </c>
      <c r="F12" s="10">
        <f>36770924.42/10^6</f>
        <v>36.77092442</v>
      </c>
      <c r="G12" s="10">
        <f>20382127.45/10^6</f>
        <v>20.382127449999999</v>
      </c>
      <c r="H12" s="10">
        <f>29525849.7/10^6</f>
        <v>29.525849699999998</v>
      </c>
      <c r="I12" s="15">
        <v>0.40415055674854039</v>
      </c>
      <c r="K12" s="2"/>
    </row>
    <row r="13" spans="1:17" ht="14.5" x14ac:dyDescent="0.3">
      <c r="A13" s="2"/>
      <c r="B13" s="3" t="s">
        <v>19</v>
      </c>
      <c r="C13" s="3"/>
      <c r="D13" s="11">
        <f>47665687.97/10^6</f>
        <v>47.66568797</v>
      </c>
      <c r="E13" s="11">
        <f>54885400.04/10^6</f>
        <v>54.88540004</v>
      </c>
      <c r="F13" s="11">
        <f>12520609/10^6</f>
        <v>12.520609</v>
      </c>
      <c r="G13" s="11">
        <f>38024577/10^6</f>
        <v>38.024577000000001</v>
      </c>
      <c r="H13" s="11">
        <f>1687503.69/10^6</f>
        <v>1.68750369</v>
      </c>
      <c r="I13" s="15">
        <v>-0.56622979631872838</v>
      </c>
      <c r="K13" s="2" t="s">
        <v>54</v>
      </c>
    </row>
    <row r="14" spans="1:17" ht="14.5" x14ac:dyDescent="0.3">
      <c r="A14" s="2"/>
      <c r="B14" s="9"/>
      <c r="C14" s="9"/>
      <c r="D14" s="13"/>
      <c r="E14" s="13"/>
      <c r="F14" s="21" t="s">
        <v>55</v>
      </c>
      <c r="G14" s="21"/>
      <c r="H14" s="21" t="s">
        <v>56</v>
      </c>
      <c r="I14" s="2"/>
    </row>
    <row r="15" spans="1:17" ht="14.5" x14ac:dyDescent="0.3">
      <c r="F15" s="2" t="s">
        <v>58</v>
      </c>
      <c r="G15" s="2"/>
      <c r="H15" s="2" t="s">
        <v>59</v>
      </c>
      <c r="I15" s="2"/>
    </row>
    <row r="18" spans="7:7" ht="14.5" x14ac:dyDescent="0.3">
      <c r="G18" s="2" t="s">
        <v>82</v>
      </c>
    </row>
    <row r="19" spans="7:7" ht="14.5" x14ac:dyDescent="0.3">
      <c r="G19" s="2" t="s">
        <v>83</v>
      </c>
    </row>
    <row r="20" spans="7:7" ht="14.5" x14ac:dyDescent="0.3">
      <c r="G20" s="2"/>
    </row>
  </sheetData>
  <phoneticPr fontId="2" type="noConversion"/>
  <conditionalFormatting sqref="I13">
    <cfRule type="cellIs" dxfId="9" priority="3" operator="lessThan">
      <formula>0</formula>
    </cfRule>
  </conditionalFormatting>
  <conditionalFormatting sqref="I6">
    <cfRule type="cellIs" dxfId="8" priority="2" operator="lessThan">
      <formula>0</formula>
    </cfRule>
  </conditionalFormatting>
  <conditionalFormatting sqref="I9:I10">
    <cfRule type="cellIs" dxfId="7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A0E0-6506-4CE1-90D0-9D8B565C18FB}">
  <dimension ref="A4:K23"/>
  <sheetViews>
    <sheetView showGridLines="0" workbookViewId="0">
      <selection activeCell="H4" sqref="A4:H17"/>
    </sheetView>
  </sheetViews>
  <sheetFormatPr defaultRowHeight="14" x14ac:dyDescent="0.3"/>
  <sheetData>
    <row r="4" spans="1:11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1" ht="14.5" x14ac:dyDescent="0.3">
      <c r="A5" s="5" t="s">
        <v>20</v>
      </c>
      <c r="B5" s="5"/>
      <c r="C5" s="5"/>
      <c r="D5" s="12"/>
      <c r="E5" s="12"/>
      <c r="F5" s="12"/>
      <c r="G5" s="12"/>
      <c r="H5" s="12"/>
      <c r="I5" s="18"/>
    </row>
    <row r="6" spans="1:11" ht="14.5" x14ac:dyDescent="0.3">
      <c r="A6" s="9"/>
      <c r="B6" s="9" t="s">
        <v>31</v>
      </c>
      <c r="C6" s="9"/>
      <c r="D6" s="13">
        <f>200226285.12/10^6</f>
        <v>200.22628512</v>
      </c>
      <c r="E6" s="13">
        <f>211597007.46/10^6</f>
        <v>211.59700746000001</v>
      </c>
      <c r="F6" s="13">
        <f>249366713.1/10^6</f>
        <v>249.3667131</v>
      </c>
      <c r="G6" s="13">
        <f>257144283.24/10^6</f>
        <v>257.14428323999999</v>
      </c>
      <c r="H6" s="13">
        <f>277242923.29/10^6</f>
        <v>277.24292329000002</v>
      </c>
      <c r="I6" s="15">
        <f t="shared" ref="I6:I21" si="0">POWER(H6/D6,1/4)-1</f>
        <v>8.4762953591836832E-2</v>
      </c>
      <c r="K6" s="2" t="s">
        <v>61</v>
      </c>
    </row>
    <row r="7" spans="1:11" ht="14.5" x14ac:dyDescent="0.3">
      <c r="A7" s="9"/>
      <c r="B7" s="9" t="s">
        <v>33</v>
      </c>
      <c r="C7" s="9"/>
      <c r="D7" s="13">
        <f>6393382.6/10^6</f>
        <v>6.3933825999999998</v>
      </c>
      <c r="E7" s="13">
        <f>11709671.8/10^6</f>
        <v>11.709671800000001</v>
      </c>
      <c r="F7" s="13">
        <f>9114181.45/10^6</f>
        <v>9.1141814499999985</v>
      </c>
      <c r="G7" s="13">
        <f>5862000/10^6</f>
        <v>5.8620000000000001</v>
      </c>
      <c r="H7" s="13">
        <f>6373879.27/10^6</f>
        <v>6.3738792699999998</v>
      </c>
      <c r="I7" s="15">
        <f t="shared" si="0"/>
        <v>-7.6351135070484855E-4</v>
      </c>
      <c r="K7" s="2"/>
    </row>
    <row r="8" spans="1:11" ht="14.5" x14ac:dyDescent="0.3">
      <c r="A8" s="2"/>
      <c r="B8" s="2" t="s">
        <v>21</v>
      </c>
      <c r="C8" s="2"/>
      <c r="D8" s="10">
        <f>300403110.57/10^6</f>
        <v>300.40311056999997</v>
      </c>
      <c r="E8" s="10">
        <f>358698522.72/10^6</f>
        <v>358.69852272000003</v>
      </c>
      <c r="F8" s="10">
        <f>278027722.11/10^6</f>
        <v>278.02772211000001</v>
      </c>
      <c r="G8" s="10">
        <f>241611535.98/10^6</f>
        <v>241.61153597999999</v>
      </c>
      <c r="H8" s="10">
        <f>202967852.8/10^6</f>
        <v>202.9678528</v>
      </c>
      <c r="I8" s="15">
        <f t="shared" si="0"/>
        <v>-9.3368700632509238E-2</v>
      </c>
      <c r="K8" s="2" t="s">
        <v>62</v>
      </c>
    </row>
    <row r="9" spans="1:11" ht="14.5" x14ac:dyDescent="0.3">
      <c r="A9" s="2"/>
      <c r="B9" s="2"/>
      <c r="C9" s="2" t="s">
        <v>22</v>
      </c>
      <c r="D9" s="10">
        <f>220491891.35/10^6</f>
        <v>220.49189135</v>
      </c>
      <c r="E9" s="10">
        <f>284993432.92/10^6</f>
        <v>284.99343292000003</v>
      </c>
      <c r="F9" s="10">
        <f>208930204.65/10^6</f>
        <v>208.93020465000001</v>
      </c>
      <c r="G9" s="10">
        <f>173994731.04/10^6</f>
        <v>173.99473104</v>
      </c>
      <c r="H9" s="10">
        <f>164531882.56/10^6</f>
        <v>164.53188256000001</v>
      </c>
      <c r="I9" s="15"/>
      <c r="K9" s="2" t="s">
        <v>84</v>
      </c>
    </row>
    <row r="10" spans="1:11" ht="14.5" x14ac:dyDescent="0.3">
      <c r="A10" s="2"/>
      <c r="B10" s="2"/>
      <c r="C10" s="2" t="s">
        <v>23</v>
      </c>
      <c r="D10" s="10">
        <f>47440036.07/10^6</f>
        <v>47.440036069999998</v>
      </c>
      <c r="E10" s="10">
        <f>51897614.98/10^6</f>
        <v>51.89761498</v>
      </c>
      <c r="F10" s="10">
        <f>43826435.43/10^6</f>
        <v>43.826435429999997</v>
      </c>
      <c r="G10" s="10">
        <f>57443772.26/10^6</f>
        <v>57.443772259999996</v>
      </c>
      <c r="H10" s="10">
        <f>30701041.44/10^6</f>
        <v>30.701041440000001</v>
      </c>
      <c r="I10" s="15"/>
      <c r="K10" s="2"/>
    </row>
    <row r="11" spans="1:11" ht="14.5" x14ac:dyDescent="0.3">
      <c r="A11" s="2"/>
      <c r="B11" s="2"/>
      <c r="C11" s="2" t="s">
        <v>24</v>
      </c>
      <c r="D11" s="10">
        <f>53582342.36/10^6</f>
        <v>53.582342359999998</v>
      </c>
      <c r="E11" s="10">
        <f>35333237.16/10^6</f>
        <v>35.333237159999996</v>
      </c>
      <c r="F11" s="10">
        <f>30619498.31/10^6</f>
        <v>30.619498309999997</v>
      </c>
      <c r="G11" s="10">
        <f>17952974.93/10^6</f>
        <v>17.95297493</v>
      </c>
      <c r="H11" s="10">
        <f>15956877.14/10^6</f>
        <v>15.956877140000001</v>
      </c>
      <c r="I11" s="15"/>
      <c r="K11" s="2"/>
    </row>
    <row r="12" spans="1:11" ht="14.5" x14ac:dyDescent="0.3">
      <c r="A12" s="2"/>
      <c r="B12" s="2"/>
      <c r="C12" s="2" t="s">
        <v>25</v>
      </c>
      <c r="D12" s="10">
        <f>8583225.87/10^6</f>
        <v>8.5832258699999997</v>
      </c>
      <c r="E12" s="10">
        <f>21737123.14/10^6</f>
        <v>21.737123140000001</v>
      </c>
      <c r="F12" s="10">
        <f>20970543.77/10^6</f>
        <v>20.970543769999999</v>
      </c>
      <c r="G12" s="10">
        <f>12817116.8/10^6</f>
        <v>12.817116800000001</v>
      </c>
      <c r="H12" s="10">
        <f>8388737.63/10^6</f>
        <v>8.3887376300000014</v>
      </c>
      <c r="I12" s="15"/>
      <c r="K12" s="2"/>
    </row>
    <row r="13" spans="1:11" ht="14.5" x14ac:dyDescent="0.3">
      <c r="A13" s="2"/>
      <c r="B13" s="2"/>
      <c r="C13" s="2" t="s">
        <v>26</v>
      </c>
      <c r="D13" s="10">
        <f>667469/10^6</f>
        <v>0.66746899999999998</v>
      </c>
      <c r="E13" s="10">
        <f>5369021.53/10^6</f>
        <v>5.3690215300000004</v>
      </c>
      <c r="F13" s="10">
        <f>21214182.5/10^6</f>
        <v>21.2141825</v>
      </c>
      <c r="G13" s="10">
        <f>13486663.73/10^6</f>
        <v>13.48666373</v>
      </c>
      <c r="H13" s="10">
        <f>7288678.96/10^6</f>
        <v>7.2886789600000004</v>
      </c>
      <c r="I13" s="15"/>
      <c r="K13" s="2"/>
    </row>
    <row r="14" spans="1:11" ht="14.5" x14ac:dyDescent="0.3">
      <c r="A14" s="2"/>
      <c r="B14" s="2"/>
      <c r="C14" s="2" t="s">
        <v>27</v>
      </c>
      <c r="D14" s="10">
        <f>2123946.19/10^6</f>
        <v>2.1239461899999998</v>
      </c>
      <c r="E14" s="10">
        <f>3448125.08/10^6</f>
        <v>3.4481250800000001</v>
      </c>
      <c r="F14" s="10">
        <f>7661829.11/10^6</f>
        <v>7.6618291100000002</v>
      </c>
      <c r="G14" s="10">
        <f>23179062.76/10^6</f>
        <v>23.179062760000001</v>
      </c>
      <c r="H14" s="10">
        <f>29215467.11/10^6</f>
        <v>29.215467109999999</v>
      </c>
      <c r="I14" s="15"/>
      <c r="K14" s="2"/>
    </row>
    <row r="15" spans="1:11" ht="14.5" x14ac:dyDescent="0.3">
      <c r="A15" s="2"/>
      <c r="B15" s="2" t="s">
        <v>34</v>
      </c>
      <c r="C15" s="2"/>
      <c r="D15" s="10">
        <f>9815526.01/10^6</f>
        <v>9.8155260099999992</v>
      </c>
      <c r="E15" s="10">
        <f>20748765.04/10^6</f>
        <v>20.748765039999999</v>
      </c>
      <c r="F15" s="10">
        <f>13426698.31/10^6</f>
        <v>13.426698310000001</v>
      </c>
      <c r="G15" s="10">
        <f>13597881.85/10^6</f>
        <v>13.59788185</v>
      </c>
      <c r="H15" s="10">
        <f>20535460.54/10^6</f>
        <v>20.535460539999999</v>
      </c>
      <c r="I15" s="15">
        <f t="shared" si="0"/>
        <v>0.2026734320918282</v>
      </c>
      <c r="K15" s="2" t="s">
        <v>63</v>
      </c>
    </row>
    <row r="16" spans="1:11" ht="14.5" x14ac:dyDescent="0.3">
      <c r="A16" s="2"/>
      <c r="B16" s="2" t="s">
        <v>35</v>
      </c>
      <c r="C16" s="2"/>
      <c r="D16" s="10">
        <f>16522807.51/10^6</f>
        <v>16.52280751</v>
      </c>
      <c r="E16" s="10">
        <f>21722138.17/10^6</f>
        <v>21.722138170000001</v>
      </c>
      <c r="F16" s="10">
        <f>36764028.16/10^6</f>
        <v>36.764028159999995</v>
      </c>
      <c r="G16" s="10">
        <f>25540102.19/10^6</f>
        <v>25.540102190000002</v>
      </c>
      <c r="H16" s="10">
        <f>25004616.81/10^6</f>
        <v>25.004616809999998</v>
      </c>
      <c r="I16" s="15">
        <f t="shared" si="0"/>
        <v>0.10913418241327832</v>
      </c>
      <c r="K16" s="2" t="s">
        <v>64</v>
      </c>
    </row>
    <row r="17" spans="1:11" ht="14.5" x14ac:dyDescent="0.3">
      <c r="A17" s="2"/>
      <c r="B17" s="2" t="s">
        <v>28</v>
      </c>
      <c r="C17" s="2"/>
      <c r="D17" s="10">
        <f>124679839.68/10^6</f>
        <v>124.67983968</v>
      </c>
      <c r="E17" s="10">
        <f>151733740.28/10^6</f>
        <v>151.73374028000001</v>
      </c>
      <c r="F17" s="10">
        <f>153779827.73/10^6</f>
        <v>153.77982772999999</v>
      </c>
      <c r="G17" s="10">
        <f>241657199.05/10^6</f>
        <v>241.65719905</v>
      </c>
      <c r="H17" s="10">
        <f>351654159.68/10^6</f>
        <v>351.65415968000002</v>
      </c>
      <c r="I17" s="15">
        <f t="shared" si="0"/>
        <v>0.29592503859635833</v>
      </c>
      <c r="K17" s="2" t="s">
        <v>60</v>
      </c>
    </row>
    <row r="18" spans="1:11" ht="14.5" x14ac:dyDescent="0.3">
      <c r="A18" s="2"/>
      <c r="B18" s="2"/>
      <c r="C18" s="2" t="s">
        <v>29</v>
      </c>
      <c r="D18" s="10">
        <f>690657.94/10^6</f>
        <v>0.69065793999999991</v>
      </c>
      <c r="E18" s="10">
        <f>3138726.22/10^6</f>
        <v>3.1387262200000001</v>
      </c>
      <c r="F18" s="10">
        <f>3473272.53/10^6</f>
        <v>3.4732725299999996</v>
      </c>
      <c r="G18" s="10">
        <f>7954783.42/10^6</f>
        <v>7.95478342</v>
      </c>
      <c r="H18" s="10">
        <f>10543147.17/10^6</f>
        <v>10.543147169999999</v>
      </c>
      <c r="I18" s="15"/>
      <c r="K18" s="2" t="s">
        <v>85</v>
      </c>
    </row>
    <row r="19" spans="1:11" ht="14.5" x14ac:dyDescent="0.3">
      <c r="A19" s="2"/>
      <c r="B19" s="2" t="s">
        <v>36</v>
      </c>
      <c r="C19" s="2"/>
      <c r="D19" s="10"/>
      <c r="E19" s="10">
        <f>15257687.5/10^6</f>
        <v>15.257687499999999</v>
      </c>
      <c r="F19" s="10">
        <f>3699365.22/10^6</f>
        <v>3.6993652200000002</v>
      </c>
      <c r="G19" s="10">
        <f>22592265.95/10^6</f>
        <v>22.592265949999998</v>
      </c>
      <c r="H19" s="10">
        <f>14415488.61/10^6</f>
        <v>14.415488609999999</v>
      </c>
      <c r="I19" s="15">
        <f>POWER(H19/E19,1/3)-1</f>
        <v>-1.8748763063268004E-2</v>
      </c>
      <c r="K19" s="2" t="s">
        <v>65</v>
      </c>
    </row>
    <row r="20" spans="1:11" ht="14.5" x14ac:dyDescent="0.3">
      <c r="A20" s="2"/>
      <c r="B20" s="3" t="s">
        <v>32</v>
      </c>
      <c r="C20" s="3"/>
      <c r="D20" s="11">
        <f>667271951.49/10^6</f>
        <v>667.27195148999999</v>
      </c>
      <c r="E20" s="11">
        <f>791467532.97/10^6</f>
        <v>791.46753296999998</v>
      </c>
      <c r="F20" s="11">
        <f>740926354.63/10^6</f>
        <v>740.92635462999999</v>
      </c>
      <c r="G20" s="11">
        <f>815313449.71/10^6</f>
        <v>815.31344970999999</v>
      </c>
      <c r="H20" s="11">
        <f>915920681/10^6</f>
        <v>915.92068099999995</v>
      </c>
      <c r="I20" s="17">
        <f t="shared" si="0"/>
        <v>8.2402405755706232E-2</v>
      </c>
      <c r="K20" s="2"/>
    </row>
    <row r="21" spans="1:11" ht="14.5" x14ac:dyDescent="0.3">
      <c r="B21" s="2" t="s">
        <v>42</v>
      </c>
      <c r="D21" s="10">
        <v>0.8</v>
      </c>
      <c r="E21" s="10">
        <v>14.2</v>
      </c>
      <c r="F21" s="10">
        <v>21.7</v>
      </c>
      <c r="G21" s="10">
        <v>31.3</v>
      </c>
      <c r="H21" s="10">
        <v>65.900000000000006</v>
      </c>
      <c r="I21" s="15">
        <f t="shared" si="0"/>
        <v>2.0126512294548258</v>
      </c>
      <c r="K21" s="2" t="s">
        <v>72</v>
      </c>
    </row>
    <row r="22" spans="1:11" ht="14.5" x14ac:dyDescent="0.3">
      <c r="B22" s="2"/>
      <c r="C22" s="2" t="s">
        <v>43</v>
      </c>
      <c r="D22" s="10"/>
      <c r="E22" s="10">
        <v>8.6999999999999993</v>
      </c>
      <c r="F22" s="10">
        <v>11.1</v>
      </c>
      <c r="G22" s="10">
        <v>20.7</v>
      </c>
      <c r="H22" s="10">
        <v>61.3</v>
      </c>
      <c r="I22" s="15">
        <f>POWER(H22/E22,1/3)-1</f>
        <v>0.9171101827995658</v>
      </c>
      <c r="K22" s="2" t="s">
        <v>66</v>
      </c>
    </row>
    <row r="23" spans="1:11" ht="14.5" x14ac:dyDescent="0.3">
      <c r="B23" s="2"/>
      <c r="C23" s="2" t="s">
        <v>44</v>
      </c>
      <c r="D23" s="10"/>
      <c r="E23" s="10">
        <v>0.9</v>
      </c>
      <c r="F23" s="10">
        <v>5.9</v>
      </c>
      <c r="G23" s="10">
        <v>1.1000000000000001</v>
      </c>
      <c r="H23" s="10">
        <v>3.1</v>
      </c>
      <c r="I23" s="15">
        <f>POWER(H23/E23,1/3)-1</f>
        <v>0.51021829869449764</v>
      </c>
    </row>
  </sheetData>
  <phoneticPr fontId="2" type="noConversion"/>
  <conditionalFormatting sqref="I5:I20">
    <cfRule type="cellIs" dxfId="6" priority="2" operator="lessThan">
      <formula>0</formula>
    </cfRule>
  </conditionalFormatting>
  <conditionalFormatting sqref="I21:I23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B007-CA36-4D70-A718-3DB6BC7B55A0}">
  <dimension ref="A3:S24"/>
  <sheetViews>
    <sheetView showGridLines="0" topLeftCell="I1" workbookViewId="0">
      <selection activeCell="L12" sqref="L12:S15"/>
    </sheetView>
  </sheetViews>
  <sheetFormatPr defaultRowHeight="14" x14ac:dyDescent="0.3"/>
  <cols>
    <col min="3" max="3" width="16.4140625" customWidth="1"/>
  </cols>
  <sheetData>
    <row r="3" spans="1:19" ht="14.5" x14ac:dyDescent="0.3">
      <c r="D3" s="1">
        <v>2013</v>
      </c>
      <c r="E3" s="8">
        <v>2014</v>
      </c>
      <c r="F3" s="1">
        <v>2015</v>
      </c>
      <c r="G3" s="1">
        <v>2016</v>
      </c>
      <c r="H3" s="1">
        <v>2017</v>
      </c>
      <c r="I3" s="14" t="s">
        <v>50</v>
      </c>
    </row>
    <row r="4" spans="1:19" ht="14.5" x14ac:dyDescent="0.3">
      <c r="A4" s="5" t="s">
        <v>20</v>
      </c>
      <c r="B4" s="5"/>
      <c r="C4" s="5"/>
      <c r="D4" s="12"/>
      <c r="E4" s="12"/>
      <c r="F4" s="12"/>
      <c r="G4" s="12"/>
      <c r="H4" s="12"/>
      <c r="I4" s="18"/>
    </row>
    <row r="5" spans="1:19" ht="14.5" x14ac:dyDescent="0.3">
      <c r="B5" s="9" t="s">
        <v>37</v>
      </c>
      <c r="C5" s="9"/>
      <c r="D5" s="13">
        <f>427669430.21/10^6</f>
        <v>427.66943020999997</v>
      </c>
      <c r="E5" s="13">
        <f>389851193.94/10^6</f>
        <v>389.85119393999997</v>
      </c>
      <c r="F5" s="13">
        <f>650346641.14/10^6</f>
        <v>650.34664113999997</v>
      </c>
      <c r="G5" s="13">
        <f>557896561.17/10^6</f>
        <v>557.89656116999993</v>
      </c>
      <c r="H5" s="13">
        <f>581262808.78/10^6</f>
        <v>581.26280878</v>
      </c>
      <c r="I5" s="15">
        <f t="shared" ref="I5:I17" si="0">POWER(H5/D5,1/4)-1</f>
        <v>7.9732271729909154E-2</v>
      </c>
    </row>
    <row r="6" spans="1:19" ht="14.5" x14ac:dyDescent="0.3">
      <c r="B6" s="9" t="s">
        <v>38</v>
      </c>
      <c r="C6" s="9"/>
      <c r="D6" s="13">
        <f>267041161.55/10^6</f>
        <v>267.04116155000003</v>
      </c>
      <c r="E6" s="13">
        <f>261159269.6/10^6</f>
        <v>261.15926960000002</v>
      </c>
      <c r="F6" s="13">
        <f>233783402.04/10^6</f>
        <v>233.78340204</v>
      </c>
      <c r="G6" s="13">
        <f>181490039.52/10^6</f>
        <v>181.49003952000001</v>
      </c>
      <c r="H6" s="13">
        <f>152814780.95/10^6</f>
        <v>152.81478095</v>
      </c>
      <c r="I6" s="15">
        <f t="shared" si="0"/>
        <v>-0.13024529111871141</v>
      </c>
    </row>
    <row r="7" spans="1:19" ht="14.5" x14ac:dyDescent="0.3">
      <c r="B7" s="9"/>
      <c r="C7" s="9" t="s">
        <v>49</v>
      </c>
      <c r="D7" s="13"/>
      <c r="E7" s="13"/>
      <c r="F7" s="13"/>
      <c r="G7" s="13">
        <f>548010/10^6</f>
        <v>0.54801</v>
      </c>
      <c r="H7" s="13"/>
      <c r="I7" s="15"/>
    </row>
    <row r="8" spans="1:19" ht="14.5" x14ac:dyDescent="0.3">
      <c r="B8" s="2" t="s">
        <v>30</v>
      </c>
      <c r="C8" s="2"/>
      <c r="D8" s="10">
        <f>131957313.86/10^6</f>
        <v>131.95731386</v>
      </c>
      <c r="E8" s="10">
        <f>150241574.98/10^6</f>
        <v>150.24157498</v>
      </c>
      <c r="F8" s="10">
        <f>174943366.72/10^6</f>
        <v>174.94336672</v>
      </c>
      <c r="G8" s="10">
        <f>164255856.29/10^6</f>
        <v>164.25585629</v>
      </c>
      <c r="H8" s="10">
        <f>145680201.88/10^6</f>
        <v>145.68020188</v>
      </c>
      <c r="I8" s="15">
        <f t="shared" si="0"/>
        <v>2.5042251471916188E-2</v>
      </c>
    </row>
    <row r="9" spans="1:19" ht="14.5" x14ac:dyDescent="0.3">
      <c r="B9" s="2"/>
      <c r="C9" s="2" t="s">
        <v>17</v>
      </c>
      <c r="D9" s="10">
        <v>52.5</v>
      </c>
      <c r="E9" s="10">
        <v>20.5</v>
      </c>
      <c r="F9" s="10">
        <v>32.6</v>
      </c>
      <c r="G9" s="10">
        <v>11.4</v>
      </c>
      <c r="H9" s="10">
        <v>12</v>
      </c>
      <c r="I9" s="15">
        <f t="shared" si="0"/>
        <v>-0.30855843071611799</v>
      </c>
    </row>
    <row r="10" spans="1:19" ht="14.5" x14ac:dyDescent="0.3">
      <c r="B10" s="2" t="s">
        <v>39</v>
      </c>
      <c r="D10" s="10">
        <f>37236705.74/10^6</f>
        <v>37.236705740000005</v>
      </c>
      <c r="E10" s="10">
        <f>27248223.37/10^6</f>
        <v>27.248223370000002</v>
      </c>
      <c r="F10" s="10">
        <f>9948977.64/10^6</f>
        <v>9.9489776400000007</v>
      </c>
      <c r="G10" s="10">
        <f>5698978.23/10^6</f>
        <v>5.6989782300000007</v>
      </c>
      <c r="H10" s="10">
        <f>10947184.43/10^6</f>
        <v>10.94718443</v>
      </c>
      <c r="I10" s="15">
        <f t="shared" si="0"/>
        <v>-0.2636525358892593</v>
      </c>
    </row>
    <row r="11" spans="1:19" ht="14.5" x14ac:dyDescent="0.3">
      <c r="B11" s="2" t="s">
        <v>40</v>
      </c>
      <c r="D11" s="10">
        <f>42049563.07/10^6</f>
        <v>42.049563069999998</v>
      </c>
      <c r="E11" s="10">
        <f>93178614.17/10^6</f>
        <v>93.178614170000003</v>
      </c>
      <c r="F11" s="10">
        <f>57158813.09/10^6</f>
        <v>57.158813090000002</v>
      </c>
      <c r="G11" s="10">
        <f>57158813.09/10^6</f>
        <v>57.158813090000002</v>
      </c>
      <c r="H11" s="10">
        <f>57158813.09/10^6</f>
        <v>57.158813090000002</v>
      </c>
      <c r="I11" s="15">
        <f t="shared" si="0"/>
        <v>7.9767940485784727E-2</v>
      </c>
    </row>
    <row r="12" spans="1:19" ht="14.5" x14ac:dyDescent="0.3">
      <c r="B12" s="3" t="s">
        <v>41</v>
      </c>
      <c r="C12" s="4"/>
      <c r="D12" s="11">
        <f>1575547361.52/10^6</f>
        <v>1575.5473615199999</v>
      </c>
      <c r="E12" s="11">
        <f>1735450760.72/10^6</f>
        <v>1735.4507607200001</v>
      </c>
      <c r="F12" s="11">
        <f>1880593827.15/10^6</f>
        <v>1880.5938271500002</v>
      </c>
      <c r="G12" s="11">
        <f>2133208927.09/10^6</f>
        <v>2133.2089270900001</v>
      </c>
      <c r="H12" s="11">
        <f>2262630540.22/10^6</f>
        <v>2262.6305402199996</v>
      </c>
      <c r="I12" s="17">
        <f t="shared" si="0"/>
        <v>9.4701077383025467E-2</v>
      </c>
      <c r="N12" s="1">
        <v>2013</v>
      </c>
      <c r="O12" s="8">
        <v>2014</v>
      </c>
      <c r="P12" s="1">
        <v>2015</v>
      </c>
      <c r="Q12" s="1">
        <v>2016</v>
      </c>
      <c r="R12" s="1">
        <v>2017</v>
      </c>
      <c r="S12" s="14" t="s">
        <v>50</v>
      </c>
    </row>
    <row r="13" spans="1:19" ht="14.5" x14ac:dyDescent="0.3">
      <c r="B13" s="2" t="s">
        <v>42</v>
      </c>
      <c r="D13" s="10">
        <v>0.8</v>
      </c>
      <c r="E13" s="10">
        <v>14.2</v>
      </c>
      <c r="F13" s="10">
        <v>21.7</v>
      </c>
      <c r="G13" s="10">
        <v>31.3</v>
      </c>
      <c r="H13" s="10">
        <v>65.900000000000006</v>
      </c>
      <c r="I13" s="15">
        <f t="shared" si="0"/>
        <v>2.0126512294548258</v>
      </c>
      <c r="L13" s="2" t="s">
        <v>42</v>
      </c>
      <c r="N13" s="10">
        <v>0.8</v>
      </c>
      <c r="O13" s="10">
        <v>14.2</v>
      </c>
      <c r="P13" s="10">
        <v>21.7</v>
      </c>
      <c r="Q13" s="10">
        <v>31.3</v>
      </c>
      <c r="R13" s="10">
        <v>65.900000000000006</v>
      </c>
      <c r="S13" s="15">
        <f t="shared" ref="S13" si="1">POWER(R13/N13,1/4)-1</f>
        <v>2.0126512294548258</v>
      </c>
    </row>
    <row r="14" spans="1:19" ht="14.5" x14ac:dyDescent="0.3">
      <c r="B14" s="2"/>
      <c r="C14" s="2" t="s">
        <v>43</v>
      </c>
      <c r="D14" s="10"/>
      <c r="E14" s="10">
        <v>8.6999999999999993</v>
      </c>
      <c r="F14" s="10">
        <v>11.1</v>
      </c>
      <c r="G14" s="10">
        <v>20.7</v>
      </c>
      <c r="H14" s="10">
        <v>61.3</v>
      </c>
      <c r="I14" s="15">
        <f>POWER(H14/E14,1/3)-1</f>
        <v>0.9171101827995658</v>
      </c>
      <c r="L14" s="2"/>
      <c r="M14" s="2" t="s">
        <v>43</v>
      </c>
      <c r="N14" s="10"/>
      <c r="O14" s="10">
        <v>8.6999999999999993</v>
      </c>
      <c r="P14" s="10">
        <v>11.1</v>
      </c>
      <c r="Q14" s="10">
        <v>20.7</v>
      </c>
      <c r="R14" s="10">
        <v>61.3</v>
      </c>
      <c r="S14" s="15">
        <f>POWER(R14/O14,1/3)-1</f>
        <v>0.9171101827995658</v>
      </c>
    </row>
    <row r="15" spans="1:19" ht="14.5" x14ac:dyDescent="0.3">
      <c r="B15" s="2"/>
      <c r="C15" s="2" t="s">
        <v>44</v>
      </c>
      <c r="D15" s="10"/>
      <c r="E15" s="10">
        <v>0.9</v>
      </c>
      <c r="F15" s="10">
        <v>5.9</v>
      </c>
      <c r="G15" s="10">
        <v>1.1000000000000001</v>
      </c>
      <c r="H15" s="10">
        <v>3.1</v>
      </c>
      <c r="I15" s="15">
        <f>POWER(H15/E15,1/3)-1</f>
        <v>0.51021829869449764</v>
      </c>
      <c r="L15" s="2"/>
      <c r="M15" s="2" t="s">
        <v>44</v>
      </c>
      <c r="N15" s="10"/>
      <c r="O15" s="10">
        <v>0.9</v>
      </c>
      <c r="P15" s="10">
        <v>5.9</v>
      </c>
      <c r="Q15" s="10">
        <v>1.1000000000000001</v>
      </c>
      <c r="R15" s="10">
        <v>3.1</v>
      </c>
      <c r="S15" s="15">
        <f>POWER(R15/O15,1/3)-1</f>
        <v>0.51021829869449764</v>
      </c>
    </row>
    <row r="16" spans="1:19" ht="14.5" x14ac:dyDescent="0.3">
      <c r="B16" s="3" t="s">
        <v>45</v>
      </c>
      <c r="C16" s="3"/>
      <c r="D16" s="11">
        <f>133532552.25/10^6</f>
        <v>133.53255225000001</v>
      </c>
      <c r="E16" s="11">
        <f>213725012.18/10^6</f>
        <v>213.72501217999999</v>
      </c>
      <c r="F16" s="11">
        <f>269650469.63/10^6</f>
        <v>269.65046962999998</v>
      </c>
      <c r="G16" s="11">
        <f>496364877.38/10^6</f>
        <v>496.36487738</v>
      </c>
      <c r="H16" s="11">
        <f>592104198.82/10^6</f>
        <v>592.10419882000008</v>
      </c>
      <c r="I16" s="17">
        <f t="shared" si="0"/>
        <v>0.45111806183108905</v>
      </c>
    </row>
    <row r="17" spans="1:10" ht="14.5" x14ac:dyDescent="0.3">
      <c r="B17" s="3" t="s">
        <v>70</v>
      </c>
      <c r="C17" s="3"/>
      <c r="D17" s="11">
        <f>D12-D16</f>
        <v>1442.0148092699999</v>
      </c>
      <c r="E17" s="11">
        <f t="shared" ref="E17:H17" si="2">E12-E16</f>
        <v>1521.72574854</v>
      </c>
      <c r="F17" s="11">
        <f t="shared" si="2"/>
        <v>1610.9433575200001</v>
      </c>
      <c r="G17" s="11">
        <f t="shared" si="2"/>
        <v>1636.84404971</v>
      </c>
      <c r="H17" s="11">
        <f t="shared" si="2"/>
        <v>1670.5263413999996</v>
      </c>
      <c r="I17" s="17">
        <f t="shared" si="0"/>
        <v>3.7458902847905318E-2</v>
      </c>
    </row>
    <row r="18" spans="1:10" ht="14.5" x14ac:dyDescent="0.3">
      <c r="B18" s="2" t="s">
        <v>69</v>
      </c>
      <c r="D18" s="15">
        <f>D16/D12</f>
        <v>8.4753118510620506E-2</v>
      </c>
      <c r="E18" s="15">
        <f t="shared" ref="E18:H18" si="3">E16/E12</f>
        <v>0.12315244950616186</v>
      </c>
      <c r="F18" s="15">
        <f t="shared" si="3"/>
        <v>0.14338581023561559</v>
      </c>
      <c r="G18" s="15">
        <f t="shared" si="3"/>
        <v>0.23268460537389191</v>
      </c>
      <c r="H18" s="15">
        <f t="shared" si="3"/>
        <v>0.26168841456653757</v>
      </c>
      <c r="J18" s="2" t="s">
        <v>71</v>
      </c>
    </row>
    <row r="19" spans="1:10" ht="14.5" x14ac:dyDescent="0.3">
      <c r="A19" s="9"/>
      <c r="B19" s="9"/>
      <c r="C19" s="9"/>
      <c r="D19" s="7"/>
      <c r="E19" s="7"/>
      <c r="F19" s="7"/>
      <c r="G19" s="7"/>
      <c r="H19" s="7"/>
      <c r="I19" s="7"/>
      <c r="J19" s="2"/>
    </row>
    <row r="20" spans="1:10" ht="14.5" x14ac:dyDescent="0.3">
      <c r="B20" s="2"/>
      <c r="C20" s="2"/>
      <c r="D20" s="10"/>
      <c r="E20" s="10"/>
      <c r="F20" s="10"/>
      <c r="G20" s="10"/>
      <c r="H20" s="10"/>
      <c r="I20" s="15"/>
      <c r="J20" s="2"/>
    </row>
    <row r="21" spans="1:10" ht="14.5" x14ac:dyDescent="0.3">
      <c r="B21" s="2"/>
      <c r="C21" s="2"/>
      <c r="D21" s="16"/>
      <c r="E21" s="10"/>
      <c r="F21" s="10"/>
      <c r="G21" s="10"/>
      <c r="H21" s="10"/>
      <c r="I21" s="15"/>
      <c r="J21" s="2"/>
    </row>
    <row r="22" spans="1:10" ht="14.5" x14ac:dyDescent="0.3">
      <c r="B22" s="2"/>
      <c r="C22" s="2"/>
      <c r="D22" s="10"/>
      <c r="E22" s="10"/>
      <c r="F22" s="10"/>
      <c r="G22" s="10"/>
      <c r="H22" s="10"/>
      <c r="I22" s="15"/>
      <c r="J22" s="2"/>
    </row>
    <row r="23" spans="1:10" ht="14.5" x14ac:dyDescent="0.3">
      <c r="J23" s="2"/>
    </row>
    <row r="24" spans="1:10" ht="14.5" x14ac:dyDescent="0.3">
      <c r="C24" s="2"/>
      <c r="D24" s="15"/>
      <c r="E24" s="15"/>
      <c r="F24" s="15"/>
      <c r="G24" s="15"/>
      <c r="H24" s="15"/>
      <c r="J24" s="2"/>
    </row>
  </sheetData>
  <phoneticPr fontId="2" type="noConversion"/>
  <conditionalFormatting sqref="I4">
    <cfRule type="cellIs" dxfId="4" priority="3" operator="lessThan">
      <formula>0</formula>
    </cfRule>
  </conditionalFormatting>
  <conditionalFormatting sqref="I5:I17">
    <cfRule type="cellIs" dxfId="3" priority="4" operator="lessThan">
      <formula>0</formula>
    </cfRule>
  </conditionalFormatting>
  <conditionalFormatting sqref="I20:I22">
    <cfRule type="cellIs" dxfId="2" priority="2" operator="lessThan">
      <formula>0</formula>
    </cfRule>
  </conditionalFormatting>
  <conditionalFormatting sqref="S13:S1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74C4-A57E-46BE-9D8F-069ACA38EF5B}">
  <dimension ref="A2:I17"/>
  <sheetViews>
    <sheetView showGridLines="0" workbookViewId="0">
      <selection activeCell="I12" sqref="I12"/>
    </sheetView>
  </sheetViews>
  <sheetFormatPr defaultRowHeight="14" x14ac:dyDescent="0.3"/>
  <sheetData>
    <row r="2" spans="1:9" x14ac:dyDescent="0.3">
      <c r="I2" s="7"/>
    </row>
    <row r="3" spans="1:9" x14ac:dyDescent="0.3">
      <c r="I3" s="7"/>
    </row>
    <row r="4" spans="1:9" ht="14.5" x14ac:dyDescent="0.3"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20"/>
    </row>
    <row r="5" spans="1:9" ht="14.5" x14ac:dyDescent="0.3">
      <c r="A5" s="5" t="s">
        <v>46</v>
      </c>
      <c r="B5" s="5"/>
      <c r="C5" s="5"/>
      <c r="D5" s="12"/>
      <c r="E5" s="12"/>
      <c r="F5" s="12"/>
      <c r="G5" s="12"/>
      <c r="H5" s="12"/>
      <c r="I5" s="19"/>
    </row>
    <row r="6" spans="1:9" ht="14.5" x14ac:dyDescent="0.3">
      <c r="A6" s="2"/>
      <c r="B6" s="2" t="s">
        <v>47</v>
      </c>
      <c r="C6" s="2"/>
      <c r="D6" s="10"/>
      <c r="E6" s="10"/>
      <c r="F6" s="10"/>
      <c r="G6" s="10"/>
      <c r="H6" s="10"/>
      <c r="I6" s="19"/>
    </row>
    <row r="7" spans="1:9" ht="14.5" x14ac:dyDescent="0.3">
      <c r="A7" s="2"/>
      <c r="B7" s="2" t="s">
        <v>48</v>
      </c>
      <c r="C7" s="2"/>
      <c r="D7" s="10">
        <f>57651547.58/10^6</f>
        <v>57.651547579999999</v>
      </c>
      <c r="E7" s="10">
        <f>27603265.23/10^6</f>
        <v>27.603265230000002</v>
      </c>
      <c r="F7" s="10">
        <f>42051679.09/10^6</f>
        <v>42.05167909</v>
      </c>
      <c r="G7" s="10">
        <f>-16564701.73/10^6</f>
        <v>-16.564701729999999</v>
      </c>
      <c r="H7" s="10">
        <f>-18284428.06/10^6</f>
        <v>-18.28442806</v>
      </c>
      <c r="I7" s="19"/>
    </row>
    <row r="8" spans="1:9" ht="14.5" x14ac:dyDescent="0.3">
      <c r="B8" s="2" t="s">
        <v>67</v>
      </c>
      <c r="D8" s="10"/>
      <c r="E8" s="10"/>
      <c r="F8" s="10"/>
      <c r="G8" s="10"/>
      <c r="H8" s="10"/>
      <c r="I8" s="19"/>
    </row>
    <row r="9" spans="1:9" ht="14.5" x14ac:dyDescent="0.3">
      <c r="B9" s="2" t="s">
        <v>48</v>
      </c>
      <c r="D9" s="10">
        <f>-87682236.03/10^6</f>
        <v>-87.682236029999999</v>
      </c>
      <c r="E9" s="10">
        <f>-1923407.2/10^6</f>
        <v>-1.9234072</v>
      </c>
      <c r="F9" s="10">
        <f>-15001584.51/10^6</f>
        <v>-15.001584509999999</v>
      </c>
      <c r="G9" s="10">
        <f>-277468802.65/10^6</f>
        <v>-277.46880264999999</v>
      </c>
      <c r="H9" s="10">
        <f>86925480.622/10^6</f>
        <v>86.925480621999995</v>
      </c>
      <c r="I9" s="19"/>
    </row>
    <row r="10" spans="1:9" ht="14.5" x14ac:dyDescent="0.3">
      <c r="B10" s="2"/>
      <c r="C10" s="2" t="s">
        <v>73</v>
      </c>
      <c r="D10" s="10"/>
      <c r="E10" s="10"/>
      <c r="F10" s="10"/>
      <c r="G10" s="10"/>
      <c r="H10" s="10"/>
      <c r="I10" s="19"/>
    </row>
    <row r="11" spans="1:9" ht="14.5" x14ac:dyDescent="0.3">
      <c r="B11" s="2"/>
      <c r="C11" s="2" t="s">
        <v>74</v>
      </c>
      <c r="D11" s="10">
        <f>152917.32/10^6</f>
        <v>0.15291732</v>
      </c>
      <c r="E11" s="10">
        <f>745562.61/10^6</f>
        <v>0.74556261000000001</v>
      </c>
      <c r="F11" s="10"/>
      <c r="G11" s="10"/>
      <c r="H11" s="10">
        <f>30848683.34/10^6</f>
        <v>30.848683340000001</v>
      </c>
      <c r="I11" s="19"/>
    </row>
    <row r="12" spans="1:9" ht="14.5" x14ac:dyDescent="0.3">
      <c r="B12" s="2"/>
      <c r="C12" s="2" t="s">
        <v>75</v>
      </c>
      <c r="D12" s="10"/>
      <c r="E12" s="10"/>
      <c r="F12" s="10"/>
      <c r="G12" s="10"/>
      <c r="H12" s="10"/>
      <c r="I12" s="19"/>
    </row>
    <row r="13" spans="1:9" ht="14.5" x14ac:dyDescent="0.3">
      <c r="B13" s="2"/>
      <c r="C13" s="2" t="s">
        <v>76</v>
      </c>
      <c r="D13" s="10">
        <f>28835153.35/10^6</f>
        <v>28.835153350000002</v>
      </c>
      <c r="E13" s="10">
        <f>26607070.55/10^6</f>
        <v>26.60707055</v>
      </c>
      <c r="F13" s="10">
        <f>9007670.23/10^6</f>
        <v>9.0076702300000004</v>
      </c>
      <c r="G13" s="10">
        <f>8887555.62/10^6</f>
        <v>8.8875556199999988</v>
      </c>
      <c r="H13" s="10">
        <f>39552230.62/10^6</f>
        <v>39.552230619999996</v>
      </c>
      <c r="I13" s="19"/>
    </row>
    <row r="14" spans="1:9" ht="14.5" x14ac:dyDescent="0.3">
      <c r="B14" s="2" t="s">
        <v>68</v>
      </c>
      <c r="D14" s="10"/>
      <c r="E14" s="10"/>
      <c r="F14" s="10"/>
      <c r="G14" s="10"/>
      <c r="H14" s="10"/>
      <c r="I14" s="19"/>
    </row>
    <row r="15" spans="1:9" ht="14.5" x14ac:dyDescent="0.3">
      <c r="B15" s="2" t="s">
        <v>48</v>
      </c>
      <c r="D15" s="10">
        <f>-253423347.43/10^6</f>
        <v>-253.42334743000001</v>
      </c>
      <c r="E15" s="10">
        <f>-8578523.73/10^6</f>
        <v>-8.5785237300000006</v>
      </c>
      <c r="F15" s="10">
        <f>10448403.61/10^6</f>
        <v>10.44840361</v>
      </c>
      <c r="G15" s="10">
        <f>209313712.89/10^6</f>
        <v>209.31371288999998</v>
      </c>
      <c r="H15" s="10">
        <f>5337613.19/10^6</f>
        <v>5.3376131900000008</v>
      </c>
      <c r="I15" s="19"/>
    </row>
    <row r="17" spans="2:9" ht="14.5" x14ac:dyDescent="0.3">
      <c r="B17" s="3" t="s">
        <v>77</v>
      </c>
      <c r="C17" s="4"/>
      <c r="D17" s="11">
        <f>D7-D13+D11</f>
        <v>28.969311549999997</v>
      </c>
      <c r="E17" s="11">
        <f t="shared" ref="E17:H17" si="0">E7-E13+E11</f>
        <v>1.741757290000002</v>
      </c>
      <c r="F17" s="11">
        <f t="shared" si="0"/>
        <v>33.044008859999998</v>
      </c>
      <c r="G17" s="11">
        <f t="shared" si="0"/>
        <v>-25.452257349999996</v>
      </c>
      <c r="H17" s="11">
        <f t="shared" si="0"/>
        <v>-26.987975339999998</v>
      </c>
      <c r="I17" s="2" t="s">
        <v>78</v>
      </c>
    </row>
  </sheetData>
  <phoneticPr fontId="2" type="noConversion"/>
  <conditionalFormatting sqref="I5:I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Benchmark</vt:lpstr>
      <vt:lpstr>Sheet1</vt:lpstr>
      <vt:lpstr>——&gt;</vt:lpstr>
      <vt:lpstr>营收毛利</vt:lpstr>
      <vt:lpstr>费用净利</vt:lpstr>
      <vt:lpstr>流动资产和应付</vt:lpstr>
      <vt:lpstr>非流资产和负债、权益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2018-10-14T14:55:54Z</dcterms:modified>
</cp:coreProperties>
</file>